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drawings/drawing2.xml" ContentType="application/vnd.openxmlformats-officedocument.drawing+xml"/>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0" documentId="8_{3CF6A9AC-9CF7-44CE-9028-E6FE92EE7E0E}" xr6:coauthVersionLast="47" xr6:coauthVersionMax="47" xr10:uidLastSave="{00000000-0000-0000-0000-000000000000}"/>
  <bookViews>
    <workbookView xWindow="-110" yWindow="-110" windowWidth="19420" windowHeight="11500" tabRatio="776" xr2:uid="{22AD8508-5858-422F-9A7A-F5594E37D8AE}"/>
  </bookViews>
  <sheets>
    <sheet name="Table of Contents" sheetId="1" r:id="rId1"/>
    <sheet name="Exhibit A" sheetId="2" r:id="rId2"/>
    <sheet name="Exh A Supp" sheetId="3" r:id="rId3"/>
    <sheet name="Footnotes" sheetId="4" r:id="rId4"/>
    <sheet name="Exh B" sheetId="5" r:id="rId5"/>
    <sheet name="Exh C" sheetId="6" r:id="rId6"/>
    <sheet name="Exh D Governmental  " sheetId="7" r:id="rId7"/>
    <sheet name="Exh D State Operating" sheetId="8" r:id="rId8"/>
    <sheet name="Exh D General Fund" sheetId="9" r:id="rId9"/>
    <sheet name="Exh D Special Revenue" sheetId="10" r:id="rId10"/>
    <sheet name="Exh D Special Revenue State Fed" sheetId="11" r:id="rId11"/>
    <sheet name="Exh D Debt Service" sheetId="12" r:id="rId12"/>
    <sheet name="Exh D Capital Projects" sheetId="13" r:id="rId13"/>
    <sheet name="Exh D Captl Projects State Fed" sheetId="14" r:id="rId14"/>
    <sheet name="EXHIBIT E " sheetId="15" r:id="rId15"/>
    <sheet name="Cashflow Governmental" sheetId="16" r:id="rId16"/>
    <sheet name="Cash Flow State Operating" sheetId="17" r:id="rId17"/>
    <sheet name="Exhibit F" sheetId="18" r:id="rId18"/>
    <sheet name="Exhibit G" sheetId="19" r:id="rId19"/>
    <sheet name="Exhibit G State" sheetId="20" r:id="rId20"/>
    <sheet name="Exhibit G Federal" sheetId="21" r:id="rId21"/>
    <sheet name="Exhibit H" sheetId="22" r:id="rId22"/>
    <sheet name="Exhibit I" sheetId="23" r:id="rId23"/>
    <sheet name="Exhibit I State" sheetId="24" r:id="rId24"/>
    <sheet name="Exhibit I Federal" sheetId="25" r:id="rId25"/>
    <sheet name="Exhibit J" sheetId="26" r:id="rId26"/>
    <sheet name="Exhibit K" sheetId="27" r:id="rId27"/>
    <sheet name="Exhibit L" sheetId="28" r:id="rId28"/>
    <sheet name="Exhibit M" sheetId="29" r:id="rId29"/>
    <sheet name="Sch 1 " sheetId="30" r:id="rId30"/>
    <sheet name="Sch 2 " sheetId="31" r:id="rId31"/>
    <sheet name="Sch 3 " sheetId="32" r:id="rId32"/>
    <sheet name="Sch 4" sheetId="33" r:id="rId33"/>
    <sheet name="Sch 5 " sheetId="34" r:id="rId34"/>
    <sheet name="Sch 5a" sheetId="35" r:id="rId35"/>
    <sheet name="Sch 6" sheetId="36" r:id="rId36"/>
    <sheet name="HCRA " sheetId="37" r:id="rId37"/>
    <sheet name="HCRA PROG DISB" sheetId="38" r:id="rId38"/>
    <sheet name="Public Goods " sheetId="39" r:id="rId39"/>
    <sheet name="Medicaid Disp Share" sheetId="40" r:id="rId40"/>
    <sheet name="Appendix E" sheetId="41" r:id="rId41"/>
    <sheet name="Appendix F" sheetId="42" r:id="rId42"/>
    <sheet name="Appendix G" sheetId="43" r:id="rId43"/>
    <sheet name="Appendix H" sheetId="44" r:id="rId44"/>
    <sheet name="Appendix I" sheetId="45" r:id="rId45"/>
  </sheets>
  <definedNames>
    <definedName name="_xlnm._FilterDatabase" localSheetId="41" hidden="1">'Appendix F'!$P$8:$P$239</definedName>
    <definedName name="_xlnm._FilterDatabase" localSheetId="11" hidden="1">'Exh D Debt Service'!$A$3:$A$7</definedName>
    <definedName name="_xlnm._FilterDatabase" localSheetId="8" hidden="1">'Exh D General Fund'!$A$3:$A$7</definedName>
    <definedName name="Exh_G_var" localSheetId="18">'Exhibit G'!$A$2:$AM$123</definedName>
    <definedName name="Exh_G_var" localSheetId="20">'Exhibit G Federal'!$A$2:$AK$93</definedName>
    <definedName name="Exh_G_var" localSheetId="19">'Exhibit G State'!$A$2:$AK$120</definedName>
    <definedName name="EXHIBIT_E" localSheetId="14">'EXHIBIT E '!$A$3:$AK$68</definedName>
    <definedName name="EXHIBITA" localSheetId="2">'Exh A Supp'!$A$3:$AC$60</definedName>
    <definedName name="EXHIBITAvar" localSheetId="2">'Exh A Supp'!$A$3:$AC$60</definedName>
    <definedName name="ExhibitB" localSheetId="5">'Exh C'!$A$3:$U$46</definedName>
    <definedName name="EXHL" localSheetId="40">'Appendix E'!$A$2:$AA$22</definedName>
    <definedName name="EXHL" localSheetId="28">'Exhibit M'!$A$3:$AF$47</definedName>
    <definedName name="Medicaid" localSheetId="39">'Medicaid Disp Share'!$B$4:$I$49</definedName>
    <definedName name="NvsASD">"V2019-12-31"</definedName>
    <definedName name="NvsAutoDrillOk">"VN"</definedName>
    <definedName name="NvsElapsedTime" localSheetId="44">0.000937500000873115</definedName>
    <definedName name="NvsElapsedTime">0.00094907407037681</definedName>
    <definedName name="NvsEndTime" localSheetId="44">43847.4455208333</definedName>
    <definedName name="NvsEndTime">43847.3594675926</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"%,X,RZF..R00B,CZF..C00B"</definedName>
    <definedName name="NvsPanelBusUnit">"V"</definedName>
    <definedName name="NvsPanelEffdt">"V2011-09-21"</definedName>
    <definedName name="NvsPanelSetid">"VNYS01"</definedName>
    <definedName name="NvsReqBU">"VOSC01"</definedName>
    <definedName name="NvsReqBUOnly">"VN"</definedName>
    <definedName name="NvsSheetType" localSheetId="43">"M"</definedName>
    <definedName name="NvsSheetType" localSheetId="44">"M"</definedName>
    <definedName name="NvsTransLed">"VN"</definedName>
    <definedName name="NvsTreeASD">"V2019-12-31"</definedName>
    <definedName name="NvsValTbl.ACCOUNT">"GL_ACCOUNT_TBL"</definedName>
    <definedName name="NvsValTbl.BUSINESS_UNIT">"BUS_UNIT_GL_VW"</definedName>
    <definedName name="Page_1" localSheetId="3">Footnotes!$A$3:$S$51</definedName>
    <definedName name="page1" localSheetId="32">'Sch 4'!$A$3:$J$21</definedName>
    <definedName name="page1" localSheetId="0">'Table of Contents'!$A$1:$J$100</definedName>
    <definedName name="_xlnm.Print_Area" localSheetId="40">'Appendix E'!$A$2:$AA$30</definedName>
    <definedName name="_xlnm.Print_Area" localSheetId="41">'Appendix F'!$A$2:$P$266</definedName>
    <definedName name="_xlnm.Print_Area" localSheetId="42">'Appendix G'!$A$3:$Z$60</definedName>
    <definedName name="_xlnm.Print_Area" localSheetId="43">'Appendix H'!$A$3:$I$63</definedName>
    <definedName name="_xlnm.Print_Area" localSheetId="44">'Appendix I'!$A$3:$I$36</definedName>
    <definedName name="_xlnm.Print_Area" localSheetId="16">'Cash Flow State Operating'!$A$3:$AJ$152</definedName>
    <definedName name="_xlnm.Print_Area" localSheetId="15">'Cashflow Governmental'!$A$3:$AJ$151</definedName>
    <definedName name="_xlnm.Print_Area" localSheetId="2">'Exh A Supp'!$A$3:$AF$63</definedName>
    <definedName name="_xlnm.Print_Area" localSheetId="4">'Exh B'!$A$3:$Z$47</definedName>
    <definedName name="_xlnm.Print_Area" localSheetId="5">'Exh C'!$A$3:$Y$44</definedName>
    <definedName name="_xlnm.Print_Area" localSheetId="12">'Exh D Capital Projects'!$A$3:$K$46</definedName>
    <definedName name="_xlnm.Print_Area" localSheetId="13">'Exh D Captl Projects State Fed'!$A$3:$X$46</definedName>
    <definedName name="_xlnm.Print_Area" localSheetId="11">'Exh D Debt Service'!$A$3:$K$44</definedName>
    <definedName name="_xlnm.Print_Area" localSheetId="8">'Exh D General Fund'!$A$3:$K$59</definedName>
    <definedName name="_xlnm.Print_Area" localSheetId="6">'Exh D Governmental  '!$A$3:$K$54</definedName>
    <definedName name="_xlnm.Print_Area" localSheetId="9">'Exh D Special Revenue'!$A$3:$O$47</definedName>
    <definedName name="_xlnm.Print_Area" localSheetId="10">'Exh D Special Revenue State Fed'!$A$3:$X$45</definedName>
    <definedName name="_xlnm.Print_Area" localSheetId="7">'Exh D State Operating'!$A$3:$K$57</definedName>
    <definedName name="_xlnm.Print_Area" localSheetId="1">'Exhibit A'!$A$3:$AI$60</definedName>
    <definedName name="_xlnm.Print_Area" localSheetId="14">'EXHIBIT E '!$A$3:$AK$68</definedName>
    <definedName name="_xlnm.Print_Area" localSheetId="17">'Exhibit F'!$B$3:$AK$146</definedName>
    <definedName name="_xlnm.Print_Area" localSheetId="18">'Exhibit G'!$B$3:$AM$127</definedName>
    <definedName name="_xlnm.Print_Area" localSheetId="20">'Exhibit G Federal'!$B$2:$AK$96</definedName>
    <definedName name="_xlnm.Print_Area" localSheetId="19">'Exhibit G State'!$B$3:$AK$123</definedName>
    <definedName name="_xlnm.Print_Area" localSheetId="21">'Exhibit H'!$A$2:$AI$79</definedName>
    <definedName name="_xlnm.Print_Area" localSheetId="22">'Exhibit I'!$B$3:$AL$102</definedName>
    <definedName name="_xlnm.Print_Area" localSheetId="24">'Exhibit I Federal'!$B$3:$AL$84</definedName>
    <definedName name="_xlnm.Print_Area" localSheetId="23">'Exhibit I State'!$B$3:$AL$101</definedName>
    <definedName name="_xlnm.Print_Area" localSheetId="25">'Exhibit J'!$A$3:$AJ$52</definedName>
    <definedName name="_xlnm.Print_Area" localSheetId="26">'Exhibit K'!$A$3:$AI$49</definedName>
    <definedName name="_xlnm.Print_Area" localSheetId="27">'Exhibit L'!$A$3:$AI$47</definedName>
    <definedName name="_xlnm.Print_Area" localSheetId="28">'Exhibit M'!$A$3:$AI$47</definedName>
    <definedName name="_xlnm.Print_Area" localSheetId="3">Footnotes!$A$2:$O$60</definedName>
    <definedName name="_xlnm.Print_Area" localSheetId="36">'HCRA '!$A$3:$Z$63</definedName>
    <definedName name="_xlnm.Print_Area" localSheetId="37">'HCRA PROG DISB'!$A$3:$D$71</definedName>
    <definedName name="_xlnm.Print_Area" localSheetId="39">'Medicaid Disp Share'!$B$2:$I$52</definedName>
    <definedName name="_xlnm.Print_Area" localSheetId="38">'Public Goods '!$A$3:$I$53</definedName>
    <definedName name="_xlnm.Print_Area" localSheetId="29">'Sch 1 '!$A$3:$L$158</definedName>
    <definedName name="_xlnm.Print_Area" localSheetId="30">'Sch 2 '!$A$3:$K$47</definedName>
    <definedName name="_xlnm.Print_Area" localSheetId="31">'Sch 3 '!$A$2:$M$49</definedName>
    <definedName name="_xlnm.Print_Area" localSheetId="32">'Sch 4'!$A$3:$K$34</definedName>
    <definedName name="_xlnm.Print_Area" localSheetId="33">'Sch 5 '!$A$3:$S$70</definedName>
    <definedName name="_xlnm.Print_Area" localSheetId="34">'Sch 5a'!$B$3:$R$33</definedName>
    <definedName name="_xlnm.Print_Area" localSheetId="35">'Sch 6'!$B$3:$K$38</definedName>
    <definedName name="_xlnm.Print_Area" localSheetId="0">'Table of Contents'!$A$1:$J$66</definedName>
    <definedName name="_xlnm.Print_Titles" localSheetId="41">'Appendix F'!$2:$8</definedName>
    <definedName name="_xlnm.Print_Titles" localSheetId="16">'Cash Flow State Operating'!$3:$15</definedName>
    <definedName name="_xlnm.Print_Titles" localSheetId="15">'Cashflow Governmental'!$3:$15</definedName>
    <definedName name="_xlnm.Print_Titles" localSheetId="17">'Exhibit F'!$3:$12</definedName>
    <definedName name="_xlnm.Print_Titles" localSheetId="18">'Exhibit G'!$3:$12</definedName>
    <definedName name="_xlnm.Print_Titles" localSheetId="20">'Exhibit G Federal'!$3:$12</definedName>
    <definedName name="_xlnm.Print_Titles" localSheetId="19">'Exhibit G State'!$3:$12</definedName>
    <definedName name="_xlnm.Print_Titles" localSheetId="21">'Exhibit H'!$3:$11</definedName>
    <definedName name="_xlnm.Print_Titles" localSheetId="22">'Exhibit I'!$3:$11</definedName>
    <definedName name="_xlnm.Print_Titles" localSheetId="24">'Exhibit I Federal'!$3:$12</definedName>
    <definedName name="_xlnm.Print_Titles" localSheetId="23">'Exhibit I State'!$3:$12</definedName>
    <definedName name="_xlnm.Print_Titles" localSheetId="3">Footnotes!$2:$3</definedName>
    <definedName name="_xlnm.Print_Titles" localSheetId="37">'HCRA PROG DISB'!$3:$8</definedName>
    <definedName name="_xlnm.Print_Titles" localSheetId="38">'Public Goods '!$5:$11</definedName>
    <definedName name="_xlnm.Print_Titles" localSheetId="29">'Sch 1 '!$3:$11</definedName>
    <definedName name="_xlnm.Print_Titles" localSheetId="0">'Table of Contents'!$1:$12</definedName>
    <definedName name="Sch3_2" localSheetId="31">'Sch 3 '!$A$3:$M$49</definedName>
    <definedName name="STATE_OF_NEW_YORK" localSheetId="14">'EXHIBIT E '!$A$3:$AK$68</definedName>
    <definedName name="variance" localSheetId="42">'Appendix G'!$A$3:$X$45</definedName>
    <definedName name="variance" localSheetId="36">'HCRA '!$A$3:$X$48</definedName>
    <definedName name="Z_0343EF62_2899_4FBC_8F63_A150F51A61BC_.wvu.FilterData" localSheetId="11" hidden="1">'Exh D Debt Service'!$A$3:$A$7</definedName>
    <definedName name="Z_0343EF62_2899_4FBC_8F63_A150F51A61BC_.wvu.FilterData" localSheetId="8" hidden="1">'Exh D General Fund'!$A$3:$A$7</definedName>
    <definedName name="Z_04CE4621_FE72_4BEE_A48D_DC29A92270A5_.wvu.FilterData" localSheetId="8" hidden="1">'Exh D General Fund'!$A$3:$A$7</definedName>
    <definedName name="Z_07AF2E82_99DF_448F_AE0C_9F6ACFAD683D_.wvu.FilterData" localSheetId="11" hidden="1">'Exh D Debt Service'!$A$3:$A$7</definedName>
    <definedName name="Z_07E8DDA5_58F9_4F5D_9D36_B9951A01043B_.wvu.PrintArea" localSheetId="1" hidden="1">'Exhibit A'!$A$3:$AI$60</definedName>
    <definedName name="Z_07EDAE3D_794B_4D07_91B2_03B96CCC3F1C_.wvu.FilterData" localSheetId="11" hidden="1">'Exh D Debt Service'!$A$3:$A$7</definedName>
    <definedName name="Z_07EDAE3D_794B_4D07_91B2_03B96CCC3F1C_.wvu.FilterData" localSheetId="8" hidden="1">'Exh D General Fund'!$A$3:$A$7</definedName>
    <definedName name="Z_08DD476C_F9CF_4768_90B3_DF70EE24A237_.wvu.FilterData" localSheetId="11" hidden="1">'Exh D Debt Service'!$A$3:$A$7</definedName>
    <definedName name="Z_08DD476C_F9CF_4768_90B3_DF70EE24A237_.wvu.FilterData" localSheetId="8" hidden="1">'Exh D General Fund'!$A$3:$A$7</definedName>
    <definedName name="Z_095E2B96_6954_4407_81EC_B5F17D68B93D_.wvu.FilterData" localSheetId="11" hidden="1">'Exh D Debt Service'!$A$3:$A$7</definedName>
    <definedName name="Z_095E2B96_6954_4407_81EC_B5F17D68B93D_.wvu.FilterData" localSheetId="8" hidden="1">'Exh D General Fund'!$A$3:$A$7</definedName>
    <definedName name="Z_0A6C9777_F98E_44EA_B0F6_319C9E2A7CEF_.wvu.FilterData" localSheetId="11" hidden="1">'Exh D Debt Service'!$A$3:$A$7</definedName>
    <definedName name="Z_0A6C9777_F98E_44EA_B0F6_319C9E2A7CEF_.wvu.FilterData" localSheetId="8" hidden="1">'Exh D General Fund'!$A$3:$A$7</definedName>
    <definedName name="Z_0B8839DE_3408_4399_A325_5E66A2134E73_.wvu.FilterData" localSheetId="8" hidden="1">'Exh D General Fund'!$A$3:$A$7</definedName>
    <definedName name="Z_0BE0B1CF_D719_4DEE_9059_CD2EDA23BB72_.wvu.FilterData" localSheetId="11" hidden="1">'Exh D Debt Service'!$A$3:$A$7</definedName>
    <definedName name="Z_0BE0B1CF_D719_4DEE_9059_CD2EDA23BB72_.wvu.FilterData" localSheetId="8" hidden="1">'Exh D General Fund'!$A$3:$A$7</definedName>
    <definedName name="Z_0CD6F1AC_054B_4076_AF07_B77CADF2C1A5_.wvu.FilterData" localSheetId="8" hidden="1">'Exh D General Fund'!$A$3:$A$7</definedName>
    <definedName name="Z_0DC93707_9367_4260_BDCF_F5F59CF54468_.wvu.PrintArea" localSheetId="34" hidden="1">'Sch 5a'!$B$3:$S$31</definedName>
    <definedName name="Z_0F53A47B_061C_44B9_B148_CC55070FAB6E_.wvu.PrintTitles" localSheetId="29" hidden="1">'Sch 1 '!$3:$11</definedName>
    <definedName name="Z_0F53A47B_061C_44B9_B148_CC55070FAB6E_.wvu.Rows" localSheetId="29" hidden="1">'Sch 1 '!#REF!</definedName>
    <definedName name="Z_10C2AD0E_29F8_44E4_8512_7434778C4DD2_.wvu.FilterData" localSheetId="11" hidden="1">'Exh D Debt Service'!$A$3:$A$7</definedName>
    <definedName name="Z_10C2AD0E_29F8_44E4_8512_7434778C4DD2_.wvu.FilterData" localSheetId="8" hidden="1">'Exh D General Fund'!$A$3:$A$7</definedName>
    <definedName name="Z_111026B9_2D41_41A4_B85B_BC83354793D7_.wvu.FilterData" localSheetId="8" hidden="1">'Exh D General Fund'!$A$3:$A$7</definedName>
    <definedName name="Z_13BA7D7F_A933_47AA_AD0D_A2E7D4E4E0D7_.wvu.FilterData" localSheetId="8" hidden="1">'Exh D General Fund'!$A$3:$A$7</definedName>
    <definedName name="Z_14080760_59DE_41A3_97D7_93F21E7456F8_.wvu.FilterData" localSheetId="8" hidden="1">'Exh D General Fund'!$A$3:$A$7</definedName>
    <definedName name="Z_149A68FA_89E4_4DFC_AE78_CD46F66A52AC_.wvu.FilterData" localSheetId="8" hidden="1">'Exh D General Fund'!$A$3:$A$7</definedName>
    <definedName name="Z_16DA6D38_AA3F_401C_9100_BA1071F8BE65_.wvu.FilterData" localSheetId="11" hidden="1">'Exh D Debt Service'!$A$3:$A$7</definedName>
    <definedName name="Z_16DA6D38_AA3F_401C_9100_BA1071F8BE65_.wvu.FilterData" localSheetId="8" hidden="1">'Exh D General Fund'!$A$3:$A$7</definedName>
    <definedName name="Z_16F9E563_4458_41C9_BF56_F0F5B316856F_.wvu.Cols" localSheetId="15" hidden="1">'Cashflow Governmental'!#REF!</definedName>
    <definedName name="Z_16F9E563_4458_41C9_BF56_F0F5B316856F_.wvu.PrintArea" localSheetId="15" hidden="1">'Cashflow Governmental'!$A$3:$AJ$153</definedName>
    <definedName name="Z_17BB73E0_1CF4_467E_9487_3D1C86AF6DB9_.wvu.FilterData" localSheetId="8" hidden="1">'Exh D General Fund'!$A$3:$A$7</definedName>
    <definedName name="Z_17ED534A_4F5A_4D31_A9BC_0E551F5F2AEA_.wvu.FilterData" localSheetId="11" hidden="1">'Exh D Debt Service'!$A$3:$A$7</definedName>
    <definedName name="Z_17ED534A_4F5A_4D31_A9BC_0E551F5F2AEA_.wvu.FilterData" localSheetId="8" hidden="1">'Exh D General Fund'!$A$3:$A$7</definedName>
    <definedName name="Z_1880016B_4B6F_4FAA_8DB2_BE0BC7DD87C2_.wvu.FilterData" localSheetId="11" hidden="1">'Exh D Debt Service'!$A$3:$A$7</definedName>
    <definedName name="Z_188FB2EF_FF49_464F_9B7E_2382437315C1_.wvu.FilterData" localSheetId="11" hidden="1">'Exh D Debt Service'!$A$3:$A$7</definedName>
    <definedName name="Z_1AC73F00_FFC6_4A45_B38D_FF42E0186479_.wvu.FilterData" localSheetId="11" hidden="1">'Exh D Debt Service'!$A$3:$A$7</definedName>
    <definedName name="Z_1CC4ED98_AA43_4114_B2B3_B95664F86673_.wvu.PrintArea" localSheetId="14" hidden="1">'EXHIBIT E '!$A$3:$AK$68</definedName>
    <definedName name="Z_1D1F1A01_30B2_4981_9EC4_1E239EF5CA4C_.wvu.PrintArea" localSheetId="24" hidden="1">'Exhibit I Federal'!$B$3:$AL$84</definedName>
    <definedName name="Z_1DE45D0D_D9A4_4849_9735_5978B4CAE701_.wvu.FilterData" localSheetId="11" hidden="1">'Exh D Debt Service'!$A$3:$A$7</definedName>
    <definedName name="Z_1DE45D0D_D9A4_4849_9735_5978B4CAE701_.wvu.FilterData" localSheetId="8" hidden="1">'Exh D General Fund'!$A$3:$A$7</definedName>
    <definedName name="Z_1F44957F_86C3_49C4_A396_C1BA8BBC4816_.wvu.FilterData" localSheetId="8" hidden="1">'Exh D General Fund'!$A$3:$A$7</definedName>
    <definedName name="Z_1F9BD7FF_6C5C_49E3_A6A5_BD56750B6D66_.wvu.FilterData" localSheetId="11" hidden="1">'Exh D Debt Service'!$A$3:$A$7</definedName>
    <definedName name="Z_22319C54_7949_454D_B48C_C03AA4EE7303_.wvu.FilterData" localSheetId="8" hidden="1">'Exh D General Fund'!$A$3:$A$7</definedName>
    <definedName name="Z_2254FCC8_B9BB_476F_A0BE_7D26E71B1284_.wvu.FilterData" localSheetId="11" hidden="1">'Exh D Debt Service'!$A$3:$A$7</definedName>
    <definedName name="Z_23A45C27_464E_4AE1_A52A_F6207B5410FE_.wvu.FilterData" localSheetId="11" hidden="1">'Exh D Debt Service'!$A$3:$A$7</definedName>
    <definedName name="Z_23A45C27_464E_4AE1_A52A_F6207B5410FE_.wvu.FilterData" localSheetId="8" hidden="1">'Exh D General Fund'!$A$3:$A$7</definedName>
    <definedName name="Z_23E97B3A_E57F_43F5_97E4_3B6BC6184306_.wvu.FilterData" localSheetId="8" hidden="1">'Exh D General Fund'!$A$3:$A$7</definedName>
    <definedName name="Z_2434159E_D7BE_4031_9347_FEC6E9AE1086_.wvu.FilterData" localSheetId="8" hidden="1">'Exh D General Fund'!$A$3:$A$7</definedName>
    <definedName name="Z_259EF920_BCC5_484A_BCBF_BB498421C365_.wvu.FilterData" localSheetId="11" hidden="1">'Exh D Debt Service'!$A$3:$A$7</definedName>
    <definedName name="Z_25F8F031_EF6A_4B58_91C3_E476C9656292_.wvu.FilterData" localSheetId="11" hidden="1">'Exh D Debt Service'!$A$3:$A$7</definedName>
    <definedName name="Z_25F8F031_EF6A_4B58_91C3_E476C9656292_.wvu.FilterData" localSheetId="8" hidden="1">'Exh D General Fund'!$A$3:$A$7</definedName>
    <definedName name="Z_27D0D2B0_D728_41CE_8CDF_B71D5DA88E20_.wvu.FilterData" localSheetId="8" hidden="1">'Exh D General Fund'!$A$3:$A$7</definedName>
    <definedName name="Z_2A330B8F_5D7F_43C3_B320_3D29BBDB6053_.wvu.FilterData" localSheetId="11" hidden="1">'Exh D Debt Service'!$A$3:$A$7</definedName>
    <definedName name="Z_2AB70923_501F_45E2_81E2_2830EA214DA7_.wvu.FilterData" localSheetId="11" hidden="1">'Exh D Debt Service'!$A$3:$A$7</definedName>
    <definedName name="Z_2AB70923_501F_45E2_81E2_2830EA214DA7_.wvu.FilterData" localSheetId="8" hidden="1">'Exh D General Fund'!$A$3:$A$7</definedName>
    <definedName name="Z_2AC06DE0_BE1D_4406_9415_83F674DFE673_.wvu.FilterData" localSheetId="11" hidden="1">'Exh D Debt Service'!$A$3:$A$7</definedName>
    <definedName name="Z_2B229F64_F3C2_43E8_9B8E_9DA349BEAE89_.wvu.FilterData" localSheetId="8" hidden="1">'Exh D General Fund'!$A$3:$A$7</definedName>
    <definedName name="Z_2CE66D36_857F_41D3_A739_E813879E2776_.wvu.FilterData" localSheetId="11" hidden="1">'Exh D Debt Service'!$A$3:$A$7</definedName>
    <definedName name="Z_2CE66D36_857F_41D3_A739_E813879E2776_.wvu.FilterData" localSheetId="8" hidden="1">'Exh D General Fund'!$A$3:$A$7</definedName>
    <definedName name="Z_2D2F0033_C8F9_474C_9F55_7729DBA3FAAD_.wvu.PrintArea" localSheetId="14" hidden="1">'EXHIBIT E '!$A$3:$AK$68</definedName>
    <definedName name="Z_2EDDD268_430F_4188_94A7_75D3EA1EDF86_.wvu.FilterData" localSheetId="8" hidden="1">'Exh D General Fund'!$A$3:$A$7</definedName>
    <definedName name="Z_2F419F63_BD3C_4339_BEB3_24DF0825A630_.wvu.FilterData" localSheetId="8" hidden="1">'Exh D General Fund'!$A$3:$A$7</definedName>
    <definedName name="Z_2FF96BB6_6112_4975_B54B_929538B05AD7_.wvu.FilterData" localSheetId="8" hidden="1">'Exh D General Fund'!$A$3:$A$7</definedName>
    <definedName name="Z_30AE2415_629E_49AD_80D6_16EE72A27D84_.wvu.FilterData" localSheetId="11" hidden="1">'Exh D Debt Service'!$A$3:$A$7</definedName>
    <definedName name="Z_3116909B_E16B_46ED_87BD_7E3D2AF802CF_.wvu.FilterData" localSheetId="8" hidden="1">'Exh D General Fund'!$A$3:$A$7</definedName>
    <definedName name="Z_3121FE90_05F2_48D7_A774_138D5236EB1C_.wvu.FilterData" localSheetId="8" hidden="1">'Exh D General Fund'!$A$3:$A$7</definedName>
    <definedName name="Z_3215277C_ACED_4FB7_9BFC_BF0E621AF59C_.wvu.FilterData" localSheetId="8" hidden="1">'Exh D General Fund'!$A$3:$A$7</definedName>
    <definedName name="Z_32889BF0_5E3B_44B5_A586_F76F6C39EC13_.wvu.FilterData" localSheetId="8" hidden="1">'Exh D General Fund'!$A$3:$A$7</definedName>
    <definedName name="Z_34E248C6_4E45_4D01_AA10_F996D50D9B76_.wvu.FilterData" localSheetId="8" hidden="1">'Exh D General Fund'!$A$3:$A$7</definedName>
    <definedName name="Z_34F46511_2257_48CC_973E_622D753DCC67_.wvu.FilterData" localSheetId="8" hidden="1">'Exh D General Fund'!$A$3:$A$7</definedName>
    <definedName name="Z_35581B99_F322_40A1_83D9_D8CC4D8685D1_.wvu.PrintTitles" localSheetId="29" hidden="1">'Sch 1 '!$3:$11</definedName>
    <definedName name="Z_35581B99_F322_40A1_83D9_D8CC4D8685D1_.wvu.Rows" localSheetId="29" hidden="1">'Sch 1 '!#REF!</definedName>
    <definedName name="Z_37D6AA22_787C_4A38_846B_EC42315B0140_.wvu.FilterData" localSheetId="11" hidden="1">'Exh D Debt Service'!$A$3:$A$7</definedName>
    <definedName name="Z_397D3C87_88A6_445F_8F95_D27369DE6AD6_.wvu.FilterData" localSheetId="11" hidden="1">'Exh D Debt Service'!$A$3:$A$7</definedName>
    <definedName name="Z_3986A303_BE32_4DBA_923B_C9D0781BD796_.wvu.FilterData" localSheetId="8" hidden="1">'Exh D General Fund'!$A$3:$A$7</definedName>
    <definedName name="Z_39DB2D6C_C362_45F4_A2F1_C59B9CF1777D_.wvu.PrintArea" localSheetId="23" hidden="1">'Exhibit I State'!$B$3:$AL$101</definedName>
    <definedName name="Z_39DB2D6C_C362_45F4_A2F1_C59B9CF1777D_.wvu.Rows" localSheetId="23" hidden="1">'Exhibit I State'!#REF!</definedName>
    <definedName name="Z_3A30DD21_678A_4259_B05F_F71CE31D5B74_.wvu.FilterData" localSheetId="8" hidden="1">'Exh D General Fund'!$A$3:$A$7</definedName>
    <definedName name="Z_3CAE764A_1590_4131_A53F_4FB87A2B6942_.wvu.FilterData" localSheetId="11" hidden="1">'Exh D Debt Service'!$A$3:$A$7</definedName>
    <definedName name="Z_3CAE764A_1590_4131_A53F_4FB87A2B6942_.wvu.FilterData" localSheetId="8" hidden="1">'Exh D General Fund'!$A$3:$A$7</definedName>
    <definedName name="Z_3CC7CC25_E0F5_49E1_B704_0EB8513444E7_.wvu.FilterData" localSheetId="8" hidden="1">'Exh D General Fund'!$A$3:$A$7</definedName>
    <definedName name="Z_3E09C753_C94C_4589_BB7F_28456297637B_.wvu.PrintArea" localSheetId="14" hidden="1">'EXHIBIT E '!$A$3:$AK$68</definedName>
    <definedName name="Z_40B04F56_1B22_4395_91DD_384E48A06F95_.wvu.FilterData" localSheetId="8" hidden="1">'Exh D General Fund'!$A$3:$A$7</definedName>
    <definedName name="Z_40F7930A_4E11_4002_9111_96E596290FFF_.wvu.FilterData" localSheetId="11" hidden="1">'Exh D Debt Service'!$A$3:$A$7</definedName>
    <definedName name="Z_40F7930A_4E11_4002_9111_96E596290FFF_.wvu.FilterData" localSheetId="8" hidden="1">'Exh D General Fund'!$A$3:$A$7</definedName>
    <definedName name="Z_42515208_2A25_4242_A10A_75CEDA160A1B_.wvu.FilterData" localSheetId="8" hidden="1">'Exh D General Fund'!$A$3:$A$7</definedName>
    <definedName name="Z_4273C688_0265_40B1_AFA0_80AAC649D46E_.wvu.FilterData" localSheetId="8" hidden="1">'Exh D General Fund'!$A$3:$A$7</definedName>
    <definedName name="Z_42847430_5DA3_41F3_9D36_B559801C4BEE_.wvu.FilterData" localSheetId="8" hidden="1">'Exh D General Fund'!$A$3:$A$7</definedName>
    <definedName name="Z_42EFAD56_D0E3_4D25_87A6_B57E868165FF_.wvu.FilterData" localSheetId="8" hidden="1">'Exh D General Fund'!$A$3:$A$7</definedName>
    <definedName name="Z_430F020D_20E4_41D3_A802_1283337FE6C8_.wvu.FilterData" localSheetId="8" hidden="1">'Exh D General Fund'!$A$3:$A$7</definedName>
    <definedName name="Z_46D80255_C131_405D_AA54_CB7C66EFC8B1_.wvu.FilterData" localSheetId="8" hidden="1">'Exh D General Fund'!$A$3:$A$7</definedName>
    <definedName name="Z_46E4CD47_D4E7_4AFB_B55F_6166DD9C9806_.wvu.PrintArea" localSheetId="14" hidden="1">'EXHIBIT E '!$A$3:$AK$68</definedName>
    <definedName name="Z_4749D624_B046_46C7_B9DB_2A4058FC687E_.wvu.FilterData" localSheetId="11" hidden="1">'Exh D Debt Service'!$A$3:$A$7</definedName>
    <definedName name="Z_4786E5FB_EAAE_4DD0_873B_6E49F722C865_.wvu.FilterData" localSheetId="8" hidden="1">'Exh D General Fund'!$A$3:$A$7</definedName>
    <definedName name="Z_4C313DA7_E426_4FE0_B22C_6CE7D5DE7F31_.wvu.FilterData" localSheetId="11" hidden="1">'Exh D Debt Service'!$A$3:$A$7</definedName>
    <definedName name="Z_4C313DA7_E426_4FE0_B22C_6CE7D5DE7F31_.wvu.FilterData" localSheetId="8" hidden="1">'Exh D General Fund'!$A$3:$A$7</definedName>
    <definedName name="Z_4C516B6D_143F_4805_9F81_A847A301F904_.wvu.FilterData" localSheetId="11" hidden="1">'Exh D Debt Service'!$A$3:$A$7</definedName>
    <definedName name="Z_4C516B6D_143F_4805_9F81_A847A301F904_.wvu.FilterData" localSheetId="8" hidden="1">'Exh D General Fund'!$A$3:$A$7</definedName>
    <definedName name="Z_4C5DC936_C451_4ECB_8EE3_1B14AD828160_.wvu.Cols" localSheetId="15" hidden="1">'Cashflow Governmental'!#REF!</definedName>
    <definedName name="Z_4C5DC936_C451_4ECB_8EE3_1B14AD828160_.wvu.PrintArea" localSheetId="15" hidden="1">'Cashflow Governmental'!$A$3:$AJ$153</definedName>
    <definedName name="Z_4D2D9B9D_A4D3_41DF_BF6D_3C7331C3E026_.wvu.FilterData" localSheetId="8" hidden="1">'Exh D General Fund'!$A$3:$A$7</definedName>
    <definedName name="Z_4F18E933_C845_4CA4_BEAB_BFCDE3A7EDDE_.wvu.FilterData" localSheetId="8" hidden="1">'Exh D General Fund'!$A$3:$A$7</definedName>
    <definedName name="Z_53181B1F_F32D_42B5_AEB6_ADB3450485A5_.wvu.FilterData" localSheetId="11" hidden="1">'Exh D Debt Service'!$A$3:$A$7</definedName>
    <definedName name="Z_545D46DE_DC9D_4815_85B0_08B7B736CDBF_.wvu.FilterData" localSheetId="8" hidden="1">'Exh D General Fund'!$A$3:$A$7</definedName>
    <definedName name="Z_59249A1B_84BA_428A_B987_EE0BE3B449F8_.wvu.FilterData" localSheetId="8" hidden="1">'Exh D General Fund'!$A$3:$A$7</definedName>
    <definedName name="Z_5C1585DB_717B_473D_90AE_40C84810D62B_.wvu.FilterData" localSheetId="11" hidden="1">'Exh D Debt Service'!$A$3:$A$7</definedName>
    <definedName name="Z_5C1585DB_717B_473D_90AE_40C84810D62B_.wvu.FilterData" localSheetId="8" hidden="1">'Exh D General Fund'!$A$3:$A$7</definedName>
    <definedName name="Z_5C913560_E0C9_42EF_86B0_64847FFC2BC5_.wvu.FilterData" localSheetId="8" hidden="1">'Exh D General Fund'!$A$3:$A$7</definedName>
    <definedName name="Z_5D3236BA_94AB_4DBB_BB7D_9D4A6921FFA8_.wvu.FilterData" localSheetId="11" hidden="1">'Exh D Debt Service'!$A$3:$A$7</definedName>
    <definedName name="Z_5D3236BA_94AB_4DBB_BB7D_9D4A6921FFA8_.wvu.FilterData" localSheetId="8" hidden="1">'Exh D General Fund'!$A$3:$A$7</definedName>
    <definedName name="Z_5E1354C7_20F9_4F8D_AF07_85486EE3CF3D_.wvu.FilterData" localSheetId="11" hidden="1">'Exh D Debt Service'!$A$3:$A$7</definedName>
    <definedName name="Z_5FA88E3E_0505_480C_94E4_3D96D410B5D5_.wvu.PrintArea" localSheetId="24" hidden="1">'Exhibit I Federal'!$B$3:$AL$84</definedName>
    <definedName name="Z_629B2C3B_DA5A_4280_9F46_977F6E397A5D_.wvu.FilterData" localSheetId="11" hidden="1">'Exh D Debt Service'!$A$3:$A$7</definedName>
    <definedName name="Z_629B2C3B_DA5A_4280_9F46_977F6E397A5D_.wvu.FilterData" localSheetId="8" hidden="1">'Exh D General Fund'!$A$3:$A$7</definedName>
    <definedName name="Z_63934AF3_239F_447C_A783_B5936B1D7BDA_.wvu.FilterData" localSheetId="8" hidden="1">'Exh D General Fund'!$A$3:$A$7</definedName>
    <definedName name="Z_63A58C72_B007_4E3F_A2C0_E62EBD5B7EF8_.wvu.PrintArea" localSheetId="14" hidden="1">'EXHIBIT E '!$A$3:$AK$68</definedName>
    <definedName name="Z_63D41BB1_F862_42E4_8076_6C245380A8DA_.wvu.FilterData" localSheetId="11" hidden="1">'Exh D Debt Service'!$A$3:$A$7</definedName>
    <definedName name="Z_63D41BB1_F862_42E4_8076_6C245380A8DA_.wvu.FilterData" localSheetId="8" hidden="1">'Exh D General Fund'!$A$3:$A$7</definedName>
    <definedName name="Z_64300EA2_43D0_4FBF_9089_8112D939C55C_.wvu.PrintArea" localSheetId="42" hidden="1">'Appendix G'!$A$3:$Z$60</definedName>
    <definedName name="Z_67D2BB6D_8081_40E9_B58E_707DE29EE54B_.wvu.FilterData" localSheetId="8" hidden="1">'Exh D General Fund'!$A$3:$A$7</definedName>
    <definedName name="Z_68C37B80_2911_436E_ADA1_71B3DBA6E309_.wvu.FilterData" localSheetId="8" hidden="1">'Exh D General Fund'!$A$3:$A$7</definedName>
    <definedName name="Z_68DB4305_906D_4262_AAD7_8439D43999D7_.wvu.FilterData" localSheetId="8" hidden="1">'Exh D General Fund'!$A$3:$A$7</definedName>
    <definedName name="Z_68E40C11_32EA_4744_9D66_9674A456789F_.wvu.FilterData" localSheetId="8" hidden="1">'Exh D General Fund'!$A$3:$A$7</definedName>
    <definedName name="Z_6FD653B2_CAC4_41A7_BC50_9A9DD0A8E5A9_.wvu.FilterData" localSheetId="8" hidden="1">'Exh D General Fund'!$A$3:$A$7</definedName>
    <definedName name="Z_71438E76_7AAA_4050_B6D5_354521218EE8_.wvu.FilterData" localSheetId="8" hidden="1">'Exh D General Fund'!$A$3:$A$7</definedName>
    <definedName name="Z_71986E02_F885_4E35_AE4B_32FA52F8CD9C_.wvu.FilterData" localSheetId="8" hidden="1">'Exh D General Fund'!$A$3:$A$7</definedName>
    <definedName name="Z_71A8ACA2_2059_4479_9148_D7358E1AEC43_.wvu.FilterData" localSheetId="11" hidden="1">'Exh D Debt Service'!$A$3:$A$7</definedName>
    <definedName name="Z_71A8ACA2_2059_4479_9148_D7358E1AEC43_.wvu.FilterData" localSheetId="8" hidden="1">'Exh D General Fund'!$A$3:$A$7</definedName>
    <definedName name="Z_71C087B8_8BB1_41B9_843F_11E56D036C5F_.wvu.FilterData" localSheetId="8" hidden="1">'Exh D General Fund'!$A$3:$A$7</definedName>
    <definedName name="Z_752EF0CB_78F5_4DFB_9C92_ADBEFCD33466_.wvu.FilterData" localSheetId="8" hidden="1">'Exh D General Fund'!$A$3:$A$7</definedName>
    <definedName name="Z_77789489_6D49_40D5_8F81_9C7EDDA5EAD3_.wvu.FilterData" localSheetId="8" hidden="1">'Exh D General Fund'!$A$3:$A$7</definedName>
    <definedName name="Z_7AE64DEF_56FD_44C8_9F38_A2F981B8F883_.wvu.PrintArea" localSheetId="23" hidden="1">'Exhibit I State'!$B$3:$AL$101</definedName>
    <definedName name="Z_7AE64DEF_56FD_44C8_9F38_A2F981B8F883_.wvu.Rows" localSheetId="23" hidden="1">'Exhibit I State'!#REF!</definedName>
    <definedName name="Z_7C521831_C868_4860_ACD7_256E46835661_.wvu.FilterData" localSheetId="8" hidden="1">'Exh D General Fund'!$A$3:$A$7</definedName>
    <definedName name="Z_7CA6CB5E_45A4_45C7_9080_AF4C3F26B75E_.wvu.FilterData" localSheetId="8" hidden="1">'Exh D General Fund'!$A$3:$A$7</definedName>
    <definedName name="Z_7CAB0B24_B095_449D_841F_210052AAFB76_.wvu.FilterData" localSheetId="11" hidden="1">'Exh D Debt Service'!$A$3:$A$7</definedName>
    <definedName name="Z_7CAB0B24_B095_449D_841F_210052AAFB76_.wvu.FilterData" localSheetId="8" hidden="1">'Exh D General Fund'!$A$3:$A$7</definedName>
    <definedName name="Z_7D1D8467_E6B6_4642_A87F_F27FDB59AEBB_.wvu.FilterData" localSheetId="11" hidden="1">'Exh D Debt Service'!$A$3:$A$7</definedName>
    <definedName name="Z_7D1D8467_E6B6_4642_A87F_F27FDB59AEBB_.wvu.FilterData" localSheetId="8" hidden="1">'Exh D General Fund'!$A$3:$A$7</definedName>
    <definedName name="Z_7E1FE56E_1FA4_4E85_9874_B3C63CF5F8D9_.wvu.FilterData" localSheetId="11" hidden="1">'Exh D Debt Service'!$A$3:$A$7</definedName>
    <definedName name="Z_7E1FE56E_1FA4_4E85_9874_B3C63CF5F8D9_.wvu.FilterData" localSheetId="8" hidden="1">'Exh D General Fund'!$A$3:$A$7</definedName>
    <definedName name="Z_7E5ECBE3_5E23_46E0_98C9_FAFE38AFA81C_.wvu.FilterData" localSheetId="11" hidden="1">'Exh D Debt Service'!$A$3:$A$7</definedName>
    <definedName name="Z_7E5ECBE3_5E23_46E0_98C9_FAFE38AFA81C_.wvu.FilterData" localSheetId="8" hidden="1">'Exh D General Fund'!$A$3:$A$7</definedName>
    <definedName name="Z_7FEACBC4_1C39_4B1A_AF1F_6E1D8196D5B9_.wvu.FilterData" localSheetId="8" hidden="1">'Exh D General Fund'!$A$3:$A$7</definedName>
    <definedName name="Z_80876A9A_0E13_4169_8EC2_4642160C38DB_.wvu.PrintArea" localSheetId="1" hidden="1">'Exhibit A'!$A$3:$AI$60</definedName>
    <definedName name="Z_8207DCE3_1947_4DC9_AEB6_962F9248FA86_.wvu.FilterData" localSheetId="8" hidden="1">'Exh D General Fund'!$A$3:$A$7</definedName>
    <definedName name="Z_83DD2EFE_E2B4_4493_AE5E_10383886EF1B_.wvu.FilterData" localSheetId="8" hidden="1">'Exh D General Fund'!$A$3:$A$7</definedName>
    <definedName name="Z_855D7DC8_E30B_4CD5_A455_E59BE0B642E4_.wvu.FilterData" localSheetId="8" hidden="1">'Exh D General Fund'!$A$3:$A$7</definedName>
    <definedName name="Z_859E0B0F_6E54_47B0_837B_7B1D67D2CA57_.wvu.FilterData" localSheetId="8" hidden="1">'Exh D General Fund'!$A$3:$A$7</definedName>
    <definedName name="Z_85B3A599_57BF_4CE6_8AF9_26FB7E444A5A_.wvu.FilterData" localSheetId="11" hidden="1">'Exh D Debt Service'!$A$3:$A$7</definedName>
    <definedName name="Z_86C8BADE_1FEC_441A_A701_DFCBCC85CD39_.wvu.FilterData" localSheetId="8" hidden="1">'Exh D General Fund'!$A$3:$A$7</definedName>
    <definedName name="Z_8729FF11_220B_424C_9C3F_99EA1743B89F_.wvu.FilterData" localSheetId="11" hidden="1">'Exh D Debt Service'!$A$3:$A$7</definedName>
    <definedName name="Z_8729FF11_220B_424C_9C3F_99EA1743B89F_.wvu.FilterData" localSheetId="8" hidden="1">'Exh D General Fund'!$A$3:$A$7</definedName>
    <definedName name="Z_87AB22FD_E2B5_4807_865C_3D7DC0D900F9_.wvu.FilterData" localSheetId="8" hidden="1">'Exh D General Fund'!$A$3:$A$7</definedName>
    <definedName name="Z_8AC488D2_6FA2_4514_AAD4_4692EAA684CD_.wvu.FilterData" localSheetId="11" hidden="1">'Exh D Debt Service'!$A$3:$A$7</definedName>
    <definedName name="Z_8C2184D2_5D92_4141_9CC8_C0A16C6A1995_.wvu.FilterData" localSheetId="8" hidden="1">'Exh D General Fund'!$A$3:$A$7</definedName>
    <definedName name="Z_8D8A9D3A_E35A_433F_A9B7_F14D89D632AE_.wvu.FilterData" localSheetId="8" hidden="1">'Exh D General Fund'!$A$3:$A$7</definedName>
    <definedName name="Z_8EE6466D_211E_4E05_9F84_CC0A1C6F79F4_.wvu.PrintArea" localSheetId="42" hidden="1">'Appendix G'!$A$3:$Z$60</definedName>
    <definedName name="Z_8EE6466D_211E_4E05_9F84_CC0A1C6F79F4_.wvu.PrintArea" localSheetId="34" hidden="1">'Sch 5a'!$B$3:$S$31</definedName>
    <definedName name="Z_90980A54_5C40_4F89_B73B_BC9A8E902E3F_.wvu.FilterData" localSheetId="11" hidden="1">'Exh D Debt Service'!$A$3:$A$7</definedName>
    <definedName name="Z_91824EB7_CDA3_4A39_81D4_2F28026A475F_.wvu.FilterData" localSheetId="11" hidden="1">'Exh D Debt Service'!$A$3:$A$7</definedName>
    <definedName name="Z_91824EB7_CDA3_4A39_81D4_2F28026A475F_.wvu.FilterData" localSheetId="8" hidden="1">'Exh D General Fund'!$A$3:$A$7</definedName>
    <definedName name="Z_91F12239_03A2_417E_84CC_96CCF43EDA50_.wvu.FilterData" localSheetId="11" hidden="1">'Exh D Debt Service'!$A$3:$A$7</definedName>
    <definedName name="Z_91F12239_03A2_417E_84CC_96CCF43EDA50_.wvu.FilterData" localSheetId="8" hidden="1">'Exh D General Fund'!$A$3:$A$7</definedName>
    <definedName name="Z_9317B1DA_70B9_420C_91CC_088229956581_.wvu.FilterData" localSheetId="11" hidden="1">'Exh D Debt Service'!$A$3:$A$7</definedName>
    <definedName name="Z_93C9DF5B_4354_4A0C_A15A_8545924B0268_.wvu.FilterData" localSheetId="11" hidden="1">'Exh D Debt Service'!$A$3:$A$7</definedName>
    <definedName name="Z_93F632B4_29C3_4BEC_9061_2AFCB2794940_.wvu.FilterData" localSheetId="8" hidden="1">'Exh D General Fund'!$A$3:$A$7</definedName>
    <definedName name="Z_941279A0_77E2_4094_B533_83C3EC262E2E_.wvu.FilterData" localSheetId="11" hidden="1">'Exh D Debt Service'!$A$3:$A$7</definedName>
    <definedName name="Z_941279A0_77E2_4094_B533_83C3EC262E2E_.wvu.FilterData" localSheetId="8" hidden="1">'Exh D General Fund'!$A$3:$A$7</definedName>
    <definedName name="Z_95AC2C42_DFA8_4C51_B271_0C44BB6D6F3A_.wvu.FilterData" localSheetId="8" hidden="1">'Exh D General Fund'!$A$3:$A$7</definedName>
    <definedName name="Z_9899757D_57B5_4A62_AF0E_3ABA9B994DD7_.wvu.PrintArea" localSheetId="24" hidden="1">'Exhibit I Federal'!$B$3:$AL$84</definedName>
    <definedName name="Z_9916E6CD_FD82_4718_83DC_0AA473929B1A_.wvu.FilterData" localSheetId="8" hidden="1">'Exh D General Fund'!$A$3:$A$7</definedName>
    <definedName name="Z_99AF7425_726D_43F7_8C5A_1935CB965B0D_.wvu.FilterData" localSheetId="8" hidden="1">'Exh D General Fund'!$A$3:$A$7</definedName>
    <definedName name="Z_9B199DAE_254A_4FD3_8F9E_51DB2C1AF597_.wvu.FilterData" localSheetId="8" hidden="1">'Exh D General Fund'!$A$3:$A$7</definedName>
    <definedName name="Z_9EFFAF1C_D472_4B35_9219_C6F7CE26C246_.wvu.FilterData" localSheetId="8" hidden="1">'Exh D General Fund'!$A$3:$A$7</definedName>
    <definedName name="Z_9F36343A_AF04_4B95_BB5A_0D3DFF7C6E58_.wvu.FilterData" localSheetId="8" hidden="1">'Exh D General Fund'!$A$3:$A$7</definedName>
    <definedName name="Z_9FB344ED_3472_4DFB_B816_B867F5DA25DD_.wvu.FilterData" localSheetId="11" hidden="1">'Exh D Debt Service'!$A$3:$A$7</definedName>
    <definedName name="Z_9FB344ED_3472_4DFB_B816_B867F5DA25DD_.wvu.FilterData" localSheetId="8" hidden="1">'Exh D General Fund'!$A$3:$A$7</definedName>
    <definedName name="Z_A0FF3ACA_1D9B_4095_A4CC_20040E84219D_.wvu.PrintTitles" localSheetId="29" hidden="1">'Sch 1 '!$3:$11</definedName>
    <definedName name="Z_A0FF3ACA_1D9B_4095_A4CC_20040E84219D_.wvu.Rows" localSheetId="29" hidden="1">'Sch 1 '!#REF!</definedName>
    <definedName name="Z_A1E51884_FAF0_40A4_B4FF_80913EA23735_.wvu.FilterData" localSheetId="8" hidden="1">'Exh D General Fund'!$A$3:$A$7</definedName>
    <definedName name="Z_A263B914_AC2F_4445_B7B4_CB95440BB6A1_.wvu.FilterData" localSheetId="8" hidden="1">'Exh D General Fund'!$A$3:$A$7</definedName>
    <definedName name="Z_A3084395_BCD3_4FF9_B05A_2019ED9D13D3_.wvu.FilterData" localSheetId="8" hidden="1">'Exh D General Fund'!$A$3:$A$7</definedName>
    <definedName name="Z_A3AD8FC8_3DC1_448A_823A_ABA25030CCFD_.wvu.FilterData" localSheetId="11" hidden="1">'Exh D Debt Service'!$A$3:$A$7</definedName>
    <definedName name="Z_A5292644_3BAC_4F9D_AB15_8B6C19C7BAFA_.wvu.FilterData" localSheetId="8" hidden="1">'Exh D General Fund'!$A$3:$A$7</definedName>
    <definedName name="Z_A56B42CE_7722_40A2_AE8E_9A352EE3E18A_.wvu.FilterData" localSheetId="8" hidden="1">'Exh D General Fund'!$A$3:$A$7</definedName>
    <definedName name="Z_A56F8820_953B_44B0_977D_DA44609A4375_.wvu.FilterData" localSheetId="8" hidden="1">'Exh D General Fund'!$A$3:$A$7</definedName>
    <definedName name="Z_A5B132A8_AE52_43B0_ACD8_B96D216615CD_.wvu.FilterData" localSheetId="8" hidden="1">'Exh D General Fund'!$A$3:$A$7</definedName>
    <definedName name="Z_A7142FA5_B6E9_42AA_8E0C_7016CD50E0E8_.wvu.FilterData" localSheetId="8" hidden="1">'Exh D General Fund'!$A$3:$A$7</definedName>
    <definedName name="Z_A7AD7FA3_032C_49A4_BA1A_982AA7ED1D54_.wvu.FilterData" localSheetId="11" hidden="1">'Exh D Debt Service'!$A$3:$A$7</definedName>
    <definedName name="Z_AA91AFAE_EED9_4A9F_975A_DBA015C351C3_.wvu.FilterData" localSheetId="8" hidden="1">'Exh D General Fund'!$A$3:$A$7</definedName>
    <definedName name="Z_AB5F083B_7792_4657_93D4_A6A8CC60BB97_.wvu.FilterData" localSheetId="8" hidden="1">'Exh D General Fund'!$A$3:$A$7</definedName>
    <definedName name="Z_AE39D87F_9AB9_4414_BD53_0ECD982EA1B4_.wvu.FilterData" localSheetId="8" hidden="1">'Exh D General Fund'!$A$3:$A$7</definedName>
    <definedName name="Z_AFBF9697_0896_43E3_BCD2_30FAED3C314E_.wvu.FilterData" localSheetId="8" hidden="1">'Exh D General Fund'!$A$3:$A$7</definedName>
    <definedName name="Z_B0A36191_929D_4F7D_8B26_981FD821E1F9_.wvu.FilterData" localSheetId="11" hidden="1">'Exh D Debt Service'!$A$3:$A$7</definedName>
    <definedName name="Z_B0A36191_929D_4F7D_8B26_981FD821E1F9_.wvu.FilterData" localSheetId="8" hidden="1">'Exh D General Fund'!$A$3:$A$7</definedName>
    <definedName name="Z_B289A4E0_9251_4B4C_9F84_26A1CCEEF41F_.wvu.FilterData" localSheetId="11" hidden="1">'Exh D Debt Service'!$A$3:$A$7</definedName>
    <definedName name="Z_B2A4E257_BEA6_4D7F_AAA8_5AB5CC9A5A8E_.wvu.FilterData" localSheetId="8" hidden="1">'Exh D General Fund'!$A$3:$A$7</definedName>
    <definedName name="Z_B41E6885_EAF7_4AC8_BB98_C75CFAC5A703_.wvu.FilterData" localSheetId="11" hidden="1">'Exh D Debt Service'!$A$3:$A$7</definedName>
    <definedName name="Z_B5435B95_1B77_4D3F_A529_1513C8C94BB8_.wvu.FilterData" localSheetId="8" hidden="1">'Exh D General Fund'!$A$3:$A$7</definedName>
    <definedName name="Z_B65C13CB_1FDB_42A7_9DA0_0D5412A3B67E_.wvu.FilterData" localSheetId="8" hidden="1">'Exh D General Fund'!$A$3:$A$7</definedName>
    <definedName name="Z_B6B84763_171E_4FE5_96D3_F6E7202F5932_.wvu.FilterData" localSheetId="8" hidden="1">'Exh D General Fund'!$A$3:$A$7</definedName>
    <definedName name="Z_B6D9918F_6864_48B2_B285_875428E07544_.wvu.FilterData" localSheetId="8" hidden="1">'Exh D General Fund'!$A$3:$A$7</definedName>
    <definedName name="Z_B7EA20FD_E2E4_47A9_ADB2_CB6994C21060_.wvu.FilterData" localSheetId="8" hidden="1">'Exh D General Fund'!$A$3:$A$7</definedName>
    <definedName name="Z_B858AE06_9A35_4006_BE07_64F4DC9EDDDA_.wvu.FilterData" localSheetId="8" hidden="1">'Exh D General Fund'!$A$3:$A$7</definedName>
    <definedName name="Z_B85EE2A8_E7A6_4571_B763_810B111007EB_.wvu.FilterData" localSheetId="8" hidden="1">'Exh D General Fund'!$A$3:$A$7</definedName>
    <definedName name="Z_B89D459E_FD0F_4F6D_A34F_E72B29028B49_.wvu.PrintArea" localSheetId="34" hidden="1">'Sch 5a'!$B$3:$S$31</definedName>
    <definedName name="Z_B976D787_68A3_4D1B_B838_0A29FFCDA329_.wvu.PrintTitles" localSheetId="29" hidden="1">'Sch 1 '!$3:$11</definedName>
    <definedName name="Z_B976D787_68A3_4D1B_B838_0A29FFCDA329_.wvu.Rows" localSheetId="29" hidden="1">'Sch 1 '!#REF!</definedName>
    <definedName name="Z_BBDD9C39_4D1E_4D4C_86FB_AAAA63489BEE_.wvu.PrintArea" localSheetId="14" hidden="1">'EXHIBIT E '!$A$3:$AK$68</definedName>
    <definedName name="Z_BF6A790B_FE66_4DC0_B4C3_043739C8712A_.wvu.FilterData" localSheetId="11" hidden="1">'Exh D Debt Service'!$A$3:$A$7</definedName>
    <definedName name="Z_BF6A790B_FE66_4DC0_B4C3_043739C8712A_.wvu.FilterData" localSheetId="8" hidden="1">'Exh D General Fund'!$A$3:$A$7</definedName>
    <definedName name="Z_BFA8E00C_7764_4678_998D_63283154D253_.wvu.FilterData" localSheetId="8" hidden="1">'Exh D General Fund'!$A$3:$A$7</definedName>
    <definedName name="Z_C1894294_F4B6_4CA3_9072_86B712426D73_.wvu.FilterData" localSheetId="8" hidden="1">'Exh D General Fund'!$A$3:$A$7</definedName>
    <definedName name="Z_C29DFDEA_557C_4D2A_8AB0_5D02FD1A3990_.wvu.FilterData" localSheetId="8" hidden="1">'Exh D General Fund'!$A$3:$A$7</definedName>
    <definedName name="Z_C2CA5E03_89A9_49BB_B1DA_FDDFA8FA6494_.wvu.FilterData" localSheetId="11" hidden="1">'Exh D Debt Service'!$A$3:$A$7</definedName>
    <definedName name="Z_C2CA5E03_89A9_49BB_B1DA_FDDFA8FA6494_.wvu.FilterData" localSheetId="8" hidden="1">'Exh D General Fund'!$A$3:$A$7</definedName>
    <definedName name="Z_C50D9008_6B8A_4CB9_8CB0_C1748AC62EA0_.wvu.FilterData" localSheetId="11" hidden="1">'Exh D Debt Service'!$A$3:$A$7</definedName>
    <definedName name="Z_C50D9008_6B8A_4CB9_8CB0_C1748AC62EA0_.wvu.FilterData" localSheetId="8" hidden="1">'Exh D General Fund'!$A$3:$A$7</definedName>
    <definedName name="Z_C53E33C4_F1C6_4F6F_BAE7_B7F06A3324BB_.wvu.FilterData" localSheetId="8" hidden="1">'Exh D General Fund'!$A$3:$A$7</definedName>
    <definedName name="Z_C558535B_EE48_4BB6_AEB2_C5B0E908681E_.wvu.FilterData" localSheetId="8" hidden="1">'Exh D General Fund'!$A$3:$A$7</definedName>
    <definedName name="Z_C5C11FF3_5C2C_4CF6_B28E_FB1B2DC22672_.wvu.FilterData" localSheetId="11" hidden="1">'Exh D Debt Service'!$A$3:$A$7</definedName>
    <definedName name="Z_C718F431_906C_44F0_BB7C_468203D2ACCD_.wvu.FilterData" localSheetId="11" hidden="1">'Exh D Debt Service'!$A$3:$A$7</definedName>
    <definedName name="Z_C7CEBEFD_A523_43D8_A75B_33DCB49FCC95_.wvu.FilterData" localSheetId="8" hidden="1">'Exh D General Fund'!$A$3:$A$7</definedName>
    <definedName name="Z_C7E5A382_D242_485E_8715_EF5261DB6E6A_.wvu.FilterData" localSheetId="11" hidden="1">'Exh D Debt Service'!$A$3:$A$7</definedName>
    <definedName name="Z_C7E5A382_D242_485E_8715_EF5261DB6E6A_.wvu.FilterData" localSheetId="8" hidden="1">'Exh D General Fund'!$A$3:$A$7</definedName>
    <definedName name="Z_C87D5D81_C9FA_4603_B4E1_3DBA061ED4F3_.wvu.FilterData" localSheetId="8" hidden="1">'Exh D General Fund'!$A$3:$A$7</definedName>
    <definedName name="Z_C8BBFDB8_FD3E_44D7_AB99_05C7B07F7CBA_.wvu.FilterData" localSheetId="8" hidden="1">'Exh D General Fund'!$A$3:$A$7</definedName>
    <definedName name="Z_C9259745_8D19_416D_BEFA_309E09794201_.wvu.FilterData" localSheetId="8" hidden="1">'Exh D General Fund'!$A$3:$A$7</definedName>
    <definedName name="Z_CBB760A3_5900_4761_81CF_CF17D72427BF_.wvu.FilterData" localSheetId="11" hidden="1">'Exh D Debt Service'!$A$3:$A$7</definedName>
    <definedName name="Z_CBB760A3_5900_4761_81CF_CF17D72427BF_.wvu.FilterData" localSheetId="8" hidden="1">'Exh D General Fund'!$A$3:$A$7</definedName>
    <definedName name="Z_CBF0C58D_0DEC_42B0_BDC0_FC274C6D3421_.wvu.FilterData" localSheetId="8" hidden="1">'Exh D General Fund'!$A$3:$A$7</definedName>
    <definedName name="Z_CD8BDD49_94D9_4A6D_9DB6_04ACC76273F7_.wvu.FilterData" localSheetId="8" hidden="1">'Exh D General Fund'!$A$3:$A$7</definedName>
    <definedName name="Z_CDF89CD8_E444_48AA_BD79_17038F183110_.wvu.FilterData" localSheetId="8" hidden="1">'Exh D General Fund'!$A$3:$A$7</definedName>
    <definedName name="Z_CEC68E96_80BD_4D3E_B82B_4577BB80D07A_.wvu.FilterData" localSheetId="8" hidden="1">'Exh D General Fund'!$A$3:$A$7</definedName>
    <definedName name="Z_CFEE50E2_401B_4F61_9D7F_826691D2BDD8_.wvu.FilterData" localSheetId="11" hidden="1">'Exh D Debt Service'!$A$3:$A$7</definedName>
    <definedName name="Z_D450C25C_1DED_4635_8EE4_E7A764463734_.wvu.FilterData" localSheetId="11" hidden="1">'Exh D Debt Service'!$A$3:$A$7</definedName>
    <definedName name="Z_D450C25C_1DED_4635_8EE4_E7A764463734_.wvu.FilterData" localSheetId="8" hidden="1">'Exh D General Fund'!$A$3:$A$7</definedName>
    <definedName name="Z_D840AF23_15B4_4649_B1FF_43599A2DA536_.wvu.FilterData" localSheetId="8" hidden="1">'Exh D General Fund'!$A$3:$A$7</definedName>
    <definedName name="Z_D8A2B943_893F_4F3C_A054_B7BF98C780BF_.wvu.FilterData" localSheetId="8" hidden="1">'Exh D General Fund'!$A$3:$A$7</definedName>
    <definedName name="Z_D97D5993_6D24_417D_9B5B_0D146F66D7AC_.wvu.FilterData" localSheetId="8" hidden="1">'Exh D General Fund'!$A$3:$A$7</definedName>
    <definedName name="Z_DA07262C_7873_4039_BC63_3E1D4F744D90_.wvu.FilterData" localSheetId="8" hidden="1">'Exh D General Fund'!$A$3:$A$7</definedName>
    <definedName name="Z_DD49A576_6A97_4014_97C2_4199FF1215BD_.wvu.PrintArea" localSheetId="1" hidden="1">'Exhibit A'!$A$3:$AI$60</definedName>
    <definedName name="Z_DD5F991D_7DD8_4065_B3F6_F3B7783F8A50_.wvu.FilterData" localSheetId="8" hidden="1">'Exh D General Fund'!$A$3:$A$7</definedName>
    <definedName name="Z_DF9FD53F_9061_4207_B103_EA1C032F8025_.wvu.FilterData" localSheetId="11" hidden="1">'Exh D Debt Service'!$A$3:$A$7</definedName>
    <definedName name="Z_E071CE29_155D_4A9F_9B3B_7DDF9ED42A6D_.wvu.FilterData" localSheetId="8" hidden="1">'Exh D General Fund'!$A$3:$A$7</definedName>
    <definedName name="Z_E24939C5_07CE_420D_A673_4068FD6DC000_.wvu.FilterData" localSheetId="8" hidden="1">'Exh D General Fund'!$A$3:$A$7</definedName>
    <definedName name="Z_E2FD86BB_A394_463F_941F_0A78BD2E19E5_.wvu.FilterData" localSheetId="8" hidden="1">'Exh D General Fund'!$A$3:$A$7</definedName>
    <definedName name="Z_E4F2679C_653B_4026_922C_25ECBCA643E6_.wvu.FilterData" localSheetId="8" hidden="1">'Exh D General Fund'!$A$3:$A$7</definedName>
    <definedName name="Z_E53CDBE4_5283_4E76_B430_873F933CFEFD_.wvu.FilterData" localSheetId="8" hidden="1">'Exh D General Fund'!$A$3:$A$7</definedName>
    <definedName name="Z_E5A02F29_BDB2_48DB_802E_7E9C44D6232F_.wvu.FilterData" localSheetId="11" hidden="1">'Exh D Debt Service'!$A$3:$A$7</definedName>
    <definedName name="Z_E5A02F29_BDB2_48DB_802E_7E9C44D6232F_.wvu.FilterData" localSheetId="8" hidden="1">'Exh D General Fund'!$A$3:$A$7</definedName>
    <definedName name="Z_E7A86177_7B19_421F_A256_D31A4A7193C1_.wvu.PrintArea" localSheetId="24" hidden="1">'Exhibit I Federal'!$B$3:$AL$84</definedName>
    <definedName name="Z_E891385B_F92F_499A_8255_411483DD76A7_.wvu.FilterData" localSheetId="11" hidden="1">'Exh D Debt Service'!$A$3:$A$7</definedName>
    <definedName name="Z_E891385B_F92F_499A_8255_411483DD76A7_.wvu.FilterData" localSheetId="8" hidden="1">'Exh D General Fund'!$A$3:$A$7</definedName>
    <definedName name="Z_EB2B6F4A_6D27_43A2_B38C_793C8CCA29FD_.wvu.FilterData" localSheetId="11" hidden="1">'Exh D Debt Service'!$A$3:$A$7</definedName>
    <definedName name="Z_EB2B6F4A_6D27_43A2_B38C_793C8CCA29FD_.wvu.FilterData" localSheetId="8" hidden="1">'Exh D General Fund'!$A$3:$A$7</definedName>
    <definedName name="Z_EC603B30_5D87_4F93_9361_CF740DE1327B_.wvu.FilterData" localSheetId="8" hidden="1">'Exh D General Fund'!$A$3:$A$7</definedName>
    <definedName name="Z_ECBBAEC1_A930_44D6_BBE1_4B165E7FDC71_.wvu.FilterData" localSheetId="11" hidden="1">'Exh D Debt Service'!$A$3:$A$7</definedName>
    <definedName name="Z_ECBBAEC1_A930_44D6_BBE1_4B165E7FDC71_.wvu.FilterData" localSheetId="8" hidden="1">'Exh D General Fund'!$A$3:$A$7</definedName>
    <definedName name="Z_ECF3E209_99D5_42AE_8A3B_2DC4F9F5D708_.wvu.FilterData" localSheetId="11" hidden="1">'Exh D Debt Service'!$A$3:$A$7</definedName>
    <definedName name="Z_ED85D741_99C0_416E_B325_2A1022BC19BA_.wvu.FilterData" localSheetId="11" hidden="1">'Exh D Debt Service'!$A$3:$A$7</definedName>
    <definedName name="Z_EDF9540E_B660_4200_A738_518887F75690_.wvu.FilterData" localSheetId="11" hidden="1">'Exh D Debt Service'!$A$3:$A$7</definedName>
    <definedName name="Z_EDF9540E_B660_4200_A738_518887F75690_.wvu.FilterData" localSheetId="8" hidden="1">'Exh D General Fund'!$A$3:$A$7</definedName>
    <definedName name="Z_EFEA39D6_665A_4A30_9C9D_60C6600E6E69_.wvu.FilterData" localSheetId="8" hidden="1">'Exh D General Fund'!$A$3:$A$7</definedName>
    <definedName name="Z_F06BD761_76B1_40BA_98BC_E9348D386469_.wvu.PrintArea" localSheetId="14" hidden="1">'EXHIBIT E '!$A$3:$AK$68</definedName>
    <definedName name="Z_F0DF694D_EF76_4B39_B5CB_B630B90E1679_.wvu.FilterData" localSheetId="8" hidden="1">'Exh D General Fund'!$A$3:$A$7</definedName>
    <definedName name="Z_F216F4F5_0685_4D55_84E4_F3D0B4CE5E1A_.wvu.FilterData" localSheetId="8" hidden="1">'Exh D General Fund'!$A$3:$A$7</definedName>
    <definedName name="Z_F3AC9EB1_8410_41DB_9080_C38F3C9E46F6_.wvu.FilterData" localSheetId="8" hidden="1">'Exh D General Fund'!$A$3:$A$7</definedName>
    <definedName name="Z_F458E60B_A7D3_4415_B07B_621C1501BE5D_.wvu.FilterData" localSheetId="8" hidden="1">'Exh D General Fund'!$A$3:$A$7</definedName>
    <definedName name="Z_F55D63D6_D597_4A24_901B_B568F9892BF5_.wvu.FilterData" localSheetId="8" hidden="1">'Exh D General Fund'!$A$3:$A$7</definedName>
    <definedName name="Z_F5928AC6_9FDA_425C_8625_096ED0D736C9_.wvu.FilterData" localSheetId="11" hidden="1">'Exh D Debt Service'!$A$3:$A$7</definedName>
    <definedName name="Z_F69DDDA9_4621_426B_ADE0_295642CC7F7E_.wvu.FilterData" localSheetId="8" hidden="1">'Exh D General Fund'!$A$3:$A$7</definedName>
    <definedName name="Z_F6E4AD14_35EB_4C84_863A_23A28012F6E2_.wvu.FilterData" localSheetId="11" hidden="1">'Exh D Debt Service'!$A$3:$A$7</definedName>
    <definedName name="Z_F6E4AD14_35EB_4C84_863A_23A28012F6E2_.wvu.FilterData" localSheetId="8" hidden="1">'Exh D General Fund'!$A$3:$A$7</definedName>
    <definedName name="Z_FAC8D24D_4D06_484A_9EF9_8024D6C50FBB_.wvu.FilterData" localSheetId="8" hidden="1">'Exh D General Fund'!$A$3:$A$7</definedName>
    <definedName name="Z_FC38E971_5D0B_49A4_B432_2D2538292A7F_.wvu.FilterData" localSheetId="8" hidden="1">'Exh D General Fund'!$A$3:$A$7</definedName>
    <definedName name="Z_FD6B088E_1393_45F7_80BD_46EA8D079DB7_.wvu.FilterData" localSheetId="11" hidden="1">'Exh D Debt Service'!$A$3:$A$7</definedName>
    <definedName name="Z_FD6B088E_1393_45F7_80BD_46EA8D079DB7_.wvu.FilterData" localSheetId="8" hidden="1">'Exh D General Fund'!$A$3:$A$7</definedName>
    <definedName name="Z_FF6A1557_A1BA_4E89_BE0D_61E8805E56CD_.wvu.PrintArea" localSheetId="1" hidden="1">'Exhibit A'!$A$3:$AI$60</definedName>
    <definedName name="Z_FF820170_9B6D_461C_B78A_F0B38C5D4689_.wvu.FilterData" localSheetId="11" hidden="1">'Exh D Debt Service'!$A$3:$A$7</definedName>
    <definedName name="Z_FF820170_9B6D_461C_B78A_F0B38C5D4689_.wvu.FilterData" localSheetId="8" hidden="1">'Exh D General Fund'!$A$3:$A$7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81" i="42" l="1"/>
  <c r="K18" i="24" l="1"/>
  <c r="K24" i="24"/>
  <c r="M162" i="42"/>
  <c r="A43" i="14" l="1"/>
  <c r="A43" i="13"/>
  <c r="A43" i="12"/>
  <c r="A45" i="11"/>
  <c r="A45" i="10"/>
  <c r="A53" i="9"/>
  <c r="A52" i="8"/>
  <c r="W25" i="14" l="1"/>
  <c r="K32" i="11"/>
  <c r="I59" i="25"/>
  <c r="I66" i="25" s="1"/>
  <c r="K63" i="25"/>
  <c r="K62" i="25"/>
  <c r="K61" i="25"/>
  <c r="H23" i="22" l="1"/>
  <c r="L45" i="15" s="1"/>
  <c r="J159" i="30"/>
  <c r="F159" i="30"/>
  <c r="H159" i="30"/>
  <c r="J118" i="18" l="1"/>
  <c r="J109" i="18"/>
  <c r="D28" i="2" l="1"/>
  <c r="D37" i="2"/>
  <c r="J31" i="18"/>
  <c r="D30" i="15" s="1"/>
  <c r="J44" i="18"/>
  <c r="J53" i="18"/>
  <c r="D55" i="15" s="1"/>
  <c r="J75" i="18"/>
  <c r="J41" i="18"/>
  <c r="D42" i="15" s="1"/>
  <c r="J19" i="18"/>
  <c r="I28" i="45"/>
  <c r="I22" i="17" l="1"/>
  <c r="I22" i="16"/>
  <c r="D17" i="15"/>
  <c r="I48" i="17"/>
  <c r="I48" i="16"/>
  <c r="D45" i="15"/>
  <c r="H17" i="29"/>
  <c r="F18" i="6" s="1"/>
  <c r="H24" i="28"/>
  <c r="B23" i="6" s="1"/>
  <c r="I29" i="26"/>
  <c r="B28" i="5" s="1"/>
  <c r="H24" i="29"/>
  <c r="F23" i="6" s="1"/>
  <c r="I17" i="26"/>
  <c r="B18" i="5" s="1"/>
  <c r="K28" i="25"/>
  <c r="J75" i="20"/>
  <c r="J91" i="18"/>
  <c r="J49" i="18"/>
  <c r="J22" i="18"/>
  <c r="J71" i="20"/>
  <c r="J18" i="18"/>
  <c r="J95" i="18"/>
  <c r="J80" i="20"/>
  <c r="I104" i="17" s="1"/>
  <c r="J20" i="20"/>
  <c r="J102" i="20"/>
  <c r="J94" i="20"/>
  <c r="H30" i="3" s="1"/>
  <c r="J101" i="20"/>
  <c r="H37" i="3" s="1"/>
  <c r="J61" i="20"/>
  <c r="J78" i="20"/>
  <c r="J64" i="18"/>
  <c r="J24" i="20"/>
  <c r="J110" i="18"/>
  <c r="J72" i="20"/>
  <c r="J91" i="20"/>
  <c r="H27" i="3" s="1"/>
  <c r="AD12" i="2"/>
  <c r="I21" i="17" l="1"/>
  <c r="I21" i="16"/>
  <c r="D16" i="15"/>
  <c r="I25" i="17"/>
  <c r="I25" i="16"/>
  <c r="D20" i="15"/>
  <c r="I53" i="17"/>
  <c r="I53" i="16"/>
  <c r="D51" i="15"/>
  <c r="J24" i="19"/>
  <c r="H38" i="3"/>
  <c r="J20" i="19"/>
  <c r="I118" i="17"/>
  <c r="D29" i="2"/>
  <c r="F61" i="19"/>
  <c r="F75" i="19"/>
  <c r="F77" i="19"/>
  <c r="F79" i="19"/>
  <c r="F55" i="19"/>
  <c r="F54" i="19"/>
  <c r="H28" i="15" l="1"/>
  <c r="H32" i="15"/>
  <c r="K81" i="24"/>
  <c r="K81" i="23" s="1"/>
  <c r="P38" i="2" s="1"/>
  <c r="K79" i="24"/>
  <c r="K79" i="23" s="1"/>
  <c r="P36" i="2" s="1"/>
  <c r="I80" i="23" l="1"/>
  <c r="K80" i="24"/>
  <c r="K80" i="23" s="1"/>
  <c r="P37" i="2" s="1"/>
  <c r="I81" i="23"/>
  <c r="I79" i="23"/>
  <c r="F44" i="19"/>
  <c r="F45" i="19"/>
  <c r="F46" i="19"/>
  <c r="F47" i="19"/>
  <c r="F49" i="19"/>
  <c r="F50" i="19"/>
  <c r="F51" i="19"/>
  <c r="F52" i="19"/>
  <c r="F53" i="19"/>
  <c r="F57" i="19"/>
  <c r="F58" i="19"/>
  <c r="F59" i="19"/>
  <c r="F60" i="19"/>
  <c r="F62" i="19"/>
  <c r="F64" i="19"/>
  <c r="F65" i="19"/>
  <c r="F66" i="19"/>
  <c r="F67" i="19"/>
  <c r="F68" i="19"/>
  <c r="F70" i="19"/>
  <c r="F71" i="19"/>
  <c r="F72" i="19"/>
  <c r="F73" i="19"/>
  <c r="F74" i="19"/>
  <c r="F76" i="19"/>
  <c r="F78" i="19"/>
  <c r="F80" i="19"/>
  <c r="F43" i="40"/>
  <c r="F35" i="40"/>
  <c r="F22" i="40"/>
  <c r="F16" i="40"/>
  <c r="F46" i="39"/>
  <c r="F39" i="39"/>
  <c r="F29" i="39"/>
  <c r="F23" i="39"/>
  <c r="C41" i="10"/>
  <c r="I26" i="26" l="1"/>
  <c r="B25" i="5" s="1"/>
  <c r="K58" i="25"/>
  <c r="I28" i="26"/>
  <c r="B27" i="5" s="1"/>
  <c r="J54" i="21"/>
  <c r="J33" i="20"/>
  <c r="J42" i="18"/>
  <c r="D43" i="15" s="1"/>
  <c r="J55" i="20"/>
  <c r="I79" i="17" s="1"/>
  <c r="J33" i="18"/>
  <c r="D33" i="15" s="1"/>
  <c r="J64" i="21"/>
  <c r="J83" i="20"/>
  <c r="J69" i="21"/>
  <c r="J106" i="18"/>
  <c r="J95" i="20"/>
  <c r="H31" i="3" s="1"/>
  <c r="J50" i="18"/>
  <c r="J93" i="20"/>
  <c r="J34" i="18"/>
  <c r="D34" i="15" s="1"/>
  <c r="J98" i="20"/>
  <c r="H34" i="3" s="1"/>
  <c r="F31" i="39"/>
  <c r="F49" i="39" s="1"/>
  <c r="K70" i="24"/>
  <c r="K74" i="24"/>
  <c r="H48" i="22"/>
  <c r="K72" i="24"/>
  <c r="K75" i="24"/>
  <c r="K54" i="24"/>
  <c r="K76" i="24"/>
  <c r="K82" i="24"/>
  <c r="K48" i="24"/>
  <c r="K91" i="24"/>
  <c r="K45" i="24"/>
  <c r="K45" i="23" s="1"/>
  <c r="K40" i="24"/>
  <c r="I20" i="23"/>
  <c r="H33" i="19"/>
  <c r="F24" i="40"/>
  <c r="F46" i="40" s="1"/>
  <c r="M159" i="42"/>
  <c r="M107" i="42"/>
  <c r="M106" i="42"/>
  <c r="M105" i="42"/>
  <c r="M84" i="42"/>
  <c r="M83" i="42"/>
  <c r="J83" i="19" l="1"/>
  <c r="H19" i="2" s="1"/>
  <c r="I54" i="17"/>
  <c r="I54" i="16"/>
  <c r="D52" i="15"/>
  <c r="J33" i="19"/>
  <c r="I46" i="17"/>
  <c r="H29" i="3"/>
  <c r="I117" i="17"/>
  <c r="H20" i="3"/>
  <c r="D25" i="2"/>
  <c r="K76" i="23"/>
  <c r="P33" i="2" s="1"/>
  <c r="J93" i="19"/>
  <c r="J98" i="19"/>
  <c r="H33" i="2" s="1"/>
  <c r="I24" i="23"/>
  <c r="K24" i="23"/>
  <c r="P42" i="15" s="1"/>
  <c r="K20" i="24"/>
  <c r="K20" i="23" s="1"/>
  <c r="P35" i="15" s="1"/>
  <c r="H70" i="22"/>
  <c r="L50" i="2" s="1"/>
  <c r="H93" i="19"/>
  <c r="H83" i="19"/>
  <c r="G46" i="17"/>
  <c r="G46" i="16"/>
  <c r="G54" i="17"/>
  <c r="G54" i="16"/>
  <c r="G53" i="17"/>
  <c r="G53" i="16"/>
  <c r="G22" i="17"/>
  <c r="G22" i="16"/>
  <c r="G25" i="17"/>
  <c r="G25" i="16"/>
  <c r="G79" i="17"/>
  <c r="I76" i="23"/>
  <c r="H98" i="19"/>
  <c r="Z9" i="43"/>
  <c r="G11" i="34"/>
  <c r="AB12" i="16"/>
  <c r="H28" i="2" l="1"/>
  <c r="I117" i="16"/>
  <c r="I46" i="16"/>
  <c r="H43" i="15"/>
  <c r="G52" i="44"/>
  <c r="AA14" i="41"/>
  <c r="AA15" i="41"/>
  <c r="AA16" i="41"/>
  <c r="AA17" i="41"/>
  <c r="AA18" i="41"/>
  <c r="AA19" i="41"/>
  <c r="G81" i="23"/>
  <c r="G79" i="23" l="1"/>
  <c r="G80" i="23"/>
  <c r="F33" i="19" l="1"/>
  <c r="E46" i="17" l="1"/>
  <c r="E46" i="16"/>
  <c r="E54" i="17"/>
  <c r="E54" i="16" l="1"/>
  <c r="F93" i="19"/>
  <c r="E15" i="44"/>
  <c r="I15" i="44" l="1"/>
  <c r="I18" i="44"/>
  <c r="E18" i="44"/>
  <c r="G24" i="23" l="1"/>
  <c r="I21" i="39"/>
  <c r="G20" i="23" l="1"/>
  <c r="Z22" i="43"/>
  <c r="Z31" i="43"/>
  <c r="Z28" i="43"/>
  <c r="G76" i="23" l="1"/>
  <c r="E53" i="17" l="1"/>
  <c r="E53" i="16" l="1"/>
  <c r="F35" i="19" l="1"/>
  <c r="F23" i="19"/>
  <c r="E104" i="17"/>
  <c r="E65" i="17"/>
  <c r="F101" i="19"/>
  <c r="E115" i="17"/>
  <c r="F102" i="19"/>
  <c r="F20" i="19"/>
  <c r="E81" i="17"/>
  <c r="F24" i="19"/>
  <c r="F91" i="19"/>
  <c r="F32" i="19"/>
  <c r="E25" i="17"/>
  <c r="E24" i="17"/>
  <c r="M172" i="42"/>
  <c r="M173" i="42"/>
  <c r="M174" i="42"/>
  <c r="M175" i="42"/>
  <c r="M176" i="42"/>
  <c r="M177" i="42"/>
  <c r="M178" i="42"/>
  <c r="M179" i="42"/>
  <c r="M180" i="42"/>
  <c r="G62" i="23" l="1"/>
  <c r="K43" i="24"/>
  <c r="K42" i="24"/>
  <c r="I45" i="23"/>
  <c r="G91" i="23"/>
  <c r="H20" i="19"/>
  <c r="G25" i="23"/>
  <c r="G19" i="23"/>
  <c r="E36" i="16" s="1"/>
  <c r="G18" i="23"/>
  <c r="G59" i="23"/>
  <c r="H24" i="19"/>
  <c r="G82" i="23"/>
  <c r="G75" i="23"/>
  <c r="E129" i="17"/>
  <c r="E32" i="17"/>
  <c r="F103" i="19"/>
  <c r="F96" i="19"/>
  <c r="E35" i="17"/>
  <c r="E125" i="17"/>
  <c r="E36" i="17"/>
  <c r="E49" i="17"/>
  <c r="E21" i="17"/>
  <c r="E21" i="16"/>
  <c r="E23" i="17"/>
  <c r="E45" i="16"/>
  <c r="E56" i="16"/>
  <c r="E56" i="17"/>
  <c r="E84" i="16"/>
  <c r="E84" i="17"/>
  <c r="E81" i="16"/>
  <c r="E125" i="16"/>
  <c r="E45" i="17"/>
  <c r="E23" i="16"/>
  <c r="E129" i="16"/>
  <c r="F115" i="19"/>
  <c r="E35" i="16"/>
  <c r="E25" i="16"/>
  <c r="E24" i="16"/>
  <c r="E32" i="16"/>
  <c r="H25" i="27" l="1"/>
  <c r="F26" i="5" s="1"/>
  <c r="K44" i="25"/>
  <c r="H25" i="29"/>
  <c r="F24" i="6" s="1"/>
  <c r="J32" i="21"/>
  <c r="J61" i="19" s="1"/>
  <c r="J45" i="18"/>
  <c r="D46" i="15" s="1"/>
  <c r="J57" i="20"/>
  <c r="J133" i="18"/>
  <c r="J107" i="18"/>
  <c r="J113" i="20"/>
  <c r="H50" i="3" s="1"/>
  <c r="J74" i="21"/>
  <c r="J21" i="18"/>
  <c r="J103" i="20"/>
  <c r="H39" i="3" s="1"/>
  <c r="J73" i="18"/>
  <c r="G129" i="17"/>
  <c r="G65" i="17"/>
  <c r="G35" i="17"/>
  <c r="H32" i="19"/>
  <c r="H91" i="19"/>
  <c r="I18" i="23"/>
  <c r="H101" i="19"/>
  <c r="G56" i="16"/>
  <c r="I19" i="23"/>
  <c r="I75" i="23"/>
  <c r="I91" i="23"/>
  <c r="I82" i="23"/>
  <c r="H55" i="19"/>
  <c r="G36" i="17"/>
  <c r="H75" i="19"/>
  <c r="H95" i="19"/>
  <c r="G125" i="17"/>
  <c r="I25" i="23"/>
  <c r="H102" i="19"/>
  <c r="H61" i="19"/>
  <c r="H35" i="19"/>
  <c r="K69" i="24"/>
  <c r="K62" i="24"/>
  <c r="G104" i="17"/>
  <c r="E49" i="16"/>
  <c r="E126" i="16"/>
  <c r="E126" i="17"/>
  <c r="E48" i="16"/>
  <c r="E57" i="17"/>
  <c r="E48" i="17"/>
  <c r="E57" i="16"/>
  <c r="F83" i="19"/>
  <c r="E107" i="17"/>
  <c r="E85" i="17"/>
  <c r="I24" i="16" l="1"/>
  <c r="I24" i="17"/>
  <c r="D19" i="15"/>
  <c r="J57" i="19"/>
  <c r="I81" i="16" s="1"/>
  <c r="I81" i="17"/>
  <c r="I115" i="17"/>
  <c r="D26" i="2"/>
  <c r="K62" i="23"/>
  <c r="P19" i="2" s="1"/>
  <c r="J103" i="19"/>
  <c r="H38" i="2" s="1"/>
  <c r="H26" i="22"/>
  <c r="J25" i="18"/>
  <c r="D23" i="15" s="1"/>
  <c r="K18" i="23"/>
  <c r="K25" i="24"/>
  <c r="K25" i="23" s="1"/>
  <c r="P46" i="15" s="1"/>
  <c r="H59" i="22"/>
  <c r="G24" i="17"/>
  <c r="G57" i="16"/>
  <c r="H57" i="19"/>
  <c r="G81" i="16" s="1"/>
  <c r="G84" i="17"/>
  <c r="H60" i="19"/>
  <c r="G126" i="17"/>
  <c r="G129" i="16"/>
  <c r="G57" i="17"/>
  <c r="H23" i="19"/>
  <c r="G35" i="16" s="1"/>
  <c r="G56" i="17"/>
  <c r="G21" i="17"/>
  <c r="I59" i="23"/>
  <c r="G119" i="17"/>
  <c r="G81" i="17"/>
  <c r="G24" i="16"/>
  <c r="G49" i="16"/>
  <c r="G49" i="17"/>
  <c r="G85" i="17"/>
  <c r="G107" i="17"/>
  <c r="G115" i="17"/>
  <c r="G23" i="17"/>
  <c r="G23" i="16"/>
  <c r="G48" i="16"/>
  <c r="G45" i="17"/>
  <c r="G125" i="16"/>
  <c r="H103" i="19"/>
  <c r="H115" i="19"/>
  <c r="H96" i="19"/>
  <c r="G32" i="17"/>
  <c r="G126" i="16"/>
  <c r="I62" i="23"/>
  <c r="G85" i="16"/>
  <c r="G21" i="16"/>
  <c r="G36" i="16"/>
  <c r="G118" i="17"/>
  <c r="G32" i="16"/>
  <c r="G45" i="16"/>
  <c r="G48" i="17"/>
  <c r="E107" i="16"/>
  <c r="M20" i="41"/>
  <c r="J132" i="18" l="1"/>
  <c r="J117" i="18"/>
  <c r="I125" i="17" s="1"/>
  <c r="K72" i="25"/>
  <c r="K91" i="23" s="1"/>
  <c r="P49" i="2" s="1"/>
  <c r="J67" i="21"/>
  <c r="K50" i="24"/>
  <c r="J72" i="21"/>
  <c r="J101" i="19" s="1"/>
  <c r="H36" i="2" s="1"/>
  <c r="J23" i="20"/>
  <c r="I35" i="17" s="1"/>
  <c r="H53" i="22"/>
  <c r="I107" i="16" s="1"/>
  <c r="K64" i="25"/>
  <c r="K82" i="23" s="1"/>
  <c r="P41" i="2" s="1"/>
  <c r="J21" i="21"/>
  <c r="J79" i="20"/>
  <c r="J68" i="18"/>
  <c r="J32" i="18"/>
  <c r="D32" i="15" s="1"/>
  <c r="H42" i="37"/>
  <c r="K59" i="24"/>
  <c r="J112" i="18"/>
  <c r="D31" i="2" s="1"/>
  <c r="J46" i="21"/>
  <c r="J75" i="19" s="1"/>
  <c r="K73" i="25"/>
  <c r="K55" i="24"/>
  <c r="H42" i="22"/>
  <c r="H61" i="22"/>
  <c r="I129" i="16" s="1"/>
  <c r="K57" i="25"/>
  <c r="K75" i="23" s="1"/>
  <c r="P32" i="2" s="1"/>
  <c r="K29" i="25"/>
  <c r="H25" i="28"/>
  <c r="B24" i="6" s="1"/>
  <c r="J83" i="18"/>
  <c r="J90" i="18"/>
  <c r="J99" i="18"/>
  <c r="D19" i="2" s="1"/>
  <c r="J88" i="18"/>
  <c r="I95" i="17" s="1"/>
  <c r="H37" i="27"/>
  <c r="F36" i="5" s="1"/>
  <c r="J66" i="21"/>
  <c r="J95" i="19" s="1"/>
  <c r="H30" i="2" s="1"/>
  <c r="J29" i="18"/>
  <c r="D28" i="15" s="1"/>
  <c r="J86" i="21"/>
  <c r="J115" i="19" s="1"/>
  <c r="H50" i="2" s="1"/>
  <c r="K57" i="24"/>
  <c r="H17" i="28"/>
  <c r="B18" i="6" s="1"/>
  <c r="J40" i="18"/>
  <c r="D41" i="15" s="1"/>
  <c r="H19" i="37"/>
  <c r="J72" i="18"/>
  <c r="J111" i="18"/>
  <c r="W41" i="11"/>
  <c r="U41" i="11"/>
  <c r="J52" i="18"/>
  <c r="I56" i="17" s="1"/>
  <c r="J20" i="18"/>
  <c r="F24" i="2"/>
  <c r="J105" i="18"/>
  <c r="D24" i="2" s="1"/>
  <c r="J71" i="18"/>
  <c r="H21" i="37"/>
  <c r="J70" i="18"/>
  <c r="H20" i="22"/>
  <c r="J61" i="18"/>
  <c r="I65" i="17" s="1"/>
  <c r="J54" i="20"/>
  <c r="J35" i="20"/>
  <c r="H26" i="29"/>
  <c r="F25" i="6" s="1"/>
  <c r="H26" i="27"/>
  <c r="F27" i="5" s="1"/>
  <c r="H17" i="27"/>
  <c r="F18" i="5" s="1"/>
  <c r="I39" i="14"/>
  <c r="K39" i="14"/>
  <c r="I18" i="26"/>
  <c r="B19" i="5" s="1"/>
  <c r="J78" i="18"/>
  <c r="K41" i="25"/>
  <c r="J73" i="21"/>
  <c r="J102" i="19" s="1"/>
  <c r="H37" i="2" s="1"/>
  <c r="F57" i="2"/>
  <c r="J113" i="18"/>
  <c r="D32" i="2" s="1"/>
  <c r="K19" i="24"/>
  <c r="K19" i="23" s="1"/>
  <c r="P32" i="15" s="1"/>
  <c r="J87" i="18"/>
  <c r="H36" i="27"/>
  <c r="F35" i="5" s="1"/>
  <c r="I27" i="26"/>
  <c r="B26" i="5" s="1"/>
  <c r="J112" i="20"/>
  <c r="H49" i="3" s="1"/>
  <c r="J50" i="20"/>
  <c r="J32" i="20"/>
  <c r="J32" i="19" s="1"/>
  <c r="I45" i="16" s="1"/>
  <c r="J31" i="21"/>
  <c r="J55" i="19" s="1"/>
  <c r="H24" i="27"/>
  <c r="F25" i="5" s="1"/>
  <c r="J96" i="20"/>
  <c r="AH115" i="19"/>
  <c r="J62" i="21"/>
  <c r="J91" i="19" s="1"/>
  <c r="H26" i="2" s="1"/>
  <c r="H27" i="22"/>
  <c r="L55" i="15" s="1"/>
  <c r="AI25" i="29"/>
  <c r="K38" i="24"/>
  <c r="J60" i="20"/>
  <c r="H16" i="37"/>
  <c r="P29" i="15"/>
  <c r="D54" i="15"/>
  <c r="L37" i="2"/>
  <c r="I126" i="17"/>
  <c r="L53" i="15"/>
  <c r="G107" i="16"/>
  <c r="G120" i="17"/>
  <c r="E120" i="17"/>
  <c r="E118" i="17"/>
  <c r="L17" i="43"/>
  <c r="I36" i="17" l="1"/>
  <c r="I56" i="16"/>
  <c r="I57" i="16"/>
  <c r="J23" i="19"/>
  <c r="I35" i="16" s="1"/>
  <c r="I107" i="17"/>
  <c r="L19" i="2"/>
  <c r="I120" i="17"/>
  <c r="I32" i="16"/>
  <c r="H42" i="15"/>
  <c r="I129" i="17"/>
  <c r="I57" i="17"/>
  <c r="I36" i="16"/>
  <c r="I84" i="17"/>
  <c r="J60" i="19"/>
  <c r="I84" i="16" s="1"/>
  <c r="L28" i="15"/>
  <c r="I23" i="17"/>
  <c r="I23" i="16"/>
  <c r="D18" i="15"/>
  <c r="J35" i="19"/>
  <c r="I49" i="17"/>
  <c r="K59" i="23"/>
  <c r="H32" i="3"/>
  <c r="J96" i="19"/>
  <c r="H31" i="2" s="1"/>
  <c r="I126" i="16"/>
  <c r="I32" i="17"/>
  <c r="L40" i="2"/>
  <c r="I85" i="17"/>
  <c r="I85" i="16"/>
  <c r="I45" i="17"/>
  <c r="H31" i="15"/>
  <c r="D30" i="2"/>
  <c r="I119" i="17"/>
  <c r="I125" i="16"/>
  <c r="D36" i="2"/>
  <c r="H26" i="28"/>
  <c r="B25" i="6" s="1"/>
  <c r="J31" i="20"/>
  <c r="K58" i="24"/>
  <c r="J29" i="36"/>
  <c r="H46" i="15" l="1"/>
  <c r="I49" i="16"/>
  <c r="J31" i="19"/>
  <c r="I44" i="17"/>
  <c r="H31" i="19"/>
  <c r="G44" i="17"/>
  <c r="G117" i="17"/>
  <c r="G117" i="16"/>
  <c r="F98" i="19"/>
  <c r="F31" i="19"/>
  <c r="E44" i="17"/>
  <c r="E117" i="17"/>
  <c r="H41" i="15" l="1"/>
  <c r="J128" i="18"/>
  <c r="E117" i="16"/>
  <c r="Z26" i="43"/>
  <c r="E41" i="44" l="1"/>
  <c r="E40" i="44"/>
  <c r="E38" i="44"/>
  <c r="E37" i="44"/>
  <c r="E36" i="44"/>
  <c r="E35" i="44"/>
  <c r="E51" i="44"/>
  <c r="E50" i="44"/>
  <c r="E49" i="44"/>
  <c r="E48" i="44"/>
  <c r="E47" i="44"/>
  <c r="E46" i="44"/>
  <c r="E45" i="44"/>
  <c r="E44" i="44"/>
  <c r="E43" i="44"/>
  <c r="E42" i="44"/>
  <c r="E39" i="44"/>
  <c r="E34" i="44"/>
  <c r="E33" i="44"/>
  <c r="E32" i="44"/>
  <c r="E31" i="44"/>
  <c r="E30" i="44"/>
  <c r="E29" i="44"/>
  <c r="E28" i="44"/>
  <c r="E27" i="44"/>
  <c r="E26" i="44"/>
  <c r="E25" i="44"/>
  <c r="E24" i="44"/>
  <c r="E23" i="44"/>
  <c r="E22" i="44"/>
  <c r="E21" i="44"/>
  <c r="E20" i="44"/>
  <c r="E19" i="44"/>
  <c r="E17" i="44"/>
  <c r="E16" i="44"/>
  <c r="E14" i="44"/>
  <c r="E13" i="44"/>
  <c r="E12" i="44"/>
  <c r="E11" i="44"/>
  <c r="I25" i="45"/>
  <c r="E25" i="45"/>
  <c r="I24" i="45"/>
  <c r="E24" i="45"/>
  <c r="I23" i="45"/>
  <c r="E23" i="45"/>
  <c r="I22" i="45"/>
  <c r="E22" i="45"/>
  <c r="I21" i="45"/>
  <c r="E21" i="45"/>
  <c r="I20" i="45"/>
  <c r="E20" i="45"/>
  <c r="I19" i="45"/>
  <c r="E19" i="45"/>
  <c r="I18" i="45"/>
  <c r="E18" i="45"/>
  <c r="I17" i="45"/>
  <c r="E17" i="45"/>
  <c r="I16" i="45"/>
  <c r="E16" i="45"/>
  <c r="I15" i="45"/>
  <c r="E15" i="45"/>
  <c r="I14" i="45"/>
  <c r="E14" i="45"/>
  <c r="I13" i="45"/>
  <c r="E13" i="45"/>
  <c r="I12" i="45"/>
  <c r="E12" i="45"/>
  <c r="I11" i="45"/>
  <c r="E11" i="45"/>
  <c r="J130" i="18" l="1"/>
  <c r="J114" i="18"/>
  <c r="J68" i="21"/>
  <c r="E39" i="13"/>
  <c r="E49" i="7" s="1"/>
  <c r="I122" i="16" l="1"/>
  <c r="I122" i="17"/>
  <c r="D33" i="2"/>
  <c r="K51" i="25"/>
  <c r="K69" i="23" s="1"/>
  <c r="P25" i="2" s="1"/>
  <c r="J43" i="18"/>
  <c r="D44" i="15" s="1"/>
  <c r="J60" i="21"/>
  <c r="J49" i="21"/>
  <c r="J78" i="19" s="1"/>
  <c r="G122" i="17"/>
  <c r="G122" i="16"/>
  <c r="I69" i="23"/>
  <c r="K73" i="24"/>
  <c r="H78" i="19"/>
  <c r="E122" i="17"/>
  <c r="G69" i="23"/>
  <c r="N22" i="35"/>
  <c r="E122" i="16" l="1"/>
  <c r="R22" i="35"/>
  <c r="E59" i="23" l="1"/>
  <c r="D8" i="38" l="1"/>
  <c r="D20" i="19" l="1"/>
  <c r="D23" i="19"/>
  <c r="D24" i="19"/>
  <c r="D31" i="19"/>
  <c r="D32" i="19"/>
  <c r="D33" i="19"/>
  <c r="D35" i="19"/>
  <c r="Y20" i="41" l="1"/>
  <c r="Y24" i="41" s="1"/>
  <c r="W20" i="41"/>
  <c r="W24" i="41" s="1"/>
  <c r="U20" i="41"/>
  <c r="U24" i="41" s="1"/>
  <c r="S20" i="41"/>
  <c r="S24" i="41" s="1"/>
  <c r="Q20" i="41"/>
  <c r="Q24" i="41" s="1"/>
  <c r="O20" i="41"/>
  <c r="O24" i="41" s="1"/>
  <c r="M24" i="41"/>
  <c r="K20" i="41"/>
  <c r="K24" i="41" s="1"/>
  <c r="I20" i="41"/>
  <c r="I24" i="41" s="1"/>
  <c r="G20" i="41"/>
  <c r="G24" i="41" s="1"/>
  <c r="E20" i="41"/>
  <c r="E24" i="41" s="1"/>
  <c r="AA20" i="41" l="1"/>
  <c r="AA24" i="41" s="1"/>
  <c r="W20" i="14" l="1"/>
  <c r="W22" i="14"/>
  <c r="W21" i="14"/>
  <c r="J65" i="21" l="1"/>
  <c r="J94" i="19" s="1"/>
  <c r="I92" i="23"/>
  <c r="H94" i="19"/>
  <c r="F94" i="19"/>
  <c r="G92" i="23"/>
  <c r="G99" i="42"/>
  <c r="H29" i="2" l="1"/>
  <c r="K92" i="24"/>
  <c r="K92" i="23" s="1"/>
  <c r="P50" i="2" s="1"/>
  <c r="E79" i="17"/>
  <c r="I47" i="44" l="1"/>
  <c r="I46" i="44"/>
  <c r="I44" i="44" l="1"/>
  <c r="I181" i="42" l="1"/>
  <c r="G181" i="42"/>
  <c r="E27" i="12" l="1"/>
  <c r="J43" i="37" l="1"/>
  <c r="I49" i="44"/>
  <c r="I33" i="40"/>
  <c r="I32" i="40"/>
  <c r="I31" i="40"/>
  <c r="I21" i="40"/>
  <c r="I20" i="44" l="1"/>
  <c r="L43" i="37" l="1"/>
  <c r="I20" i="40"/>
  <c r="I54" i="44" l="1"/>
  <c r="E54" i="44"/>
  <c r="I21" i="44"/>
  <c r="E28" i="45"/>
  <c r="A50" i="7" l="1"/>
  <c r="G12" i="34"/>
  <c r="N43" i="37" l="1"/>
  <c r="AB12" i="2"/>
  <c r="K11" i="30"/>
  <c r="C11" i="30" s="1"/>
  <c r="E33" i="12" l="1"/>
  <c r="E37" i="12" s="1"/>
  <c r="Z10" i="43"/>
  <c r="A10" i="1"/>
  <c r="O3" i="4"/>
  <c r="F10" i="36" s="1"/>
  <c r="T15" i="5"/>
  <c r="I45" i="39"/>
  <c r="I43" i="39"/>
  <c r="I42" i="39"/>
  <c r="I38" i="39"/>
  <c r="I36" i="39"/>
  <c r="I35" i="39"/>
  <c r="I28" i="39"/>
  <c r="I27" i="39"/>
  <c r="I26" i="39"/>
  <c r="I16" i="39"/>
  <c r="I17" i="39"/>
  <c r="I18" i="39"/>
  <c r="I19" i="39"/>
  <c r="I20" i="39"/>
  <c r="I22" i="39"/>
  <c r="I15" i="39"/>
  <c r="I42" i="40"/>
  <c r="I41" i="40"/>
  <c r="I39" i="40"/>
  <c r="I38" i="40"/>
  <c r="I29" i="40"/>
  <c r="I28" i="40"/>
  <c r="I19" i="40"/>
  <c r="I15" i="40"/>
  <c r="Z23" i="43"/>
  <c r="J40" i="43"/>
  <c r="J36" i="43"/>
  <c r="J17" i="43"/>
  <c r="C7" i="44" l="1"/>
  <c r="E9" i="44" s="1"/>
  <c r="A8" i="30"/>
  <c r="E12" i="34"/>
  <c r="J42" i="43"/>
  <c r="I12" i="34" l="1"/>
  <c r="C8" i="38"/>
  <c r="AA21" i="22" l="1"/>
  <c r="AB34" i="2"/>
  <c r="AB20" i="2"/>
  <c r="P43" i="37" l="1"/>
  <c r="G192" i="42"/>
  <c r="G186" i="42"/>
  <c r="G236" i="42"/>
  <c r="G169" i="42"/>
  <c r="AD59" i="23" l="1"/>
  <c r="AI24" i="20" l="1"/>
  <c r="AK24" i="20" s="1"/>
  <c r="C7" i="45" l="1"/>
  <c r="G7" i="44"/>
  <c r="G7" i="45" s="1"/>
  <c r="Q12" i="34" l="1"/>
  <c r="AE28" i="24" l="1"/>
  <c r="AB26" i="22"/>
  <c r="AB14" i="16" l="1"/>
  <c r="B6" i="35"/>
  <c r="A6" i="16"/>
  <c r="A5" i="44" s="1"/>
  <c r="A6" i="41" l="1"/>
  <c r="A6" i="43"/>
  <c r="L115" i="20"/>
  <c r="C13" i="16"/>
  <c r="A6" i="34"/>
  <c r="A7" i="30"/>
  <c r="N13" i="35"/>
  <c r="N12" i="35"/>
  <c r="AD9" i="19"/>
  <c r="Z10" i="29"/>
  <c r="Z10" i="28"/>
  <c r="Z10" i="27"/>
  <c r="AA10" i="26"/>
  <c r="AC9" i="25"/>
  <c r="AC9" i="24"/>
  <c r="AC9" i="23"/>
  <c r="Z9" i="22"/>
  <c r="AB9" i="18"/>
  <c r="AB12" i="17"/>
  <c r="A5" i="14"/>
  <c r="A5" i="13"/>
  <c r="A5" i="12"/>
  <c r="A5" i="11"/>
  <c r="A5" i="10"/>
  <c r="AI101" i="20" l="1"/>
  <c r="AK101" i="20" s="1"/>
  <c r="M26" i="23"/>
  <c r="M21" i="23"/>
  <c r="M29" i="23"/>
  <c r="C12" i="34"/>
  <c r="C10" i="41"/>
  <c r="U13" i="16"/>
  <c r="U10" i="41" s="1"/>
  <c r="A5" i="9"/>
  <c r="A5" i="8"/>
  <c r="K26" i="17" l="1"/>
  <c r="K26" i="16"/>
  <c r="K30" i="16" s="1"/>
  <c r="M31" i="23"/>
  <c r="Q27" i="14"/>
  <c r="AI32" i="20" l="1"/>
  <c r="AK32" i="20" s="1"/>
  <c r="E31" i="9"/>
  <c r="AB9" i="20"/>
  <c r="AB9" i="21"/>
  <c r="O26" i="23" l="1"/>
  <c r="O21" i="23"/>
  <c r="N23" i="18"/>
  <c r="O29" i="23"/>
  <c r="N115" i="20"/>
  <c r="AE14" i="16"/>
  <c r="P13" i="35" s="1"/>
  <c r="N37" i="2"/>
  <c r="O181" i="42" l="1"/>
  <c r="M26" i="16"/>
  <c r="M30" i="16" s="1"/>
  <c r="M26" i="17"/>
  <c r="O31" i="23"/>
  <c r="F32" i="2"/>
  <c r="M181" i="42" l="1"/>
  <c r="H17" i="43" l="1"/>
  <c r="J115" i="20" l="1"/>
  <c r="S31" i="11" l="1"/>
  <c r="W31" i="11" s="1"/>
  <c r="I14" i="44" l="1"/>
  <c r="N19" i="2" l="1"/>
  <c r="N40" i="2"/>
  <c r="S24" i="14"/>
  <c r="W24" i="14" s="1"/>
  <c r="AI74" i="21"/>
  <c r="AK74" i="21" s="1"/>
  <c r="H35" i="5" l="1"/>
  <c r="C39" i="13" l="1"/>
  <c r="I50" i="44" l="1"/>
  <c r="N15" i="2" l="1"/>
  <c r="S24" i="11"/>
  <c r="W24" i="11" s="1"/>
  <c r="AD51" i="18"/>
  <c r="F36" i="2" l="1"/>
  <c r="F18" i="15" l="1"/>
  <c r="N50" i="2" l="1"/>
  <c r="E18" i="23"/>
  <c r="AD18" i="23" s="1"/>
  <c r="J23" i="18"/>
  <c r="L23" i="18"/>
  <c r="AI93" i="20" l="1"/>
  <c r="AK93" i="20" s="1"/>
  <c r="I34" i="40" l="1"/>
  <c r="I43" i="40" l="1"/>
  <c r="Z34" i="43" l="1"/>
  <c r="H26" i="45" l="1"/>
  <c r="G26" i="45"/>
  <c r="G30" i="45" l="1"/>
  <c r="H30" i="45"/>
  <c r="R43" i="37" l="1"/>
  <c r="D26" i="45"/>
  <c r="D30" i="45" l="1"/>
  <c r="AI31" i="20"/>
  <c r="AK31" i="20" s="1"/>
  <c r="E26" i="45"/>
  <c r="Q29" i="23" l="1"/>
  <c r="P23" i="18"/>
  <c r="Q21" i="23"/>
  <c r="P115" i="20"/>
  <c r="O26" i="16"/>
  <c r="O26" i="17"/>
  <c r="Q26" i="23"/>
  <c r="E30" i="45"/>
  <c r="I26" i="45"/>
  <c r="G24" i="11"/>
  <c r="K24" i="11" s="1"/>
  <c r="O30" i="16" l="1"/>
  <c r="Q31" i="23"/>
  <c r="I30" i="45"/>
  <c r="Q35" i="11" l="1"/>
  <c r="Z30" i="43" l="1"/>
  <c r="Z29" i="43"/>
  <c r="I12" i="39" l="1"/>
  <c r="Z20" i="43" l="1"/>
  <c r="I51" i="44" l="1"/>
  <c r="I45" i="44"/>
  <c r="I43" i="44"/>
  <c r="I42" i="44"/>
  <c r="I41" i="44"/>
  <c r="I40" i="44"/>
  <c r="I39" i="44"/>
  <c r="I38" i="44"/>
  <c r="I37" i="44"/>
  <c r="I36" i="44"/>
  <c r="I35" i="44"/>
  <c r="I34" i="44"/>
  <c r="I33" i="44"/>
  <c r="I32" i="44"/>
  <c r="I31" i="44"/>
  <c r="I30" i="44"/>
  <c r="I29" i="44"/>
  <c r="I28" i="44"/>
  <c r="I27" i="44"/>
  <c r="I26" i="44"/>
  <c r="I25" i="44"/>
  <c r="I24" i="44"/>
  <c r="I23" i="44"/>
  <c r="I22" i="44"/>
  <c r="I19" i="44"/>
  <c r="I17" i="44"/>
  <c r="I16" i="44"/>
  <c r="I13" i="44"/>
  <c r="I12" i="44"/>
  <c r="I11" i="44"/>
  <c r="H29" i="36"/>
  <c r="H21" i="36"/>
  <c r="J21" i="36" s="1"/>
  <c r="E52" i="44" l="1"/>
  <c r="D52" i="44"/>
  <c r="D43" i="40"/>
  <c r="D35" i="40"/>
  <c r="D22" i="40"/>
  <c r="D16" i="40"/>
  <c r="D46" i="39"/>
  <c r="D39" i="39"/>
  <c r="D29" i="39"/>
  <c r="D23" i="39"/>
  <c r="D56" i="44" l="1"/>
  <c r="E56" i="44"/>
  <c r="D31" i="39"/>
  <c r="D49" i="39" s="1"/>
  <c r="D51" i="39" s="1"/>
  <c r="F12" i="39" s="1"/>
  <c r="F51" i="39" s="1"/>
  <c r="D24" i="40"/>
  <c r="D46" i="40" s="1"/>
  <c r="D48" i="40" s="1"/>
  <c r="F12" i="40" s="1"/>
  <c r="F48" i="40" s="1"/>
  <c r="O21" i="26" l="1"/>
  <c r="M21" i="26"/>
  <c r="K21" i="26"/>
  <c r="M29" i="24"/>
  <c r="O29" i="24"/>
  <c r="Q29" i="24"/>
  <c r="N19" i="29" l="1"/>
  <c r="L19" i="29"/>
  <c r="J19" i="29"/>
  <c r="N19" i="28"/>
  <c r="L19" i="28"/>
  <c r="X24" i="22"/>
  <c r="X21" i="22"/>
  <c r="V24" i="22"/>
  <c r="V21" i="22"/>
  <c r="T24" i="22"/>
  <c r="T21" i="22"/>
  <c r="R24" i="22"/>
  <c r="R21" i="22"/>
  <c r="P21" i="22"/>
  <c r="N24" i="22"/>
  <c r="N21" i="22"/>
  <c r="L24" i="22"/>
  <c r="L21" i="22"/>
  <c r="J24" i="22"/>
  <c r="J21" i="22"/>
  <c r="X19" i="27"/>
  <c r="R19" i="27"/>
  <c r="P19" i="27"/>
  <c r="N19" i="27"/>
  <c r="L19" i="27"/>
  <c r="J19" i="27"/>
  <c r="H19" i="27"/>
  <c r="G32" i="12" l="1"/>
  <c r="K32" i="12" s="1"/>
  <c r="G25" i="12"/>
  <c r="K25" i="12" s="1"/>
  <c r="G32" i="14"/>
  <c r="K32" i="14" s="1"/>
  <c r="G30" i="12"/>
  <c r="K30" i="12" s="1"/>
  <c r="G31" i="12"/>
  <c r="K31" i="12" s="1"/>
  <c r="H21" i="22"/>
  <c r="L15" i="2" s="1"/>
  <c r="H24" i="22"/>
  <c r="L16" i="2" s="1"/>
  <c r="M26" i="24"/>
  <c r="N28" i="29"/>
  <c r="N32" i="29" s="1"/>
  <c r="J28" i="28"/>
  <c r="N28" i="28"/>
  <c r="N32" i="28" s="1"/>
  <c r="L28" i="29"/>
  <c r="L32" i="29" s="1"/>
  <c r="V63" i="22"/>
  <c r="O21" i="24"/>
  <c r="X28" i="22"/>
  <c r="L72" i="22"/>
  <c r="P72" i="22"/>
  <c r="H28" i="28"/>
  <c r="J28" i="29"/>
  <c r="J32" i="29" s="1"/>
  <c r="L28" i="28"/>
  <c r="L32" i="28" s="1"/>
  <c r="H28" i="29"/>
  <c r="J72" i="22"/>
  <c r="N72" i="22"/>
  <c r="H28" i="22"/>
  <c r="L17" i="2" s="1"/>
  <c r="J28" i="22"/>
  <c r="N28" i="22"/>
  <c r="V28" i="22"/>
  <c r="Q26" i="24"/>
  <c r="AA21" i="24"/>
  <c r="M21" i="24"/>
  <c r="K21" i="24"/>
  <c r="O26" i="24"/>
  <c r="Q21" i="24"/>
  <c r="R72" i="22"/>
  <c r="X63" i="22"/>
  <c r="T63" i="22"/>
  <c r="J63" i="22"/>
  <c r="L28" i="22"/>
  <c r="L63" i="22"/>
  <c r="N63" i="22"/>
  <c r="P63" i="22"/>
  <c r="R63" i="22"/>
  <c r="N28" i="27"/>
  <c r="N32" i="27" s="1"/>
  <c r="L28" i="27"/>
  <c r="L32" i="27" s="1"/>
  <c r="J28" i="27"/>
  <c r="J32" i="27" s="1"/>
  <c r="H28" i="27"/>
  <c r="H32" i="27" s="1"/>
  <c r="S31" i="14" l="1"/>
  <c r="W31" i="14" s="1"/>
  <c r="N30" i="22"/>
  <c r="L30" i="22"/>
  <c r="J30" i="22"/>
  <c r="H63" i="22"/>
  <c r="M31" i="24"/>
  <c r="Q31" i="24"/>
  <c r="O31" i="24"/>
  <c r="AD19" i="27"/>
  <c r="F19" i="27"/>
  <c r="D19" i="27"/>
  <c r="G21" i="12"/>
  <c r="K21" i="12" s="1"/>
  <c r="F63" i="22"/>
  <c r="F24" i="22"/>
  <c r="F21" i="22"/>
  <c r="D24" i="22"/>
  <c r="D21" i="22"/>
  <c r="E48" i="8" l="1"/>
  <c r="E26" i="11"/>
  <c r="G33" i="12"/>
  <c r="F28" i="28"/>
  <c r="D63" i="22"/>
  <c r="AA63" i="22"/>
  <c r="F28" i="27"/>
  <c r="F32" i="27" s="1"/>
  <c r="E27" i="14"/>
  <c r="Q33" i="14"/>
  <c r="E35" i="11"/>
  <c r="Q26" i="11"/>
  <c r="E33" i="14"/>
  <c r="I21" i="24"/>
  <c r="D28" i="27"/>
  <c r="D32" i="27" s="1"/>
  <c r="D28" i="22"/>
  <c r="G21" i="24"/>
  <c r="F28" i="22"/>
  <c r="E37" i="14" l="1"/>
  <c r="Q37" i="14"/>
  <c r="Q40" i="14" s="1"/>
  <c r="K33" i="12"/>
  <c r="Q39" i="11"/>
  <c r="E39" i="11"/>
  <c r="C48" i="8" l="1"/>
  <c r="A51" i="8" l="1"/>
  <c r="AE12" i="26" l="1"/>
  <c r="V12" i="2"/>
  <c r="X12" i="2"/>
  <c r="T9" i="37" l="1"/>
  <c r="AI20" i="20" l="1"/>
  <c r="AK20" i="20" s="1"/>
  <c r="B15" i="6"/>
  <c r="F15" i="6" l="1"/>
  <c r="L15" i="6" s="1"/>
  <c r="Q19" i="29"/>
  <c r="E9" i="45" l="1"/>
  <c r="T19" i="27" l="1"/>
  <c r="T72" i="22"/>
  <c r="T28" i="27"/>
  <c r="F56" i="44"/>
  <c r="T32" i="27" l="1"/>
  <c r="U21" i="26"/>
  <c r="T43" i="37"/>
  <c r="T28" i="28"/>
  <c r="I21" i="23"/>
  <c r="X40" i="43" l="1"/>
  <c r="V40" i="43"/>
  <c r="T40" i="43"/>
  <c r="R40" i="43"/>
  <c r="P40" i="43"/>
  <c r="N40" i="43"/>
  <c r="L40" i="43"/>
  <c r="H40" i="43"/>
  <c r="F40" i="43"/>
  <c r="D40" i="43"/>
  <c r="B40" i="43"/>
  <c r="X36" i="43"/>
  <c r="V36" i="43"/>
  <c r="T36" i="43"/>
  <c r="R36" i="43"/>
  <c r="P36" i="43"/>
  <c r="N36" i="43"/>
  <c r="L36" i="43"/>
  <c r="H36" i="43"/>
  <c r="F36" i="43"/>
  <c r="X17" i="43"/>
  <c r="V17" i="43"/>
  <c r="T17" i="43"/>
  <c r="R17" i="43"/>
  <c r="P17" i="43"/>
  <c r="N17" i="43"/>
  <c r="F17" i="43"/>
  <c r="D17" i="43"/>
  <c r="X42" i="43" l="1"/>
  <c r="N42" i="43"/>
  <c r="P42" i="43"/>
  <c r="L42" i="43"/>
  <c r="R42" i="43"/>
  <c r="T42" i="43"/>
  <c r="F42" i="43"/>
  <c r="V42" i="43"/>
  <c r="H42" i="43"/>
  <c r="I12" i="40" l="1"/>
  <c r="H52" i="44"/>
  <c r="H56" i="44" l="1"/>
  <c r="C52" i="44"/>
  <c r="C56" i="44" l="1"/>
  <c r="C26" i="45"/>
  <c r="C30" i="45" l="1"/>
  <c r="AA24" i="22"/>
  <c r="G22" i="12" s="1"/>
  <c r="K22" i="12" s="1"/>
  <c r="G31" i="14"/>
  <c r="K31" i="14" s="1"/>
  <c r="Z16" i="43"/>
  <c r="Z15" i="43"/>
  <c r="Z12" i="43"/>
  <c r="Z17" i="43" l="1"/>
  <c r="N16" i="2"/>
  <c r="P24" i="22"/>
  <c r="AA19" i="27" l="1"/>
  <c r="H18" i="5"/>
  <c r="C48" i="16"/>
  <c r="C48" i="17"/>
  <c r="B24" i="22"/>
  <c r="V19" i="27" l="1"/>
  <c r="S34" i="11"/>
  <c r="W34" i="11" s="1"/>
  <c r="AI33" i="20"/>
  <c r="N45" i="15"/>
  <c r="AK33" i="20" l="1"/>
  <c r="L47" i="15"/>
  <c r="N17" i="3"/>
  <c r="L17" i="3" l="1"/>
  <c r="F45" i="15" l="1"/>
  <c r="X45" i="15" s="1"/>
  <c r="AB48" i="16" l="1"/>
  <c r="AB48" i="17"/>
  <c r="V45" i="15"/>
  <c r="Z21" i="43" l="1"/>
  <c r="Z27" i="43"/>
  <c r="AG82" i="23" l="1"/>
  <c r="AG19" i="23"/>
  <c r="D37" i="3"/>
  <c r="H27" i="5"/>
  <c r="D33" i="3"/>
  <c r="Z33" i="43" l="1"/>
  <c r="P28" i="22" l="1"/>
  <c r="R115" i="20"/>
  <c r="P19" i="28"/>
  <c r="P28" i="29"/>
  <c r="P19" i="29"/>
  <c r="P28" i="28"/>
  <c r="R23" i="18" l="1"/>
  <c r="P28" i="27"/>
  <c r="P32" i="27" s="1"/>
  <c r="Q21" i="26"/>
  <c r="S26" i="24"/>
  <c r="S29" i="24"/>
  <c r="P32" i="28"/>
  <c r="P32" i="29"/>
  <c r="P30" i="22"/>
  <c r="D15" i="6"/>
  <c r="D14" i="6"/>
  <c r="D15" i="5"/>
  <c r="D14" i="5"/>
  <c r="AD21" i="22" l="1"/>
  <c r="AH23" i="19"/>
  <c r="AI23" i="20"/>
  <c r="AK23" i="20" s="1"/>
  <c r="S29" i="23"/>
  <c r="F13" i="15"/>
  <c r="X13" i="15" s="1"/>
  <c r="F12" i="15"/>
  <c r="Z39" i="43" l="1"/>
  <c r="C67" i="34" l="1"/>
  <c r="Z35" i="43" l="1"/>
  <c r="Z25" i="43"/>
  <c r="Z24" i="43"/>
  <c r="W10" i="41" l="1"/>
  <c r="Y10" i="41" s="1"/>
  <c r="I10" i="41"/>
  <c r="O10" i="41" s="1"/>
  <c r="G10" i="41"/>
  <c r="M10" i="41" s="1"/>
  <c r="S10" i="41" s="1"/>
  <c r="E10" i="41"/>
  <c r="K10" i="41" s="1"/>
  <c r="Q10" i="41" s="1"/>
  <c r="B5" i="36"/>
  <c r="A7" i="31" l="1"/>
  <c r="A7" i="32" s="1"/>
  <c r="A6" i="33" s="1"/>
  <c r="AH20" i="19" l="1"/>
  <c r="AG21" i="22"/>
  <c r="AG25" i="23"/>
  <c r="R28" i="28" l="1"/>
  <c r="H26" i="5" l="1"/>
  <c r="R28" i="27" l="1"/>
  <c r="R32" i="27" s="1"/>
  <c r="S21" i="26"/>
  <c r="C49" i="7" l="1"/>
  <c r="B17" i="43"/>
  <c r="F28" i="2" l="1"/>
  <c r="D29" i="3"/>
  <c r="D31" i="3"/>
  <c r="F30" i="2"/>
  <c r="D25" i="3" l="1"/>
  <c r="AI94" i="20" l="1"/>
  <c r="AK94" i="20" s="1"/>
  <c r="S30" i="11"/>
  <c r="W30" i="11" s="1"/>
  <c r="B6" i="24"/>
  <c r="J56" i="15" l="1"/>
  <c r="H56" i="15"/>
  <c r="I22" i="40" l="1"/>
  <c r="R21" i="15" l="1"/>
  <c r="P21" i="15"/>
  <c r="N21" i="15"/>
  <c r="L21" i="15"/>
  <c r="J21" i="15"/>
  <c r="H21" i="15"/>
  <c r="W21" i="26" l="1"/>
  <c r="V28" i="27"/>
  <c r="V32" i="27" s="1"/>
  <c r="D55" i="19"/>
  <c r="C57" i="16"/>
  <c r="D75" i="19"/>
  <c r="D103" i="19"/>
  <c r="D102" i="19"/>
  <c r="B28" i="22"/>
  <c r="D83" i="19"/>
  <c r="AI72" i="20" l="1"/>
  <c r="AK72" i="20" s="1"/>
  <c r="V43" i="37"/>
  <c r="V72" i="22"/>
  <c r="V30" i="22"/>
  <c r="V28" i="28"/>
  <c r="AE33" i="19"/>
  <c r="AE20" i="19"/>
  <c r="J28" i="15" s="1"/>
  <c r="AE24" i="19"/>
  <c r="D98" i="19"/>
  <c r="D93" i="19"/>
  <c r="C57" i="17"/>
  <c r="D115" i="19"/>
  <c r="D101" i="19"/>
  <c r="K12" i="34"/>
  <c r="K11" i="34"/>
  <c r="L12" i="32"/>
  <c r="J13" i="33" s="1"/>
  <c r="D12" i="32"/>
  <c r="K14" i="31"/>
  <c r="C14" i="31"/>
  <c r="A8" i="31"/>
  <c r="A8" i="32" s="1"/>
  <c r="A7" i="33" s="1"/>
  <c r="C117" i="16" l="1"/>
  <c r="AB117" i="16" s="1"/>
  <c r="S11" i="34"/>
  <c r="Z9" i="37"/>
  <c r="M12" i="34"/>
  <c r="S12" i="34" s="1"/>
  <c r="Z10" i="37"/>
  <c r="D13" i="33"/>
  <c r="A40" i="14" l="1"/>
  <c r="A6" i="14"/>
  <c r="A6" i="13"/>
  <c r="A40" i="13"/>
  <c r="A40" i="12"/>
  <c r="A6" i="12"/>
  <c r="A6" i="11"/>
  <c r="A42" i="11"/>
  <c r="A42" i="10"/>
  <c r="A6" i="10"/>
  <c r="A50" i="9"/>
  <c r="A49" i="8"/>
  <c r="A6" i="9"/>
  <c r="A6" i="8"/>
  <c r="AD11" i="2" l="1"/>
  <c r="X11" i="2"/>
  <c r="N11" i="2"/>
  <c r="J11" i="2"/>
  <c r="R11" i="2" s="1"/>
  <c r="N15" i="6"/>
  <c r="P12" i="2"/>
  <c r="N12" i="2"/>
  <c r="L12" i="2"/>
  <c r="J12" i="2"/>
  <c r="H12" i="2"/>
  <c r="G31" i="11" l="1"/>
  <c r="K31" i="11" s="1"/>
  <c r="R12" i="2"/>
  <c r="N15" i="5"/>
  <c r="Q26" i="16" l="1"/>
  <c r="R19" i="28" l="1"/>
  <c r="R32" i="28" s="1"/>
  <c r="T115" i="20"/>
  <c r="R28" i="22"/>
  <c r="R19" i="29"/>
  <c r="U26" i="23"/>
  <c r="U26" i="24" l="1"/>
  <c r="S26" i="17"/>
  <c r="T23" i="18"/>
  <c r="S26" i="16"/>
  <c r="U21" i="24"/>
  <c r="U29" i="24"/>
  <c r="R28" i="29"/>
  <c r="R32" i="29" s="1"/>
  <c r="R30" i="22"/>
  <c r="U31" i="24" l="1"/>
  <c r="U29" i="23"/>
  <c r="AJ18" i="24" l="1"/>
  <c r="AL18" i="24" s="1"/>
  <c r="AG18" i="23"/>
  <c r="AI55" i="20"/>
  <c r="AK55" i="20" s="1"/>
  <c r="AA28" i="27" l="1"/>
  <c r="AA32" i="27" s="1"/>
  <c r="C126" i="17"/>
  <c r="I16" i="40"/>
  <c r="X28" i="27" l="1"/>
  <c r="X32" i="27" s="1"/>
  <c r="I24" i="40"/>
  <c r="A42" i="12" l="1"/>
  <c r="C20" i="41" l="1"/>
  <c r="C24" i="41" s="1"/>
  <c r="Q26" i="17" l="1"/>
  <c r="A52" i="9"/>
  <c r="F33" i="15" l="1"/>
  <c r="A42" i="14"/>
  <c r="A42" i="13"/>
  <c r="A44" i="11"/>
  <c r="A44" i="10"/>
  <c r="C24" i="16" l="1"/>
  <c r="C24" i="17"/>
  <c r="AB24" i="17" s="1"/>
  <c r="F37" i="2" l="1"/>
  <c r="D38" i="3"/>
  <c r="G35" i="9"/>
  <c r="K35" i="9" s="1"/>
  <c r="AA21" i="23" l="1"/>
  <c r="B36" i="43" l="1"/>
  <c r="C23" i="16" l="1"/>
  <c r="C54" i="17"/>
  <c r="C35" i="17"/>
  <c r="C120" i="17"/>
  <c r="C129" i="17"/>
  <c r="L38" i="15"/>
  <c r="C104" i="17"/>
  <c r="C54" i="16"/>
  <c r="C117" i="17"/>
  <c r="C23" i="17"/>
  <c r="AB23" i="17" s="1"/>
  <c r="C45" i="17" l="1"/>
  <c r="C79" i="17"/>
  <c r="C129" i="16"/>
  <c r="C32" i="17"/>
  <c r="C53" i="17"/>
  <c r="C53" i="16"/>
  <c r="C125" i="17"/>
  <c r="C118" i="17"/>
  <c r="AA28" i="22" l="1"/>
  <c r="L56" i="15"/>
  <c r="N55" i="15"/>
  <c r="AB81" i="19"/>
  <c r="AB36" i="19"/>
  <c r="AB29" i="19"/>
  <c r="N17" i="2" l="1"/>
  <c r="G23" i="12"/>
  <c r="K23" i="12" s="1"/>
  <c r="T28" i="22"/>
  <c r="AB38" i="19"/>
  <c r="AB85" i="19" s="1"/>
  <c r="T30" i="22" l="1"/>
  <c r="I26" i="17" l="1"/>
  <c r="I26" i="16"/>
  <c r="AI80" i="20" l="1"/>
  <c r="AK80" i="20" s="1"/>
  <c r="G34" i="11" l="1"/>
  <c r="K34" i="11" s="1"/>
  <c r="G21" i="23"/>
  <c r="L34" i="2"/>
  <c r="W21" i="23" l="1"/>
  <c r="W26" i="24"/>
  <c r="T19" i="29"/>
  <c r="V115" i="20"/>
  <c r="W21" i="24"/>
  <c r="W29" i="24" l="1"/>
  <c r="W31" i="24" s="1"/>
  <c r="V23" i="18"/>
  <c r="V27" i="18" s="1"/>
  <c r="T28" i="29"/>
  <c r="T32" i="29" s="1"/>
  <c r="T19" i="28"/>
  <c r="T32" i="28" s="1"/>
  <c r="W26" i="23"/>
  <c r="W29" i="23"/>
  <c r="U26" i="17" l="1"/>
  <c r="U26" i="16"/>
  <c r="U30" i="16" s="1"/>
  <c r="W31" i="23"/>
  <c r="I23" i="39"/>
  <c r="I46" i="39"/>
  <c r="I39" i="39"/>
  <c r="I29" i="39"/>
  <c r="I31" i="39" l="1"/>
  <c r="I49" i="39" l="1"/>
  <c r="I51" i="39" s="1"/>
  <c r="E69" i="23" l="1"/>
  <c r="AE35" i="17"/>
  <c r="T23" i="6"/>
  <c r="E20" i="23"/>
  <c r="E75" i="23"/>
  <c r="E24" i="23"/>
  <c r="I25" i="10"/>
  <c r="E25" i="23"/>
  <c r="E19" i="23"/>
  <c r="E79" i="23"/>
  <c r="AD24" i="23" l="1"/>
  <c r="R42" i="15" s="1"/>
  <c r="AD19" i="23"/>
  <c r="AD25" i="23"/>
  <c r="C35" i="16"/>
  <c r="AB35" i="16" s="1"/>
  <c r="C32" i="16"/>
  <c r="AE101" i="19"/>
  <c r="C125" i="16"/>
  <c r="C45" i="16"/>
  <c r="AB23" i="16"/>
  <c r="E80" i="23"/>
  <c r="E82" i="23"/>
  <c r="E81" i="23"/>
  <c r="E76" i="23"/>
  <c r="AD82" i="23" l="1"/>
  <c r="R41" i="2" s="1"/>
  <c r="J36" i="2"/>
  <c r="AD76" i="23"/>
  <c r="C126" i="16"/>
  <c r="R33" i="2" l="1"/>
  <c r="S26" i="23" l="1"/>
  <c r="A6" i="37"/>
  <c r="B9" i="37"/>
  <c r="A5" i="45" l="1"/>
  <c r="A6" i="38"/>
  <c r="A6" i="39" s="1"/>
  <c r="AD21" i="24" l="1"/>
  <c r="B6" i="40"/>
  <c r="I10" i="39"/>
  <c r="I10" i="40" s="1"/>
  <c r="AA10" i="41" s="1"/>
  <c r="T9" i="43"/>
  <c r="B9" i="43"/>
  <c r="AD12" i="29"/>
  <c r="AD12" i="28"/>
  <c r="AD12" i="27"/>
  <c r="AG11" i="25"/>
  <c r="AG11" i="24"/>
  <c r="AG11" i="23"/>
  <c r="AD11" i="22"/>
  <c r="AF11" i="21"/>
  <c r="AF11" i="20"/>
  <c r="AH11" i="19"/>
  <c r="AF11" i="18"/>
  <c r="AE14" i="17"/>
  <c r="AA12" i="29"/>
  <c r="AA12" i="28"/>
  <c r="AA12" i="27"/>
  <c r="AB12" i="26"/>
  <c r="AD11" i="25"/>
  <c r="AD11" i="24"/>
  <c r="AD11" i="23"/>
  <c r="AA11" i="22"/>
  <c r="AC11" i="21"/>
  <c r="AC11" i="20"/>
  <c r="AE11" i="19"/>
  <c r="AC11" i="18"/>
  <c r="AB14" i="17"/>
  <c r="T11" i="29"/>
  <c r="T11" i="28"/>
  <c r="T11" i="27"/>
  <c r="U11" i="26"/>
  <c r="W10" i="25"/>
  <c r="W10" i="24"/>
  <c r="W10" i="23"/>
  <c r="T10" i="22"/>
  <c r="V10" i="21"/>
  <c r="V10" i="20"/>
  <c r="V10" i="19"/>
  <c r="V10" i="18"/>
  <c r="U13" i="17"/>
  <c r="B11" i="29"/>
  <c r="B11" i="28"/>
  <c r="B11" i="27"/>
  <c r="C11" i="26"/>
  <c r="E10" i="25"/>
  <c r="E10" i="24"/>
  <c r="E10" i="23"/>
  <c r="B10" i="22"/>
  <c r="D10" i="21"/>
  <c r="D10" i="20"/>
  <c r="D10" i="19"/>
  <c r="D10" i="18"/>
  <c r="C13" i="17"/>
  <c r="A6" i="29"/>
  <c r="A6" i="28"/>
  <c r="A6" i="27"/>
  <c r="A6" i="26"/>
  <c r="B6" i="25"/>
  <c r="B6" i="23"/>
  <c r="A6" i="22"/>
  <c r="B6" i="21"/>
  <c r="B6" i="20"/>
  <c r="B6" i="19"/>
  <c r="B6" i="18"/>
  <c r="A6" i="17"/>
  <c r="AD13" i="15"/>
  <c r="AB13" i="15"/>
  <c r="D13" i="15"/>
  <c r="T15" i="6"/>
  <c r="R15" i="6"/>
  <c r="R15" i="5"/>
  <c r="B15" i="5"/>
  <c r="X28" i="28" l="1"/>
  <c r="I11" i="42"/>
  <c r="G11" i="42"/>
  <c r="G239" i="42" s="1"/>
  <c r="G20" i="14"/>
  <c r="K20" i="14" s="1"/>
  <c r="Y21" i="24"/>
  <c r="Y21" i="23"/>
  <c r="AD20" i="23"/>
  <c r="AG24" i="23"/>
  <c r="X43" i="37" l="1"/>
  <c r="X72" i="22"/>
  <c r="X30" i="22"/>
  <c r="Y21" i="26"/>
  <c r="F29" i="5"/>
  <c r="K11" i="42" l="1"/>
  <c r="AA28" i="28"/>
  <c r="F29" i="2"/>
  <c r="D30" i="3" l="1"/>
  <c r="D28" i="28" l="1"/>
  <c r="B26" i="6"/>
  <c r="AE55" i="19"/>
  <c r="AD79" i="23" l="1"/>
  <c r="AD69" i="23"/>
  <c r="AD81" i="23"/>
  <c r="AD80" i="23"/>
  <c r="R37" i="2" l="1"/>
  <c r="R38" i="2"/>
  <c r="R25" i="2"/>
  <c r="R36" i="2"/>
  <c r="AB99" i="19"/>
  <c r="B28" i="28" l="1"/>
  <c r="B28" i="27"/>
  <c r="B19" i="27"/>
  <c r="E21" i="24"/>
  <c r="B63" i="22"/>
  <c r="B21" i="22"/>
  <c r="B32" i="27" l="1"/>
  <c r="K21" i="23"/>
  <c r="P15" i="2" s="1"/>
  <c r="R41" i="15" l="1"/>
  <c r="K139" i="30" l="1"/>
  <c r="U21" i="23" l="1"/>
  <c r="U31" i="23" l="1"/>
  <c r="I42" i="10" l="1"/>
  <c r="AI95" i="20" l="1"/>
  <c r="AK95" i="20" s="1"/>
  <c r="N28" i="15"/>
  <c r="N38" i="15" s="1"/>
  <c r="D25" i="19" l="1"/>
  <c r="D72" i="19"/>
  <c r="C29" i="17"/>
  <c r="B30" i="22"/>
  <c r="C68" i="17"/>
  <c r="C41" i="16"/>
  <c r="E29" i="24"/>
  <c r="C21" i="26"/>
  <c r="C34" i="17"/>
  <c r="E35" i="23"/>
  <c r="C91" i="17"/>
  <c r="E28" i="23"/>
  <c r="C67" i="17"/>
  <c r="C41" i="17"/>
  <c r="B43" i="37"/>
  <c r="B72" i="22"/>
  <c r="C29" i="16"/>
  <c r="C113" i="17"/>
  <c r="C119" i="17"/>
  <c r="D95" i="19"/>
  <c r="D89" i="19"/>
  <c r="D22" i="19"/>
  <c r="C34" i="16" s="1"/>
  <c r="AB57" i="17"/>
  <c r="F55" i="15"/>
  <c r="X55" i="15" s="1"/>
  <c r="M233" i="42" l="1"/>
  <c r="I236" i="42"/>
  <c r="I169" i="42"/>
  <c r="M158" i="42"/>
  <c r="K236" i="42"/>
  <c r="M14" i="42"/>
  <c r="K99" i="42"/>
  <c r="M81" i="42"/>
  <c r="I192" i="42"/>
  <c r="I99" i="42"/>
  <c r="K192" i="42"/>
  <c r="K169" i="42"/>
  <c r="F95" i="19"/>
  <c r="E119" i="17"/>
  <c r="E29" i="23"/>
  <c r="V55" i="15"/>
  <c r="AB57" i="16"/>
  <c r="AE35" i="19"/>
  <c r="AH31" i="19"/>
  <c r="G45" i="23" l="1"/>
  <c r="E85" i="16" s="1"/>
  <c r="AH24" i="19"/>
  <c r="AH95" i="19"/>
  <c r="AG80" i="23"/>
  <c r="AH72" i="19"/>
  <c r="AH32" i="19"/>
  <c r="AG81" i="23"/>
  <c r="AE35" i="16"/>
  <c r="AH33" i="19"/>
  <c r="T20" i="5"/>
  <c r="AG79" i="23"/>
  <c r="AG75" i="23"/>
  <c r="AI78" i="20" l="1"/>
  <c r="AK78" i="20" s="1"/>
  <c r="E22" i="17"/>
  <c r="AC23" i="18"/>
  <c r="AD31" i="15"/>
  <c r="E41" i="17" l="1"/>
  <c r="E29" i="17"/>
  <c r="E37" i="17"/>
  <c r="E28" i="16"/>
  <c r="E91" i="17"/>
  <c r="E34" i="17"/>
  <c r="AH78" i="19"/>
  <c r="E68" i="17"/>
  <c r="D72" i="22"/>
  <c r="G29" i="24"/>
  <c r="G35" i="23"/>
  <c r="G23" i="23"/>
  <c r="E22" i="16"/>
  <c r="E21" i="26"/>
  <c r="E28" i="17"/>
  <c r="G30" i="11"/>
  <c r="K30" i="11" s="1"/>
  <c r="AI102" i="20"/>
  <c r="AK102" i="20" s="1"/>
  <c r="N53" i="15"/>
  <c r="N56" i="15" s="1"/>
  <c r="K49" i="9" l="1"/>
  <c r="K39" i="12"/>
  <c r="K41" i="9"/>
  <c r="W39" i="14"/>
  <c r="K41" i="11"/>
  <c r="K40" i="9"/>
  <c r="H18" i="37"/>
  <c r="H38" i="37"/>
  <c r="H36" i="37"/>
  <c r="H15" i="37"/>
  <c r="H37" i="37"/>
  <c r="H40" i="37"/>
  <c r="H28" i="37"/>
  <c r="H41" i="37"/>
  <c r="I19" i="26"/>
  <c r="J43" i="21"/>
  <c r="J72" i="19" s="1"/>
  <c r="J85" i="18"/>
  <c r="J84" i="18"/>
  <c r="J68" i="20"/>
  <c r="J25" i="20"/>
  <c r="J46" i="20"/>
  <c r="J37" i="18"/>
  <c r="J45" i="20"/>
  <c r="I68" i="17" s="1"/>
  <c r="J63" i="18"/>
  <c r="J26" i="18"/>
  <c r="J76" i="20"/>
  <c r="J60" i="18"/>
  <c r="J24" i="18"/>
  <c r="D22" i="15" s="1"/>
  <c r="J67" i="20"/>
  <c r="J89" i="20"/>
  <c r="J22" i="20"/>
  <c r="J90" i="20"/>
  <c r="J44" i="20"/>
  <c r="J77" i="20"/>
  <c r="H17" i="22"/>
  <c r="M25" i="34"/>
  <c r="AB21" i="26"/>
  <c r="G21" i="26"/>
  <c r="I32" i="11"/>
  <c r="I31" i="14"/>
  <c r="I22" i="12"/>
  <c r="I32" i="14"/>
  <c r="I31" i="11"/>
  <c r="I20" i="14"/>
  <c r="M28" i="34"/>
  <c r="I21" i="12"/>
  <c r="AI45" i="20"/>
  <c r="AK45" i="20" s="1"/>
  <c r="G68" i="17"/>
  <c r="AD19" i="29"/>
  <c r="I35" i="9"/>
  <c r="U39" i="14"/>
  <c r="I30" i="12"/>
  <c r="U24" i="11"/>
  <c r="I34" i="11"/>
  <c r="I39" i="12"/>
  <c r="I40" i="9"/>
  <c r="AC27" i="18"/>
  <c r="M20" i="34"/>
  <c r="U34" i="11"/>
  <c r="I32" i="12"/>
  <c r="K186" i="42"/>
  <c r="K239" i="42" s="1"/>
  <c r="I41" i="9"/>
  <c r="F30" i="22"/>
  <c r="N14" i="2"/>
  <c r="AA30" i="22"/>
  <c r="N23" i="15"/>
  <c r="G20" i="12"/>
  <c r="H72" i="19"/>
  <c r="H22" i="19"/>
  <c r="T18" i="6"/>
  <c r="AD19" i="28"/>
  <c r="O35" i="11"/>
  <c r="Z43" i="37"/>
  <c r="AI90" i="20"/>
  <c r="AK90" i="20" s="1"/>
  <c r="U24" i="14"/>
  <c r="I31" i="12"/>
  <c r="M19" i="34"/>
  <c r="F24" i="15"/>
  <c r="G29" i="17"/>
  <c r="I186" i="42"/>
  <c r="I239" i="42" s="1"/>
  <c r="H44" i="19"/>
  <c r="I49" i="9"/>
  <c r="G67" i="34"/>
  <c r="I29" i="24"/>
  <c r="H43" i="22"/>
  <c r="O33" i="14"/>
  <c r="AJ35" i="24"/>
  <c r="AL35" i="24" s="1"/>
  <c r="K35" i="24"/>
  <c r="M27" i="34"/>
  <c r="F18" i="32"/>
  <c r="H89" i="19"/>
  <c r="I23" i="12"/>
  <c r="N49" i="2"/>
  <c r="N51" i="2" s="1"/>
  <c r="AA72" i="22"/>
  <c r="G26" i="12"/>
  <c r="I25" i="12"/>
  <c r="U22" i="14"/>
  <c r="M29" i="34"/>
  <c r="I24" i="11"/>
  <c r="U31" i="11"/>
  <c r="U31" i="14"/>
  <c r="K18" i="25"/>
  <c r="AJ18" i="25"/>
  <c r="U25" i="14"/>
  <c r="M54" i="34"/>
  <c r="U20" i="11"/>
  <c r="O26" i="11"/>
  <c r="AB51" i="2"/>
  <c r="I41" i="11"/>
  <c r="U21" i="11"/>
  <c r="O27" i="14"/>
  <c r="G41" i="17"/>
  <c r="F37" i="15"/>
  <c r="X37" i="15" s="1"/>
  <c r="AG35" i="23"/>
  <c r="AL18" i="25"/>
  <c r="AI77" i="20"/>
  <c r="AK77" i="20" s="1"/>
  <c r="AH97" i="19"/>
  <c r="AE25" i="16"/>
  <c r="U22" i="11"/>
  <c r="I23" i="23"/>
  <c r="U30" i="11"/>
  <c r="M26" i="34"/>
  <c r="U21" i="14"/>
  <c r="H25" i="19"/>
  <c r="AJ20" i="24"/>
  <c r="AL20" i="24" s="1"/>
  <c r="AG20" i="23"/>
  <c r="AJ20" i="23" s="1"/>
  <c r="AL20" i="23" s="1"/>
  <c r="AG21" i="24"/>
  <c r="I30" i="11"/>
  <c r="E44" i="16"/>
  <c r="G28" i="23"/>
  <c r="G29" i="23" s="1"/>
  <c r="E67" i="17"/>
  <c r="F89" i="19"/>
  <c r="E113" i="17"/>
  <c r="E41" i="16"/>
  <c r="E29" i="16"/>
  <c r="D30" i="22"/>
  <c r="F25" i="19"/>
  <c r="F22" i="19"/>
  <c r="AE102" i="19"/>
  <c r="AB35" i="17"/>
  <c r="AH35" i="17" s="1"/>
  <c r="AJ35" i="17" s="1"/>
  <c r="V31" i="15"/>
  <c r="I26" i="12" l="1"/>
  <c r="K26" i="12"/>
  <c r="I20" i="12"/>
  <c r="K20" i="12"/>
  <c r="I91" i="17"/>
  <c r="H43" i="37"/>
  <c r="I41" i="16"/>
  <c r="I41" i="17"/>
  <c r="AB41" i="17" s="1"/>
  <c r="D37" i="15"/>
  <c r="V37" i="15" s="1"/>
  <c r="I29" i="17"/>
  <c r="I29" i="16"/>
  <c r="D24" i="15"/>
  <c r="I21" i="26"/>
  <c r="B20" i="5"/>
  <c r="B21" i="5" s="1"/>
  <c r="H30" i="22"/>
  <c r="I28" i="17"/>
  <c r="I28" i="16"/>
  <c r="L14" i="2"/>
  <c r="L23" i="15"/>
  <c r="J25" i="19"/>
  <c r="I37" i="17"/>
  <c r="J22" i="19"/>
  <c r="I34" i="17"/>
  <c r="J89" i="19"/>
  <c r="H25" i="3"/>
  <c r="I113" i="17"/>
  <c r="J44" i="19"/>
  <c r="I67" i="17"/>
  <c r="H26" i="3"/>
  <c r="I114" i="17"/>
  <c r="K35" i="23"/>
  <c r="K23" i="24"/>
  <c r="H69" i="22"/>
  <c r="K28" i="24"/>
  <c r="G34" i="17"/>
  <c r="C31" i="9"/>
  <c r="G37" i="16"/>
  <c r="I28" i="23"/>
  <c r="I29" i="23" s="1"/>
  <c r="G34" i="16"/>
  <c r="G113" i="17"/>
  <c r="G67" i="17"/>
  <c r="G91" i="17"/>
  <c r="AG21" i="23"/>
  <c r="O37" i="14"/>
  <c r="G28" i="16"/>
  <c r="G29" i="16"/>
  <c r="G114" i="17"/>
  <c r="G28" i="17"/>
  <c r="G37" i="17"/>
  <c r="O39" i="11"/>
  <c r="I35" i="23"/>
  <c r="G41" i="16"/>
  <c r="G44" i="16"/>
  <c r="E34" i="16"/>
  <c r="E37" i="16"/>
  <c r="Y26" i="24"/>
  <c r="X115" i="20"/>
  <c r="J37" i="2"/>
  <c r="Y29" i="24"/>
  <c r="V28" i="29"/>
  <c r="V19" i="29"/>
  <c r="V19" i="28"/>
  <c r="V32" i="28" s="1"/>
  <c r="AE23" i="19"/>
  <c r="I30" i="16" l="1"/>
  <c r="AD35" i="23"/>
  <c r="AJ35" i="23" s="1"/>
  <c r="AL35" i="23" s="1"/>
  <c r="H72" i="22"/>
  <c r="L49" i="2"/>
  <c r="L51" i="2" s="1"/>
  <c r="I34" i="16"/>
  <c r="H30" i="15"/>
  <c r="H24" i="2"/>
  <c r="AE22" i="19"/>
  <c r="I37" i="16"/>
  <c r="H33" i="15"/>
  <c r="K29" i="24"/>
  <c r="K28" i="23"/>
  <c r="K26" i="24"/>
  <c r="K23" i="23"/>
  <c r="Y29" i="23"/>
  <c r="Y31" i="24"/>
  <c r="X23" i="18"/>
  <c r="X27" i="18" s="1"/>
  <c r="W26" i="16"/>
  <c r="V32" i="29"/>
  <c r="W26" i="17"/>
  <c r="AK23" i="19"/>
  <c r="AM23" i="19" s="1"/>
  <c r="J31" i="15"/>
  <c r="AH35" i="16"/>
  <c r="AJ35" i="16" s="1"/>
  <c r="K26" i="23" l="1"/>
  <c r="P16" i="2" s="1"/>
  <c r="P41" i="15"/>
  <c r="I44" i="16"/>
  <c r="K29" i="23"/>
  <c r="P17" i="2" s="1"/>
  <c r="P53" i="15"/>
  <c r="K31" i="24"/>
  <c r="AE81" i="17"/>
  <c r="AH57" i="19"/>
  <c r="AE81" i="16" s="1"/>
  <c r="AI96" i="20"/>
  <c r="AK96" i="20" s="1"/>
  <c r="AH103" i="19"/>
  <c r="AD38" i="2" s="1"/>
  <c r="AI103" i="20"/>
  <c r="AK103" i="20" s="1"/>
  <c r="Y26" i="23"/>
  <c r="W30" i="16"/>
  <c r="K31" i="23" l="1"/>
  <c r="AD28" i="22"/>
  <c r="AG27" i="22"/>
  <c r="AI27" i="22" s="1"/>
  <c r="AH55" i="19"/>
  <c r="I67" i="34"/>
  <c r="T27" i="5"/>
  <c r="AE127" i="16"/>
  <c r="Y31" i="23"/>
  <c r="V13" i="15" l="1"/>
  <c r="R13" i="15"/>
  <c r="P13" i="15"/>
  <c r="N13" i="15"/>
  <c r="L13" i="15"/>
  <c r="J13" i="15"/>
  <c r="H13" i="15"/>
  <c r="AD12" i="15"/>
  <c r="X12" i="15"/>
  <c r="R12" i="15"/>
  <c r="N12" i="15"/>
  <c r="J12" i="15"/>
  <c r="E22" i="8" l="1"/>
  <c r="E32" i="7" l="1"/>
  <c r="V52" i="15"/>
  <c r="V51" i="15"/>
  <c r="N47" i="15"/>
  <c r="V42" i="15"/>
  <c r="V30" i="15"/>
  <c r="V28" i="15"/>
  <c r="V24" i="15"/>
  <c r="R25" i="15"/>
  <c r="P25" i="15"/>
  <c r="N25" i="15"/>
  <c r="N58" i="15" l="1"/>
  <c r="F19" i="15" l="1"/>
  <c r="X24" i="15"/>
  <c r="F28" i="15"/>
  <c r="F30" i="15"/>
  <c r="F42" i="15"/>
  <c r="F44" i="15"/>
  <c r="F51" i="15"/>
  <c r="X51" i="15" s="1"/>
  <c r="F52" i="15"/>
  <c r="X52" i="15" s="1"/>
  <c r="X18" i="15" l="1"/>
  <c r="X19" i="15"/>
  <c r="Z40" i="43" l="1"/>
  <c r="B42" i="43" l="1"/>
  <c r="B44" i="43" s="1"/>
  <c r="D12" i="43" s="1"/>
  <c r="F72" i="22" l="1"/>
  <c r="A39" i="13" l="1"/>
  <c r="A41" i="11"/>
  <c r="A41" i="10"/>
  <c r="A49" i="9"/>
  <c r="AE54" i="16" l="1"/>
  <c r="AE53" i="16"/>
  <c r="AD52" i="15" l="1"/>
  <c r="AH52" i="15" s="1"/>
  <c r="AJ52" i="15" s="1"/>
  <c r="AD51" i="15"/>
  <c r="AH51" i="15" s="1"/>
  <c r="AJ51" i="15" s="1"/>
  <c r="AK54" i="21"/>
  <c r="AJ92" i="24"/>
  <c r="AL92" i="24" s="1"/>
  <c r="AI31" i="21"/>
  <c r="AK31" i="21" s="1"/>
  <c r="G31" i="13" l="1"/>
  <c r="I31" i="13" l="1"/>
  <c r="K31" i="13"/>
  <c r="L19" i="5"/>
  <c r="H14" i="5"/>
  <c r="T14" i="5" s="1"/>
  <c r="N14" i="5"/>
  <c r="F15" i="5"/>
  <c r="H15" i="5"/>
  <c r="L15" i="5"/>
  <c r="L20" i="5"/>
  <c r="L27" i="5" l="1"/>
  <c r="L26" i="5"/>
  <c r="L25" i="5"/>
  <c r="AE104" i="17" l="1"/>
  <c r="AE79" i="17"/>
  <c r="AE65" i="17"/>
  <c r="AE45" i="17"/>
  <c r="AE126" i="17"/>
  <c r="AE127" i="17"/>
  <c r="AE125" i="17"/>
  <c r="AE118" i="17"/>
  <c r="AE117" i="17"/>
  <c r="AE29" i="16" l="1"/>
  <c r="AE24" i="16"/>
  <c r="AE23" i="16"/>
  <c r="AD18" i="15" s="1"/>
  <c r="AE54" i="17"/>
  <c r="AE53" i="17"/>
  <c r="AE46" i="17"/>
  <c r="AE44" i="17"/>
  <c r="AE32" i="17"/>
  <c r="AE29" i="17"/>
  <c r="AE25" i="17"/>
  <c r="AE24" i="17"/>
  <c r="AH24" i="17" s="1"/>
  <c r="AE23" i="17"/>
  <c r="AJ24" i="24"/>
  <c r="AL24" i="24" s="1"/>
  <c r="AD24" i="15" l="1"/>
  <c r="AH24" i="15" s="1"/>
  <c r="AJ24" i="15" s="1"/>
  <c r="AH18" i="15"/>
  <c r="AJ18" i="15" s="1"/>
  <c r="AD19" i="15"/>
  <c r="AH19" i="15" s="1"/>
  <c r="AJ19" i="15" s="1"/>
  <c r="AD20" i="15"/>
  <c r="AG26" i="22" l="1"/>
  <c r="AI26" i="22" s="1"/>
  <c r="AG20" i="22"/>
  <c r="AI20" i="22" s="1"/>
  <c r="AJ58" i="24"/>
  <c r="AL58" i="24" s="1"/>
  <c r="AJ42" i="24"/>
  <c r="AL42" i="24" s="1"/>
  <c r="AD75" i="23" l="1"/>
  <c r="R32" i="2" s="1"/>
  <c r="AJ25" i="23"/>
  <c r="AL25" i="23" s="1"/>
  <c r="R46" i="15"/>
  <c r="R47" i="15" s="1"/>
  <c r="AJ19" i="23"/>
  <c r="AL19" i="23" s="1"/>
  <c r="R32" i="15"/>
  <c r="R35" i="15"/>
  <c r="AB27" i="16"/>
  <c r="AE46" i="16"/>
  <c r="AD43" i="15" s="1"/>
  <c r="AE32" i="16"/>
  <c r="AD28" i="15" s="1"/>
  <c r="AE45" i="16"/>
  <c r="AE31" i="19"/>
  <c r="AE32" i="19"/>
  <c r="AD26" i="23"/>
  <c r="AJ24" i="23"/>
  <c r="AL24" i="23" s="1"/>
  <c r="AI50" i="18"/>
  <c r="AK50" i="18" s="1"/>
  <c r="AI49" i="18"/>
  <c r="AK49" i="18" s="1"/>
  <c r="AI43" i="18"/>
  <c r="AK43" i="18" s="1"/>
  <c r="AI41" i="18"/>
  <c r="AK41" i="18" s="1"/>
  <c r="AI31" i="18"/>
  <c r="AK31" i="18" s="1"/>
  <c r="AI29" i="18"/>
  <c r="AK29" i="18" s="1"/>
  <c r="AI21" i="18"/>
  <c r="AK21" i="18" s="1"/>
  <c r="AI20" i="18"/>
  <c r="AK20" i="18" s="1"/>
  <c r="AA13" i="3"/>
  <c r="Y13" i="3"/>
  <c r="F13" i="3"/>
  <c r="F12" i="3"/>
  <c r="D13" i="3"/>
  <c r="AD42" i="15" l="1"/>
  <c r="J46" i="15"/>
  <c r="AK31" i="19"/>
  <c r="AM31" i="19" s="1"/>
  <c r="J41" i="15"/>
  <c r="AK32" i="19"/>
  <c r="AM32" i="19" s="1"/>
  <c r="J42" i="15"/>
  <c r="X42" i="15" s="1"/>
  <c r="AK33" i="19"/>
  <c r="AM33" i="19" s="1"/>
  <c r="J43" i="15"/>
  <c r="AK24" i="19"/>
  <c r="AM24" i="19" s="1"/>
  <c r="J32" i="15"/>
  <c r="J30" i="15"/>
  <c r="X30" i="15" s="1"/>
  <c r="AK20" i="19"/>
  <c r="AM20" i="19" s="1"/>
  <c r="X31" i="15"/>
  <c r="AH31" i="15" s="1"/>
  <c r="AJ31" i="15" s="1"/>
  <c r="AI26" i="18"/>
  <c r="AK26" i="18" s="1"/>
  <c r="AG28" i="22"/>
  <c r="AI21" i="22"/>
  <c r="R16" i="2"/>
  <c r="AA39" i="3"/>
  <c r="AA38" i="3"/>
  <c r="AA37" i="3"/>
  <c r="AA30" i="3"/>
  <c r="AI28" i="22" l="1"/>
  <c r="AB41" i="16"/>
  <c r="AH42" i="15"/>
  <c r="AJ42" i="15" s="1"/>
  <c r="X28" i="15"/>
  <c r="AH28" i="15" s="1"/>
  <c r="AJ28" i="15" s="1"/>
  <c r="J50" i="3" l="1"/>
  <c r="AA29" i="3" l="1"/>
  <c r="AI43" i="21" l="1"/>
  <c r="AK43" i="21" s="1"/>
  <c r="AI32" i="21"/>
  <c r="AK32" i="21" s="1"/>
  <c r="AI86" i="21" l="1"/>
  <c r="AK86" i="21" s="1"/>
  <c r="J18" i="33" l="1"/>
  <c r="AG25" i="28" l="1"/>
  <c r="AI25" i="28" s="1"/>
  <c r="AG24" i="28"/>
  <c r="AI24" i="28" s="1"/>
  <c r="D26" i="5"/>
  <c r="A39" i="12"/>
  <c r="A48" i="8"/>
  <c r="AH28" i="26" l="1"/>
  <c r="AJ28" i="26" s="1"/>
  <c r="D27" i="5"/>
  <c r="AH27" i="26"/>
  <c r="AJ27" i="26" s="1"/>
  <c r="AH26" i="26"/>
  <c r="AJ26" i="26" s="1"/>
  <c r="D25" i="5"/>
  <c r="AH19" i="26"/>
  <c r="AJ19" i="26" s="1"/>
  <c r="D20" i="5"/>
  <c r="N20" i="5" s="1"/>
  <c r="W20" i="5" s="1"/>
  <c r="Y20" i="5" s="1"/>
  <c r="D19" i="5"/>
  <c r="N19" i="5" s="1"/>
  <c r="D18" i="5"/>
  <c r="AG36" i="27"/>
  <c r="AI36" i="27" s="1"/>
  <c r="AG26" i="27"/>
  <c r="AI26" i="27" s="1"/>
  <c r="N26" i="5"/>
  <c r="H25" i="5"/>
  <c r="AG17" i="27"/>
  <c r="AI17" i="27" s="1"/>
  <c r="N18" i="5" l="1"/>
  <c r="N27" i="5"/>
  <c r="W27" i="5" s="1"/>
  <c r="Y27" i="5" s="1"/>
  <c r="D21" i="5"/>
  <c r="H29" i="5"/>
  <c r="N25" i="5"/>
  <c r="H21" i="5"/>
  <c r="AG19" i="27"/>
  <c r="AI19" i="27" s="1"/>
  <c r="H32" i="5" l="1"/>
  <c r="N21" i="5"/>
  <c r="AG48" i="22" l="1"/>
  <c r="AI48" i="22" s="1"/>
  <c r="AG42" i="22"/>
  <c r="AI42" i="22" s="1"/>
  <c r="AA29" i="24" l="1"/>
  <c r="AD29" i="24"/>
  <c r="G22" i="14" s="1"/>
  <c r="K22" i="14" s="1"/>
  <c r="F31" i="2"/>
  <c r="D32" i="3" l="1"/>
  <c r="G22" i="13"/>
  <c r="I22" i="13" l="1"/>
  <c r="K22" i="13"/>
  <c r="P56" i="15"/>
  <c r="AD28" i="23"/>
  <c r="AA29" i="23"/>
  <c r="N39" i="3"/>
  <c r="L39" i="3"/>
  <c r="N37" i="3"/>
  <c r="L37" i="3"/>
  <c r="N34" i="3"/>
  <c r="L34" i="3"/>
  <c r="N33" i="3"/>
  <c r="L33" i="3"/>
  <c r="N32" i="3"/>
  <c r="L32" i="3"/>
  <c r="N31" i="3"/>
  <c r="L31" i="3"/>
  <c r="N30" i="3"/>
  <c r="L30" i="3"/>
  <c r="N29" i="3"/>
  <c r="L29" i="3"/>
  <c r="N27" i="3"/>
  <c r="L27" i="3"/>
  <c r="N26" i="3"/>
  <c r="L26" i="3"/>
  <c r="N25" i="3"/>
  <c r="L25" i="3"/>
  <c r="T13" i="3"/>
  <c r="R13" i="3"/>
  <c r="N13" i="3"/>
  <c r="L13" i="3"/>
  <c r="J13" i="3"/>
  <c r="H13" i="3"/>
  <c r="T12" i="3"/>
  <c r="N12" i="3"/>
  <c r="J12" i="3"/>
  <c r="R53" i="15" l="1"/>
  <c r="AD29" i="23"/>
  <c r="N35" i="3"/>
  <c r="L35" i="3"/>
  <c r="R17" i="2" l="1"/>
  <c r="R56" i="15"/>
  <c r="AI95" i="18" l="1"/>
  <c r="AK95" i="18" s="1"/>
  <c r="AI64" i="18"/>
  <c r="AK64" i="18" s="1"/>
  <c r="AI37" i="18" l="1"/>
  <c r="AK37" i="18" s="1"/>
  <c r="AE41" i="17"/>
  <c r="AH41" i="17" s="1"/>
  <c r="AJ41" i="17" s="1"/>
  <c r="AE41" i="16"/>
  <c r="AB117" i="19"/>
  <c r="I34" i="10"/>
  <c r="I35" i="10" s="1"/>
  <c r="T19" i="5"/>
  <c r="W19" i="5" s="1"/>
  <c r="Y19" i="5" s="1"/>
  <c r="AH18" i="26"/>
  <c r="AJ18" i="26" s="1"/>
  <c r="AA26" i="24"/>
  <c r="AA31" i="24" s="1"/>
  <c r="AD13" i="24"/>
  <c r="Z46" i="18"/>
  <c r="AH93" i="19"/>
  <c r="AE117" i="16" s="1"/>
  <c r="X28" i="29"/>
  <c r="AD72" i="22"/>
  <c r="AG72" i="22" s="1"/>
  <c r="AI87" i="18"/>
  <c r="AK87" i="18" s="1"/>
  <c r="AE72" i="19"/>
  <c r="AK72" i="19" s="1"/>
  <c r="AM72" i="19" s="1"/>
  <c r="AK55" i="19"/>
  <c r="AM55" i="19" s="1"/>
  <c r="AI90" i="18"/>
  <c r="AK90" i="18" s="1"/>
  <c r="AI75" i="18"/>
  <c r="AK75" i="18" s="1"/>
  <c r="AI68" i="18"/>
  <c r="AK68" i="18" s="1"/>
  <c r="AI60" i="18"/>
  <c r="AK60" i="18" s="1"/>
  <c r="AD28" i="2" l="1"/>
  <c r="Z115" i="20"/>
  <c r="X19" i="29"/>
  <c r="X32" i="29" s="1"/>
  <c r="X19" i="28"/>
  <c r="X32" i="28" s="1"/>
  <c r="AD37" i="15"/>
  <c r="AH37" i="15" s="1"/>
  <c r="AJ37" i="15" s="1"/>
  <c r="AH41" i="16"/>
  <c r="AJ41" i="16" s="1"/>
  <c r="Z23" i="18"/>
  <c r="Z27" i="18" s="1"/>
  <c r="Y26" i="16"/>
  <c r="AA26" i="23"/>
  <c r="Y26" i="17"/>
  <c r="AH117" i="16" l="1"/>
  <c r="AJ117" i="16" s="1"/>
  <c r="AA31" i="23"/>
  <c r="Y30" i="16"/>
  <c r="L50" i="3" l="1"/>
  <c r="L49" i="3"/>
  <c r="L18" i="3"/>
  <c r="L16" i="3"/>
  <c r="L51" i="3" l="1"/>
  <c r="L20" i="3" l="1"/>
  <c r="Q67" i="34" l="1"/>
  <c r="J38" i="3"/>
  <c r="J34" i="3"/>
  <c r="J32" i="3"/>
  <c r="J31" i="3"/>
  <c r="J30" i="3"/>
  <c r="J29" i="3"/>
  <c r="J26" i="3"/>
  <c r="J25" i="3"/>
  <c r="J20" i="3" l="1"/>
  <c r="J39" i="3"/>
  <c r="J37" i="3"/>
  <c r="AJ81" i="24"/>
  <c r="AL81" i="24" s="1"/>
  <c r="AJ80" i="24"/>
  <c r="AL80" i="24" s="1"/>
  <c r="AJ79" i="24"/>
  <c r="AL79" i="24" s="1"/>
  <c r="AJ76" i="24"/>
  <c r="AL76" i="24" s="1"/>
  <c r="AJ63" i="25"/>
  <c r="AL63" i="25" s="1"/>
  <c r="AJ62" i="25"/>
  <c r="AL62" i="25" s="1"/>
  <c r="AJ61" i="25"/>
  <c r="AL61" i="25" s="1"/>
  <c r="AJ57" i="25"/>
  <c r="AL57" i="25" s="1"/>
  <c r="X39" i="27"/>
  <c r="V39" i="27"/>
  <c r="T39" i="27"/>
  <c r="AG24" i="29"/>
  <c r="AI24" i="29" s="1"/>
  <c r="AE115" i="19" l="1"/>
  <c r="E29" i="8"/>
  <c r="E21" i="8"/>
  <c r="E32" i="8"/>
  <c r="E30" i="8"/>
  <c r="E40" i="7"/>
  <c r="E25" i="8"/>
  <c r="E24" i="8"/>
  <c r="E33" i="8"/>
  <c r="E23" i="8"/>
  <c r="E31" i="8"/>
  <c r="E20" i="8"/>
  <c r="V44" i="27"/>
  <c r="T44" i="27"/>
  <c r="G31" i="10"/>
  <c r="G24" i="10"/>
  <c r="X44" i="27"/>
  <c r="G30" i="10"/>
  <c r="AG53" i="22"/>
  <c r="AI53" i="22" s="1"/>
  <c r="AJ82" i="24"/>
  <c r="AL82" i="24" s="1"/>
  <c r="AG70" i="22"/>
  <c r="AI70" i="22" s="1"/>
  <c r="AG69" i="22"/>
  <c r="AI69" i="22" s="1"/>
  <c r="AJ64" i="25"/>
  <c r="AL64" i="25" s="1"/>
  <c r="AJ25" i="24"/>
  <c r="AL25" i="24" s="1"/>
  <c r="AJ19" i="24"/>
  <c r="AL19" i="24" s="1"/>
  <c r="AJ75" i="24"/>
  <c r="AL75" i="24" s="1"/>
  <c r="AG59" i="22"/>
  <c r="AI59" i="22" s="1"/>
  <c r="N34" i="2"/>
  <c r="K24" i="10" l="1"/>
  <c r="J50" i="2"/>
  <c r="K31" i="10"/>
  <c r="K30" i="10"/>
  <c r="E22" i="7"/>
  <c r="E40" i="14"/>
  <c r="E30" i="7"/>
  <c r="E20" i="7"/>
  <c r="E31" i="7"/>
  <c r="E40" i="12"/>
  <c r="E35" i="10"/>
  <c r="E34" i="8"/>
  <c r="E42" i="11"/>
  <c r="E24" i="7"/>
  <c r="E25" i="7"/>
  <c r="E29" i="7"/>
  <c r="E21" i="7"/>
  <c r="E26" i="10"/>
  <c r="E33" i="13"/>
  <c r="E26" i="8"/>
  <c r="E33" i="7"/>
  <c r="E27" i="13"/>
  <c r="E23" i="7"/>
  <c r="AI72" i="22"/>
  <c r="AJ21" i="24"/>
  <c r="AL21" i="24" s="1"/>
  <c r="H24" i="6"/>
  <c r="AI109" i="18"/>
  <c r="AK109" i="18" s="1"/>
  <c r="AI110" i="18"/>
  <c r="AK110" i="18" s="1"/>
  <c r="AI117" i="18"/>
  <c r="AK117" i="18" s="1"/>
  <c r="M30" i="10" l="1"/>
  <c r="O30" i="10"/>
  <c r="M31" i="10"/>
  <c r="O31" i="10"/>
  <c r="M24" i="10"/>
  <c r="O24" i="10"/>
  <c r="Q42" i="11"/>
  <c r="E39" i="10"/>
  <c r="E42" i="10" s="1"/>
  <c r="E37" i="8"/>
  <c r="E37" i="13"/>
  <c r="E26" i="7"/>
  <c r="G20" i="13"/>
  <c r="AI118" i="18"/>
  <c r="AK118" i="18" s="1"/>
  <c r="K20" i="13" l="1"/>
  <c r="I20" i="13"/>
  <c r="G30" i="7"/>
  <c r="K30" i="7" s="1"/>
  <c r="M147" i="42" l="1"/>
  <c r="M18" i="42"/>
  <c r="M224" i="42"/>
  <c r="M111" i="42"/>
  <c r="M104" i="42"/>
  <c r="M153" i="42"/>
  <c r="M26" i="42"/>
  <c r="M219" i="42"/>
  <c r="M36" i="42"/>
  <c r="M231" i="42"/>
  <c r="M221" i="42"/>
  <c r="M203" i="42"/>
  <c r="M146" i="42"/>
  <c r="M140" i="42"/>
  <c r="M207" i="42"/>
  <c r="M98" i="42"/>
  <c r="M15" i="42"/>
  <c r="M129" i="42"/>
  <c r="M45" i="42"/>
  <c r="M138" i="42"/>
  <c r="M28" i="42"/>
  <c r="M156" i="42"/>
  <c r="M32" i="42"/>
  <c r="M125" i="42"/>
  <c r="M38" i="42"/>
  <c r="M58" i="42"/>
  <c r="M52" i="42"/>
  <c r="M82" i="42"/>
  <c r="M53" i="42"/>
  <c r="M67" i="42"/>
  <c r="M143" i="42"/>
  <c r="M229" i="42"/>
  <c r="O169" i="42"/>
  <c r="M51" i="42"/>
  <c r="M144" i="42"/>
  <c r="M134" i="42"/>
  <c r="M226" i="42"/>
  <c r="M97" i="42"/>
  <c r="M167" i="42"/>
  <c r="M21" i="42"/>
  <c r="M16" i="42"/>
  <c r="M154" i="42"/>
  <c r="M91" i="42"/>
  <c r="M61" i="42"/>
  <c r="M201" i="42"/>
  <c r="M95" i="42"/>
  <c r="M230" i="42"/>
  <c r="M209" i="42"/>
  <c r="M75" i="42"/>
  <c r="M118" i="42"/>
  <c r="M92" i="42"/>
  <c r="M88" i="42"/>
  <c r="M124" i="42"/>
  <c r="M55" i="42"/>
  <c r="M227" i="42"/>
  <c r="M23" i="42"/>
  <c r="M223" i="42"/>
  <c r="M103" i="42"/>
  <c r="M119" i="42"/>
  <c r="M121" i="42"/>
  <c r="M66" i="42"/>
  <c r="M168" i="42"/>
  <c r="M114" i="42"/>
  <c r="M149" i="42"/>
  <c r="M200" i="42"/>
  <c r="M78" i="42"/>
  <c r="M145" i="42"/>
  <c r="M232" i="42"/>
  <c r="M40" i="42"/>
  <c r="M127" i="42"/>
  <c r="M218" i="42"/>
  <c r="M34" i="42"/>
  <c r="M155" i="42"/>
  <c r="M141" i="42"/>
  <c r="M205" i="42"/>
  <c r="M117" i="42"/>
  <c r="M110" i="42"/>
  <c r="M22" i="42"/>
  <c r="M109" i="42"/>
  <c r="M80" i="42"/>
  <c r="M115" i="42"/>
  <c r="M204" i="42"/>
  <c r="M69" i="42"/>
  <c r="M57" i="42"/>
  <c r="M44" i="42"/>
  <c r="M17" i="42"/>
  <c r="M235" i="42"/>
  <c r="M135" i="42"/>
  <c r="M85" i="42"/>
  <c r="M151" i="42"/>
  <c r="M150" i="42"/>
  <c r="M37" i="42"/>
  <c r="M142" i="42"/>
  <c r="M77" i="42"/>
  <c r="M210" i="42"/>
  <c r="M197" i="42"/>
  <c r="M48" i="42"/>
  <c r="M220" i="42"/>
  <c r="M215" i="42"/>
  <c r="M93" i="42"/>
  <c r="M46" i="42"/>
  <c r="M133" i="42"/>
  <c r="M161" i="42"/>
  <c r="M191" i="42"/>
  <c r="M89" i="42"/>
  <c r="M90" i="42"/>
  <c r="M20" i="42"/>
  <c r="M29" i="42"/>
  <c r="M163" i="42"/>
  <c r="M164" i="42"/>
  <c r="M196" i="42"/>
  <c r="M199" i="42"/>
  <c r="M136" i="42"/>
  <c r="M208" i="42"/>
  <c r="M108" i="42"/>
  <c r="M39" i="42"/>
  <c r="M70" i="42"/>
  <c r="M157" i="42"/>
  <c r="M19" i="42"/>
  <c r="M96" i="42"/>
  <c r="M166" i="42"/>
  <c r="M62" i="42"/>
  <c r="M49" i="42"/>
  <c r="M30" i="42"/>
  <c r="M148" i="42"/>
  <c r="M165" i="42"/>
  <c r="M128" i="42"/>
  <c r="M43" i="42"/>
  <c r="M123" i="42"/>
  <c r="M41" i="42"/>
  <c r="M202" i="42"/>
  <c r="M198" i="42"/>
  <c r="M31" i="42"/>
  <c r="M113" i="42"/>
  <c r="M71" i="42"/>
  <c r="M74" i="42"/>
  <c r="M72" i="42"/>
  <c r="M86" i="42"/>
  <c r="M25" i="42"/>
  <c r="M185" i="42"/>
  <c r="M126" i="42"/>
  <c r="M68" i="42"/>
  <c r="M42" i="42"/>
  <c r="O99" i="42"/>
  <c r="M79" i="42"/>
  <c r="M120" i="42"/>
  <c r="M76" i="42"/>
  <c r="M24" i="42"/>
  <c r="M137" i="42"/>
  <c r="M112" i="42"/>
  <c r="M139" i="42"/>
  <c r="M217" i="42"/>
  <c r="M122" i="42"/>
  <c r="M222" i="42"/>
  <c r="M47" i="42"/>
  <c r="M130" i="42"/>
  <c r="M213" i="42"/>
  <c r="M56" i="42"/>
  <c r="M216" i="42"/>
  <c r="O186" i="42"/>
  <c r="M184" i="42"/>
  <c r="M206" i="42"/>
  <c r="M94" i="42"/>
  <c r="M50" i="42"/>
  <c r="M131" i="42"/>
  <c r="M87" i="42"/>
  <c r="M63" i="42"/>
  <c r="M27" i="42"/>
  <c r="M59" i="42"/>
  <c r="M225" i="42"/>
  <c r="M65" i="42"/>
  <c r="M73" i="42"/>
  <c r="M116" i="42"/>
  <c r="M228" i="42"/>
  <c r="M211" i="42"/>
  <c r="M35" i="42"/>
  <c r="M102" i="42"/>
  <c r="M60" i="42"/>
  <c r="M214" i="42"/>
  <c r="M132" i="42"/>
  <c r="M33" i="42"/>
  <c r="O192" i="42"/>
  <c r="M189" i="42"/>
  <c r="M64" i="42"/>
  <c r="M190" i="42"/>
  <c r="M195" i="42"/>
  <c r="O236" i="42"/>
  <c r="M152" i="42"/>
  <c r="M212" i="42"/>
  <c r="M160" i="42"/>
  <c r="M54" i="42"/>
  <c r="M234" i="42"/>
  <c r="G34" i="10"/>
  <c r="G25" i="11" l="1"/>
  <c r="J49" i="3"/>
  <c r="AI112" i="20"/>
  <c r="AK112" i="20" s="1"/>
  <c r="AC115" i="20"/>
  <c r="AD26" i="24"/>
  <c r="AD31" i="24" s="1"/>
  <c r="J27" i="3"/>
  <c r="M186" i="42"/>
  <c r="M99" i="42"/>
  <c r="M236" i="42"/>
  <c r="M169" i="42"/>
  <c r="M192" i="42"/>
  <c r="K34" i="10"/>
  <c r="M34" i="10" l="1"/>
  <c r="O34" i="10"/>
  <c r="I25" i="11"/>
  <c r="K25" i="11"/>
  <c r="H51" i="3"/>
  <c r="E45" i="23"/>
  <c r="E23" i="23"/>
  <c r="F115" i="20"/>
  <c r="E26" i="24"/>
  <c r="E31" i="24" s="1"/>
  <c r="G21" i="14"/>
  <c r="D91" i="19"/>
  <c r="D115" i="20"/>
  <c r="AI66" i="21"/>
  <c r="AK66" i="21" s="1"/>
  <c r="AI64" i="21"/>
  <c r="AK64" i="21" s="1"/>
  <c r="AI54" i="21"/>
  <c r="I21" i="14" l="1"/>
  <c r="K21" i="14"/>
  <c r="E26" i="23"/>
  <c r="I26" i="24"/>
  <c r="I31" i="24" s="1"/>
  <c r="H115" i="20"/>
  <c r="AD45" i="23"/>
  <c r="G26" i="24"/>
  <c r="G31" i="24" s="1"/>
  <c r="T25" i="5"/>
  <c r="W25" i="5" s="1"/>
  <c r="Y25" i="5" s="1"/>
  <c r="AG24" i="27"/>
  <c r="AI24" i="27" s="1"/>
  <c r="AE57" i="17"/>
  <c r="AH57" i="17" s="1"/>
  <c r="AJ57" i="17" s="1"/>
  <c r="AI53" i="18"/>
  <c r="AK53" i="18" s="1"/>
  <c r="AE57" i="16"/>
  <c r="AD55" i="15" s="1"/>
  <c r="AH55" i="15" s="1"/>
  <c r="AJ55" i="15" s="1"/>
  <c r="AI35" i="20"/>
  <c r="AK35" i="20" s="1"/>
  <c r="AH35" i="19"/>
  <c r="AK35" i="19" s="1"/>
  <c r="AM35" i="19" s="1"/>
  <c r="AI73" i="18"/>
  <c r="AK73" i="18" s="1"/>
  <c r="AI44" i="18"/>
  <c r="AK44" i="18" s="1"/>
  <c r="AJ48" i="24"/>
  <c r="AL48" i="24" s="1"/>
  <c r="AH90" i="19"/>
  <c r="AH17" i="26"/>
  <c r="AH21" i="26" s="1"/>
  <c r="AE21" i="26"/>
  <c r="T18" i="5"/>
  <c r="T21" i="5" s="1"/>
  <c r="G21" i="13"/>
  <c r="J51" i="3"/>
  <c r="K21" i="13" l="1"/>
  <c r="I21" i="13"/>
  <c r="I26" i="23"/>
  <c r="P47" i="15"/>
  <c r="G26" i="23"/>
  <c r="AA28" i="29"/>
  <c r="AG26" i="29"/>
  <c r="AI26" i="29" s="1"/>
  <c r="E101" i="30"/>
  <c r="C122" i="16"/>
  <c r="E62" i="23"/>
  <c r="C81" i="17"/>
  <c r="C65" i="17"/>
  <c r="D44" i="19"/>
  <c r="D61" i="19"/>
  <c r="C46" i="16"/>
  <c r="E92" i="23"/>
  <c r="D78" i="19"/>
  <c r="F22" i="15"/>
  <c r="C28" i="17"/>
  <c r="F23" i="15"/>
  <c r="X23" i="15" s="1"/>
  <c r="D96" i="19"/>
  <c r="C49" i="16"/>
  <c r="C22" i="17"/>
  <c r="F17" i="15"/>
  <c r="X17" i="15" s="1"/>
  <c r="B19" i="28"/>
  <c r="B32" i="28" s="1"/>
  <c r="F14" i="2"/>
  <c r="F16" i="15"/>
  <c r="X16" i="15" s="1"/>
  <c r="D94" i="19"/>
  <c r="F20" i="15"/>
  <c r="X20" i="15" s="1"/>
  <c r="AH20" i="15" s="1"/>
  <c r="AJ20" i="15" s="1"/>
  <c r="AI22" i="18"/>
  <c r="AK22" i="18" s="1"/>
  <c r="D60" i="19"/>
  <c r="C84" i="16" s="1"/>
  <c r="C22" i="16"/>
  <c r="AH57" i="16"/>
  <c r="AJ57" i="16" s="1"/>
  <c r="AJ21" i="26"/>
  <c r="W18" i="5"/>
  <c r="Y18" i="5" s="1"/>
  <c r="C56" i="16"/>
  <c r="AJ17" i="26"/>
  <c r="C36" i="16"/>
  <c r="C37" i="17"/>
  <c r="C25" i="16"/>
  <c r="E91" i="23"/>
  <c r="D57" i="19"/>
  <c r="C115" i="17"/>
  <c r="I26" i="10"/>
  <c r="F28" i="29" l="1"/>
  <c r="F26" i="6"/>
  <c r="I31" i="23"/>
  <c r="H23" i="18"/>
  <c r="G25" i="9"/>
  <c r="F19" i="2"/>
  <c r="AJ41" i="25"/>
  <c r="AL41" i="25" s="1"/>
  <c r="AE122" i="17"/>
  <c r="AA34" i="3"/>
  <c r="AI98" i="20"/>
  <c r="AK98" i="20" s="1"/>
  <c r="AH61" i="19"/>
  <c r="AE85" i="17"/>
  <c r="AB37" i="17"/>
  <c r="D28" i="29"/>
  <c r="V16" i="15"/>
  <c r="G31" i="23"/>
  <c r="B39" i="27"/>
  <c r="B44" i="27" s="1"/>
  <c r="B19" i="29"/>
  <c r="D46" i="18"/>
  <c r="C122" i="17"/>
  <c r="C36" i="17"/>
  <c r="X21" i="15"/>
  <c r="C25" i="17"/>
  <c r="C56" i="17"/>
  <c r="C107" i="16"/>
  <c r="C46" i="17"/>
  <c r="C28" i="16"/>
  <c r="C44" i="17"/>
  <c r="B28" i="29"/>
  <c r="C49" i="17"/>
  <c r="C85" i="17"/>
  <c r="C44" i="16"/>
  <c r="C107" i="17"/>
  <c r="D23" i="18"/>
  <c r="C85" i="16"/>
  <c r="C21" i="16"/>
  <c r="C21" i="17"/>
  <c r="F21" i="15"/>
  <c r="F25" i="15" s="1"/>
  <c r="G20" i="9"/>
  <c r="C84" i="17"/>
  <c r="E75" i="25"/>
  <c r="C81" i="16"/>
  <c r="W21" i="5"/>
  <c r="Y21" i="5" s="1"/>
  <c r="AE25" i="19"/>
  <c r="C37" i="16"/>
  <c r="I25" i="9" l="1"/>
  <c r="K25" i="9"/>
  <c r="I20" i="9"/>
  <c r="K20" i="9"/>
  <c r="AB21" i="16"/>
  <c r="T27" i="18"/>
  <c r="R27" i="18"/>
  <c r="P27" i="18"/>
  <c r="N27" i="18"/>
  <c r="L27" i="18"/>
  <c r="AB22" i="17"/>
  <c r="G26" i="16"/>
  <c r="G26" i="17"/>
  <c r="F43" i="37"/>
  <c r="V23" i="15"/>
  <c r="D43" i="37"/>
  <c r="AB21" i="17"/>
  <c r="AB37" i="16"/>
  <c r="E26" i="17"/>
  <c r="D19" i="28"/>
  <c r="D32" i="28" s="1"/>
  <c r="E26" i="16"/>
  <c r="D39" i="27"/>
  <c r="D44" i="27" s="1"/>
  <c r="D19" i="29"/>
  <c r="D32" i="29" s="1"/>
  <c r="B32" i="29"/>
  <c r="D21" i="15"/>
  <c r="C26" i="17"/>
  <c r="C26" i="16"/>
  <c r="C30" i="16" s="1"/>
  <c r="F46" i="18"/>
  <c r="F23" i="18"/>
  <c r="F27" i="18" s="1"/>
  <c r="AB22" i="16"/>
  <c r="V33" i="15"/>
  <c r="J33" i="15"/>
  <c r="J27" i="18" l="1"/>
  <c r="D14" i="2" s="1"/>
  <c r="D25" i="15"/>
  <c r="D20" i="3"/>
  <c r="AI57" i="20"/>
  <c r="AK57" i="20" s="1"/>
  <c r="AI114" i="18"/>
  <c r="AK114" i="18" s="1"/>
  <c r="F33" i="2"/>
  <c r="F26" i="2"/>
  <c r="AI70" i="18"/>
  <c r="AK70" i="18" s="1"/>
  <c r="AB104" i="17"/>
  <c r="AH104" i="17" s="1"/>
  <c r="AJ104" i="17" s="1"/>
  <c r="AB68" i="17"/>
  <c r="H27" i="18"/>
  <c r="G30" i="16"/>
  <c r="E30" i="16"/>
  <c r="AB26" i="16"/>
  <c r="X33" i="15"/>
  <c r="AB81" i="16" l="1"/>
  <c r="AH81" i="16" s="1"/>
  <c r="AJ81" i="16" s="1"/>
  <c r="AB122" i="16"/>
  <c r="AI49" i="21"/>
  <c r="AK49" i="21" s="1"/>
  <c r="D27" i="3"/>
  <c r="D34" i="3"/>
  <c r="AB81" i="17"/>
  <c r="AH81" i="17" s="1"/>
  <c r="AJ81" i="17" s="1"/>
  <c r="AE57" i="19"/>
  <c r="AK57" i="19" s="1"/>
  <c r="AM57" i="19" s="1"/>
  <c r="AJ75" i="23"/>
  <c r="AL75" i="23" s="1"/>
  <c r="AJ80" i="23"/>
  <c r="AL80" i="23" s="1"/>
  <c r="AJ81" i="23"/>
  <c r="AL81" i="23" s="1"/>
  <c r="AJ79" i="23"/>
  <c r="AL79" i="23" s="1"/>
  <c r="AE94" i="19"/>
  <c r="AE91" i="19"/>
  <c r="AE89" i="19"/>
  <c r="AE98" i="19"/>
  <c r="AE103" i="19"/>
  <c r="AE95" i="19"/>
  <c r="AE83" i="19"/>
  <c r="AE93" i="19"/>
  <c r="F19" i="28" l="1"/>
  <c r="F32" i="28" s="1"/>
  <c r="I75" i="25"/>
  <c r="AE121" i="16"/>
  <c r="AD32" i="2"/>
  <c r="AE121" i="17"/>
  <c r="AI113" i="18"/>
  <c r="AK113" i="18" s="1"/>
  <c r="AA33" i="3"/>
  <c r="AI61" i="20"/>
  <c r="AK61" i="20" s="1"/>
  <c r="AB38" i="15"/>
  <c r="AJ51" i="25"/>
  <c r="AL51" i="25" s="1"/>
  <c r="G31" i="26"/>
  <c r="G35" i="26" s="1"/>
  <c r="AH101" i="19"/>
  <c r="AD36" i="2" s="1"/>
  <c r="AI72" i="21"/>
  <c r="AK72" i="21" s="1"/>
  <c r="F39" i="27"/>
  <c r="F44" i="27" s="1"/>
  <c r="AH62" i="19"/>
  <c r="AI61" i="18"/>
  <c r="AK61" i="18" s="1"/>
  <c r="AJ44" i="25"/>
  <c r="AL44" i="25" s="1"/>
  <c r="F19" i="29"/>
  <c r="F32" i="29" s="1"/>
  <c r="AA19" i="29"/>
  <c r="AA32" i="29" s="1"/>
  <c r="AE78" i="19"/>
  <c r="AK78" i="19" s="1"/>
  <c r="AM78" i="19" s="1"/>
  <c r="J19" i="2"/>
  <c r="J38" i="2"/>
  <c r="J24" i="2"/>
  <c r="J28" i="2"/>
  <c r="AK95" i="19"/>
  <c r="AM95" i="19" s="1"/>
  <c r="J30" i="2"/>
  <c r="J33" i="2"/>
  <c r="J26" i="2"/>
  <c r="J29" i="2"/>
  <c r="AK103" i="19"/>
  <c r="AM103" i="19" s="1"/>
  <c r="AK93" i="19"/>
  <c r="AM93" i="19" s="1"/>
  <c r="AJ82" i="23"/>
  <c r="AL82" i="23" s="1"/>
  <c r="AI68" i="21" l="1"/>
  <c r="AK68" i="21" s="1"/>
  <c r="M10" i="42"/>
  <c r="M11" i="42" s="1"/>
  <c r="M239" i="42" s="1"/>
  <c r="O11" i="42"/>
  <c r="O239" i="42" s="1"/>
  <c r="AA19" i="28"/>
  <c r="AA32" i="28" s="1"/>
  <c r="K14" i="30"/>
  <c r="I31" i="26"/>
  <c r="I35" i="26" s="1"/>
  <c r="J115" i="18"/>
  <c r="AI46" i="21"/>
  <c r="AK46" i="21" s="1"/>
  <c r="AD28" i="29"/>
  <c r="AD32" i="29" s="1"/>
  <c r="T24" i="6"/>
  <c r="AG25" i="29"/>
  <c r="G27" i="9"/>
  <c r="H19" i="29"/>
  <c r="H32" i="29" s="1"/>
  <c r="F19" i="6"/>
  <c r="F29" i="6" s="1"/>
  <c r="AE125" i="16"/>
  <c r="H46" i="18"/>
  <c r="H115" i="18"/>
  <c r="AK101" i="19"/>
  <c r="AM101" i="19" s="1"/>
  <c r="I27" i="9" l="1"/>
  <c r="K27" i="9"/>
  <c r="AG28" i="29"/>
  <c r="AI28" i="29" s="1"/>
  <c r="H19" i="28"/>
  <c r="H32" i="28" s="1"/>
  <c r="J19" i="28"/>
  <c r="J32" i="28" s="1"/>
  <c r="K75" i="25"/>
  <c r="J46" i="18"/>
  <c r="D16" i="2" s="1"/>
  <c r="B19" i="6"/>
  <c r="B29" i="6" s="1"/>
  <c r="H39" i="27"/>
  <c r="H44" i="27" s="1"/>
  <c r="Y35" i="3" l="1"/>
  <c r="L115" i="18"/>
  <c r="AJ91" i="24"/>
  <c r="AL91" i="24" s="1"/>
  <c r="G26" i="14"/>
  <c r="K31" i="26"/>
  <c r="K35" i="26" s="1"/>
  <c r="L36" i="20"/>
  <c r="L18" i="6"/>
  <c r="I26" i="14" l="1"/>
  <c r="K26" i="14"/>
  <c r="AI83" i="20"/>
  <c r="AK83" i="20" s="1"/>
  <c r="AH83" i="19"/>
  <c r="AK83" i="19" s="1"/>
  <c r="AM83" i="19" s="1"/>
  <c r="AI75" i="20"/>
  <c r="AK75" i="20" s="1"/>
  <c r="AH75" i="19"/>
  <c r="S32" i="14"/>
  <c r="U32" i="14" s="1"/>
  <c r="AJ58" i="25"/>
  <c r="AL58" i="25"/>
  <c r="AG76" i="23"/>
  <c r="AJ76" i="23" s="1"/>
  <c r="AL76" i="23" s="1"/>
  <c r="AI25" i="18"/>
  <c r="AK25" i="18" s="1"/>
  <c r="AI62" i="21"/>
  <c r="AK62" i="21" s="1"/>
  <c r="L121" i="18"/>
  <c r="L52" i="21"/>
  <c r="L56" i="21" s="1"/>
  <c r="L99" i="20"/>
  <c r="L106" i="20" s="1"/>
  <c r="M94" i="24"/>
  <c r="L46" i="18"/>
  <c r="L97" i="18"/>
  <c r="M94" i="23"/>
  <c r="J51" i="22"/>
  <c r="J39" i="29"/>
  <c r="J44" i="29" s="1"/>
  <c r="L38" i="18"/>
  <c r="L54" i="18"/>
  <c r="L29" i="19"/>
  <c r="K42" i="26"/>
  <c r="K47" i="26" s="1"/>
  <c r="M60" i="24"/>
  <c r="M64" i="24" s="1"/>
  <c r="M75" i="25"/>
  <c r="M59" i="25"/>
  <c r="M66" i="25" s="1"/>
  <c r="M42" i="25"/>
  <c r="M46" i="25" s="1"/>
  <c r="L81" i="20"/>
  <c r="J39" i="27"/>
  <c r="J44" i="27" s="1"/>
  <c r="L88" i="21"/>
  <c r="K30" i="17"/>
  <c r="M77" i="24"/>
  <c r="M84" i="24" s="1"/>
  <c r="L29" i="20"/>
  <c r="L70" i="21"/>
  <c r="L79" i="21" s="1"/>
  <c r="K50" i="17"/>
  <c r="AI21" i="21" l="1"/>
  <c r="AK21" i="21" s="1"/>
  <c r="AE44" i="19"/>
  <c r="AI79" i="20"/>
  <c r="AK79" i="20" s="1"/>
  <c r="AI40" i="18"/>
  <c r="AK40" i="18" s="1"/>
  <c r="F41" i="15"/>
  <c r="X41" i="15" s="1"/>
  <c r="G32" i="13"/>
  <c r="W32" i="14"/>
  <c r="J33" i="37"/>
  <c r="J45" i="37" s="1"/>
  <c r="J25" i="37"/>
  <c r="K42" i="17"/>
  <c r="K123" i="17"/>
  <c r="K132" i="17" s="1"/>
  <c r="K141" i="17"/>
  <c r="L82" i="21"/>
  <c r="L92" i="21" s="1"/>
  <c r="K105" i="17"/>
  <c r="K58" i="16"/>
  <c r="L99" i="19"/>
  <c r="L108" i="19" s="1"/>
  <c r="L81" i="19"/>
  <c r="L56" i="18"/>
  <c r="L101" i="18" s="1"/>
  <c r="L124" i="18" s="1"/>
  <c r="J55" i="22"/>
  <c r="J66" i="22" s="1"/>
  <c r="J76" i="22" s="1"/>
  <c r="M77" i="23"/>
  <c r="M84" i="23" s="1"/>
  <c r="K42" i="16"/>
  <c r="K58" i="17"/>
  <c r="L38" i="20"/>
  <c r="L85" i="20" s="1"/>
  <c r="L109" i="20" s="1"/>
  <c r="L119" i="20" s="1"/>
  <c r="M87" i="24"/>
  <c r="M98" i="24" s="1"/>
  <c r="M69" i="25"/>
  <c r="M79" i="25" s="1"/>
  <c r="M60" i="23"/>
  <c r="M64" i="23" s="1"/>
  <c r="L117" i="19"/>
  <c r="K50" i="16"/>
  <c r="L36" i="19"/>
  <c r="I32" i="13" l="1"/>
  <c r="K32" i="13"/>
  <c r="Q94" i="24"/>
  <c r="Q75" i="25"/>
  <c r="G101" i="30"/>
  <c r="O75" i="25"/>
  <c r="N117" i="19"/>
  <c r="AI46" i="20"/>
  <c r="AK46" i="20" s="1"/>
  <c r="AH44" i="19"/>
  <c r="AK44" i="19" s="1"/>
  <c r="AM44" i="19" s="1"/>
  <c r="AI44" i="20"/>
  <c r="AK44" i="20" s="1"/>
  <c r="AI33" i="18"/>
  <c r="AK33" i="18" s="1"/>
  <c r="AJ70" i="24"/>
  <c r="AL70" i="24" s="1"/>
  <c r="F46" i="15"/>
  <c r="X46" i="15" s="1"/>
  <c r="E28" i="31"/>
  <c r="C101" i="30"/>
  <c r="O94" i="24"/>
  <c r="AI67" i="20"/>
  <c r="AK67" i="20" s="1"/>
  <c r="N36" i="19"/>
  <c r="AJ38" i="24"/>
  <c r="AL38" i="24" s="1"/>
  <c r="K60" i="17"/>
  <c r="K109" i="17" s="1"/>
  <c r="K135" i="17" s="1"/>
  <c r="K145" i="17" s="1"/>
  <c r="K123" i="16"/>
  <c r="K132" i="16" s="1"/>
  <c r="K105" i="16"/>
  <c r="K60" i="16"/>
  <c r="M87" i="23"/>
  <c r="M98" i="23" s="1"/>
  <c r="L38" i="19"/>
  <c r="L85" i="19" s="1"/>
  <c r="L111" i="19" s="1"/>
  <c r="L121" i="19" s="1"/>
  <c r="E34" i="7"/>
  <c r="F54" i="15" l="1"/>
  <c r="X54" i="15" s="1"/>
  <c r="V41" i="15"/>
  <c r="N39" i="27"/>
  <c r="N44" i="27" s="1"/>
  <c r="Q94" i="23"/>
  <c r="N51" i="22"/>
  <c r="N55" i="22" s="1"/>
  <c r="N66" i="22" s="1"/>
  <c r="N76" i="22" s="1"/>
  <c r="N39" i="29"/>
  <c r="N44" i="29" s="1"/>
  <c r="O30" i="17"/>
  <c r="P117" i="19"/>
  <c r="O31" i="26"/>
  <c r="O35" i="26" s="1"/>
  <c r="P115" i="18"/>
  <c r="P121" i="18" s="1"/>
  <c r="Q59" i="25"/>
  <c r="Q66" i="25" s="1"/>
  <c r="P97" i="18"/>
  <c r="P81" i="20"/>
  <c r="Q77" i="24"/>
  <c r="Q84" i="24" s="1"/>
  <c r="Q60" i="24"/>
  <c r="Q64" i="24" s="1"/>
  <c r="P52" i="21"/>
  <c r="P56" i="21" s="1"/>
  <c r="Q42" i="25"/>
  <c r="Q46" i="25" s="1"/>
  <c r="N33" i="37"/>
  <c r="N45" i="37" s="1"/>
  <c r="N25" i="37"/>
  <c r="O42" i="26"/>
  <c r="P29" i="20"/>
  <c r="P70" i="21"/>
  <c r="P79" i="21" s="1"/>
  <c r="P99" i="20"/>
  <c r="P106" i="20" s="1"/>
  <c r="P88" i="21"/>
  <c r="P36" i="20"/>
  <c r="L25" i="37"/>
  <c r="N88" i="21"/>
  <c r="M30" i="17"/>
  <c r="N70" i="21"/>
  <c r="N79" i="21" s="1"/>
  <c r="M31" i="26"/>
  <c r="M35" i="26" s="1"/>
  <c r="O42" i="25"/>
  <c r="O46" i="25" s="1"/>
  <c r="O77" i="24"/>
  <c r="O84" i="24" s="1"/>
  <c r="N52" i="21"/>
  <c r="N56" i="21" s="1"/>
  <c r="N29" i="19"/>
  <c r="N97" i="18"/>
  <c r="N115" i="18"/>
  <c r="N121" i="18" s="1"/>
  <c r="N46" i="18"/>
  <c r="L33" i="37"/>
  <c r="L45" i="37" s="1"/>
  <c r="L51" i="22"/>
  <c r="L55" i="22" s="1"/>
  <c r="L66" i="22" s="1"/>
  <c r="L76" i="22" s="1"/>
  <c r="N54" i="18"/>
  <c r="L39" i="29"/>
  <c r="L44" i="29" s="1"/>
  <c r="N36" i="20"/>
  <c r="M42" i="26"/>
  <c r="N29" i="20"/>
  <c r="L39" i="27"/>
  <c r="L44" i="27" s="1"/>
  <c r="N38" i="18"/>
  <c r="N99" i="20"/>
  <c r="N106" i="20" s="1"/>
  <c r="N81" i="20"/>
  <c r="O59" i="25"/>
  <c r="O66" i="25" s="1"/>
  <c r="M123" i="17"/>
  <c r="M132" i="17" s="1"/>
  <c r="M58" i="16"/>
  <c r="K109" i="16"/>
  <c r="K135" i="16" s="1"/>
  <c r="E37" i="7"/>
  <c r="T88" i="21" l="1"/>
  <c r="AK115" i="19"/>
  <c r="AM115" i="19" s="1"/>
  <c r="U94" i="24"/>
  <c r="U75" i="25"/>
  <c r="S75" i="25"/>
  <c r="AI89" i="20"/>
  <c r="AK89" i="20" s="1"/>
  <c r="AI78" i="18"/>
  <c r="AK78" i="18" s="1"/>
  <c r="D18" i="32"/>
  <c r="AI113" i="20"/>
  <c r="AK113" i="20" s="1"/>
  <c r="AF115" i="20"/>
  <c r="AK115" i="20" s="1"/>
  <c r="AD28" i="27"/>
  <c r="AD32" i="27" s="1"/>
  <c r="T26" i="5"/>
  <c r="W26" i="5" s="1"/>
  <c r="Y26" i="5" s="1"/>
  <c r="AG25" i="27"/>
  <c r="AI25" i="27" s="1"/>
  <c r="AI76" i="20"/>
  <c r="AK76" i="20" s="1"/>
  <c r="AG69" i="23"/>
  <c r="AJ69" i="24"/>
  <c r="AL69" i="24" s="1"/>
  <c r="AD28" i="28"/>
  <c r="AD32" i="28" s="1"/>
  <c r="T25" i="6"/>
  <c r="T26" i="6" s="1"/>
  <c r="AG26" i="28"/>
  <c r="AG28" i="28" s="1"/>
  <c r="H36" i="5"/>
  <c r="H37" i="5" s="1"/>
  <c r="H42" i="5" s="1"/>
  <c r="AA39" i="27"/>
  <c r="AA44" i="27" s="1"/>
  <c r="Q31" i="26"/>
  <c r="Q35" i="26" s="1"/>
  <c r="AJ74" i="24"/>
  <c r="AL74" i="24" s="1"/>
  <c r="R115" i="18"/>
  <c r="V54" i="15"/>
  <c r="AE96" i="19"/>
  <c r="J31" i="2" s="1"/>
  <c r="V46" i="15"/>
  <c r="Q77" i="23"/>
  <c r="Q84" i="23" s="1"/>
  <c r="O105" i="17"/>
  <c r="O47" i="26"/>
  <c r="O123" i="17"/>
  <c r="O132" i="17" s="1"/>
  <c r="Q60" i="23"/>
  <c r="Q64" i="23" s="1"/>
  <c r="P36" i="19"/>
  <c r="Q69" i="25"/>
  <c r="Q79" i="25" s="1"/>
  <c r="AB84" i="17"/>
  <c r="Q87" i="24"/>
  <c r="Q98" i="24" s="1"/>
  <c r="P29" i="19"/>
  <c r="N39" i="28"/>
  <c r="N44" i="28" s="1"/>
  <c r="P99" i="19"/>
  <c r="P108" i="19" s="1"/>
  <c r="P81" i="19"/>
  <c r="P38" i="20"/>
  <c r="P85" i="20" s="1"/>
  <c r="P109" i="20" s="1"/>
  <c r="P119" i="20" s="1"/>
  <c r="P82" i="21"/>
  <c r="P92" i="21" s="1"/>
  <c r="P38" i="18"/>
  <c r="P46" i="18"/>
  <c r="P54" i="18"/>
  <c r="N99" i="19"/>
  <c r="N108" i="19" s="1"/>
  <c r="O94" i="23"/>
  <c r="M50" i="16"/>
  <c r="M50" i="17"/>
  <c r="M58" i="17"/>
  <c r="M141" i="17"/>
  <c r="M47" i="26"/>
  <c r="L39" i="28"/>
  <c r="L44" i="28" s="1"/>
  <c r="O69" i="25"/>
  <c r="O79" i="25" s="1"/>
  <c r="N82" i="21"/>
  <c r="N92" i="21" s="1"/>
  <c r="N38" i="19"/>
  <c r="M42" i="16"/>
  <c r="M105" i="17"/>
  <c r="O60" i="23"/>
  <c r="N38" i="20"/>
  <c r="N85" i="20" s="1"/>
  <c r="N109" i="20" s="1"/>
  <c r="N119" i="20" s="1"/>
  <c r="M42" i="17"/>
  <c r="N56" i="18"/>
  <c r="N101" i="18" s="1"/>
  <c r="N124" i="18" s="1"/>
  <c r="O77" i="23"/>
  <c r="O84" i="23" s="1"/>
  <c r="N81" i="19"/>
  <c r="F25" i="32" l="1"/>
  <c r="AA31" i="3"/>
  <c r="AE119" i="17"/>
  <c r="AI111" i="18"/>
  <c r="AK111" i="18" s="1"/>
  <c r="F32" i="15"/>
  <c r="X32" i="15" s="1"/>
  <c r="V32" i="15"/>
  <c r="AI68" i="20"/>
  <c r="AK68" i="20" s="1"/>
  <c r="AJ72" i="24"/>
  <c r="AL72" i="24" s="1"/>
  <c r="V115" i="18"/>
  <c r="V36" i="20"/>
  <c r="AG29" i="24"/>
  <c r="AJ28" i="24"/>
  <c r="AJ29" i="24" s="1"/>
  <c r="AG28" i="23"/>
  <c r="AA32" i="3"/>
  <c r="AE120" i="17"/>
  <c r="AI112" i="18"/>
  <c r="AK112" i="18" s="1"/>
  <c r="AI22" i="20"/>
  <c r="AK22" i="20" s="1"/>
  <c r="AH22" i="19"/>
  <c r="AE34" i="16" s="1"/>
  <c r="AD30" i="15" s="1"/>
  <c r="AH30" i="15" s="1"/>
  <c r="AJ30" i="15" s="1"/>
  <c r="AE34" i="17"/>
  <c r="AH98" i="19"/>
  <c r="AI69" i="21"/>
  <c r="AK69" i="21" s="1"/>
  <c r="V99" i="20"/>
  <c r="W75" i="25"/>
  <c r="AE48" i="16"/>
  <c r="AD45" i="15" s="1"/>
  <c r="AH45" i="15" s="1"/>
  <c r="AJ45" i="15" s="1"/>
  <c r="AD24" i="22"/>
  <c r="AG24" i="22" s="1"/>
  <c r="AI24" i="22" s="1"/>
  <c r="AE48" i="17"/>
  <c r="AH48" i="17" s="1"/>
  <c r="AJ48" i="17" s="1"/>
  <c r="AG23" i="22"/>
  <c r="AI23" i="22" s="1"/>
  <c r="V46" i="18"/>
  <c r="AI42" i="18"/>
  <c r="AK42" i="18" s="1"/>
  <c r="F43" i="15"/>
  <c r="X43" i="15" s="1"/>
  <c r="AH43" i="15" s="1"/>
  <c r="AJ43" i="15" s="1"/>
  <c r="AC46" i="18"/>
  <c r="G22" i="9" s="1"/>
  <c r="S30" i="17"/>
  <c r="T46" i="18"/>
  <c r="T115" i="18"/>
  <c r="T121" i="18" s="1"/>
  <c r="S31" i="26"/>
  <c r="S35" i="26" s="1"/>
  <c r="R39" i="27"/>
  <c r="R44" i="27" s="1"/>
  <c r="F37" i="5"/>
  <c r="S42" i="26"/>
  <c r="U77" i="24"/>
  <c r="U84" i="24" s="1"/>
  <c r="U42" i="25"/>
  <c r="U46" i="25" s="1"/>
  <c r="U59" i="25"/>
  <c r="U66" i="25" s="1"/>
  <c r="T54" i="18"/>
  <c r="T38" i="18"/>
  <c r="R39" i="29"/>
  <c r="R44" i="29" s="1"/>
  <c r="T81" i="20"/>
  <c r="T97" i="18"/>
  <c r="R25" i="37"/>
  <c r="R33" i="37"/>
  <c r="R45" i="37" s="1"/>
  <c r="T99" i="20"/>
  <c r="T106" i="20" s="1"/>
  <c r="T52" i="21"/>
  <c r="T56" i="21" s="1"/>
  <c r="T36" i="20"/>
  <c r="T29" i="20"/>
  <c r="T70" i="21"/>
  <c r="T79" i="21" s="1"/>
  <c r="R36" i="19"/>
  <c r="P33" i="37"/>
  <c r="P45" i="37" s="1"/>
  <c r="P25" i="37"/>
  <c r="R99" i="20"/>
  <c r="R106" i="20" s="1"/>
  <c r="Q123" i="17"/>
  <c r="P39" i="27"/>
  <c r="R88" i="21"/>
  <c r="S94" i="24"/>
  <c r="R54" i="18"/>
  <c r="R121" i="18"/>
  <c r="S77" i="24"/>
  <c r="S84" i="24" s="1"/>
  <c r="R38" i="18"/>
  <c r="P39" i="29"/>
  <c r="P44" i="29" s="1"/>
  <c r="P39" i="28"/>
  <c r="P44" i="28" s="1"/>
  <c r="S42" i="25"/>
  <c r="S46" i="25" s="1"/>
  <c r="S59" i="25"/>
  <c r="S66" i="25" s="1"/>
  <c r="P51" i="22"/>
  <c r="R52" i="21"/>
  <c r="R56" i="21" s="1"/>
  <c r="R29" i="20"/>
  <c r="S94" i="23"/>
  <c r="R81" i="20"/>
  <c r="AI26" i="28"/>
  <c r="Q42" i="26"/>
  <c r="Q47" i="26" s="1"/>
  <c r="AJ69" i="23"/>
  <c r="AL69" i="23" s="1"/>
  <c r="AI115" i="20"/>
  <c r="R70" i="21"/>
  <c r="R79" i="21" s="1"/>
  <c r="Q50" i="16"/>
  <c r="AI28" i="28"/>
  <c r="R46" i="18"/>
  <c r="R97" i="18"/>
  <c r="R29" i="19"/>
  <c r="AG28" i="27"/>
  <c r="AG32" i="27" s="1"/>
  <c r="AI32" i="27" s="1"/>
  <c r="R36" i="20"/>
  <c r="Q50" i="17"/>
  <c r="O42" i="17"/>
  <c r="O50" i="17"/>
  <c r="Q87" i="23"/>
  <c r="Q98" i="23" s="1"/>
  <c r="O123" i="16"/>
  <c r="O132" i="16" s="1"/>
  <c r="O50" i="16"/>
  <c r="O58" i="17"/>
  <c r="O105" i="16"/>
  <c r="O141" i="17"/>
  <c r="O42" i="16"/>
  <c r="P38" i="19"/>
  <c r="P85" i="19" s="1"/>
  <c r="P111" i="19" s="1"/>
  <c r="P121" i="19" s="1"/>
  <c r="O58" i="16"/>
  <c r="P56" i="18"/>
  <c r="P101" i="18" s="1"/>
  <c r="P124" i="18" s="1"/>
  <c r="M60" i="16"/>
  <c r="M60" i="17"/>
  <c r="M109" i="17" s="1"/>
  <c r="M135" i="17" s="1"/>
  <c r="M145" i="17" s="1"/>
  <c r="M123" i="16"/>
  <c r="M132" i="16" s="1"/>
  <c r="O64" i="23"/>
  <c r="O87" i="23" s="1"/>
  <c r="M105" i="16"/>
  <c r="N85" i="19"/>
  <c r="N111" i="19" s="1"/>
  <c r="N121" i="19" s="1"/>
  <c r="H25" i="6"/>
  <c r="I22" i="9" l="1"/>
  <c r="K22" i="9"/>
  <c r="AJ28" i="23"/>
  <c r="AL28" i="23" s="1"/>
  <c r="X88" i="21"/>
  <c r="X46" i="18"/>
  <c r="D17" i="3" s="1"/>
  <c r="V43" i="15"/>
  <c r="X54" i="18"/>
  <c r="W31" i="26"/>
  <c r="W35" i="26" s="1"/>
  <c r="X117" i="19"/>
  <c r="W30" i="17"/>
  <c r="X115" i="18"/>
  <c r="X121" i="18" s="1"/>
  <c r="V39" i="29"/>
  <c r="V44" i="29" s="1"/>
  <c r="X52" i="21"/>
  <c r="X38" i="18"/>
  <c r="V25" i="37"/>
  <c r="V33" i="37"/>
  <c r="V45" i="37" s="1"/>
  <c r="X97" i="18"/>
  <c r="V39" i="28"/>
  <c r="V44" i="28" s="1"/>
  <c r="U42" i="26"/>
  <c r="X81" i="20"/>
  <c r="V51" i="22"/>
  <c r="Y75" i="25"/>
  <c r="X70" i="21"/>
  <c r="X79" i="21" s="1"/>
  <c r="X99" i="20"/>
  <c r="X106" i="20" s="1"/>
  <c r="X36" i="20"/>
  <c r="X29" i="20"/>
  <c r="Y77" i="24"/>
  <c r="Y84" i="24" s="1"/>
  <c r="V106" i="20"/>
  <c r="U31" i="26"/>
  <c r="U35" i="26" s="1"/>
  <c r="U30" i="17"/>
  <c r="AK98" i="19"/>
  <c r="AM98" i="19" s="1"/>
  <c r="AD33" i="2"/>
  <c r="V70" i="21"/>
  <c r="V79" i="21" s="1"/>
  <c r="AL29" i="24"/>
  <c r="AH48" i="16"/>
  <c r="AJ48" i="16" s="1"/>
  <c r="T25" i="37"/>
  <c r="U58" i="17"/>
  <c r="F16" i="2"/>
  <c r="AE122" i="16"/>
  <c r="V36" i="19"/>
  <c r="AL28" i="24"/>
  <c r="W94" i="24"/>
  <c r="V52" i="21"/>
  <c r="V56" i="21" s="1"/>
  <c r="T39" i="29"/>
  <c r="T44" i="29" s="1"/>
  <c r="W77" i="24"/>
  <c r="W84" i="24" s="1"/>
  <c r="AG29" i="23"/>
  <c r="AJ29" i="23" s="1"/>
  <c r="AL29" i="23" s="1"/>
  <c r="W60" i="24"/>
  <c r="W64" i="24" s="1"/>
  <c r="V54" i="18"/>
  <c r="W59" i="25"/>
  <c r="W66" i="25" s="1"/>
  <c r="AK22" i="19"/>
  <c r="AM22" i="19" s="1"/>
  <c r="V97" i="18"/>
  <c r="V38" i="18"/>
  <c r="V121" i="18"/>
  <c r="F47" i="15"/>
  <c r="T33" i="37"/>
  <c r="T45" i="37" s="1"/>
  <c r="V81" i="20"/>
  <c r="T51" i="22"/>
  <c r="T55" i="22" s="1"/>
  <c r="T66" i="22" s="1"/>
  <c r="T76" i="22" s="1"/>
  <c r="V88" i="21"/>
  <c r="W42" i="25"/>
  <c r="W46" i="25" s="1"/>
  <c r="V29" i="20"/>
  <c r="V38" i="20" s="1"/>
  <c r="W94" i="23"/>
  <c r="V29" i="19"/>
  <c r="V117" i="19"/>
  <c r="T117" i="19"/>
  <c r="S58" i="16"/>
  <c r="S123" i="17"/>
  <c r="S132" i="17" s="1"/>
  <c r="S58" i="17"/>
  <c r="S141" i="17"/>
  <c r="S47" i="26"/>
  <c r="T29" i="19"/>
  <c r="S42" i="16"/>
  <c r="T36" i="19"/>
  <c r="S50" i="17"/>
  <c r="S50" i="16"/>
  <c r="S42" i="17"/>
  <c r="U94" i="23"/>
  <c r="T81" i="19"/>
  <c r="U69" i="25"/>
  <c r="U79" i="25" s="1"/>
  <c r="R51" i="22"/>
  <c r="U77" i="23"/>
  <c r="U84" i="23" s="1"/>
  <c r="T56" i="18"/>
  <c r="T101" i="18" s="1"/>
  <c r="T124" i="18" s="1"/>
  <c r="R39" i="28"/>
  <c r="R44" i="28" s="1"/>
  <c r="T99" i="19"/>
  <c r="T108" i="19" s="1"/>
  <c r="T82" i="21"/>
  <c r="T92" i="21" s="1"/>
  <c r="T38" i="20"/>
  <c r="T85" i="20" s="1"/>
  <c r="T109" i="20" s="1"/>
  <c r="T119" i="20" s="1"/>
  <c r="Q58" i="16"/>
  <c r="Q58" i="17"/>
  <c r="R38" i="19"/>
  <c r="R99" i="19"/>
  <c r="R108" i="19" s="1"/>
  <c r="P55" i="22"/>
  <c r="P66" i="22" s="1"/>
  <c r="P76" i="22" s="1"/>
  <c r="R117" i="19"/>
  <c r="S77" i="23"/>
  <c r="S84" i="23" s="1"/>
  <c r="Q42" i="17"/>
  <c r="S69" i="25"/>
  <c r="S79" i="25" s="1"/>
  <c r="Q105" i="17"/>
  <c r="R82" i="21"/>
  <c r="R92" i="21" s="1"/>
  <c r="R81" i="19"/>
  <c r="R56" i="18"/>
  <c r="R101" i="18" s="1"/>
  <c r="R124" i="18" s="1"/>
  <c r="R38" i="20"/>
  <c r="R85" i="20" s="1"/>
  <c r="R109" i="20" s="1"/>
  <c r="R119" i="20" s="1"/>
  <c r="Q132" i="17"/>
  <c r="AI28" i="27"/>
  <c r="Q141" i="17"/>
  <c r="O60" i="17"/>
  <c r="O109" i="17" s="1"/>
  <c r="O135" i="17" s="1"/>
  <c r="O60" i="16"/>
  <c r="O109" i="16" s="1"/>
  <c r="O135" i="16" s="1"/>
  <c r="M109" i="16"/>
  <c r="M135" i="16" s="1"/>
  <c r="H23" i="6"/>
  <c r="H26" i="6" s="1"/>
  <c r="E114" i="17" l="1"/>
  <c r="AB31" i="26"/>
  <c r="AB35" i="26" s="1"/>
  <c r="D28" i="5"/>
  <c r="N28" i="5" s="1"/>
  <c r="N29" i="5" s="1"/>
  <c r="N32" i="5" s="1"/>
  <c r="AA94" i="24"/>
  <c r="AE37" i="17"/>
  <c r="AI25" i="20"/>
  <c r="AK25" i="20" s="1"/>
  <c r="AH25" i="19"/>
  <c r="AE37" i="16" s="1"/>
  <c r="AJ73" i="24"/>
  <c r="AL73" i="24" s="1"/>
  <c r="AG77" i="24"/>
  <c r="AG84" i="24" s="1"/>
  <c r="Z115" i="18"/>
  <c r="F25" i="2"/>
  <c r="AC115" i="18"/>
  <c r="H25" i="32"/>
  <c r="G24" i="14"/>
  <c r="K24" i="14" s="1"/>
  <c r="AC13" i="18"/>
  <c r="AB21" i="15"/>
  <c r="Z88" i="21"/>
  <c r="AD75" i="25"/>
  <c r="S26" i="14"/>
  <c r="F34" i="15"/>
  <c r="AI34" i="18"/>
  <c r="AK34" i="18" s="1"/>
  <c r="Z36" i="20"/>
  <c r="AA77" i="24"/>
  <c r="AA84" i="24" s="1"/>
  <c r="W141" i="17"/>
  <c r="W58" i="17"/>
  <c r="W58" i="16"/>
  <c r="X56" i="18"/>
  <c r="X101" i="18" s="1"/>
  <c r="X124" i="18" s="1"/>
  <c r="W42" i="26"/>
  <c r="W47" i="26" s="1"/>
  <c r="W105" i="17"/>
  <c r="V55" i="22"/>
  <c r="V66" i="22" s="1"/>
  <c r="V76" i="22" s="1"/>
  <c r="W123" i="17"/>
  <c r="W132" i="17" s="1"/>
  <c r="X36" i="19"/>
  <c r="W50" i="17"/>
  <c r="W50" i="16"/>
  <c r="X29" i="19"/>
  <c r="W42" i="17"/>
  <c r="W42" i="16"/>
  <c r="X38" i="20"/>
  <c r="X85" i="20" s="1"/>
  <c r="X109" i="20" s="1"/>
  <c r="X119" i="20" s="1"/>
  <c r="X56" i="21"/>
  <c r="Y59" i="25"/>
  <c r="Y66" i="25" s="1"/>
  <c r="Y42" i="25"/>
  <c r="Y77" i="23"/>
  <c r="Y84" i="23" s="1"/>
  <c r="X99" i="19"/>
  <c r="X108" i="19" s="1"/>
  <c r="Y94" i="24"/>
  <c r="U47" i="26"/>
  <c r="U123" i="17"/>
  <c r="U132" i="17" s="1"/>
  <c r="V99" i="19"/>
  <c r="V108" i="19" s="1"/>
  <c r="U58" i="16"/>
  <c r="W87" i="24"/>
  <c r="W98" i="24" s="1"/>
  <c r="W77" i="23"/>
  <c r="W84" i="23" s="1"/>
  <c r="V82" i="21"/>
  <c r="V92" i="21" s="1"/>
  <c r="U141" i="17"/>
  <c r="W60" i="23"/>
  <c r="V85" i="20"/>
  <c r="V109" i="20" s="1"/>
  <c r="V119" i="20" s="1"/>
  <c r="U42" i="16"/>
  <c r="D47" i="15"/>
  <c r="U42" i="17"/>
  <c r="U50" i="17"/>
  <c r="U50" i="16"/>
  <c r="W69" i="25"/>
  <c r="W79" i="25" s="1"/>
  <c r="V81" i="19"/>
  <c r="V56" i="18"/>
  <c r="V101" i="18" s="1"/>
  <c r="V124" i="18" s="1"/>
  <c r="U105" i="17"/>
  <c r="T39" i="28"/>
  <c r="T44" i="28" s="1"/>
  <c r="V38" i="19"/>
  <c r="S60" i="17"/>
  <c r="S105" i="17"/>
  <c r="S123" i="16"/>
  <c r="S132" i="16" s="1"/>
  <c r="T38" i="19"/>
  <c r="T85" i="19" s="1"/>
  <c r="T111" i="19" s="1"/>
  <c r="T121" i="19" s="1"/>
  <c r="R55" i="22"/>
  <c r="R66" i="22" s="1"/>
  <c r="R76" i="22" s="1"/>
  <c r="Q123" i="16"/>
  <c r="Q132" i="16" s="1"/>
  <c r="R85" i="19"/>
  <c r="R111" i="19" s="1"/>
  <c r="R121" i="19" s="1"/>
  <c r="K15" i="30"/>
  <c r="D25" i="6"/>
  <c r="N25" i="6" s="1"/>
  <c r="W25" i="6" s="1"/>
  <c r="Y25" i="6" s="1"/>
  <c r="D24" i="6"/>
  <c r="N24" i="6" s="1"/>
  <c r="D23" i="6"/>
  <c r="D18" i="6"/>
  <c r="G26" i="13" l="1"/>
  <c r="U26" i="14"/>
  <c r="E98" i="17"/>
  <c r="E76" i="16"/>
  <c r="E130" i="17"/>
  <c r="E88" i="17"/>
  <c r="E86" i="17"/>
  <c r="E64" i="17"/>
  <c r="F42" i="19"/>
  <c r="E64" i="16" s="1"/>
  <c r="E52" i="17"/>
  <c r="AI60" i="21"/>
  <c r="AK60" i="21" s="1"/>
  <c r="AH89" i="19"/>
  <c r="AK89" i="19" s="1"/>
  <c r="AM89" i="19" s="1"/>
  <c r="E97" i="17"/>
  <c r="E83" i="16"/>
  <c r="E90" i="16"/>
  <c r="E103" i="17"/>
  <c r="E74" i="17"/>
  <c r="E89" i="17"/>
  <c r="E69" i="17"/>
  <c r="E72" i="16"/>
  <c r="F114" i="19"/>
  <c r="E78" i="17"/>
  <c r="E73" i="16"/>
  <c r="E55" i="17"/>
  <c r="G53" i="23"/>
  <c r="E70" i="17"/>
  <c r="G36" i="23"/>
  <c r="E65" i="16" s="1"/>
  <c r="E77" i="17"/>
  <c r="G24" i="13"/>
  <c r="I24" i="14"/>
  <c r="AH37" i="16"/>
  <c r="AJ37" i="16" s="1"/>
  <c r="AH37" i="17"/>
  <c r="AJ37" i="17" s="1"/>
  <c r="E90" i="17"/>
  <c r="E73" i="17"/>
  <c r="E52" i="16"/>
  <c r="E55" i="16"/>
  <c r="F115" i="18"/>
  <c r="D26" i="3"/>
  <c r="D54" i="19"/>
  <c r="C31" i="26"/>
  <c r="C35" i="26" s="1"/>
  <c r="D58" i="19"/>
  <c r="C82" i="16" s="1"/>
  <c r="D77" i="19"/>
  <c r="C101" i="16" s="1"/>
  <c r="E77" i="24"/>
  <c r="E84" i="24" s="1"/>
  <c r="D46" i="19"/>
  <c r="C69" i="16" s="1"/>
  <c r="C96" i="17"/>
  <c r="E96" i="17"/>
  <c r="E50" i="23"/>
  <c r="G50" i="23"/>
  <c r="D45" i="19"/>
  <c r="E56" i="23"/>
  <c r="G56" i="23"/>
  <c r="E57" i="23"/>
  <c r="G57" i="23"/>
  <c r="E70" i="23"/>
  <c r="C115" i="16" s="1"/>
  <c r="D68" i="19"/>
  <c r="E73" i="23"/>
  <c r="G73" i="23"/>
  <c r="D76" i="19"/>
  <c r="C95" i="17"/>
  <c r="E55" i="23"/>
  <c r="G55" i="23"/>
  <c r="E38" i="23"/>
  <c r="C67" i="16" s="1"/>
  <c r="E43" i="23"/>
  <c r="G43" i="23"/>
  <c r="C101" i="17"/>
  <c r="D26" i="19"/>
  <c r="C38" i="16" s="1"/>
  <c r="F26" i="19"/>
  <c r="E46" i="23"/>
  <c r="C100" i="17"/>
  <c r="C127" i="16"/>
  <c r="E127" i="17"/>
  <c r="E40" i="23"/>
  <c r="G40" i="23"/>
  <c r="E74" i="23"/>
  <c r="C120" i="16" s="1"/>
  <c r="G74" i="23"/>
  <c r="C99" i="17"/>
  <c r="E90" i="23"/>
  <c r="E94" i="23" s="1"/>
  <c r="E54" i="23"/>
  <c r="C96" i="16" s="1"/>
  <c r="G54" i="23"/>
  <c r="D79" i="19"/>
  <c r="C103" i="16" s="1"/>
  <c r="D80" i="19"/>
  <c r="E104" i="16"/>
  <c r="C94" i="17"/>
  <c r="E94" i="17"/>
  <c r="C121" i="17"/>
  <c r="D27" i="19"/>
  <c r="F27" i="19"/>
  <c r="C102" i="17"/>
  <c r="E102" i="17"/>
  <c r="D21" i="19"/>
  <c r="C92" i="17"/>
  <c r="C47" i="17"/>
  <c r="C50" i="17" s="1"/>
  <c r="E47" i="17"/>
  <c r="E50" i="17" s="1"/>
  <c r="E72" i="23"/>
  <c r="G72" i="23"/>
  <c r="D90" i="19"/>
  <c r="C114" i="16" s="1"/>
  <c r="E42" i="23"/>
  <c r="G42" i="23"/>
  <c r="D28" i="19"/>
  <c r="F28" i="19"/>
  <c r="E48" i="23"/>
  <c r="G48" i="23"/>
  <c r="E58" i="23"/>
  <c r="C102" i="16" s="1"/>
  <c r="G58" i="23"/>
  <c r="D67" i="19"/>
  <c r="D105" i="19"/>
  <c r="F105" i="19"/>
  <c r="G44" i="23"/>
  <c r="E79" i="16" s="1"/>
  <c r="C86" i="17"/>
  <c r="E41" i="23"/>
  <c r="E36" i="23"/>
  <c r="C65" i="16" s="1"/>
  <c r="E68" i="23"/>
  <c r="E49" i="23"/>
  <c r="E53" i="23"/>
  <c r="C70" i="17"/>
  <c r="D106" i="19"/>
  <c r="C52" i="16"/>
  <c r="C52" i="17"/>
  <c r="D88" i="21"/>
  <c r="D114" i="19"/>
  <c r="C55" i="17"/>
  <c r="C55" i="16"/>
  <c r="C73" i="17"/>
  <c r="D49" i="19"/>
  <c r="C73" i="16" s="1"/>
  <c r="C72" i="16"/>
  <c r="C72" i="17"/>
  <c r="D51" i="19"/>
  <c r="C114" i="17"/>
  <c r="C90" i="17"/>
  <c r="D66" i="19"/>
  <c r="D74" i="19"/>
  <c r="C98" i="16" s="1"/>
  <c r="D64" i="19"/>
  <c r="D81" i="20"/>
  <c r="D54" i="18"/>
  <c r="C33" i="17"/>
  <c r="C77" i="17"/>
  <c r="D73" i="19"/>
  <c r="D50" i="19"/>
  <c r="E51" i="23"/>
  <c r="D70" i="19"/>
  <c r="D42" i="19"/>
  <c r="C64" i="16" s="1"/>
  <c r="D34" i="19"/>
  <c r="D36" i="19" s="1"/>
  <c r="D62" i="19"/>
  <c r="E44" i="23"/>
  <c r="C79" i="16" s="1"/>
  <c r="D52" i="19"/>
  <c r="C76" i="16" s="1"/>
  <c r="D17" i="19"/>
  <c r="D97" i="19"/>
  <c r="C121" i="16" s="1"/>
  <c r="C27" i="17"/>
  <c r="C30" i="17" s="1"/>
  <c r="C127" i="17"/>
  <c r="C83" i="17"/>
  <c r="E59" i="25"/>
  <c r="E66" i="25" s="1"/>
  <c r="C130" i="17"/>
  <c r="D59" i="19"/>
  <c r="C83" i="16" s="1"/>
  <c r="C74" i="17"/>
  <c r="D65" i="19"/>
  <c r="C89" i="16" s="1"/>
  <c r="E60" i="24"/>
  <c r="E64" i="24" s="1"/>
  <c r="B51" i="22"/>
  <c r="B55" i="22" s="1"/>
  <c r="B66" i="22" s="1"/>
  <c r="B76" i="22" s="1"/>
  <c r="D70" i="21"/>
  <c r="D79" i="21" s="1"/>
  <c r="D52" i="21"/>
  <c r="D56" i="21" s="1"/>
  <c r="D99" i="20"/>
  <c r="D106" i="20" s="1"/>
  <c r="D36" i="20"/>
  <c r="D115" i="18"/>
  <c r="D121" i="18" s="1"/>
  <c r="D97" i="18"/>
  <c r="B25" i="37"/>
  <c r="B33" i="37"/>
  <c r="B45" i="37" s="1"/>
  <c r="C98" i="17"/>
  <c r="C38" i="17"/>
  <c r="D38" i="18"/>
  <c r="B39" i="28"/>
  <c r="B44" i="28" s="1"/>
  <c r="C97" i="17"/>
  <c r="C78" i="17"/>
  <c r="E94" i="24"/>
  <c r="C75" i="17"/>
  <c r="D71" i="19"/>
  <c r="C95" i="16" s="1"/>
  <c r="C89" i="17"/>
  <c r="D29" i="20"/>
  <c r="C42" i="26"/>
  <c r="D53" i="19"/>
  <c r="C76" i="17"/>
  <c r="B39" i="29"/>
  <c r="B44" i="29" s="1"/>
  <c r="C64" i="17"/>
  <c r="C69" i="17"/>
  <c r="C82" i="17"/>
  <c r="D47" i="19"/>
  <c r="C70" i="16" s="1"/>
  <c r="E42" i="25"/>
  <c r="E46" i="25" s="1"/>
  <c r="C88" i="17"/>
  <c r="C39" i="17"/>
  <c r="C103" i="17"/>
  <c r="G34" i="9"/>
  <c r="Z99" i="20"/>
  <c r="Z106" i="20" s="1"/>
  <c r="Y58" i="16"/>
  <c r="D29" i="5"/>
  <c r="D32" i="5" s="1"/>
  <c r="Y123" i="17"/>
  <c r="V19" i="2"/>
  <c r="AD62" i="23"/>
  <c r="R19" i="2" s="1"/>
  <c r="AK25" i="19"/>
  <c r="AM25" i="19" s="1"/>
  <c r="X25" i="37"/>
  <c r="Y50" i="16"/>
  <c r="X39" i="29"/>
  <c r="X44" i="29" s="1"/>
  <c r="Z121" i="18"/>
  <c r="Z54" i="18"/>
  <c r="AA94" i="23"/>
  <c r="AA77" i="23"/>
  <c r="AA84" i="23" s="1"/>
  <c r="AD91" i="23"/>
  <c r="AD33" i="15"/>
  <c r="AA75" i="25"/>
  <c r="Y42" i="26"/>
  <c r="Y31" i="26"/>
  <c r="Y35" i="26" s="1"/>
  <c r="AA59" i="25"/>
  <c r="AA66" i="25" s="1"/>
  <c r="AA60" i="24"/>
  <c r="AA64" i="24" s="1"/>
  <c r="AA87" i="24" s="1"/>
  <c r="AA98" i="24" s="1"/>
  <c r="X51" i="22"/>
  <c r="X55" i="22" s="1"/>
  <c r="X66" i="22" s="1"/>
  <c r="X76" i="22" s="1"/>
  <c r="Z29" i="19"/>
  <c r="Z97" i="18"/>
  <c r="W26" i="14"/>
  <c r="X33" i="37"/>
  <c r="X45" i="37" s="1"/>
  <c r="X39" i="28"/>
  <c r="X44" i="28" s="1"/>
  <c r="Z52" i="21"/>
  <c r="Z56" i="21" s="1"/>
  <c r="Z81" i="20"/>
  <c r="Z29" i="20"/>
  <c r="Z70" i="21"/>
  <c r="Z79" i="21" s="1"/>
  <c r="J39" i="28"/>
  <c r="J44" i="28" s="1"/>
  <c r="Z38" i="18"/>
  <c r="AA42" i="25"/>
  <c r="AA46" i="25" s="1"/>
  <c r="W60" i="17"/>
  <c r="W109" i="17" s="1"/>
  <c r="W135" i="17" s="1"/>
  <c r="W145" i="17" s="1"/>
  <c r="X82" i="21"/>
  <c r="X92" i="21" s="1"/>
  <c r="W123" i="16"/>
  <c r="W132" i="16" s="1"/>
  <c r="X38" i="19"/>
  <c r="W60" i="16"/>
  <c r="Y94" i="23"/>
  <c r="Y46" i="25"/>
  <c r="Y69" i="25" s="1"/>
  <c r="Y79" i="25" s="1"/>
  <c r="X81" i="19"/>
  <c r="U60" i="16"/>
  <c r="W64" i="23"/>
  <c r="W87" i="23" s="1"/>
  <c r="W98" i="23" s="1"/>
  <c r="U123" i="16"/>
  <c r="U132" i="16" s="1"/>
  <c r="U60" i="17"/>
  <c r="U109" i="17" s="1"/>
  <c r="U135" i="17" s="1"/>
  <c r="U145" i="17" s="1"/>
  <c r="U105" i="16"/>
  <c r="V85" i="19"/>
  <c r="V111" i="19" s="1"/>
  <c r="V121" i="19" s="1"/>
  <c r="S109" i="17"/>
  <c r="S135" i="17" s="1"/>
  <c r="S145" i="17" s="1"/>
  <c r="D19" i="6"/>
  <c r="D26" i="6"/>
  <c r="I34" i="9" l="1"/>
  <c r="K34" i="9"/>
  <c r="K24" i="13"/>
  <c r="I24" i="13"/>
  <c r="K26" i="13"/>
  <c r="I26" i="13"/>
  <c r="H68" i="19"/>
  <c r="H34" i="19"/>
  <c r="G74" i="17"/>
  <c r="I55" i="23"/>
  <c r="I54" i="23"/>
  <c r="I46" i="23"/>
  <c r="H76" i="19"/>
  <c r="J17" i="33"/>
  <c r="I70" i="23"/>
  <c r="I56" i="23"/>
  <c r="I42" i="23"/>
  <c r="G99" i="17"/>
  <c r="H26" i="19"/>
  <c r="I43" i="23"/>
  <c r="I38" i="23"/>
  <c r="G67" i="16" s="1"/>
  <c r="I57" i="23"/>
  <c r="H28" i="19"/>
  <c r="H46" i="19"/>
  <c r="G84" i="16"/>
  <c r="AB84" i="16" s="1"/>
  <c r="I48" i="23"/>
  <c r="I72" i="23"/>
  <c r="G118" i="16" s="1"/>
  <c r="H45" i="19"/>
  <c r="G68" i="16" s="1"/>
  <c r="I73" i="23"/>
  <c r="H79" i="19"/>
  <c r="AI71" i="20"/>
  <c r="AK71" i="20" s="1"/>
  <c r="G92" i="17"/>
  <c r="AI128" i="18"/>
  <c r="AK128" i="18" s="1"/>
  <c r="I58" i="23"/>
  <c r="G72" i="16"/>
  <c r="G102" i="17"/>
  <c r="R29" i="5"/>
  <c r="H80" i="19"/>
  <c r="G104" i="16" s="1"/>
  <c r="H59" i="19"/>
  <c r="I50" i="23"/>
  <c r="H27" i="19"/>
  <c r="G69" i="17"/>
  <c r="H50" i="19"/>
  <c r="H105" i="19"/>
  <c r="H121" i="18"/>
  <c r="I74" i="23"/>
  <c r="G52" i="17"/>
  <c r="I40" i="23"/>
  <c r="H21" i="19"/>
  <c r="D33" i="37"/>
  <c r="D45" i="37" s="1"/>
  <c r="G49" i="23"/>
  <c r="G51" i="23"/>
  <c r="E92" i="16" s="1"/>
  <c r="E72" i="17"/>
  <c r="G41" i="23"/>
  <c r="E58" i="17"/>
  <c r="E75" i="16"/>
  <c r="E98" i="16"/>
  <c r="E76" i="17"/>
  <c r="E89" i="16"/>
  <c r="E33" i="17"/>
  <c r="E69" i="16"/>
  <c r="E70" i="16"/>
  <c r="E103" i="16"/>
  <c r="F54" i="18"/>
  <c r="D25" i="37"/>
  <c r="E83" i="17"/>
  <c r="E75" i="17"/>
  <c r="E88" i="16"/>
  <c r="F88" i="21"/>
  <c r="F106" i="19"/>
  <c r="E130" i="16" s="1"/>
  <c r="G25" i="7"/>
  <c r="K25" i="7" s="1"/>
  <c r="C100" i="16"/>
  <c r="E102" i="16"/>
  <c r="C88" i="16"/>
  <c r="E87" i="24"/>
  <c r="E98" i="24" s="1"/>
  <c r="C78" i="16"/>
  <c r="C97" i="16"/>
  <c r="C92" i="16"/>
  <c r="C86" i="16"/>
  <c r="C74" i="16"/>
  <c r="C99" i="16"/>
  <c r="C119" i="16"/>
  <c r="C47" i="26"/>
  <c r="E78" i="16"/>
  <c r="C91" i="16"/>
  <c r="E91" i="16"/>
  <c r="E74" i="16"/>
  <c r="E38" i="17"/>
  <c r="E39" i="17"/>
  <c r="E40" i="17"/>
  <c r="C39" i="16"/>
  <c r="C118" i="16"/>
  <c r="C77" i="16"/>
  <c r="E96" i="16"/>
  <c r="E31" i="26"/>
  <c r="E35" i="26" s="1"/>
  <c r="E82" i="17"/>
  <c r="E42" i="26"/>
  <c r="F117" i="19"/>
  <c r="E119" i="16"/>
  <c r="E95" i="17"/>
  <c r="E101" i="16"/>
  <c r="E101" i="17"/>
  <c r="E100" i="16"/>
  <c r="E100" i="17"/>
  <c r="E120" i="16"/>
  <c r="E99" i="16"/>
  <c r="E99" i="17"/>
  <c r="E27" i="17"/>
  <c r="E30" i="17" s="1"/>
  <c r="D39" i="29"/>
  <c r="D44" i="29" s="1"/>
  <c r="E121" i="17"/>
  <c r="E123" i="17" s="1"/>
  <c r="E132" i="17" s="1"/>
  <c r="D51" i="22"/>
  <c r="E92" i="17"/>
  <c r="E118" i="16"/>
  <c r="C40" i="16"/>
  <c r="C40" i="17"/>
  <c r="C42" i="17" s="1"/>
  <c r="E58" i="16"/>
  <c r="E38" i="16"/>
  <c r="F121" i="18"/>
  <c r="E127" i="16"/>
  <c r="E39" i="16"/>
  <c r="E40" i="16"/>
  <c r="F97" i="18"/>
  <c r="F38" i="18"/>
  <c r="C123" i="17"/>
  <c r="C132" i="17" s="1"/>
  <c r="D39" i="28"/>
  <c r="D44" i="28" s="1"/>
  <c r="G70" i="23"/>
  <c r="G59" i="25"/>
  <c r="G66" i="25" s="1"/>
  <c r="G38" i="23"/>
  <c r="E67" i="16" s="1"/>
  <c r="G42" i="25"/>
  <c r="G46" i="25" s="1"/>
  <c r="G46" i="23"/>
  <c r="G60" i="24"/>
  <c r="G64" i="24" s="1"/>
  <c r="F52" i="21"/>
  <c r="F56" i="21" s="1"/>
  <c r="E94" i="16"/>
  <c r="F81" i="20"/>
  <c r="F97" i="19"/>
  <c r="F99" i="20"/>
  <c r="F106" i="20" s="1"/>
  <c r="C68" i="16"/>
  <c r="D29" i="19"/>
  <c r="C104" i="16"/>
  <c r="F21" i="19"/>
  <c r="F29" i="20"/>
  <c r="F34" i="19"/>
  <c r="F36" i="20"/>
  <c r="F90" i="19"/>
  <c r="F70" i="21"/>
  <c r="F79" i="21" s="1"/>
  <c r="G68" i="23"/>
  <c r="G77" i="24"/>
  <c r="G84" i="24" s="1"/>
  <c r="G90" i="23"/>
  <c r="G94" i="24"/>
  <c r="F17" i="19"/>
  <c r="AH33" i="15"/>
  <c r="AJ33" i="15" s="1"/>
  <c r="D117" i="19"/>
  <c r="E77" i="23"/>
  <c r="E84" i="23" s="1"/>
  <c r="C113" i="16"/>
  <c r="C94" i="16"/>
  <c r="C58" i="16"/>
  <c r="C58" i="17"/>
  <c r="C130" i="16"/>
  <c r="C75" i="16"/>
  <c r="D34" i="2"/>
  <c r="C90" i="16"/>
  <c r="C47" i="16"/>
  <c r="C50" i="16" s="1"/>
  <c r="E60" i="23"/>
  <c r="D99" i="19"/>
  <c r="D108" i="19" s="1"/>
  <c r="D38" i="20"/>
  <c r="D85" i="20" s="1"/>
  <c r="D109" i="20" s="1"/>
  <c r="D119" i="20" s="1"/>
  <c r="E69" i="25"/>
  <c r="E79" i="25" s="1"/>
  <c r="D82" i="21"/>
  <c r="D92" i="21" s="1"/>
  <c r="D81" i="19"/>
  <c r="C105" i="17"/>
  <c r="Y132" i="17"/>
  <c r="Y58" i="17"/>
  <c r="Z36" i="19"/>
  <c r="Y50" i="17"/>
  <c r="R49" i="2"/>
  <c r="Y47" i="26"/>
  <c r="Z117" i="19"/>
  <c r="Y42" i="16"/>
  <c r="Y60" i="16" s="1"/>
  <c r="AA69" i="25"/>
  <c r="AA79" i="25" s="1"/>
  <c r="AA60" i="23"/>
  <c r="Z82" i="21"/>
  <c r="Z92" i="21" s="1"/>
  <c r="Y42" i="17"/>
  <c r="Z56" i="18"/>
  <c r="Z101" i="18" s="1"/>
  <c r="Z124" i="18" s="1"/>
  <c r="Y105" i="17"/>
  <c r="Y141" i="17"/>
  <c r="Z81" i="19"/>
  <c r="Z99" i="19"/>
  <c r="Z108" i="19" s="1"/>
  <c r="Z38" i="20"/>
  <c r="Z85" i="20" s="1"/>
  <c r="Z109" i="20" s="1"/>
  <c r="Z119" i="20" s="1"/>
  <c r="X85" i="19"/>
  <c r="X111" i="19" s="1"/>
  <c r="X121" i="19" s="1"/>
  <c r="U109" i="16"/>
  <c r="U135" i="16" s="1"/>
  <c r="D29" i="6"/>
  <c r="W28" i="27"/>
  <c r="J92" i="18" l="1"/>
  <c r="I99" i="17" s="1"/>
  <c r="H73" i="19"/>
  <c r="H62" i="19"/>
  <c r="H74" i="19"/>
  <c r="H65" i="19"/>
  <c r="H70" i="19"/>
  <c r="H53" i="19"/>
  <c r="H64" i="19"/>
  <c r="G73" i="17"/>
  <c r="H49" i="19"/>
  <c r="H52" i="19"/>
  <c r="G82" i="17"/>
  <c r="H58" i="19"/>
  <c r="H77" i="19"/>
  <c r="H51" i="19"/>
  <c r="G75" i="16" s="1"/>
  <c r="H66" i="19"/>
  <c r="H54" i="19"/>
  <c r="AE61" i="19"/>
  <c r="AK61" i="19" s="1"/>
  <c r="AM61" i="19" s="1"/>
  <c r="H67" i="19"/>
  <c r="G95" i="17"/>
  <c r="H71" i="19"/>
  <c r="G95" i="16" s="1"/>
  <c r="I49" i="23"/>
  <c r="H106" i="19"/>
  <c r="G130" i="16" s="1"/>
  <c r="G76" i="17"/>
  <c r="G96" i="16"/>
  <c r="G52" i="16"/>
  <c r="G127" i="16"/>
  <c r="G89" i="17"/>
  <c r="G74" i="16"/>
  <c r="F39" i="28"/>
  <c r="F44" i="28" s="1"/>
  <c r="G70" i="17"/>
  <c r="I53" i="23"/>
  <c r="I41" i="23"/>
  <c r="I44" i="23"/>
  <c r="G130" i="17"/>
  <c r="G75" i="17"/>
  <c r="G83" i="16"/>
  <c r="G120" i="16"/>
  <c r="F25" i="37"/>
  <c r="G47" i="17"/>
  <c r="G50" i="17" s="1"/>
  <c r="H36" i="20"/>
  <c r="G39" i="16"/>
  <c r="I51" i="23"/>
  <c r="H38" i="18"/>
  <c r="H52" i="21"/>
  <c r="H56" i="21" s="1"/>
  <c r="G86" i="17"/>
  <c r="I42" i="25"/>
  <c r="I46" i="25" s="1"/>
  <c r="I60" i="24"/>
  <c r="I64" i="24" s="1"/>
  <c r="G103" i="17"/>
  <c r="I68" i="23"/>
  <c r="H47" i="19"/>
  <c r="G40" i="17"/>
  <c r="G83" i="17"/>
  <c r="I90" i="23"/>
  <c r="I94" i="24"/>
  <c r="H99" i="20"/>
  <c r="H106" i="20" s="1"/>
  <c r="G121" i="17"/>
  <c r="G123" i="17" s="1"/>
  <c r="H97" i="19"/>
  <c r="G33" i="17"/>
  <c r="G98" i="17"/>
  <c r="G88" i="17"/>
  <c r="G55" i="17"/>
  <c r="G58" i="17" s="1"/>
  <c r="G55" i="16"/>
  <c r="H90" i="19"/>
  <c r="H70" i="21"/>
  <c r="H79" i="21" s="1"/>
  <c r="H17" i="19"/>
  <c r="G119" i="16"/>
  <c r="G100" i="16"/>
  <c r="G100" i="17"/>
  <c r="G90" i="17"/>
  <c r="G102" i="16"/>
  <c r="G64" i="17"/>
  <c r="H42" i="19"/>
  <c r="H88" i="21"/>
  <c r="H114" i="19"/>
  <c r="G77" i="17"/>
  <c r="F33" i="37"/>
  <c r="F45" i="37" s="1"/>
  <c r="G139" i="17"/>
  <c r="H81" i="20"/>
  <c r="H29" i="20"/>
  <c r="H97" i="18"/>
  <c r="F51" i="22"/>
  <c r="F55" i="22" s="1"/>
  <c r="F66" i="22" s="1"/>
  <c r="F76" i="22" s="1"/>
  <c r="H54" i="18"/>
  <c r="G97" i="17"/>
  <c r="G78" i="17"/>
  <c r="G40" i="16"/>
  <c r="G101" i="17"/>
  <c r="G103" i="16"/>
  <c r="G96" i="17"/>
  <c r="G115" i="16"/>
  <c r="G39" i="17"/>
  <c r="G38" i="17"/>
  <c r="I77" i="24"/>
  <c r="I84" i="24" s="1"/>
  <c r="I36" i="23"/>
  <c r="G99" i="16"/>
  <c r="G127" i="17"/>
  <c r="G69" i="16"/>
  <c r="G72" i="17"/>
  <c r="G94" i="17"/>
  <c r="G42" i="26"/>
  <c r="G47" i="26" s="1"/>
  <c r="G27" i="17"/>
  <c r="G30" i="17" s="1"/>
  <c r="G33" i="16"/>
  <c r="G38" i="16"/>
  <c r="F39" i="29"/>
  <c r="F44" i="29" s="1"/>
  <c r="AE60" i="19"/>
  <c r="H29" i="19"/>
  <c r="H36" i="19"/>
  <c r="G47" i="16"/>
  <c r="G50" i="16" s="1"/>
  <c r="AE75" i="19"/>
  <c r="AK75" i="19" s="1"/>
  <c r="AM75" i="19" s="1"/>
  <c r="E77" i="16"/>
  <c r="E97" i="16"/>
  <c r="G69" i="25"/>
  <c r="G79" i="25" s="1"/>
  <c r="E68" i="16"/>
  <c r="E42" i="17"/>
  <c r="E60" i="17" s="1"/>
  <c r="E95" i="16"/>
  <c r="E105" i="17"/>
  <c r="E47" i="26"/>
  <c r="G87" i="24"/>
  <c r="G98" i="24" s="1"/>
  <c r="L28" i="5"/>
  <c r="L29" i="5" s="1"/>
  <c r="B29" i="5"/>
  <c r="E82" i="16"/>
  <c r="D55" i="22"/>
  <c r="D66" i="22" s="1"/>
  <c r="D76" i="22" s="1"/>
  <c r="E115" i="16"/>
  <c r="E86" i="16"/>
  <c r="E121" i="16"/>
  <c r="E33" i="16"/>
  <c r="E42" i="16" s="1"/>
  <c r="E47" i="16"/>
  <c r="E50" i="16" s="1"/>
  <c r="F99" i="19"/>
  <c r="F108" i="19" s="1"/>
  <c r="E114" i="16"/>
  <c r="E113" i="16"/>
  <c r="G94" i="23"/>
  <c r="E138" i="17"/>
  <c r="E139" i="17"/>
  <c r="F56" i="18"/>
  <c r="F101" i="18" s="1"/>
  <c r="F124" i="18" s="1"/>
  <c r="F81" i="19"/>
  <c r="G77" i="23"/>
  <c r="G84" i="23" s="1"/>
  <c r="G60" i="23"/>
  <c r="F82" i="21"/>
  <c r="F92" i="21" s="1"/>
  <c r="D38" i="19"/>
  <c r="D85" i="19" s="1"/>
  <c r="D111" i="19" s="1"/>
  <c r="D121" i="19" s="1"/>
  <c r="F36" i="19"/>
  <c r="F38" i="20"/>
  <c r="F85" i="20" s="1"/>
  <c r="F109" i="20" s="1"/>
  <c r="F119" i="20" s="1"/>
  <c r="F29" i="19"/>
  <c r="C60" i="17"/>
  <c r="C109" i="17" s="1"/>
  <c r="C135" i="17" s="1"/>
  <c r="C105" i="16"/>
  <c r="Z38" i="19"/>
  <c r="Z85" i="19" s="1"/>
  <c r="Z111" i="19" s="1"/>
  <c r="Z121" i="19" s="1"/>
  <c r="Y123" i="16"/>
  <c r="Y132" i="16" s="1"/>
  <c r="AA64" i="23"/>
  <c r="AA87" i="23" s="1"/>
  <c r="AA98" i="23" s="1"/>
  <c r="Y105" i="16"/>
  <c r="Y109" i="16" s="1"/>
  <c r="F20" i="33"/>
  <c r="K95" i="30"/>
  <c r="C22" i="8"/>
  <c r="J16" i="33"/>
  <c r="H20" i="33"/>
  <c r="K117" i="30"/>
  <c r="M36" i="34"/>
  <c r="K149" i="30"/>
  <c r="J27" i="20" l="1"/>
  <c r="J27" i="19" s="1"/>
  <c r="K64" i="30"/>
  <c r="AD92" i="23"/>
  <c r="R50" i="2" s="1"/>
  <c r="AI61" i="21"/>
  <c r="AK61" i="21" s="1"/>
  <c r="J61" i="21"/>
  <c r="J90" i="19" s="1"/>
  <c r="AE90" i="19" s="1"/>
  <c r="AC70" i="21"/>
  <c r="J97" i="20"/>
  <c r="J97" i="19" s="1"/>
  <c r="AC99" i="20"/>
  <c r="J33" i="3"/>
  <c r="J35" i="3" s="1"/>
  <c r="AI97" i="20"/>
  <c r="AK97" i="20" s="1"/>
  <c r="S29" i="11"/>
  <c r="W29" i="11" s="1"/>
  <c r="G101" i="16"/>
  <c r="G78" i="16"/>
  <c r="G91" i="16"/>
  <c r="G79" i="16"/>
  <c r="G58" i="16"/>
  <c r="G86" i="16"/>
  <c r="I69" i="25"/>
  <c r="I79" i="25" s="1"/>
  <c r="G94" i="16"/>
  <c r="G138" i="17"/>
  <c r="G88" i="16"/>
  <c r="G114" i="16"/>
  <c r="H117" i="19"/>
  <c r="G76" i="16"/>
  <c r="G70" i="16"/>
  <c r="G89" i="16"/>
  <c r="G121" i="16"/>
  <c r="I94" i="23"/>
  <c r="G65" i="16"/>
  <c r="I60" i="23"/>
  <c r="G97" i="16"/>
  <c r="H99" i="19"/>
  <c r="H108" i="19" s="1"/>
  <c r="G90" i="16"/>
  <c r="G64" i="16"/>
  <c r="G77" i="16"/>
  <c r="G73" i="16"/>
  <c r="H56" i="18"/>
  <c r="H101" i="18" s="1"/>
  <c r="H124" i="18" s="1"/>
  <c r="G105" i="17"/>
  <c r="I87" i="24"/>
  <c r="I98" i="24" s="1"/>
  <c r="G132" i="17"/>
  <c r="G42" i="17"/>
  <c r="G60" i="17" s="1"/>
  <c r="G92" i="16"/>
  <c r="G82" i="16"/>
  <c r="I77" i="23"/>
  <c r="I84" i="23" s="1"/>
  <c r="G113" i="16"/>
  <c r="G98" i="16"/>
  <c r="H38" i="20"/>
  <c r="H85" i="20" s="1"/>
  <c r="H109" i="20" s="1"/>
  <c r="H119" i="20" s="1"/>
  <c r="G42" i="16"/>
  <c r="H38" i="19"/>
  <c r="H82" i="21"/>
  <c r="H92" i="21" s="1"/>
  <c r="H81" i="19"/>
  <c r="E109" i="17"/>
  <c r="E135" i="17" s="1"/>
  <c r="E105" i="16"/>
  <c r="E60" i="16"/>
  <c r="E123" i="16"/>
  <c r="E132" i="16" s="1"/>
  <c r="G64" i="23"/>
  <c r="G87" i="23" s="1"/>
  <c r="G98" i="23" s="1"/>
  <c r="Y135" i="16"/>
  <c r="S67" i="34" l="1"/>
  <c r="AD60" i="24"/>
  <c r="AD64" i="24" s="1"/>
  <c r="AC79" i="21"/>
  <c r="AC97" i="18"/>
  <c r="F18" i="2" s="1"/>
  <c r="F19" i="3" s="1"/>
  <c r="AF97" i="18"/>
  <c r="AI28" i="20"/>
  <c r="AK28" i="20" s="1"/>
  <c r="J28" i="20"/>
  <c r="J28" i="19" s="1"/>
  <c r="H36" i="15" s="1"/>
  <c r="AD39" i="28"/>
  <c r="T32" i="6"/>
  <c r="AH45" i="19"/>
  <c r="AE68" i="16" s="1"/>
  <c r="AK22" i="21"/>
  <c r="AA14" i="28"/>
  <c r="AI132" i="18"/>
  <c r="AK132" i="18" s="1"/>
  <c r="K89" i="30"/>
  <c r="AI51" i="20"/>
  <c r="AK51" i="20" s="1"/>
  <c r="J51" i="20"/>
  <c r="M62" i="34"/>
  <c r="AE97" i="17"/>
  <c r="AH73" i="19"/>
  <c r="AH51" i="19"/>
  <c r="AH49" i="19"/>
  <c r="AE73" i="16" s="1"/>
  <c r="AE73" i="17"/>
  <c r="AI26" i="21"/>
  <c r="J26" i="21"/>
  <c r="J50" i="19" s="1"/>
  <c r="AE50" i="19" s="1"/>
  <c r="AI73" i="21"/>
  <c r="AK73" i="21" s="1"/>
  <c r="AH102" i="19"/>
  <c r="AE126" i="16" s="1"/>
  <c r="AL37" i="25"/>
  <c r="AJ49" i="24"/>
  <c r="AL49" i="24" s="1"/>
  <c r="K49" i="24"/>
  <c r="H17" i="37"/>
  <c r="J52" i="20"/>
  <c r="AI52" i="20"/>
  <c r="AK52" i="20" s="1"/>
  <c r="AI19" i="21"/>
  <c r="J19" i="21"/>
  <c r="AC52" i="21"/>
  <c r="S23" i="11" s="1"/>
  <c r="W23" i="11" s="1"/>
  <c r="AD39" i="27"/>
  <c r="AD44" i="27" s="1"/>
  <c r="AG37" i="27"/>
  <c r="AI37" i="27" s="1"/>
  <c r="AL55" i="25"/>
  <c r="AG73" i="23"/>
  <c r="AD30" i="2" s="1"/>
  <c r="AJ21" i="25"/>
  <c r="K21" i="25"/>
  <c r="K38" i="23" s="1"/>
  <c r="I67" i="16" s="1"/>
  <c r="AH71" i="19"/>
  <c r="AE95" i="16" s="1"/>
  <c r="AG17" i="22"/>
  <c r="AI17" i="22" s="1"/>
  <c r="AD30" i="22"/>
  <c r="AE28" i="17"/>
  <c r="AE28" i="16"/>
  <c r="AD23" i="15" s="1"/>
  <c r="AH23" i="15" s="1"/>
  <c r="AK28" i="21"/>
  <c r="J24" i="21"/>
  <c r="AI24" i="21"/>
  <c r="K55" i="25"/>
  <c r="K73" i="23" s="1"/>
  <c r="P30" i="2" s="1"/>
  <c r="AJ55" i="25"/>
  <c r="H49" i="22"/>
  <c r="I102" i="17" s="1"/>
  <c r="AG49" i="22"/>
  <c r="AI49" i="22" s="1"/>
  <c r="AI69" i="18"/>
  <c r="J69" i="18"/>
  <c r="AJ51" i="24"/>
  <c r="AL51" i="24" s="1"/>
  <c r="K51" i="24"/>
  <c r="AG37" i="22"/>
  <c r="AI37" i="22" s="1"/>
  <c r="H37" i="22"/>
  <c r="I74" i="17" s="1"/>
  <c r="C28" i="31"/>
  <c r="M21" i="34"/>
  <c r="M32" i="34"/>
  <c r="AH42" i="19"/>
  <c r="AE64" i="16" s="1"/>
  <c r="AF81" i="20"/>
  <c r="AE64" i="17"/>
  <c r="E67" i="34"/>
  <c r="H23" i="37"/>
  <c r="AJ55" i="24"/>
  <c r="AL55" i="24" s="1"/>
  <c r="AG55" i="23"/>
  <c r="J41" i="21"/>
  <c r="AI41" i="21"/>
  <c r="AK41" i="21" s="1"/>
  <c r="AL23" i="25"/>
  <c r="AK69" i="18"/>
  <c r="AE94" i="17"/>
  <c r="AH70" i="19"/>
  <c r="M22" i="34"/>
  <c r="AG75" i="25"/>
  <c r="AJ75" i="25" s="1"/>
  <c r="AL75" i="25" s="1"/>
  <c r="AG91" i="23"/>
  <c r="AJ91" i="23" s="1"/>
  <c r="AL91" i="23" s="1"/>
  <c r="AJ72" i="25"/>
  <c r="AL72" i="25" s="1"/>
  <c r="J94" i="18"/>
  <c r="I101" i="17" s="1"/>
  <c r="AI94" i="18"/>
  <c r="AK94" i="18" s="1"/>
  <c r="K41" i="24"/>
  <c r="AJ41" i="24"/>
  <c r="AI72" i="18"/>
  <c r="AK72" i="18" s="1"/>
  <c r="AE76" i="17"/>
  <c r="K56" i="24"/>
  <c r="K56" i="23" s="1"/>
  <c r="AD56" i="23" s="1"/>
  <c r="AJ56" i="24"/>
  <c r="H20" i="37"/>
  <c r="AF38" i="18"/>
  <c r="AK30" i="18"/>
  <c r="AE33" i="17"/>
  <c r="AH80" i="19"/>
  <c r="AE104" i="16" s="1"/>
  <c r="AG50" i="23"/>
  <c r="AJ50" i="24"/>
  <c r="AL50" i="24" s="1"/>
  <c r="M59" i="34"/>
  <c r="AH47" i="19"/>
  <c r="AE70" i="16" s="1"/>
  <c r="AI64" i="20"/>
  <c r="J64" i="20"/>
  <c r="I88" i="17" s="1"/>
  <c r="AB88" i="17" s="1"/>
  <c r="AL41" i="24"/>
  <c r="AG41" i="23"/>
  <c r="AL41" i="23" s="1"/>
  <c r="AI38" i="21"/>
  <c r="AK38" i="21" s="1"/>
  <c r="J38" i="21"/>
  <c r="J67" i="19" s="1"/>
  <c r="AE67" i="19" s="1"/>
  <c r="AE101" i="17"/>
  <c r="AI82" i="18"/>
  <c r="J82" i="18"/>
  <c r="J27" i="21"/>
  <c r="AI27" i="21"/>
  <c r="K49" i="30"/>
  <c r="AL32" i="25"/>
  <c r="AL36" i="25"/>
  <c r="K46" i="24"/>
  <c r="K46" i="23" s="1"/>
  <c r="AD46" i="23" s="1"/>
  <c r="AJ46" i="24"/>
  <c r="AL46" i="24" s="1"/>
  <c r="C42" i="31"/>
  <c r="K56" i="25"/>
  <c r="K74" i="23" s="1"/>
  <c r="AD74" i="23" s="1"/>
  <c r="R31" i="2" s="1"/>
  <c r="AJ56" i="25"/>
  <c r="AL56" i="25" s="1"/>
  <c r="K85" i="30"/>
  <c r="K27" i="25"/>
  <c r="AJ27" i="25"/>
  <c r="AH76" i="19"/>
  <c r="AE55" i="16"/>
  <c r="AD53" i="15" s="1"/>
  <c r="AE55" i="17"/>
  <c r="AA51" i="22"/>
  <c r="G24" i="12" s="1"/>
  <c r="K24" i="12" s="1"/>
  <c r="K27" i="12" s="1"/>
  <c r="K37" i="12" s="1"/>
  <c r="H34" i="22"/>
  <c r="AG34" i="22"/>
  <c r="M55" i="34"/>
  <c r="AG72" i="23"/>
  <c r="J104" i="20"/>
  <c r="H42" i="3" s="1"/>
  <c r="R42" i="3" s="1"/>
  <c r="AI104" i="20"/>
  <c r="J42" i="3"/>
  <c r="T42" i="3" s="1"/>
  <c r="G33" i="11"/>
  <c r="G33" i="8" s="1"/>
  <c r="K33" i="8" s="1"/>
  <c r="AE49" i="17"/>
  <c r="AK45" i="18"/>
  <c r="AE49" i="16"/>
  <c r="AD46" i="15" s="1"/>
  <c r="AH46" i="15" s="1"/>
  <c r="AJ46" i="15" s="1"/>
  <c r="AI45" i="18"/>
  <c r="AI46" i="18" s="1"/>
  <c r="AF46" i="18"/>
  <c r="J77" i="18"/>
  <c r="AI77" i="18"/>
  <c r="AK77" i="18" s="1"/>
  <c r="AG41" i="22"/>
  <c r="AI41" i="22" s="1"/>
  <c r="H41" i="22"/>
  <c r="AA14" i="29"/>
  <c r="H32" i="6"/>
  <c r="AG36" i="29"/>
  <c r="AI36" i="29" s="1"/>
  <c r="AA39" i="29"/>
  <c r="H36" i="29"/>
  <c r="F32" i="6" s="1"/>
  <c r="AI26" i="20"/>
  <c r="J26" i="20"/>
  <c r="I38" i="17" s="1"/>
  <c r="G112" i="30"/>
  <c r="AE83" i="17"/>
  <c r="AH59" i="19"/>
  <c r="AE83" i="16" s="1"/>
  <c r="AJ39" i="25"/>
  <c r="K39" i="25"/>
  <c r="K57" i="23" s="1"/>
  <c r="AD57" i="23" s="1"/>
  <c r="AE70" i="17"/>
  <c r="AK66" i="18"/>
  <c r="AG58" i="23"/>
  <c r="AE102" i="16" s="1"/>
  <c r="M49" i="34"/>
  <c r="F38" i="2"/>
  <c r="AI119" i="18"/>
  <c r="AK119" i="18" s="1"/>
  <c r="AC121" i="18"/>
  <c r="G36" i="9"/>
  <c r="K36" i="9" s="1"/>
  <c r="J119" i="18"/>
  <c r="J121" i="18" s="1"/>
  <c r="J77" i="21"/>
  <c r="S33" i="11"/>
  <c r="U33" i="11" s="1"/>
  <c r="AI77" i="21"/>
  <c r="AK77" i="21" s="1"/>
  <c r="J49" i="20"/>
  <c r="J49" i="19" s="1"/>
  <c r="I73" i="16" s="1"/>
  <c r="AB73" i="16" s="1"/>
  <c r="AI49" i="20"/>
  <c r="AK49" i="20" s="1"/>
  <c r="AG92" i="23"/>
  <c r="AJ92" i="23" s="1"/>
  <c r="AL92" i="23" s="1"/>
  <c r="AJ73" i="25"/>
  <c r="AL73" i="25" s="1"/>
  <c r="J134" i="18"/>
  <c r="M45" i="34"/>
  <c r="H29" i="37"/>
  <c r="C112" i="30"/>
  <c r="J23" i="21"/>
  <c r="J46" i="19" s="1"/>
  <c r="AE46" i="19" s="1"/>
  <c r="AI23" i="21"/>
  <c r="AI27" i="20"/>
  <c r="AK27" i="20" s="1"/>
  <c r="AH27" i="19"/>
  <c r="AE39" i="16" s="1"/>
  <c r="AD35" i="15" s="1"/>
  <c r="L17" i="32"/>
  <c r="H18" i="32"/>
  <c r="AD39" i="29"/>
  <c r="AD44" i="29" s="1"/>
  <c r="AH50" i="19"/>
  <c r="AI50" i="20"/>
  <c r="AK50" i="20" s="1"/>
  <c r="AE74" i="17"/>
  <c r="G42" i="31"/>
  <c r="AF88" i="21"/>
  <c r="AH114" i="19"/>
  <c r="AH117" i="19" s="1"/>
  <c r="AL31" i="25"/>
  <c r="AG48" i="23"/>
  <c r="AJ31" i="25"/>
  <c r="K31" i="25"/>
  <c r="K48" i="23" s="1"/>
  <c r="AD48" i="23" s="1"/>
  <c r="AI17" i="20"/>
  <c r="AK17" i="20" s="1"/>
  <c r="G20" i="11"/>
  <c r="K20" i="11" s="1"/>
  <c r="J17" i="20"/>
  <c r="H15" i="3" s="1"/>
  <c r="J15" i="3"/>
  <c r="J51" i="21"/>
  <c r="J80" i="19" s="1"/>
  <c r="I104" i="16" s="1"/>
  <c r="AB104" i="16" s="1"/>
  <c r="AI51" i="21"/>
  <c r="AK51" i="21" s="1"/>
  <c r="AI28" i="21"/>
  <c r="J28" i="21"/>
  <c r="AH34" i="19"/>
  <c r="AH36" i="19" s="1"/>
  <c r="AF36" i="20"/>
  <c r="AE47" i="17"/>
  <c r="J36" i="21"/>
  <c r="AI36" i="21"/>
  <c r="AK36" i="21" s="1"/>
  <c r="AJ62" i="24"/>
  <c r="AL62" i="24" s="1"/>
  <c r="AG62" i="23"/>
  <c r="AD19" i="2" s="1"/>
  <c r="K52" i="25"/>
  <c r="K70" i="23" s="1"/>
  <c r="I115" i="16" s="1"/>
  <c r="AJ52" i="25"/>
  <c r="AE100" i="17"/>
  <c r="AG51" i="23"/>
  <c r="AL21" i="25"/>
  <c r="AG38" i="23"/>
  <c r="AE67" i="16" s="1"/>
  <c r="AH28" i="19"/>
  <c r="AE40" i="16" s="1"/>
  <c r="AD36" i="15" s="1"/>
  <c r="J74" i="18"/>
  <c r="I78" i="17" s="1"/>
  <c r="AI74" i="18"/>
  <c r="AK74" i="18" s="1"/>
  <c r="AG50" i="22"/>
  <c r="AI50" i="22" s="1"/>
  <c r="H50" i="22"/>
  <c r="AH17" i="19"/>
  <c r="AE27" i="16" s="1"/>
  <c r="AH27" i="16" s="1"/>
  <c r="AJ27" i="16" s="1"/>
  <c r="AI40" i="22"/>
  <c r="M16" i="34"/>
  <c r="M35" i="34"/>
  <c r="AC36" i="20"/>
  <c r="J17" i="3" s="1"/>
  <c r="J34" i="20"/>
  <c r="I47" i="17" s="1"/>
  <c r="I50" i="17" s="1"/>
  <c r="AI34" i="20"/>
  <c r="AK34" i="20" s="1"/>
  <c r="AH77" i="19"/>
  <c r="AE101" i="16" s="1"/>
  <c r="G28" i="31"/>
  <c r="AH105" i="19"/>
  <c r="AE129" i="16" s="1"/>
  <c r="AI34" i="22"/>
  <c r="AE68" i="17"/>
  <c r="AD51" i="22"/>
  <c r="AA14" i="27"/>
  <c r="D33" i="6"/>
  <c r="AG37" i="28"/>
  <c r="AI37" i="28" s="1"/>
  <c r="H37" i="28"/>
  <c r="B33" i="6" s="1"/>
  <c r="G23" i="30"/>
  <c r="J22" i="21"/>
  <c r="J45" i="19" s="1"/>
  <c r="I68" i="16" s="1"/>
  <c r="AI22" i="21"/>
  <c r="AL26" i="25"/>
  <c r="AG44" i="23"/>
  <c r="AE79" i="16" s="1"/>
  <c r="AL27" i="25"/>
  <c r="AI65" i="18"/>
  <c r="J65" i="18"/>
  <c r="I69" i="17" s="1"/>
  <c r="AG42" i="25"/>
  <c r="AG46" i="25" s="1"/>
  <c r="AL19" i="25"/>
  <c r="AG36" i="23"/>
  <c r="AE65" i="16" s="1"/>
  <c r="AI71" i="18"/>
  <c r="AK71" i="18" s="1"/>
  <c r="AE75" i="17"/>
  <c r="AK30" i="21"/>
  <c r="AI51" i="18"/>
  <c r="AK51" i="18" s="1"/>
  <c r="J51" i="18"/>
  <c r="I55" i="17" s="1"/>
  <c r="F53" i="15"/>
  <c r="X53" i="15" s="1"/>
  <c r="AG40" i="23"/>
  <c r="AJ40" i="24"/>
  <c r="AL40" i="24" s="1"/>
  <c r="AG60" i="24"/>
  <c r="AK88" i="18"/>
  <c r="AI88" i="18"/>
  <c r="AE95" i="17"/>
  <c r="AI24" i="18"/>
  <c r="AK24" i="18" s="1"/>
  <c r="AE27" i="17"/>
  <c r="AI21" i="20"/>
  <c r="AK21" i="20" s="1"/>
  <c r="AC29" i="20"/>
  <c r="J16" i="3" s="1"/>
  <c r="J21" i="20"/>
  <c r="J21" i="19" s="1"/>
  <c r="AE21" i="19" s="1"/>
  <c r="J29" i="15" s="1"/>
  <c r="AL24" i="25"/>
  <c r="AI96" i="18"/>
  <c r="AK96" i="18" s="1"/>
  <c r="J96" i="18"/>
  <c r="I103" i="17" s="1"/>
  <c r="AI47" i="21"/>
  <c r="AK47" i="21" s="1"/>
  <c r="J47" i="21"/>
  <c r="J76" i="19" s="1"/>
  <c r="AE76" i="19" s="1"/>
  <c r="AF99" i="20"/>
  <c r="AF106" i="20" s="1"/>
  <c r="AA27" i="3"/>
  <c r="AI91" i="20"/>
  <c r="AK91" i="20" s="1"/>
  <c r="AE115" i="17"/>
  <c r="AH91" i="19"/>
  <c r="AK91" i="19" s="1"/>
  <c r="AM91" i="19" s="1"/>
  <c r="AG70" i="23"/>
  <c r="AL52" i="25"/>
  <c r="AE103" i="17"/>
  <c r="AH65" i="19"/>
  <c r="AE89" i="16" s="1"/>
  <c r="J89" i="18"/>
  <c r="I96" i="17" s="1"/>
  <c r="AI89" i="18"/>
  <c r="AK89" i="18" s="1"/>
  <c r="AE91" i="17"/>
  <c r="AI84" i="18"/>
  <c r="AK84" i="18" s="1"/>
  <c r="T33" i="6"/>
  <c r="T36" i="5"/>
  <c r="AH29" i="26"/>
  <c r="AJ29" i="26" s="1"/>
  <c r="AE31" i="26"/>
  <c r="AE35" i="26" s="1"/>
  <c r="T28" i="5"/>
  <c r="W28" i="5" s="1"/>
  <c r="W29" i="5" s="1"/>
  <c r="W32" i="5" s="1"/>
  <c r="K26" i="25"/>
  <c r="K43" i="23" s="1"/>
  <c r="AD43" i="23" s="1"/>
  <c r="AJ26" i="25"/>
  <c r="AH64" i="19"/>
  <c r="AE88" i="17"/>
  <c r="AK64" i="20"/>
  <c r="AI76" i="21"/>
  <c r="AK76" i="21" s="1"/>
  <c r="J76" i="21"/>
  <c r="J105" i="19" s="1"/>
  <c r="H40" i="2" s="1"/>
  <c r="S32" i="11"/>
  <c r="W32" i="11" s="1"/>
  <c r="AI85" i="21"/>
  <c r="AK85" i="21" s="1"/>
  <c r="AC88" i="21"/>
  <c r="S25" i="11"/>
  <c r="W25" i="11" s="1"/>
  <c r="J85" i="21"/>
  <c r="J88" i="21" s="1"/>
  <c r="AH52" i="19"/>
  <c r="AE76" i="16" s="1"/>
  <c r="K33" i="25"/>
  <c r="K50" i="23" s="1"/>
  <c r="AD50" i="23" s="1"/>
  <c r="AJ33" i="25"/>
  <c r="I101" i="30"/>
  <c r="AK24" i="21"/>
  <c r="AJ38" i="25"/>
  <c r="AL38" i="25" s="1"/>
  <c r="K38" i="25"/>
  <c r="K55" i="23" s="1"/>
  <c r="AD55" i="23" s="1"/>
  <c r="E23" i="30"/>
  <c r="J81" i="18"/>
  <c r="AI81" i="18"/>
  <c r="AK81" i="18" s="1"/>
  <c r="AG36" i="28"/>
  <c r="AI36" i="28" s="1"/>
  <c r="D32" i="6"/>
  <c r="AA39" i="28"/>
  <c r="AA44" i="28" s="1"/>
  <c r="H36" i="28"/>
  <c r="B32" i="6" s="1"/>
  <c r="AJ32" i="25"/>
  <c r="K32" i="25"/>
  <c r="F29" i="15"/>
  <c r="AI30" i="18"/>
  <c r="J30" i="18"/>
  <c r="D29" i="15" s="1"/>
  <c r="AC38" i="18"/>
  <c r="F15" i="2" s="1"/>
  <c r="AH21" i="19"/>
  <c r="AE33" i="16" s="1"/>
  <c r="AD29" i="15" s="1"/>
  <c r="AF29" i="20"/>
  <c r="AG49" i="23"/>
  <c r="AL49" i="23" s="1"/>
  <c r="AI73" i="20"/>
  <c r="AK73" i="20" s="1"/>
  <c r="J73" i="20"/>
  <c r="I97" i="17" s="1"/>
  <c r="AE96" i="17"/>
  <c r="K19" i="25"/>
  <c r="AD42" i="25"/>
  <c r="AD46" i="25" s="1"/>
  <c r="AJ19" i="25"/>
  <c r="AJ40" i="25"/>
  <c r="AL40" i="25" s="1"/>
  <c r="K40" i="25"/>
  <c r="K58" i="23" s="1"/>
  <c r="AD58" i="23" s="1"/>
  <c r="AH68" i="19"/>
  <c r="AE77" i="17"/>
  <c r="AH53" i="19"/>
  <c r="K142" i="30"/>
  <c r="AJ24" i="25"/>
  <c r="K24" i="25"/>
  <c r="AE114" i="16"/>
  <c r="AD25" i="2"/>
  <c r="AA26" i="3"/>
  <c r="AI106" i="18"/>
  <c r="AK106" i="18" s="1"/>
  <c r="AE114" i="17"/>
  <c r="AG56" i="23"/>
  <c r="AL56" i="23" s="1"/>
  <c r="AL56" i="24"/>
  <c r="J29" i="21"/>
  <c r="AI29" i="21"/>
  <c r="AA13" i="22"/>
  <c r="N57" i="2"/>
  <c r="AD40" i="2"/>
  <c r="AE129" i="17"/>
  <c r="AG61" i="22"/>
  <c r="AG63" i="22" s="1"/>
  <c r="AA41" i="3"/>
  <c r="AD63" i="22"/>
  <c r="Z12" i="37"/>
  <c r="AE21" i="16"/>
  <c r="AD16" i="15" s="1"/>
  <c r="AF23" i="18"/>
  <c r="AI23" i="18" s="1"/>
  <c r="AK23" i="18" s="1"/>
  <c r="AE21" i="17"/>
  <c r="AH74" i="19"/>
  <c r="AE98" i="16" s="1"/>
  <c r="H22" i="37"/>
  <c r="K136" i="30"/>
  <c r="AE42" i="26"/>
  <c r="T35" i="5"/>
  <c r="K137" i="30"/>
  <c r="AH60" i="19"/>
  <c r="AE84" i="16" s="1"/>
  <c r="AH84" i="16" s="1"/>
  <c r="AJ84" i="16" s="1"/>
  <c r="AE84" i="17"/>
  <c r="AH84" i="17" s="1"/>
  <c r="AJ84" i="17" s="1"/>
  <c r="AI60" i="20"/>
  <c r="AK60" i="20" s="1"/>
  <c r="K90" i="24"/>
  <c r="K94" i="24" s="1"/>
  <c r="G25" i="14"/>
  <c r="K25" i="14" s="1"/>
  <c r="AD94" i="24"/>
  <c r="AJ90" i="24"/>
  <c r="AL90" i="24" s="1"/>
  <c r="AG43" i="22"/>
  <c r="AI43" i="22" s="1"/>
  <c r="AE86" i="17"/>
  <c r="AI83" i="18"/>
  <c r="AK83" i="18" s="1"/>
  <c r="AE90" i="17"/>
  <c r="J37" i="21"/>
  <c r="AI37" i="21"/>
  <c r="AK37" i="21" s="1"/>
  <c r="AI33" i="21"/>
  <c r="AK33" i="21" s="1"/>
  <c r="J33" i="21"/>
  <c r="J35" i="18"/>
  <c r="D35" i="15" s="1"/>
  <c r="F35" i="15"/>
  <c r="AI35" i="18"/>
  <c r="AK35" i="18" s="1"/>
  <c r="AG42" i="23"/>
  <c r="AL25" i="25"/>
  <c r="I91" i="30"/>
  <c r="I28" i="31"/>
  <c r="K18" i="31"/>
  <c r="G91" i="30"/>
  <c r="G103" i="30" s="1"/>
  <c r="AI42" i="20"/>
  <c r="AK42" i="20" s="1"/>
  <c r="AC81" i="20"/>
  <c r="J19" i="3" s="1"/>
  <c r="J42" i="20"/>
  <c r="I64" i="17" s="1"/>
  <c r="AG13" i="23"/>
  <c r="I23" i="30"/>
  <c r="K37" i="25"/>
  <c r="K54" i="23" s="1"/>
  <c r="AD54" i="23" s="1"/>
  <c r="AJ37" i="25"/>
  <c r="H36" i="22"/>
  <c r="I72" i="17" s="1"/>
  <c r="AG36" i="22"/>
  <c r="AI36" i="22" s="1"/>
  <c r="AI67" i="21"/>
  <c r="AK67" i="21" s="1"/>
  <c r="AH96" i="19"/>
  <c r="AK96" i="19" s="1"/>
  <c r="AM96" i="19" s="1"/>
  <c r="AK26" i="20"/>
  <c r="AH26" i="19"/>
  <c r="AE38" i="16" s="1"/>
  <c r="AD34" i="15" s="1"/>
  <c r="AE38" i="17"/>
  <c r="AE92" i="17"/>
  <c r="AI85" i="18"/>
  <c r="AK85" i="18" s="1"/>
  <c r="M56" i="34"/>
  <c r="AK104" i="20"/>
  <c r="AH106" i="19"/>
  <c r="AE130" i="16" s="1"/>
  <c r="AA42" i="3"/>
  <c r="AI44" i="21"/>
  <c r="AK44" i="21" s="1"/>
  <c r="J44" i="21"/>
  <c r="AI32" i="18"/>
  <c r="AE36" i="16"/>
  <c r="AD32" i="15" s="1"/>
  <c r="AH32" i="15" s="1"/>
  <c r="AJ32" i="15" s="1"/>
  <c r="AE36" i="17"/>
  <c r="AK32" i="18"/>
  <c r="AJ53" i="24"/>
  <c r="AL53" i="24" s="1"/>
  <c r="K53" i="24"/>
  <c r="J45" i="21"/>
  <c r="AI45" i="21"/>
  <c r="AK45" i="21" s="1"/>
  <c r="J42" i="21"/>
  <c r="J71" i="19" s="1"/>
  <c r="I95" i="16" s="1"/>
  <c r="AI42" i="21"/>
  <c r="AK42" i="21" s="1"/>
  <c r="M57" i="34"/>
  <c r="J50" i="21"/>
  <c r="J79" i="19" s="1"/>
  <c r="AI50" i="21"/>
  <c r="AK50" i="21" s="1"/>
  <c r="AD59" i="25"/>
  <c r="S30" i="14" s="1"/>
  <c r="S33" i="14" s="1"/>
  <c r="K50" i="25"/>
  <c r="AJ50" i="25"/>
  <c r="AI35" i="21"/>
  <c r="AK35" i="21" s="1"/>
  <c r="J35" i="21"/>
  <c r="AH66" i="19"/>
  <c r="AE90" i="16" s="1"/>
  <c r="M41" i="34"/>
  <c r="AH46" i="19"/>
  <c r="AE69" i="16" s="1"/>
  <c r="AK23" i="21"/>
  <c r="H32" i="37"/>
  <c r="AH79" i="19"/>
  <c r="M40" i="34"/>
  <c r="AK82" i="18"/>
  <c r="AE89" i="17"/>
  <c r="AF115" i="18"/>
  <c r="AF121" i="18" s="1"/>
  <c r="AA25" i="3"/>
  <c r="AE113" i="17"/>
  <c r="AI105" i="18"/>
  <c r="AK105" i="18" s="1"/>
  <c r="AI66" i="20"/>
  <c r="AK66" i="20" s="1"/>
  <c r="J66" i="20"/>
  <c r="I90" i="17" s="1"/>
  <c r="AG74" i="23"/>
  <c r="AG45" i="22"/>
  <c r="AI45" i="22" s="1"/>
  <c r="H45" i="22"/>
  <c r="AI48" i="21"/>
  <c r="AK48" i="21" s="1"/>
  <c r="J48" i="21"/>
  <c r="J77" i="19" s="1"/>
  <c r="AE77" i="19" s="1"/>
  <c r="J53" i="20"/>
  <c r="AI53" i="20"/>
  <c r="AK53" i="20" s="1"/>
  <c r="AJ28" i="25"/>
  <c r="AL28" i="25" s="1"/>
  <c r="AJ36" i="24"/>
  <c r="AL36" i="24" s="1"/>
  <c r="K36" i="24"/>
  <c r="J19" i="33"/>
  <c r="J20" i="33" s="1"/>
  <c r="D20" i="33"/>
  <c r="AE78" i="17"/>
  <c r="M63" i="34"/>
  <c r="AG23" i="23"/>
  <c r="AG26" i="23" s="1"/>
  <c r="AG31" i="23" s="1"/>
  <c r="AJ23" i="24"/>
  <c r="AJ26" i="24" s="1"/>
  <c r="AJ31" i="24" s="1"/>
  <c r="AL23" i="24"/>
  <c r="AG26" i="24"/>
  <c r="AG31" i="24" s="1"/>
  <c r="J65" i="20"/>
  <c r="AI65" i="20"/>
  <c r="AK65" i="20" s="1"/>
  <c r="H38" i="22"/>
  <c r="AG38" i="22"/>
  <c r="AI38" i="22" s="1"/>
  <c r="K44" i="24"/>
  <c r="AJ44" i="24"/>
  <c r="AL44" i="24" s="1"/>
  <c r="AG53" i="23"/>
  <c r="AE94" i="16" s="1"/>
  <c r="M44" i="34"/>
  <c r="AJ43" i="24"/>
  <c r="AL43" i="24" s="1"/>
  <c r="AG43" i="23"/>
  <c r="J58" i="20"/>
  <c r="J58" i="19" s="1"/>
  <c r="AI58" i="20"/>
  <c r="AK58" i="20" s="1"/>
  <c r="AK29" i="21"/>
  <c r="AK65" i="18"/>
  <c r="AE69" i="17"/>
  <c r="J66" i="18"/>
  <c r="AI66" i="18"/>
  <c r="AI70" i="20"/>
  <c r="AK70" i="20" s="1"/>
  <c r="J70" i="20"/>
  <c r="I94" i="17" s="1"/>
  <c r="AI54" i="20"/>
  <c r="AK54" i="20" s="1"/>
  <c r="AH54" i="19"/>
  <c r="AI39" i="21"/>
  <c r="AK39" i="21" s="1"/>
  <c r="J39" i="21"/>
  <c r="J68" i="19" s="1"/>
  <c r="AE68" i="19" s="1"/>
  <c r="M37" i="34"/>
  <c r="J18" i="32"/>
  <c r="L16" i="32"/>
  <c r="J30" i="21"/>
  <c r="J54" i="19" s="1"/>
  <c r="AE54" i="19" s="1"/>
  <c r="AI30" i="21"/>
  <c r="AE56" i="17"/>
  <c r="AE56" i="16"/>
  <c r="AD54" i="15" s="1"/>
  <c r="AH54" i="15" s="1"/>
  <c r="AJ54" i="15" s="1"/>
  <c r="AI52" i="18"/>
  <c r="AK52" i="18" s="1"/>
  <c r="M65" i="34"/>
  <c r="AK27" i="21"/>
  <c r="H30" i="37"/>
  <c r="AE39" i="17"/>
  <c r="AI48" i="18"/>
  <c r="AC54" i="18"/>
  <c r="F50" i="15"/>
  <c r="X50" i="15" s="1"/>
  <c r="J48" i="18"/>
  <c r="I52" i="17" s="1"/>
  <c r="AI91" i="18"/>
  <c r="AK91" i="18" s="1"/>
  <c r="AE98" i="17"/>
  <c r="D25" i="32"/>
  <c r="L22" i="32"/>
  <c r="K58" i="30"/>
  <c r="K107" i="30"/>
  <c r="C91" i="30"/>
  <c r="C103" i="30" s="1"/>
  <c r="I22" i="14"/>
  <c r="AL39" i="25"/>
  <c r="AL29" i="25"/>
  <c r="AJ29" i="25"/>
  <c r="AJ54" i="25"/>
  <c r="AL54" i="25" s="1"/>
  <c r="K54" i="25"/>
  <c r="K72" i="23" s="1"/>
  <c r="I118" i="16" s="1"/>
  <c r="K25" i="25"/>
  <c r="K42" i="23" s="1"/>
  <c r="AD42" i="23" s="1"/>
  <c r="AJ25" i="25"/>
  <c r="AE102" i="17"/>
  <c r="K116" i="30"/>
  <c r="C155" i="30"/>
  <c r="AI65" i="21"/>
  <c r="AK65" i="21" s="1"/>
  <c r="AF70" i="21"/>
  <c r="AF79" i="21" s="1"/>
  <c r="AH94" i="19"/>
  <c r="AK94" i="19" s="1"/>
  <c r="AM94" i="19" s="1"/>
  <c r="H40" i="22"/>
  <c r="AG40" i="22"/>
  <c r="AE52" i="17"/>
  <c r="AE52" i="16"/>
  <c r="AD50" i="15" s="1"/>
  <c r="AK48" i="18"/>
  <c r="AF54" i="18"/>
  <c r="AA18" i="3" s="1"/>
  <c r="AI92" i="18"/>
  <c r="AK92" i="18" s="1"/>
  <c r="AE99" i="17"/>
  <c r="AJ68" i="24"/>
  <c r="AL68" i="24" s="1"/>
  <c r="K68" i="24"/>
  <c r="K77" i="24" s="1"/>
  <c r="K84" i="24" s="1"/>
  <c r="AD77" i="24"/>
  <c r="G30" i="14" s="1"/>
  <c r="K30" i="14" s="1"/>
  <c r="K33" i="14" s="1"/>
  <c r="AH67" i="19"/>
  <c r="AG39" i="22"/>
  <c r="AI39" i="22" s="1"/>
  <c r="H39" i="22"/>
  <c r="K88" i="30"/>
  <c r="K27" i="31"/>
  <c r="AK26" i="21"/>
  <c r="AL33" i="25"/>
  <c r="AG54" i="23"/>
  <c r="AE96" i="16" s="1"/>
  <c r="AJ54" i="24"/>
  <c r="AL54" i="24" s="1"/>
  <c r="AE82" i="17"/>
  <c r="AH58" i="19"/>
  <c r="AE82" i="16" s="1"/>
  <c r="AI62" i="20"/>
  <c r="AK62" i="20" s="1"/>
  <c r="J62" i="20"/>
  <c r="J74" i="20"/>
  <c r="I98" i="17" s="1"/>
  <c r="AB98" i="17" s="1"/>
  <c r="AI74" i="20"/>
  <c r="AK74" i="20" s="1"/>
  <c r="J47" i="20"/>
  <c r="AI47" i="20"/>
  <c r="AK47" i="20" s="1"/>
  <c r="AK19" i="21"/>
  <c r="AF52" i="21"/>
  <c r="AF56" i="21" s="1"/>
  <c r="AI63" i="18"/>
  <c r="AK63" i="18" s="1"/>
  <c r="AE67" i="17"/>
  <c r="J93" i="18"/>
  <c r="I100" i="17" s="1"/>
  <c r="AI93" i="18"/>
  <c r="AK93" i="18" s="1"/>
  <c r="AE72" i="16"/>
  <c r="AE72" i="17"/>
  <c r="AH40" i="26"/>
  <c r="AJ40" i="26" s="1"/>
  <c r="D36" i="5"/>
  <c r="N36" i="5" s="1"/>
  <c r="I40" i="26"/>
  <c r="B36" i="5" s="1"/>
  <c r="L36" i="5" s="1"/>
  <c r="D35" i="5"/>
  <c r="N35" i="5" s="1"/>
  <c r="AB42" i="26"/>
  <c r="AB47" i="26" s="1"/>
  <c r="I39" i="26"/>
  <c r="B35" i="5" s="1"/>
  <c r="AH39" i="26"/>
  <c r="AJ39" i="26" s="1"/>
  <c r="AE22" i="16"/>
  <c r="AD17" i="15" s="1"/>
  <c r="AH17" i="15" s="1"/>
  <c r="AJ17" i="15" s="1"/>
  <c r="AE22" i="17"/>
  <c r="AI19" i="18"/>
  <c r="AK19" i="18" s="1"/>
  <c r="K34" i="25"/>
  <c r="AJ34" i="25"/>
  <c r="H37" i="29"/>
  <c r="F33" i="6" s="1"/>
  <c r="AG37" i="29"/>
  <c r="AI37" i="29" s="1"/>
  <c r="H33" i="6"/>
  <c r="N33" i="6" s="1"/>
  <c r="AG90" i="23"/>
  <c r="AD48" i="2" s="1"/>
  <c r="AE138" i="16" s="1"/>
  <c r="AG94" i="24"/>
  <c r="C23" i="30"/>
  <c r="D121" i="20"/>
  <c r="F13" i="20" s="1"/>
  <c r="J57" i="3"/>
  <c r="AC13" i="20"/>
  <c r="AI13" i="20" s="1"/>
  <c r="AK13" i="20" s="1"/>
  <c r="M58" i="34"/>
  <c r="AG46" i="23"/>
  <c r="AE86" i="16" s="1"/>
  <c r="AG59" i="25"/>
  <c r="AG66" i="25" s="1"/>
  <c r="AL50" i="25"/>
  <c r="AG68" i="23"/>
  <c r="AD24" i="2" s="1"/>
  <c r="D45" i="32"/>
  <c r="AJ45" i="24"/>
  <c r="AL45" i="24" s="1"/>
  <c r="AG45" i="23"/>
  <c r="AJ45" i="23" s="1"/>
  <c r="AL45" i="23" s="1"/>
  <c r="AJ23" i="25"/>
  <c r="K23" i="25"/>
  <c r="K40" i="23" s="1"/>
  <c r="AD40" i="23" s="1"/>
  <c r="K38" i="30"/>
  <c r="AI59" i="20"/>
  <c r="AK59" i="20" s="1"/>
  <c r="J59" i="20"/>
  <c r="J59" i="19" s="1"/>
  <c r="AE59" i="19" s="1"/>
  <c r="E91" i="30"/>
  <c r="E103" i="30" s="1"/>
  <c r="J79" i="18"/>
  <c r="I86" i="17" s="1"/>
  <c r="AI79" i="18"/>
  <c r="AK79" i="18" s="1"/>
  <c r="AJ36" i="25"/>
  <c r="K36" i="25"/>
  <c r="J25" i="32"/>
  <c r="AI99" i="18"/>
  <c r="AK99" i="18" s="1"/>
  <c r="AA20" i="3"/>
  <c r="AE107" i="17"/>
  <c r="I112" i="30"/>
  <c r="AK36" i="18"/>
  <c r="AE40" i="17"/>
  <c r="AH13" i="19"/>
  <c r="J129" i="18"/>
  <c r="E112" i="30"/>
  <c r="AL34" i="25"/>
  <c r="AJ57" i="24"/>
  <c r="AL57" i="24" s="1"/>
  <c r="AG57" i="23"/>
  <c r="F36" i="15"/>
  <c r="AI36" i="18"/>
  <c r="J36" i="18"/>
  <c r="D36" i="15" s="1"/>
  <c r="H46" i="22"/>
  <c r="I92" i="17" s="1"/>
  <c r="AG46" i="22"/>
  <c r="AI46" i="22" s="1"/>
  <c r="AC106" i="20"/>
  <c r="J70" i="21"/>
  <c r="I114" i="16"/>
  <c r="H25" i="2"/>
  <c r="J99" i="19"/>
  <c r="AE97" i="19"/>
  <c r="J32" i="2" s="1"/>
  <c r="I121" i="17"/>
  <c r="I123" i="17" s="1"/>
  <c r="I121" i="16"/>
  <c r="H32" i="2"/>
  <c r="J99" i="20"/>
  <c r="H33" i="3"/>
  <c r="H35" i="3" s="1"/>
  <c r="I127" i="17"/>
  <c r="G23" i="14"/>
  <c r="I23" i="14" s="1"/>
  <c r="G24" i="9"/>
  <c r="H35" i="15"/>
  <c r="G29" i="11"/>
  <c r="AE27" i="19"/>
  <c r="J35" i="15" s="1"/>
  <c r="U29" i="11"/>
  <c r="G60" i="16"/>
  <c r="G109" i="17"/>
  <c r="G135" i="17" s="1"/>
  <c r="J25" i="2"/>
  <c r="AK90" i="19"/>
  <c r="AM90" i="19" s="1"/>
  <c r="G123" i="16"/>
  <c r="G132" i="16" s="1"/>
  <c r="I64" i="23"/>
  <c r="I87" i="23" s="1"/>
  <c r="I98" i="23" s="1"/>
  <c r="G105" i="16"/>
  <c r="H85" i="19"/>
  <c r="H111" i="19" s="1"/>
  <c r="H121" i="19" s="1"/>
  <c r="E109" i="16"/>
  <c r="E135" i="16" s="1"/>
  <c r="AB138" i="16"/>
  <c r="B34" i="6" l="1"/>
  <c r="B39" i="6" s="1"/>
  <c r="AH31" i="26"/>
  <c r="AH35" i="26" s="1"/>
  <c r="I55" i="16"/>
  <c r="I39" i="16"/>
  <c r="D53" i="15"/>
  <c r="V53" i="15" s="1"/>
  <c r="D34" i="6"/>
  <c r="D39" i="6" s="1"/>
  <c r="N18" i="2"/>
  <c r="N20" i="2" s="1"/>
  <c r="AE99" i="16"/>
  <c r="J64" i="19"/>
  <c r="I88" i="16" s="1"/>
  <c r="AB88" i="16" s="1"/>
  <c r="I120" i="16"/>
  <c r="Z25" i="37"/>
  <c r="H31" i="37"/>
  <c r="H33" i="37" s="1"/>
  <c r="H45" i="37" s="1"/>
  <c r="Z33" i="37"/>
  <c r="Z45" i="37" s="1"/>
  <c r="J131" i="18"/>
  <c r="I138" i="17" s="1"/>
  <c r="F49" i="2"/>
  <c r="H24" i="37"/>
  <c r="H25" i="37" s="1"/>
  <c r="I89" i="17"/>
  <c r="D50" i="15"/>
  <c r="V50" i="15" s="1"/>
  <c r="K53" i="23"/>
  <c r="AD53" i="23" s="1"/>
  <c r="AJ53" i="23" s="1"/>
  <c r="AL53" i="23" s="1"/>
  <c r="AK76" i="19"/>
  <c r="AM76" i="19" s="1"/>
  <c r="J17" i="19"/>
  <c r="AE17" i="19" s="1"/>
  <c r="J62" i="19"/>
  <c r="AE62" i="19" s="1"/>
  <c r="AK62" i="19" s="1"/>
  <c r="AM62" i="19" s="1"/>
  <c r="I77" i="17"/>
  <c r="I82" i="17"/>
  <c r="AB82" i="17" s="1"/>
  <c r="AH82" i="17" s="1"/>
  <c r="AJ82" i="17" s="1"/>
  <c r="G40" i="7"/>
  <c r="K40" i="7" s="1"/>
  <c r="G25" i="13"/>
  <c r="I25" i="13" s="1"/>
  <c r="I25" i="14"/>
  <c r="I27" i="14" s="1"/>
  <c r="AH88" i="17"/>
  <c r="AJ88" i="17" s="1"/>
  <c r="AE88" i="16"/>
  <c r="AE97" i="16"/>
  <c r="AJ43" i="23"/>
  <c r="AL43" i="23" s="1"/>
  <c r="AJ23" i="23"/>
  <c r="AJ26" i="23" s="1"/>
  <c r="AL26" i="23" s="1"/>
  <c r="AJ35" i="26"/>
  <c r="AJ59" i="25"/>
  <c r="AJ77" i="24"/>
  <c r="AL77" i="24" s="1"/>
  <c r="F38" i="15"/>
  <c r="F34" i="6"/>
  <c r="F39" i="6" s="1"/>
  <c r="T34" i="6"/>
  <c r="Y34" i="6" s="1"/>
  <c r="I103" i="30"/>
  <c r="AJ42" i="25"/>
  <c r="AJ46" i="25" s="1"/>
  <c r="K60" i="24"/>
  <c r="K64" i="24" s="1"/>
  <c r="K87" i="24" s="1"/>
  <c r="K98" i="24" s="1"/>
  <c r="AJ94" i="24"/>
  <c r="AL94" i="24" s="1"/>
  <c r="AJ48" i="23"/>
  <c r="AL48" i="23" s="1"/>
  <c r="AG30" i="22"/>
  <c r="AI30" i="22" s="1"/>
  <c r="J52" i="21"/>
  <c r="J56" i="21" s="1"/>
  <c r="AK77" i="19"/>
  <c r="AM77" i="19" s="1"/>
  <c r="AI54" i="18"/>
  <c r="AK54" i="18" s="1"/>
  <c r="F50" i="2"/>
  <c r="J135" i="18"/>
  <c r="D50" i="2" s="1"/>
  <c r="J106" i="20"/>
  <c r="J114" i="19"/>
  <c r="H49" i="2" s="1"/>
  <c r="H51" i="2" s="1"/>
  <c r="J73" i="19"/>
  <c r="AE73" i="19" s="1"/>
  <c r="AK73" i="19" s="1"/>
  <c r="AM73" i="19" s="1"/>
  <c r="I91" i="16"/>
  <c r="J65" i="19"/>
  <c r="AE65" i="19" s="1"/>
  <c r="AK65" i="19" s="1"/>
  <c r="AM65" i="19" s="1"/>
  <c r="AI63" i="22"/>
  <c r="AD55" i="22"/>
  <c r="AD66" i="22" s="1"/>
  <c r="AD76" i="22" s="1"/>
  <c r="AE74" i="16"/>
  <c r="AE50" i="17"/>
  <c r="N32" i="6"/>
  <c r="W32" i="6" s="1"/>
  <c r="Y32" i="6" s="1"/>
  <c r="J106" i="19"/>
  <c r="I130" i="16" s="1"/>
  <c r="J52" i="19"/>
  <c r="I76" i="16" s="1"/>
  <c r="I130" i="17"/>
  <c r="AB130" i="17" s="1"/>
  <c r="AE28" i="19"/>
  <c r="J36" i="15" s="1"/>
  <c r="X36" i="15" s="1"/>
  <c r="AH36" i="15" s="1"/>
  <c r="AJ36" i="15" s="1"/>
  <c r="I33" i="17"/>
  <c r="W33" i="11"/>
  <c r="W35" i="11" s="1"/>
  <c r="G21" i="11"/>
  <c r="K21" i="11" s="1"/>
  <c r="I76" i="17"/>
  <c r="L18" i="32"/>
  <c r="AG69" i="25"/>
  <c r="AG79" i="25" s="1"/>
  <c r="C45" i="31"/>
  <c r="I83" i="17"/>
  <c r="AB83" i="17" s="1"/>
  <c r="AH83" i="17" s="1"/>
  <c r="AJ83" i="17" s="1"/>
  <c r="I103" i="16"/>
  <c r="K41" i="23"/>
  <c r="AD41" i="23" s="1"/>
  <c r="AJ41" i="23" s="1"/>
  <c r="S23" i="14"/>
  <c r="W23" i="14" s="1"/>
  <c r="W27" i="14" s="1"/>
  <c r="AE78" i="16"/>
  <c r="G20" i="10"/>
  <c r="K20" i="10" s="1"/>
  <c r="O20" i="10" s="1"/>
  <c r="K68" i="23"/>
  <c r="I113" i="16" s="1"/>
  <c r="AA16" i="3"/>
  <c r="K49" i="23"/>
  <c r="AD49" i="23" s="1"/>
  <c r="AJ49" i="23" s="1"/>
  <c r="G23" i="11"/>
  <c r="K23" i="11" s="1"/>
  <c r="AA19" i="3"/>
  <c r="I75" i="17"/>
  <c r="AE77" i="16"/>
  <c r="J42" i="19"/>
  <c r="I64" i="16" s="1"/>
  <c r="J53" i="19"/>
  <c r="I77" i="16" s="1"/>
  <c r="AE92" i="16"/>
  <c r="AA17" i="3"/>
  <c r="AI79" i="21"/>
  <c r="AL42" i="25"/>
  <c r="I89" i="16"/>
  <c r="I73" i="17"/>
  <c r="AB73" i="17" s="1"/>
  <c r="AH73" i="17" s="1"/>
  <c r="AJ73" i="17" s="1"/>
  <c r="K44" i="23"/>
  <c r="I79" i="16" s="1"/>
  <c r="H39" i="28"/>
  <c r="H44" i="28" s="1"/>
  <c r="I70" i="17"/>
  <c r="K36" i="23"/>
  <c r="I65" i="16" s="1"/>
  <c r="K51" i="23"/>
  <c r="AD51" i="23" s="1"/>
  <c r="AJ51" i="23" s="1"/>
  <c r="AL51" i="23" s="1"/>
  <c r="I69" i="16"/>
  <c r="AE79" i="19"/>
  <c r="AK79" i="19" s="1"/>
  <c r="I27" i="17"/>
  <c r="I30" i="17" s="1"/>
  <c r="J47" i="19"/>
  <c r="I70" i="16" s="1"/>
  <c r="W30" i="14"/>
  <c r="W33" i="14" s="1"/>
  <c r="G33" i="14"/>
  <c r="U30" i="14"/>
  <c r="AE42" i="17"/>
  <c r="AE107" i="16"/>
  <c r="AK21" i="19"/>
  <c r="AM21" i="19" s="1"/>
  <c r="H43" i="3"/>
  <c r="AD16" i="2"/>
  <c r="P31" i="2"/>
  <c r="T29" i="5"/>
  <c r="T32" i="5" s="1"/>
  <c r="Y32" i="5" s="1"/>
  <c r="AJ50" i="23"/>
  <c r="AL50" i="23" s="1"/>
  <c r="G30" i="13"/>
  <c r="I30" i="13" s="1"/>
  <c r="Y28" i="5"/>
  <c r="AE91" i="16"/>
  <c r="AH73" i="16"/>
  <c r="AJ73" i="16" s="1"/>
  <c r="I83" i="16"/>
  <c r="AB83" i="16" s="1"/>
  <c r="AH83" i="16" s="1"/>
  <c r="AJ83" i="16" s="1"/>
  <c r="AD38" i="15"/>
  <c r="S35" i="11"/>
  <c r="H29" i="15"/>
  <c r="AD56" i="15"/>
  <c r="I100" i="16"/>
  <c r="AD29" i="2"/>
  <c r="AK67" i="19"/>
  <c r="AM67" i="19" s="1"/>
  <c r="AD22" i="15"/>
  <c r="AE45" i="19"/>
  <c r="AK45" i="19" s="1"/>
  <c r="AM45" i="19" s="1"/>
  <c r="AE118" i="16"/>
  <c r="G33" i="10"/>
  <c r="K33" i="10" s="1"/>
  <c r="M33" i="10" s="1"/>
  <c r="I101" i="16"/>
  <c r="D48" i="32"/>
  <c r="K59" i="25"/>
  <c r="K66" i="25" s="1"/>
  <c r="AG64" i="24"/>
  <c r="AL26" i="24"/>
  <c r="AJ74" i="23"/>
  <c r="AL74" i="23" s="1"/>
  <c r="AJ40" i="23"/>
  <c r="AL40" i="23" s="1"/>
  <c r="AJ56" i="23"/>
  <c r="AL23" i="23"/>
  <c r="AJ58" i="23"/>
  <c r="AL58" i="23" s="1"/>
  <c r="AJ55" i="23"/>
  <c r="AL55" i="23" s="1"/>
  <c r="AI61" i="22"/>
  <c r="AI70" i="21"/>
  <c r="AF82" i="21"/>
  <c r="AF92" i="21" s="1"/>
  <c r="AK70" i="21"/>
  <c r="AI88" i="21"/>
  <c r="AI52" i="21"/>
  <c r="AI56" i="21" s="1"/>
  <c r="AE49" i="19"/>
  <c r="AK49" i="19" s="1"/>
  <c r="AM49" i="19" s="1"/>
  <c r="AK68" i="19"/>
  <c r="AM68" i="19" s="1"/>
  <c r="AK60" i="19"/>
  <c r="AM60" i="19" s="1"/>
  <c r="AK54" i="19"/>
  <c r="AM54" i="19" s="1"/>
  <c r="AI97" i="18"/>
  <c r="AK97" i="18" s="1"/>
  <c r="J97" i="18"/>
  <c r="D18" i="2" s="1"/>
  <c r="D19" i="3" s="1"/>
  <c r="AE105" i="17"/>
  <c r="AH98" i="17"/>
  <c r="AJ98" i="17" s="1"/>
  <c r="AE58" i="17"/>
  <c r="AE123" i="17"/>
  <c r="AH104" i="16"/>
  <c r="AJ104" i="16" s="1"/>
  <c r="F56" i="15"/>
  <c r="AJ23" i="15"/>
  <c r="D38" i="15"/>
  <c r="I30" i="14"/>
  <c r="I33" i="14" s="1"/>
  <c r="K33" i="11"/>
  <c r="W26" i="11"/>
  <c r="W39" i="11" s="1"/>
  <c r="W42" i="11" s="1"/>
  <c r="I20" i="11"/>
  <c r="S26" i="11"/>
  <c r="U23" i="11"/>
  <c r="I33" i="11"/>
  <c r="H34" i="6"/>
  <c r="L33" i="6"/>
  <c r="T37" i="5"/>
  <c r="N37" i="5"/>
  <c r="N42" i="5" s="1"/>
  <c r="J43" i="3"/>
  <c r="J21" i="3"/>
  <c r="C157" i="30"/>
  <c r="AG39" i="29"/>
  <c r="AI39" i="29" s="1"/>
  <c r="AG39" i="27"/>
  <c r="AI39" i="27" s="1"/>
  <c r="I42" i="26"/>
  <c r="I47" i="26" s="1"/>
  <c r="AH42" i="26"/>
  <c r="AJ42" i="26" s="1"/>
  <c r="AE47" i="26"/>
  <c r="K42" i="25"/>
  <c r="K46" i="25" s="1"/>
  <c r="AL59" i="25"/>
  <c r="AL31" i="24"/>
  <c r="AJ46" i="23"/>
  <c r="AL46" i="23" s="1"/>
  <c r="AA55" i="22"/>
  <c r="AA66" i="22" s="1"/>
  <c r="AA76" i="22" s="1"/>
  <c r="AA78" i="22" s="1"/>
  <c r="AG51" i="22"/>
  <c r="AI51" i="22" s="1"/>
  <c r="H51" i="22"/>
  <c r="L18" i="2" s="1"/>
  <c r="L19" i="3" s="1"/>
  <c r="AK79" i="21"/>
  <c r="J79" i="21"/>
  <c r="AK88" i="21"/>
  <c r="AI81" i="20"/>
  <c r="AK81" i="20" s="1"/>
  <c r="AI99" i="20"/>
  <c r="AK106" i="20"/>
  <c r="J29" i="20"/>
  <c r="H16" i="3" s="1"/>
  <c r="AI106" i="20"/>
  <c r="AF38" i="20"/>
  <c r="AF85" i="20" s="1"/>
  <c r="AF109" i="20" s="1"/>
  <c r="AF119" i="20" s="1"/>
  <c r="AF121" i="20" s="1"/>
  <c r="AK50" i="19"/>
  <c r="AM50" i="19" s="1"/>
  <c r="AK46" i="19"/>
  <c r="AM46" i="19" s="1"/>
  <c r="AK46" i="18"/>
  <c r="J38" i="18"/>
  <c r="D15" i="2" s="1"/>
  <c r="AI38" i="18"/>
  <c r="AK38" i="18" s="1"/>
  <c r="AC56" i="18"/>
  <c r="AC101" i="18" s="1"/>
  <c r="AC124" i="18" s="1"/>
  <c r="I58" i="17"/>
  <c r="AH53" i="15"/>
  <c r="AJ53" i="15" s="1"/>
  <c r="W36" i="5"/>
  <c r="Y36" i="5" s="1"/>
  <c r="AD42" i="3"/>
  <c r="AF42" i="3" s="1"/>
  <c r="AA35" i="3"/>
  <c r="AA43" i="3" s="1"/>
  <c r="I99" i="16"/>
  <c r="AJ62" i="23"/>
  <c r="AL62" i="23" s="1"/>
  <c r="P29" i="2"/>
  <c r="P26" i="2"/>
  <c r="AJ54" i="23"/>
  <c r="AL54" i="23" s="1"/>
  <c r="AE100" i="16"/>
  <c r="AJ42" i="23"/>
  <c r="AL42" i="23" s="1"/>
  <c r="AD72" i="23"/>
  <c r="R29" i="2" s="1"/>
  <c r="AE75" i="16"/>
  <c r="I96" i="16"/>
  <c r="AD73" i="23"/>
  <c r="R30" i="2" s="1"/>
  <c r="AI36" i="20"/>
  <c r="AK36" i="20" s="1"/>
  <c r="AC38" i="20"/>
  <c r="AC85" i="20" s="1"/>
  <c r="AC109" i="20" s="1"/>
  <c r="AC119" i="20" s="1"/>
  <c r="AC121" i="20" s="1"/>
  <c r="J34" i="19"/>
  <c r="J36" i="19" s="1"/>
  <c r="H16" i="2" s="1"/>
  <c r="AE47" i="16"/>
  <c r="AD44" i="15" s="1"/>
  <c r="G22" i="11"/>
  <c r="K22" i="11" s="1"/>
  <c r="AG39" i="28"/>
  <c r="AI39" i="28" s="1"/>
  <c r="I72" i="16"/>
  <c r="AF27" i="18"/>
  <c r="AD14" i="2" s="1"/>
  <c r="J70" i="19"/>
  <c r="AE70" i="19" s="1"/>
  <c r="AK70" i="19" s="1"/>
  <c r="AM70" i="19" s="1"/>
  <c r="AD31" i="2"/>
  <c r="J26" i="19"/>
  <c r="AE26" i="19" s="1"/>
  <c r="J34" i="15" s="1"/>
  <c r="X34" i="15" s="1"/>
  <c r="AH34" i="15" s="1"/>
  <c r="AJ34" i="15" s="1"/>
  <c r="G23" i="9"/>
  <c r="F17" i="2"/>
  <c r="G27" i="12"/>
  <c r="G37" i="12" s="1"/>
  <c r="H39" i="29"/>
  <c r="H44" i="29" s="1"/>
  <c r="AD41" i="2"/>
  <c r="G31" i="7"/>
  <c r="K31" i="7" s="1"/>
  <c r="AD26" i="2"/>
  <c r="U25" i="11"/>
  <c r="AK102" i="19"/>
  <c r="AM102" i="19" s="1"/>
  <c r="AD84" i="24"/>
  <c r="AD87" i="24" s="1"/>
  <c r="AD98" i="24" s="1"/>
  <c r="J74" i="19"/>
  <c r="I98" i="16" s="1"/>
  <c r="AB98" i="16" s="1"/>
  <c r="AH98" i="16" s="1"/>
  <c r="AJ98" i="16" s="1"/>
  <c r="I74" i="16"/>
  <c r="AC56" i="21"/>
  <c r="AK56" i="21" s="1"/>
  <c r="AE44" i="16"/>
  <c r="AD41" i="15" s="1"/>
  <c r="AE105" i="19"/>
  <c r="J40" i="2" s="1"/>
  <c r="AD70" i="23"/>
  <c r="R26" i="2" s="1"/>
  <c r="AD66" i="25"/>
  <c r="AD69" i="25" s="1"/>
  <c r="AD79" i="25" s="1"/>
  <c r="AE119" i="16"/>
  <c r="I40" i="16"/>
  <c r="AB40" i="16" s="1"/>
  <c r="AH40" i="16" s="1"/>
  <c r="AJ40" i="16" s="1"/>
  <c r="AL46" i="25"/>
  <c r="AK99" i="20"/>
  <c r="I36" i="9"/>
  <c r="G25" i="10"/>
  <c r="K25" i="10" s="1"/>
  <c r="M25" i="10" s="1"/>
  <c r="AD37" i="2"/>
  <c r="AH81" i="19"/>
  <c r="I102" i="16"/>
  <c r="AB102" i="16" s="1"/>
  <c r="I24" i="12"/>
  <c r="AE58" i="16"/>
  <c r="I52" i="16"/>
  <c r="I58" i="16" s="1"/>
  <c r="AE115" i="16"/>
  <c r="G21" i="9"/>
  <c r="I21" i="9" s="1"/>
  <c r="AG94" i="23"/>
  <c r="AE80" i="19"/>
  <c r="AK80" i="19" s="1"/>
  <c r="AM80" i="19" s="1"/>
  <c r="AE113" i="16"/>
  <c r="AE120" i="16"/>
  <c r="AE42" i="16"/>
  <c r="AH99" i="19"/>
  <c r="AH108" i="19" s="1"/>
  <c r="AD38" i="23"/>
  <c r="AJ38" i="23" s="1"/>
  <c r="AL38" i="23" s="1"/>
  <c r="AK52" i="21"/>
  <c r="J51" i="19"/>
  <c r="I75" i="16" s="1"/>
  <c r="J81" i="20"/>
  <c r="H19" i="3" s="1"/>
  <c r="AD17" i="2"/>
  <c r="X35" i="15"/>
  <c r="AH35" i="15" s="1"/>
  <c r="AJ35" i="15" s="1"/>
  <c r="D38" i="2"/>
  <c r="D39" i="3" s="1"/>
  <c r="K90" i="23"/>
  <c r="K94" i="23" s="1"/>
  <c r="U32" i="11"/>
  <c r="I119" i="16"/>
  <c r="I78" i="16"/>
  <c r="V35" i="15"/>
  <c r="AK59" i="19"/>
  <c r="AM59" i="19" s="1"/>
  <c r="AE71" i="19"/>
  <c r="AK71" i="19" s="1"/>
  <c r="AM71" i="19" s="1"/>
  <c r="V36" i="15"/>
  <c r="I40" i="17"/>
  <c r="AB40" i="17" s="1"/>
  <c r="AH40" i="17" s="1"/>
  <c r="AJ40" i="17" s="1"/>
  <c r="W35" i="5"/>
  <c r="Y35" i="5" s="1"/>
  <c r="AG77" i="23"/>
  <c r="AG84" i="23" s="1"/>
  <c r="I127" i="16"/>
  <c r="AI29" i="20"/>
  <c r="AK29" i="20" s="1"/>
  <c r="J66" i="19"/>
  <c r="I90" i="16" s="1"/>
  <c r="AE85" i="16"/>
  <c r="L32" i="6"/>
  <c r="AJ57" i="23"/>
  <c r="AL57" i="23" s="1"/>
  <c r="I39" i="17"/>
  <c r="AH29" i="19"/>
  <c r="AD15" i="2" s="1"/>
  <c r="AE130" i="17"/>
  <c r="D37" i="5"/>
  <c r="D42" i="5" s="1"/>
  <c r="J54" i="18"/>
  <c r="D17" i="2" s="1"/>
  <c r="D18" i="3" s="1"/>
  <c r="I33" i="16"/>
  <c r="G32" i="10"/>
  <c r="K32" i="10" s="1"/>
  <c r="O32" i="10" s="1"/>
  <c r="J36" i="20"/>
  <c r="H17" i="3" s="1"/>
  <c r="AE99" i="19"/>
  <c r="AK97" i="19"/>
  <c r="AM97" i="19" s="1"/>
  <c r="H34" i="2"/>
  <c r="W33" i="6"/>
  <c r="Y33" i="6" s="1"/>
  <c r="F58" i="15"/>
  <c r="AJ31" i="26"/>
  <c r="K23" i="14"/>
  <c r="AE114" i="19"/>
  <c r="G23" i="13"/>
  <c r="K23" i="13" s="1"/>
  <c r="AK27" i="19"/>
  <c r="AM27" i="19" s="1"/>
  <c r="K29" i="11"/>
  <c r="G35" i="11"/>
  <c r="I29" i="11"/>
  <c r="I82" i="16"/>
  <c r="AB82" i="16" s="1"/>
  <c r="AH82" i="16" s="1"/>
  <c r="AJ82" i="16" s="1"/>
  <c r="AE58" i="19"/>
  <c r="AK58" i="19" s="1"/>
  <c r="AM58" i="19" s="1"/>
  <c r="G29" i="10"/>
  <c r="X56" i="15"/>
  <c r="AH56" i="15" s="1"/>
  <c r="AJ56" i="15" s="1"/>
  <c r="AH50" i="15"/>
  <c r="AJ50" i="15" s="1"/>
  <c r="L35" i="5"/>
  <c r="L37" i="5" s="1"/>
  <c r="B37" i="5"/>
  <c r="I24" i="9"/>
  <c r="K24" i="9"/>
  <c r="G109" i="16"/>
  <c r="G135" i="16" s="1"/>
  <c r="AM79" i="19"/>
  <c r="AH138" i="16"/>
  <c r="AJ138" i="16" s="1"/>
  <c r="V56" i="15" l="1"/>
  <c r="I86" i="16"/>
  <c r="AE64" i="19"/>
  <c r="AK64" i="19" s="1"/>
  <c r="AM64" i="19" s="1"/>
  <c r="AH47" i="26"/>
  <c r="J82" i="21"/>
  <c r="J92" i="21" s="1"/>
  <c r="H14" i="2"/>
  <c r="AJ47" i="26"/>
  <c r="J117" i="19"/>
  <c r="AE52" i="19"/>
  <c r="AK52" i="19" s="1"/>
  <c r="AM52" i="19" s="1"/>
  <c r="AK28" i="19"/>
  <c r="AM28" i="19" s="1"/>
  <c r="AE106" i="19"/>
  <c r="AK106" i="19" s="1"/>
  <c r="AM106" i="19" s="1"/>
  <c r="J108" i="19"/>
  <c r="AD34" i="2"/>
  <c r="AD42" i="2" s="1"/>
  <c r="I139" i="17"/>
  <c r="H41" i="2"/>
  <c r="H42" i="2" s="1"/>
  <c r="H22" i="15"/>
  <c r="L34" i="6"/>
  <c r="K69" i="25"/>
  <c r="K79" i="25" s="1"/>
  <c r="I105" i="17"/>
  <c r="Y29" i="5"/>
  <c r="K60" i="23"/>
  <c r="K64" i="23" s="1"/>
  <c r="I123" i="16"/>
  <c r="I132" i="16" s="1"/>
  <c r="D56" i="15"/>
  <c r="D58" i="15" s="1"/>
  <c r="I97" i="16"/>
  <c r="AE53" i="19"/>
  <c r="AK53" i="19" s="1"/>
  <c r="AM53" i="19" s="1"/>
  <c r="D49" i="2"/>
  <c r="V49" i="2" s="1"/>
  <c r="I139" i="16" s="1"/>
  <c r="K25" i="13"/>
  <c r="M20" i="10"/>
  <c r="I47" i="16"/>
  <c r="I50" i="16" s="1"/>
  <c r="U23" i="14"/>
  <c r="G20" i="7"/>
  <c r="K20" i="7" s="1"/>
  <c r="AH130" i="17"/>
  <c r="AJ130" i="17" s="1"/>
  <c r="AD68" i="23"/>
  <c r="R24" i="2" s="1"/>
  <c r="R34" i="2" s="1"/>
  <c r="R42" i="2" s="1"/>
  <c r="AH88" i="16"/>
  <c r="AJ88" i="16" s="1"/>
  <c r="P24" i="2"/>
  <c r="P34" i="2" s="1"/>
  <c r="P42" i="2" s="1"/>
  <c r="T42" i="5"/>
  <c r="K77" i="23"/>
  <c r="K84" i="23" s="1"/>
  <c r="S39" i="11"/>
  <c r="AJ69" i="25"/>
  <c r="W37" i="14"/>
  <c r="N34" i="6"/>
  <c r="J46" i="3"/>
  <c r="J55" i="3" s="1"/>
  <c r="AL69" i="25"/>
  <c r="I132" i="17"/>
  <c r="G21" i="10"/>
  <c r="K21" i="10" s="1"/>
  <c r="O21" i="10" s="1"/>
  <c r="S27" i="14"/>
  <c r="S37" i="14" s="1"/>
  <c r="I92" i="16"/>
  <c r="AE42" i="19"/>
  <c r="AK42" i="19" s="1"/>
  <c r="AM42" i="19" s="1"/>
  <c r="I21" i="11"/>
  <c r="D42" i="2"/>
  <c r="AJ79" i="25"/>
  <c r="AE47" i="19"/>
  <c r="AK47" i="19" s="1"/>
  <c r="AM47" i="19" s="1"/>
  <c r="O33" i="10"/>
  <c r="H55" i="22"/>
  <c r="H66" i="22" s="1"/>
  <c r="H76" i="22" s="1"/>
  <c r="I23" i="11"/>
  <c r="I38" i="16"/>
  <c r="I42" i="16" s="1"/>
  <c r="AF56" i="18"/>
  <c r="AF101" i="18" s="1"/>
  <c r="AF124" i="18" s="1"/>
  <c r="I94" i="16"/>
  <c r="G23" i="10"/>
  <c r="K23" i="10" s="1"/>
  <c r="O23" i="10" s="1"/>
  <c r="AD44" i="23"/>
  <c r="AJ44" i="23" s="1"/>
  <c r="AL44" i="23" s="1"/>
  <c r="K30" i="13"/>
  <c r="K33" i="13" s="1"/>
  <c r="G33" i="7"/>
  <c r="K33" i="7" s="1"/>
  <c r="I42" i="17"/>
  <c r="I60" i="17" s="1"/>
  <c r="AH38" i="19"/>
  <c r="AH85" i="19" s="1"/>
  <c r="AH111" i="19" s="1"/>
  <c r="AH121" i="19" s="1"/>
  <c r="AD47" i="15"/>
  <c r="AE123" i="16"/>
  <c r="G33" i="13"/>
  <c r="W37" i="5"/>
  <c r="Y37" i="5" s="1"/>
  <c r="K35" i="11"/>
  <c r="AG44" i="27"/>
  <c r="AI44" i="27" s="1"/>
  <c r="AG55" i="22"/>
  <c r="AG66" i="22" s="1"/>
  <c r="AI66" i="22" s="1"/>
  <c r="J38" i="20"/>
  <c r="J85" i="20" s="1"/>
  <c r="J109" i="20" s="1"/>
  <c r="J119" i="20" s="1"/>
  <c r="J81" i="19"/>
  <c r="H18" i="2" s="1"/>
  <c r="AE74" i="19"/>
  <c r="AK74" i="19" s="1"/>
  <c r="AM74" i="19" s="1"/>
  <c r="AE29" i="19"/>
  <c r="J15" i="2" s="1"/>
  <c r="J56" i="18"/>
  <c r="J101" i="18" s="1"/>
  <c r="J124" i="18" s="1"/>
  <c r="AE132" i="17"/>
  <c r="K26" i="11"/>
  <c r="G26" i="11"/>
  <c r="G39" i="11" s="1"/>
  <c r="O25" i="10"/>
  <c r="AJ84" i="24"/>
  <c r="AL84" i="24" s="1"/>
  <c r="AC82" i="21"/>
  <c r="AC92" i="21" s="1"/>
  <c r="AK92" i="21" s="1"/>
  <c r="AK85" i="20"/>
  <c r="AI109" i="20"/>
  <c r="AK109" i="20" s="1"/>
  <c r="AK26" i="19"/>
  <c r="AM26" i="19" s="1"/>
  <c r="AK105" i="19"/>
  <c r="AM105" i="19" s="1"/>
  <c r="AE66" i="19"/>
  <c r="AK66" i="19" s="1"/>
  <c r="AM66" i="19" s="1"/>
  <c r="M32" i="10"/>
  <c r="P48" i="2"/>
  <c r="P51" i="2" s="1"/>
  <c r="AJ72" i="23"/>
  <c r="AL72" i="23" s="1"/>
  <c r="AH41" i="15"/>
  <c r="AJ41" i="15" s="1"/>
  <c r="AD90" i="23"/>
  <c r="AD94" i="23" s="1"/>
  <c r="AJ94" i="23" s="1"/>
  <c r="AL94" i="23" s="1"/>
  <c r="AJ73" i="23"/>
  <c r="AL73" i="23" s="1"/>
  <c r="AE50" i="16"/>
  <c r="K21" i="9"/>
  <c r="G32" i="7"/>
  <c r="K32" i="7" s="1"/>
  <c r="AJ70" i="23"/>
  <c r="AL70" i="23" s="1"/>
  <c r="I22" i="11"/>
  <c r="AL66" i="25"/>
  <c r="K23" i="9"/>
  <c r="G23" i="7"/>
  <c r="K23" i="7" s="1"/>
  <c r="I23" i="9"/>
  <c r="H44" i="15"/>
  <c r="AE34" i="19"/>
  <c r="G22" i="10"/>
  <c r="K22" i="10" s="1"/>
  <c r="M22" i="10" s="1"/>
  <c r="AJ66" i="25"/>
  <c r="AI38" i="20"/>
  <c r="AK38" i="20" s="1"/>
  <c r="AE51" i="19"/>
  <c r="AK51" i="19" s="1"/>
  <c r="AM51" i="19" s="1"/>
  <c r="H34" i="15"/>
  <c r="V34" i="15" s="1"/>
  <c r="J29" i="19"/>
  <c r="H15" i="2" s="1"/>
  <c r="AK99" i="19"/>
  <c r="W34" i="6"/>
  <c r="J38" i="15"/>
  <c r="G35" i="10"/>
  <c r="K29" i="10"/>
  <c r="I23" i="13"/>
  <c r="J49" i="2"/>
  <c r="AK114" i="19"/>
  <c r="AM114" i="19" s="1"/>
  <c r="AE117" i="19"/>
  <c r="AK117" i="19" s="1"/>
  <c r="AM117" i="19" s="1"/>
  <c r="AL79" i="25"/>
  <c r="N50" i="3"/>
  <c r="N49" i="3"/>
  <c r="N38" i="3"/>
  <c r="N20" i="3"/>
  <c r="N18" i="3"/>
  <c r="N16" i="3"/>
  <c r="N15" i="3"/>
  <c r="I105" i="16" l="1"/>
  <c r="J41" i="2"/>
  <c r="P18" i="2"/>
  <c r="AE108" i="19"/>
  <c r="AD77" i="23"/>
  <c r="AD84" i="23" s="1"/>
  <c r="AI55" i="22"/>
  <c r="K87" i="23"/>
  <c r="K98" i="23" s="1"/>
  <c r="G21" i="7"/>
  <c r="K21" i="7" s="1"/>
  <c r="I109" i="17"/>
  <c r="I135" i="17" s="1"/>
  <c r="M23" i="10"/>
  <c r="AK108" i="19"/>
  <c r="AM108" i="19" s="1"/>
  <c r="AJ68" i="23"/>
  <c r="AL68" i="23" s="1"/>
  <c r="I60" i="16"/>
  <c r="I109" i="16" s="1"/>
  <c r="I135" i="16" s="1"/>
  <c r="G26" i="10"/>
  <c r="G39" i="10" s="1"/>
  <c r="K39" i="10" s="1"/>
  <c r="V48" i="2"/>
  <c r="K26" i="10"/>
  <c r="M21" i="10"/>
  <c r="AG76" i="22"/>
  <c r="AI76" i="22" s="1"/>
  <c r="AI119" i="20"/>
  <c r="AK119" i="20" s="1"/>
  <c r="AK29" i="19"/>
  <c r="AM29" i="19" s="1"/>
  <c r="J38" i="19"/>
  <c r="J85" i="19" s="1"/>
  <c r="J111" i="19" s="1"/>
  <c r="J121" i="19" s="1"/>
  <c r="K39" i="11"/>
  <c r="AI85" i="20"/>
  <c r="R48" i="2"/>
  <c r="R51" i="2" s="1"/>
  <c r="AK81" i="19"/>
  <c r="AM81" i="19" s="1"/>
  <c r="W42" i="5"/>
  <c r="Y42" i="5" s="1"/>
  <c r="AK82" i="21"/>
  <c r="AI82" i="21"/>
  <c r="AI92" i="21" s="1"/>
  <c r="AE81" i="19"/>
  <c r="J18" i="2" s="1"/>
  <c r="H38" i="15"/>
  <c r="AJ90" i="23"/>
  <c r="AL90" i="23" s="1"/>
  <c r="AK34" i="19"/>
  <c r="AE36" i="19"/>
  <c r="J16" i="2" s="1"/>
  <c r="J44" i="15"/>
  <c r="G22" i="7"/>
  <c r="K22" i="7" s="1"/>
  <c r="AM99" i="19"/>
  <c r="V44" i="15"/>
  <c r="V47" i="15" s="1"/>
  <c r="H47" i="15"/>
  <c r="O22" i="10"/>
  <c r="O26" i="10"/>
  <c r="O29" i="10"/>
  <c r="O35" i="10" s="1"/>
  <c r="K35" i="10"/>
  <c r="M29" i="10"/>
  <c r="N19" i="3"/>
  <c r="T19" i="3" s="1"/>
  <c r="G24" i="8" s="1"/>
  <c r="K24" i="8" s="1"/>
  <c r="X40" i="2"/>
  <c r="AI40" i="2" s="1"/>
  <c r="N41" i="3"/>
  <c r="T41" i="3" s="1"/>
  <c r="N51" i="3"/>
  <c r="N42" i="2"/>
  <c r="AJ77" i="23" l="1"/>
  <c r="AJ84" i="23" s="1"/>
  <c r="AL84" i="23" s="1"/>
  <c r="AI121" i="20"/>
  <c r="AK121" i="20" s="1"/>
  <c r="X48" i="2"/>
  <c r="O39" i="10"/>
  <c r="J47" i="15"/>
  <c r="X44" i="15"/>
  <c r="AK36" i="19"/>
  <c r="AM36" i="19" s="1"/>
  <c r="AM34" i="19"/>
  <c r="AL77" i="23"/>
  <c r="N21" i="3"/>
  <c r="AD19" i="3"/>
  <c r="AF19" i="3" s="1"/>
  <c r="N43" i="3"/>
  <c r="AG40" i="2"/>
  <c r="G32" i="8"/>
  <c r="K32" i="8" s="1"/>
  <c r="AD41" i="3"/>
  <c r="AF41" i="3" s="1"/>
  <c r="N45" i="2"/>
  <c r="N55" i="2" s="1"/>
  <c r="AH44" i="15" l="1"/>
  <c r="AJ44" i="15" s="1"/>
  <c r="X47" i="15"/>
  <c r="AH47" i="15" s="1"/>
  <c r="AJ47" i="15" s="1"/>
  <c r="N46" i="3"/>
  <c r="N55" i="3" s="1"/>
  <c r="J51" i="2" l="1"/>
  <c r="V41" i="2" l="1"/>
  <c r="X41" i="2" l="1"/>
  <c r="AI41" i="2" s="1"/>
  <c r="J34" i="2" l="1"/>
  <c r="AG41" i="2"/>
  <c r="J42" i="2" l="1"/>
  <c r="F39" i="3" l="1"/>
  <c r="T39" i="3" s="1"/>
  <c r="X33" i="2"/>
  <c r="F16" i="3" l="1"/>
  <c r="T16" i="3" s="1"/>
  <c r="X29" i="2"/>
  <c r="F30" i="3"/>
  <c r="T30" i="3" s="1"/>
  <c r="AD30" i="3" s="1"/>
  <c r="AF30" i="3" s="1"/>
  <c r="AI33" i="2"/>
  <c r="F34" i="3"/>
  <c r="T34" i="3" s="1"/>
  <c r="AD34" i="3" s="1"/>
  <c r="AF34" i="3" s="1"/>
  <c r="G31" i="8"/>
  <c r="K31" i="8" s="1"/>
  <c r="AD39" i="3"/>
  <c r="AF39" i="3" s="1"/>
  <c r="F20" i="3"/>
  <c r="T20" i="3" s="1"/>
  <c r="X31" i="2"/>
  <c r="F32" i="3"/>
  <c r="T32" i="3" s="1"/>
  <c r="AD32" i="3" s="1"/>
  <c r="AF32" i="3" s="1"/>
  <c r="X37" i="2"/>
  <c r="AI37" i="2" s="1"/>
  <c r="F38" i="3"/>
  <c r="T38" i="3" s="1"/>
  <c r="AD38" i="3" s="1"/>
  <c r="AF38" i="3" s="1"/>
  <c r="X28" i="2"/>
  <c r="F29" i="3"/>
  <c r="T29" i="3" s="1"/>
  <c r="AD29" i="3" s="1"/>
  <c r="AF29" i="3" s="1"/>
  <c r="X32" i="2"/>
  <c r="F33" i="3"/>
  <c r="T33" i="3" s="1"/>
  <c r="AD33" i="3" s="1"/>
  <c r="AF33" i="3" s="1"/>
  <c r="F18" i="3"/>
  <c r="T18" i="3" s="1"/>
  <c r="X30" i="2"/>
  <c r="F31" i="3"/>
  <c r="T31" i="3" s="1"/>
  <c r="AD31" i="3" s="1"/>
  <c r="AF31" i="3" s="1"/>
  <c r="X36" i="2"/>
  <c r="F37" i="3"/>
  <c r="T37" i="3" s="1"/>
  <c r="X19" i="2"/>
  <c r="AI19" i="2" s="1"/>
  <c r="X38" i="2"/>
  <c r="AI38" i="2" s="1"/>
  <c r="X17" i="2"/>
  <c r="AI17" i="2" s="1"/>
  <c r="F25" i="3"/>
  <c r="F26" i="3"/>
  <c r="T26" i="3" s="1"/>
  <c r="AD26" i="3" s="1"/>
  <c r="AF26" i="3" s="1"/>
  <c r="AG36" i="2" l="1"/>
  <c r="AI36" i="2"/>
  <c r="AG32" i="2"/>
  <c r="AI32" i="2"/>
  <c r="AG31" i="2"/>
  <c r="AI31" i="2"/>
  <c r="AG30" i="2"/>
  <c r="AI30" i="2"/>
  <c r="AG29" i="2"/>
  <c r="AI29" i="2"/>
  <c r="AG28" i="2"/>
  <c r="AI28" i="2"/>
  <c r="AG33" i="2"/>
  <c r="AD16" i="3"/>
  <c r="AF16" i="3" s="1"/>
  <c r="G21" i="8"/>
  <c r="K21" i="8" s="1"/>
  <c r="T25" i="3"/>
  <c r="AD18" i="3"/>
  <c r="AF18" i="3" s="1"/>
  <c r="G23" i="8"/>
  <c r="K23" i="8" s="1"/>
  <c r="AG37" i="2"/>
  <c r="AD20" i="3"/>
  <c r="AF20" i="3" s="1"/>
  <c r="G25" i="8"/>
  <c r="K25" i="8" s="1"/>
  <c r="F17" i="3"/>
  <c r="T17" i="3" s="1"/>
  <c r="AD37" i="3"/>
  <c r="AF37" i="3" s="1"/>
  <c r="G30" i="8"/>
  <c r="K30" i="8" s="1"/>
  <c r="X24" i="2"/>
  <c r="AG19" i="2"/>
  <c r="AG38" i="2"/>
  <c r="X25" i="2"/>
  <c r="AI25" i="2" s="1"/>
  <c r="AG17" i="2"/>
  <c r="X16" i="2"/>
  <c r="AI16" i="2" s="1"/>
  <c r="AI24" i="2" l="1"/>
  <c r="AD25" i="3"/>
  <c r="AF25" i="3" s="1"/>
  <c r="G22" i="8"/>
  <c r="AD17" i="3"/>
  <c r="AF17" i="3" s="1"/>
  <c r="AG24" i="2"/>
  <c r="AG25" i="2"/>
  <c r="AG16" i="2"/>
  <c r="I22" i="8" l="1"/>
  <c r="K22" i="8"/>
  <c r="AE132" i="16"/>
  <c r="L25" i="6" l="1"/>
  <c r="W24" i="6"/>
  <c r="Y24" i="6" s="1"/>
  <c r="L24" i="6"/>
  <c r="N23" i="6"/>
  <c r="W23" i="6" s="1"/>
  <c r="Y23" i="6" s="1"/>
  <c r="L23" i="6"/>
  <c r="L19" i="6"/>
  <c r="H15" i="6"/>
  <c r="N14" i="6"/>
  <c r="H14" i="6"/>
  <c r="T14" i="6" s="1"/>
  <c r="W26" i="6" l="1"/>
  <c r="Y26" i="6" s="1"/>
  <c r="L26" i="6"/>
  <c r="L29" i="6" s="1"/>
  <c r="L39" i="6" s="1"/>
  <c r="N26" i="6"/>
  <c r="AG48" i="2" l="1"/>
  <c r="AI48" i="2" s="1"/>
  <c r="AB130" i="16"/>
  <c r="AA12" i="3"/>
  <c r="C123" i="16" l="1"/>
  <c r="C132" i="16" s="1"/>
  <c r="AH130" i="16"/>
  <c r="AJ130" i="16" s="1"/>
  <c r="F15" i="3" l="1"/>
  <c r="F20" i="2"/>
  <c r="F21" i="3" l="1"/>
  <c r="T15" i="3"/>
  <c r="T21" i="3" s="1"/>
  <c r="G20" i="8" l="1"/>
  <c r="K20" i="8" s="1"/>
  <c r="G26" i="8" l="1"/>
  <c r="K26" i="8"/>
  <c r="AA44" i="29" l="1"/>
  <c r="AA46" i="29" s="1"/>
  <c r="AB42" i="2" l="1"/>
  <c r="AB45" i="2" s="1"/>
  <c r="AG17" i="29"/>
  <c r="AI17" i="29" s="1"/>
  <c r="H18" i="6"/>
  <c r="N18" i="6" s="1"/>
  <c r="H19" i="6" l="1"/>
  <c r="H29" i="6" s="1"/>
  <c r="H39" i="6" s="1"/>
  <c r="AG19" i="29"/>
  <c r="AI19" i="29" s="1"/>
  <c r="AB55" i="2" l="1"/>
  <c r="N19" i="6"/>
  <c r="N29" i="6" s="1"/>
  <c r="AG32" i="29"/>
  <c r="AI32" i="29" s="1"/>
  <c r="N39" i="6" l="1"/>
  <c r="AG44" i="29"/>
  <c r="AI44" i="29" s="1"/>
  <c r="AG17" i="28" l="1"/>
  <c r="AG19" i="28" s="1"/>
  <c r="T19" i="6"/>
  <c r="T29" i="6" s="1"/>
  <c r="AG32" i="28" l="1"/>
  <c r="AI32" i="28" s="1"/>
  <c r="AD44" i="28"/>
  <c r="AI19" i="28"/>
  <c r="AI17" i="28"/>
  <c r="T39" i="6"/>
  <c r="W29" i="6"/>
  <c r="Y29" i="6" s="1"/>
  <c r="W18" i="6"/>
  <c r="W39" i="6" l="1"/>
  <c r="W19" i="6"/>
  <c r="Y19" i="6" s="1"/>
  <c r="Y18" i="6"/>
  <c r="AG44" i="28"/>
  <c r="AI44" i="28" s="1"/>
  <c r="Y39" i="6" l="1"/>
  <c r="AE26" i="16"/>
  <c r="AH26" i="16" s="1"/>
  <c r="AI18" i="18"/>
  <c r="AK18" i="18" s="1"/>
  <c r="AE26" i="17"/>
  <c r="AA15" i="3" l="1"/>
  <c r="AD21" i="15"/>
  <c r="AE30" i="17"/>
  <c r="AE60" i="17" s="1"/>
  <c r="AE109" i="17" s="1"/>
  <c r="AH21" i="15" l="1"/>
  <c r="AJ21" i="15" s="1"/>
  <c r="K110" i="30"/>
  <c r="AH16" i="15"/>
  <c r="AJ16" i="15" s="1"/>
  <c r="AD25" i="15"/>
  <c r="AE30" i="16"/>
  <c r="AE60" i="16" s="1"/>
  <c r="AI27" i="18"/>
  <c r="AD15" i="3"/>
  <c r="AA21" i="3"/>
  <c r="AA46" i="3" s="1"/>
  <c r="AE135" i="17"/>
  <c r="AD58" i="15" l="1"/>
  <c r="AF15" i="3"/>
  <c r="AD21" i="3"/>
  <c r="AI56" i="18"/>
  <c r="AK27" i="18"/>
  <c r="AD46" i="28" l="1"/>
  <c r="AI101" i="18"/>
  <c r="AK101" i="18" s="1"/>
  <c r="AK56" i="18"/>
  <c r="AF21" i="3"/>
  <c r="Z32" i="43" l="1"/>
  <c r="Z36" i="43" s="1"/>
  <c r="X26" i="2" l="1"/>
  <c r="X34" i="2" s="1"/>
  <c r="AI107" i="18"/>
  <c r="AK107" i="18" s="1"/>
  <c r="AI34" i="2" l="1"/>
  <c r="X42" i="2"/>
  <c r="F34" i="2"/>
  <c r="F42" i="2" s="1"/>
  <c r="F45" i="2" s="1"/>
  <c r="F27" i="3"/>
  <c r="AI124" i="18"/>
  <c r="AK124" i="18" s="1"/>
  <c r="AI26" i="2"/>
  <c r="AG26" i="2"/>
  <c r="AG34" i="2" s="1"/>
  <c r="AG42" i="2" s="1"/>
  <c r="G29" i="7"/>
  <c r="K29" i="7" s="1"/>
  <c r="AI115" i="18"/>
  <c r="K34" i="7" l="1"/>
  <c r="AI42" i="2"/>
  <c r="F35" i="3"/>
  <c r="T27" i="3"/>
  <c r="AK115" i="18"/>
  <c r="AI121" i="18"/>
  <c r="AK121" i="18" s="1"/>
  <c r="G34" i="7"/>
  <c r="F43" i="3" l="1"/>
  <c r="F46" i="3" s="1"/>
  <c r="AD27" i="3"/>
  <c r="T35" i="3"/>
  <c r="T43" i="3" s="1"/>
  <c r="G29" i="8" l="1"/>
  <c r="K29" i="8" s="1"/>
  <c r="T46" i="3"/>
  <c r="AF27" i="3"/>
  <c r="AD35" i="3"/>
  <c r="AD43" i="3" s="1"/>
  <c r="AF43" i="3" s="1"/>
  <c r="AD46" i="3" l="1"/>
  <c r="AF46" i="3" s="1"/>
  <c r="G34" i="8"/>
  <c r="K34" i="8"/>
  <c r="AF35" i="3"/>
  <c r="G37" i="8" l="1"/>
  <c r="K37" i="8"/>
  <c r="D27" i="18" l="1"/>
  <c r="V14" i="2" s="1"/>
  <c r="K94" i="30" l="1"/>
  <c r="D56" i="18"/>
  <c r="D101" i="18" s="1"/>
  <c r="D124" i="18" s="1"/>
  <c r="AB121" i="19" l="1"/>
  <c r="AB123" i="19" s="1"/>
  <c r="D16" i="3" l="1"/>
  <c r="V20" i="15" l="1"/>
  <c r="V18" i="15"/>
  <c r="V17" i="15"/>
  <c r="V19" i="15"/>
  <c r="V21" i="15" l="1"/>
  <c r="S30" i="16" l="1"/>
  <c r="S60" i="16" l="1"/>
  <c r="R34" i="3" l="1"/>
  <c r="AB44" i="17"/>
  <c r="AH44" i="17" s="1"/>
  <c r="V30" i="2"/>
  <c r="V16" i="2"/>
  <c r="V31" i="2"/>
  <c r="AB55" i="17"/>
  <c r="AH55" i="17" s="1"/>
  <c r="AJ55" i="17" s="1"/>
  <c r="AB103" i="17"/>
  <c r="AH103" i="17" s="1"/>
  <c r="AJ103" i="17" s="1"/>
  <c r="AB64" i="16"/>
  <c r="R33" i="3"/>
  <c r="AB97" i="16"/>
  <c r="AH97" i="16" s="1"/>
  <c r="AJ97" i="16" s="1"/>
  <c r="AB114" i="16"/>
  <c r="AH114" i="16" s="1"/>
  <c r="AJ114" i="16" s="1"/>
  <c r="AB68" i="16"/>
  <c r="AH68" i="16" s="1"/>
  <c r="AJ68" i="16" s="1"/>
  <c r="AB38" i="16"/>
  <c r="AH38" i="16" s="1"/>
  <c r="AJ38" i="16" s="1"/>
  <c r="AB64" i="17"/>
  <c r="AH64" i="17" s="1"/>
  <c r="AJ64" i="17" s="1"/>
  <c r="AB96" i="17"/>
  <c r="AH96" i="17" s="1"/>
  <c r="AJ96" i="17" s="1"/>
  <c r="AB86" i="17"/>
  <c r="AH86" i="17" s="1"/>
  <c r="AJ86" i="17" s="1"/>
  <c r="AB45" i="16"/>
  <c r="AH45" i="16" s="1"/>
  <c r="AJ45" i="16" s="1"/>
  <c r="AB115" i="16"/>
  <c r="AH115" i="16" s="1"/>
  <c r="AJ115" i="16" s="1"/>
  <c r="AB54" i="17"/>
  <c r="AH54" i="17" s="1"/>
  <c r="AJ54" i="17" s="1"/>
  <c r="AB100" i="17"/>
  <c r="AH100" i="17" s="1"/>
  <c r="AJ100" i="17" s="1"/>
  <c r="AB69" i="16"/>
  <c r="AH69" i="16" s="1"/>
  <c r="AJ69" i="16" s="1"/>
  <c r="AB125" i="16"/>
  <c r="AH125" i="16" s="1"/>
  <c r="AJ125" i="16" s="1"/>
  <c r="AB34" i="16"/>
  <c r="AH34" i="16" s="1"/>
  <c r="AJ34" i="16" s="1"/>
  <c r="AB46" i="16"/>
  <c r="AH46" i="16" s="1"/>
  <c r="AJ46" i="16" s="1"/>
  <c r="AB69" i="17"/>
  <c r="AH69" i="17" s="1"/>
  <c r="AJ69" i="17" s="1"/>
  <c r="AB34" i="17"/>
  <c r="AH34" i="17" s="1"/>
  <c r="AJ34" i="17" s="1"/>
  <c r="AB101" i="16"/>
  <c r="AH101" i="16" s="1"/>
  <c r="AJ101" i="16" s="1"/>
  <c r="AB79" i="17"/>
  <c r="AH79" i="17" s="1"/>
  <c r="AJ79" i="17" s="1"/>
  <c r="V29" i="2"/>
  <c r="AB85" i="17"/>
  <c r="AH85" i="17" s="1"/>
  <c r="AJ85" i="17" s="1"/>
  <c r="AB47" i="16"/>
  <c r="AH47" i="16" s="1"/>
  <c r="AJ47" i="16" s="1"/>
  <c r="V25" i="2"/>
  <c r="AB91" i="16"/>
  <c r="AH91" i="16" s="1"/>
  <c r="AJ91" i="16" s="1"/>
  <c r="AH122" i="16"/>
  <c r="AJ122" i="16" s="1"/>
  <c r="AB86" i="16"/>
  <c r="AH86" i="16" s="1"/>
  <c r="AJ86" i="16" s="1"/>
  <c r="AB67" i="17"/>
  <c r="AH67" i="17" s="1"/>
  <c r="AJ67" i="17" s="1"/>
  <c r="AB56" i="17"/>
  <c r="AH56" i="17" s="1"/>
  <c r="AJ56" i="17" s="1"/>
  <c r="AB24" i="16"/>
  <c r="AB95" i="16"/>
  <c r="AH95" i="16" s="1"/>
  <c r="AJ95" i="16" s="1"/>
  <c r="AB113" i="16"/>
  <c r="AB75" i="17"/>
  <c r="AH75" i="17" s="1"/>
  <c r="AJ75" i="17" s="1"/>
  <c r="AB72" i="17"/>
  <c r="AH72" i="17" s="1"/>
  <c r="AJ72" i="17" s="1"/>
  <c r="AB74" i="17"/>
  <c r="AH74" i="17" s="1"/>
  <c r="AJ74" i="17" s="1"/>
  <c r="AB121" i="16"/>
  <c r="AH121" i="16" s="1"/>
  <c r="AJ121" i="16" s="1"/>
  <c r="AB100" i="16"/>
  <c r="AH100" i="16" s="1"/>
  <c r="AJ100" i="16" s="1"/>
  <c r="AJ24" i="17"/>
  <c r="AB99" i="17"/>
  <c r="AH99" i="17" s="1"/>
  <c r="AJ99" i="17" s="1"/>
  <c r="AB77" i="16"/>
  <c r="AH77" i="16" s="1"/>
  <c r="AJ77" i="16" s="1"/>
  <c r="AB101" i="17"/>
  <c r="AH101" i="17" s="1"/>
  <c r="AJ101" i="17" s="1"/>
  <c r="AB125" i="17"/>
  <c r="AH125" i="17" s="1"/>
  <c r="AJ125" i="17" s="1"/>
  <c r="AB85" i="16"/>
  <c r="AH85" i="16" s="1"/>
  <c r="AJ85" i="16" s="1"/>
  <c r="AB91" i="17"/>
  <c r="AH91" i="17" s="1"/>
  <c r="AJ91" i="17" s="1"/>
  <c r="AB29" i="16"/>
  <c r="AH29" i="16" s="1"/>
  <c r="AJ29" i="16" s="1"/>
  <c r="AB70" i="16"/>
  <c r="AH70" i="16" s="1"/>
  <c r="AJ70" i="16" s="1"/>
  <c r="AB44" i="16"/>
  <c r="AB127" i="17"/>
  <c r="AH127" i="17" s="1"/>
  <c r="AJ127" i="17" s="1"/>
  <c r="AB92" i="17"/>
  <c r="AH92" i="17" s="1"/>
  <c r="AJ92" i="17" s="1"/>
  <c r="AH68" i="17"/>
  <c r="AJ68" i="17" s="1"/>
  <c r="AB118" i="16"/>
  <c r="AH118" i="16" s="1"/>
  <c r="AJ118" i="16" s="1"/>
  <c r="AB75" i="16"/>
  <c r="AH75" i="16" s="1"/>
  <c r="AJ75" i="16" s="1"/>
  <c r="AB76" i="17"/>
  <c r="AH76" i="17" s="1"/>
  <c r="AJ76" i="17" s="1"/>
  <c r="AB94" i="16"/>
  <c r="AH94" i="16" s="1"/>
  <c r="AJ94" i="16" s="1"/>
  <c r="AB53" i="16"/>
  <c r="AH53" i="16" s="1"/>
  <c r="AJ53" i="16" s="1"/>
  <c r="AH22" i="16"/>
  <c r="AJ22" i="16" s="1"/>
  <c r="AB102" i="17"/>
  <c r="AH102" i="17" s="1"/>
  <c r="AJ102" i="17" s="1"/>
  <c r="AB36" i="16"/>
  <c r="AH36" i="16" s="1"/>
  <c r="AJ36" i="16" s="1"/>
  <c r="AB89" i="16"/>
  <c r="AH89" i="16" s="1"/>
  <c r="AJ89" i="16" s="1"/>
  <c r="AB67" i="16"/>
  <c r="AH67" i="16" s="1"/>
  <c r="AJ67" i="16" s="1"/>
  <c r="AH21" i="16"/>
  <c r="AJ21" i="16" s="1"/>
  <c r="AH22" i="17"/>
  <c r="AJ22" i="17" s="1"/>
  <c r="AH21" i="17"/>
  <c r="AJ21" i="17" s="1"/>
  <c r="AB45" i="17"/>
  <c r="AH45" i="17" s="1"/>
  <c r="AJ45" i="17" s="1"/>
  <c r="AB77" i="17"/>
  <c r="AH77" i="17" s="1"/>
  <c r="AJ77" i="17" s="1"/>
  <c r="AB38" i="17"/>
  <c r="AH38" i="17" s="1"/>
  <c r="AJ38" i="17" s="1"/>
  <c r="AB32" i="16"/>
  <c r="AB90" i="17"/>
  <c r="AH90" i="17" s="1"/>
  <c r="AJ90" i="17" s="1"/>
  <c r="AB49" i="17"/>
  <c r="AH49" i="17" s="1"/>
  <c r="AJ49" i="17" s="1"/>
  <c r="AB74" i="16"/>
  <c r="AH74" i="16" s="1"/>
  <c r="AJ74" i="16" s="1"/>
  <c r="AB114" i="17"/>
  <c r="AH114" i="17" s="1"/>
  <c r="AJ114" i="17" s="1"/>
  <c r="AB78" i="17"/>
  <c r="AH78" i="17" s="1"/>
  <c r="AJ78" i="17" s="1"/>
  <c r="AB120" i="17"/>
  <c r="AH120" i="17" s="1"/>
  <c r="AJ120" i="17" s="1"/>
  <c r="AB46" i="17"/>
  <c r="AH46" i="17" s="1"/>
  <c r="AJ46" i="17" s="1"/>
  <c r="AB53" i="17"/>
  <c r="AH53" i="17" s="1"/>
  <c r="AJ53" i="17" s="1"/>
  <c r="AB90" i="16"/>
  <c r="AH90" i="16" s="1"/>
  <c r="AJ90" i="16" s="1"/>
  <c r="AB54" i="16"/>
  <c r="AH54" i="16" s="1"/>
  <c r="AJ54" i="16" s="1"/>
  <c r="AB39" i="17"/>
  <c r="AH39" i="17" s="1"/>
  <c r="AJ39" i="17" s="1"/>
  <c r="AB39" i="16"/>
  <c r="AH39" i="16" s="1"/>
  <c r="AJ39" i="16" s="1"/>
  <c r="AB96" i="16"/>
  <c r="AH96" i="16" s="1"/>
  <c r="AJ96" i="16" s="1"/>
  <c r="AB55" i="16"/>
  <c r="AH55" i="16" s="1"/>
  <c r="AJ55" i="16" s="1"/>
  <c r="AB25" i="16"/>
  <c r="AH25" i="16" s="1"/>
  <c r="AJ25" i="16" s="1"/>
  <c r="AB107" i="17"/>
  <c r="AB56" i="16"/>
  <c r="AH56" i="16" s="1"/>
  <c r="AJ56" i="16" s="1"/>
  <c r="AB72" i="16"/>
  <c r="AH72" i="16" s="1"/>
  <c r="AJ72" i="16" s="1"/>
  <c r="AB113" i="17"/>
  <c r="AH113" i="17" s="1"/>
  <c r="AJ113" i="17" s="1"/>
  <c r="AH23" i="16"/>
  <c r="AJ23" i="16" s="1"/>
  <c r="AB25" i="17"/>
  <c r="AH25" i="17" s="1"/>
  <c r="AJ25" i="17" s="1"/>
  <c r="AB99" i="16"/>
  <c r="AH99" i="16" s="1"/>
  <c r="AJ99" i="16" s="1"/>
  <c r="AB29" i="17"/>
  <c r="AH29" i="17" s="1"/>
  <c r="AJ29" i="17" s="1"/>
  <c r="AB117" i="17"/>
  <c r="AH117" i="17" s="1"/>
  <c r="AJ117" i="17" s="1"/>
  <c r="AB65" i="17"/>
  <c r="AB121" i="17"/>
  <c r="AH121" i="17" s="1"/>
  <c r="AJ121" i="17" s="1"/>
  <c r="AB36" i="17"/>
  <c r="AH36" i="17" s="1"/>
  <c r="AJ36" i="17" s="1"/>
  <c r="AB119" i="16"/>
  <c r="AH119" i="16" s="1"/>
  <c r="AJ119" i="16" s="1"/>
  <c r="AB118" i="17"/>
  <c r="AH118" i="17" s="1"/>
  <c r="AJ118" i="17" s="1"/>
  <c r="AB95" i="17"/>
  <c r="AB78" i="16"/>
  <c r="AH78" i="16" s="1"/>
  <c r="AJ78" i="16" s="1"/>
  <c r="AB107" i="16"/>
  <c r="AB94" i="17"/>
  <c r="AH94" i="17" s="1"/>
  <c r="AJ94" i="17" s="1"/>
  <c r="AB92" i="16"/>
  <c r="AH92" i="16" s="1"/>
  <c r="AJ92" i="16" s="1"/>
  <c r="AB127" i="16"/>
  <c r="AH127" i="16" s="1"/>
  <c r="AJ127" i="16" s="1"/>
  <c r="AB47" i="17"/>
  <c r="AH47" i="17" s="1"/>
  <c r="AJ47" i="17" s="1"/>
  <c r="AB33" i="17"/>
  <c r="AH33" i="17" s="1"/>
  <c r="AJ33" i="17" s="1"/>
  <c r="AB120" i="16"/>
  <c r="AH120" i="16" s="1"/>
  <c r="AJ120" i="16" s="1"/>
  <c r="AH102" i="16"/>
  <c r="AJ102" i="16" s="1"/>
  <c r="AB119" i="17"/>
  <c r="AH119" i="17" s="1"/>
  <c r="AJ119" i="17" s="1"/>
  <c r="D15" i="3"/>
  <c r="AB79" i="16"/>
  <c r="AH79" i="16" s="1"/>
  <c r="AJ79" i="16" s="1"/>
  <c r="AB49" i="16"/>
  <c r="AH49" i="16" s="1"/>
  <c r="AJ49" i="16" s="1"/>
  <c r="AB70" i="17"/>
  <c r="AH70" i="17" s="1"/>
  <c r="AJ70" i="17" s="1"/>
  <c r="AB122" i="17"/>
  <c r="AH122" i="17" s="1"/>
  <c r="AJ122" i="17" s="1"/>
  <c r="AB115" i="17"/>
  <c r="AH115" i="17" s="1"/>
  <c r="AJ115" i="17" s="1"/>
  <c r="AB76" i="16"/>
  <c r="AH76" i="16" s="1"/>
  <c r="AJ76" i="16" s="1"/>
  <c r="AB89" i="17"/>
  <c r="AH89" i="17" s="1"/>
  <c r="AJ89" i="17" s="1"/>
  <c r="AB97" i="17"/>
  <c r="AH97" i="17" s="1"/>
  <c r="AJ97" i="17" s="1"/>
  <c r="AB52" i="17"/>
  <c r="AH95" i="17" l="1"/>
  <c r="AJ95" i="17" s="1"/>
  <c r="AH24" i="16"/>
  <c r="AJ24" i="16" s="1"/>
  <c r="AB58" i="17"/>
  <c r="AH23" i="17"/>
  <c r="AJ23" i="17" s="1"/>
  <c r="AB26" i="17"/>
  <c r="R30" i="3"/>
  <c r="V33" i="2"/>
  <c r="R26" i="3"/>
  <c r="R17" i="3"/>
  <c r="R32" i="3"/>
  <c r="R31" i="3"/>
  <c r="V36" i="2"/>
  <c r="AH52" i="17"/>
  <c r="AH58" i="17" s="1"/>
  <c r="R18" i="3"/>
  <c r="V17" i="2"/>
  <c r="AB105" i="17"/>
  <c r="AH65" i="17"/>
  <c r="AH44" i="16"/>
  <c r="AB50" i="16"/>
  <c r="AH123" i="17"/>
  <c r="AH64" i="16"/>
  <c r="V28" i="2"/>
  <c r="R29" i="3"/>
  <c r="AH107" i="16"/>
  <c r="AB123" i="17"/>
  <c r="AH107" i="17"/>
  <c r="AJ107" i="17" s="1"/>
  <c r="V24" i="2"/>
  <c r="AB123" i="16"/>
  <c r="AH113" i="16"/>
  <c r="V38" i="2"/>
  <c r="R39" i="3"/>
  <c r="AH32" i="16"/>
  <c r="R19" i="3"/>
  <c r="AB52" i="16"/>
  <c r="AB58" i="16" s="1"/>
  <c r="AJ44" i="17"/>
  <c r="AH50" i="17"/>
  <c r="AJ50" i="17" s="1"/>
  <c r="AB50" i="17"/>
  <c r="AB32" i="17"/>
  <c r="R20" i="3"/>
  <c r="R37" i="3"/>
  <c r="V26" i="2"/>
  <c r="R27" i="3"/>
  <c r="R16" i="3"/>
  <c r="V32" i="2"/>
  <c r="AH32" i="17" l="1"/>
  <c r="AB42" i="17"/>
  <c r="V34" i="2"/>
  <c r="AJ64" i="16"/>
  <c r="AJ32" i="16"/>
  <c r="AJ107" i="16"/>
  <c r="AJ44" i="16"/>
  <c r="AH50" i="16"/>
  <c r="AJ50" i="16" s="1"/>
  <c r="AJ65" i="17"/>
  <c r="AH105" i="17"/>
  <c r="AJ105" i="17" s="1"/>
  <c r="AJ52" i="17"/>
  <c r="AJ58" i="17"/>
  <c r="AH26" i="17"/>
  <c r="AJ26" i="17" s="1"/>
  <c r="AJ113" i="16"/>
  <c r="AH123" i="16"/>
  <c r="AJ123" i="16" s="1"/>
  <c r="D20" i="2"/>
  <c r="AH52" i="16"/>
  <c r="AH58" i="16" s="1"/>
  <c r="D35" i="3"/>
  <c r="D43" i="3" s="1"/>
  <c r="R25" i="3"/>
  <c r="R35" i="3" s="1"/>
  <c r="AJ123" i="17"/>
  <c r="D45" i="2" l="1"/>
  <c r="AJ26" i="16"/>
  <c r="AJ52" i="16"/>
  <c r="AH42" i="17"/>
  <c r="AJ42" i="17" s="1"/>
  <c r="AJ32" i="17"/>
  <c r="D21" i="3"/>
  <c r="D46" i="3" s="1"/>
  <c r="K108" i="30" l="1"/>
  <c r="AJ58" i="16"/>
  <c r="B32" i="5" l="1"/>
  <c r="B42" i="5" s="1"/>
  <c r="O145" i="17" l="1"/>
  <c r="E40" i="13" l="1"/>
  <c r="K45" i="30" l="1"/>
  <c r="K96" i="30"/>
  <c r="K38" i="31" l="1"/>
  <c r="AB25" i="15" l="1"/>
  <c r="N18" i="35"/>
  <c r="R18" i="35" s="1"/>
  <c r="H30" i="35"/>
  <c r="K39" i="31" l="1"/>
  <c r="AD36" i="23"/>
  <c r="AD60" i="23" s="1"/>
  <c r="R18" i="2" s="1"/>
  <c r="AJ36" i="23" l="1"/>
  <c r="AL36" i="23" s="1"/>
  <c r="AB65" i="16"/>
  <c r="AH65" i="16" l="1"/>
  <c r="AJ65" i="16" l="1"/>
  <c r="N21" i="35" l="1"/>
  <c r="R21" i="35" s="1"/>
  <c r="P44" i="27" l="1"/>
  <c r="F21" i="5"/>
  <c r="F32" i="5" s="1"/>
  <c r="F42" i="5" s="1"/>
  <c r="L18" i="5" l="1"/>
  <c r="L21" i="5" s="1"/>
  <c r="L32" i="5" s="1"/>
  <c r="L42" i="5" s="1"/>
  <c r="AB27" i="17" l="1"/>
  <c r="H21" i="3" l="1"/>
  <c r="H46" i="3" s="1"/>
  <c r="H55" i="3" s="1"/>
  <c r="H20" i="2"/>
  <c r="H45" i="2" s="1"/>
  <c r="H55" i="2" s="1"/>
  <c r="AH27" i="17"/>
  <c r="Y30" i="17"/>
  <c r="Y60" i="17" s="1"/>
  <c r="AJ27" i="17" l="1"/>
  <c r="Y109" i="17"/>
  <c r="Y135" i="17" s="1"/>
  <c r="Y145" i="17" s="1"/>
  <c r="AD46" i="27" l="1"/>
  <c r="AH123" i="19" l="1"/>
  <c r="Z47" i="37"/>
  <c r="B47" i="37"/>
  <c r="D12" i="37" s="1"/>
  <c r="AB47" i="15"/>
  <c r="AF94" i="21"/>
  <c r="D47" i="37" l="1"/>
  <c r="F12" i="37" s="1"/>
  <c r="F47" i="37" l="1"/>
  <c r="H12" i="37" s="1"/>
  <c r="AI13" i="18"/>
  <c r="AK13" i="18" s="1"/>
  <c r="F121" i="20"/>
  <c r="H13" i="20" s="1"/>
  <c r="D13" i="19"/>
  <c r="J57" i="2" s="1"/>
  <c r="D94" i="21"/>
  <c r="F13" i="21" s="1"/>
  <c r="AC13" i="21"/>
  <c r="AI13" i="21" s="1"/>
  <c r="AK13" i="21" s="1"/>
  <c r="D123" i="19" l="1"/>
  <c r="F13" i="19" s="1"/>
  <c r="H47" i="37"/>
  <c r="J59" i="3"/>
  <c r="F94" i="21"/>
  <c r="H13" i="21" s="1"/>
  <c r="K42" i="11"/>
  <c r="AC94" i="21"/>
  <c r="G42" i="11"/>
  <c r="G41" i="10"/>
  <c r="S42" i="11"/>
  <c r="AE13" i="19"/>
  <c r="J47" i="37" l="1"/>
  <c r="L47" i="37" s="1"/>
  <c r="K41" i="10"/>
  <c r="AI94" i="21"/>
  <c r="AK94" i="21" s="1"/>
  <c r="H94" i="21"/>
  <c r="J13" i="21" s="1"/>
  <c r="H121" i="20"/>
  <c r="J13" i="20" s="1"/>
  <c r="H57" i="3" s="1"/>
  <c r="G42" i="10"/>
  <c r="AM13" i="19"/>
  <c r="AK13" i="19"/>
  <c r="M41" i="10" l="1"/>
  <c r="O41" i="10"/>
  <c r="O42" i="10" s="1"/>
  <c r="K42" i="10"/>
  <c r="N47" i="37"/>
  <c r="J94" i="21"/>
  <c r="K34" i="31"/>
  <c r="J121" i="20" l="1"/>
  <c r="P47" i="37"/>
  <c r="L94" i="21"/>
  <c r="K39" i="30"/>
  <c r="L121" i="20" l="1"/>
  <c r="N94" i="21"/>
  <c r="G45" i="31"/>
  <c r="N121" i="20" l="1"/>
  <c r="R47" i="37"/>
  <c r="P94" i="21"/>
  <c r="K97" i="30"/>
  <c r="T47" i="37" l="1"/>
  <c r="P121" i="20"/>
  <c r="R94" i="21"/>
  <c r="K153" i="30"/>
  <c r="V47" i="37" l="1"/>
  <c r="X47" i="37" s="1"/>
  <c r="R121" i="20"/>
  <c r="T94" i="21"/>
  <c r="K59" i="30"/>
  <c r="T121" i="20" l="1"/>
  <c r="V94" i="21"/>
  <c r="K40" i="31"/>
  <c r="V121" i="20" l="1"/>
  <c r="X94" i="21"/>
  <c r="X121" i="20" l="1"/>
  <c r="Z94" i="21"/>
  <c r="N24" i="35"/>
  <c r="R24" i="35" s="1"/>
  <c r="Z121" i="20" l="1"/>
  <c r="B78" i="22"/>
  <c r="D13" i="22" s="1"/>
  <c r="C16" i="17"/>
  <c r="AB16" i="17" s="1"/>
  <c r="D78" i="22" l="1"/>
  <c r="F13" i="22" s="1"/>
  <c r="N59" i="2" l="1"/>
  <c r="N57" i="3"/>
  <c r="N59" i="3" s="1"/>
  <c r="K40" i="12"/>
  <c r="G40" i="12"/>
  <c r="F78" i="22" l="1"/>
  <c r="H13" i="22" s="1"/>
  <c r="L57" i="2" s="1"/>
  <c r="H59" i="3" l="1"/>
  <c r="K98" i="30"/>
  <c r="H78" i="22" l="1"/>
  <c r="K118" i="30" l="1"/>
  <c r="J78" i="22" l="1"/>
  <c r="K44" i="30" l="1"/>
  <c r="L78" i="22" l="1"/>
  <c r="N15" i="35"/>
  <c r="R15" i="35" s="1"/>
  <c r="L29" i="32" l="1"/>
  <c r="N78" i="22" l="1"/>
  <c r="N20" i="35"/>
  <c r="N19" i="35"/>
  <c r="K151" i="30"/>
  <c r="P78" i="22" l="1"/>
  <c r="K109" i="30"/>
  <c r="K111" i="30"/>
  <c r="E155" i="30" l="1"/>
  <c r="P30" i="35"/>
  <c r="I155" i="30"/>
  <c r="J45" i="32"/>
  <c r="N17" i="35"/>
  <c r="R17" i="35" s="1"/>
  <c r="H45" i="32"/>
  <c r="H48" i="32" s="1"/>
  <c r="K67" i="34"/>
  <c r="I42" i="31"/>
  <c r="F30" i="35"/>
  <c r="F45" i="32"/>
  <c r="F48" i="32" s="1"/>
  <c r="G155" i="30"/>
  <c r="E42" i="31"/>
  <c r="E45" i="31" s="1"/>
  <c r="J30" i="35"/>
  <c r="AB14" i="26"/>
  <c r="C49" i="26"/>
  <c r="E14" i="26" s="1"/>
  <c r="K28" i="30"/>
  <c r="C25" i="8"/>
  <c r="I25" i="8" s="1"/>
  <c r="K121" i="30"/>
  <c r="E81" i="25"/>
  <c r="G13" i="25" s="1"/>
  <c r="AD13" i="25"/>
  <c r="AD81" i="25" s="1"/>
  <c r="K20" i="31"/>
  <c r="K52" i="30"/>
  <c r="L44" i="32"/>
  <c r="K22" i="30"/>
  <c r="K69" i="30"/>
  <c r="K21" i="31"/>
  <c r="K150" i="30"/>
  <c r="N28" i="35"/>
  <c r="R28" i="35" s="1"/>
  <c r="K84" i="30"/>
  <c r="K65" i="30"/>
  <c r="K17" i="30"/>
  <c r="K133" i="30"/>
  <c r="N27" i="35"/>
  <c r="R27" i="35" s="1"/>
  <c r="D30" i="35"/>
  <c r="K128" i="30"/>
  <c r="K82" i="30"/>
  <c r="K18" i="30"/>
  <c r="K19" i="31"/>
  <c r="K129" i="30"/>
  <c r="L30" i="32"/>
  <c r="M47" i="34"/>
  <c r="L30" i="35"/>
  <c r="K130" i="30"/>
  <c r="L42" i="32"/>
  <c r="K86" i="30"/>
  <c r="K42" i="30"/>
  <c r="K147" i="30"/>
  <c r="L34" i="32"/>
  <c r="K35" i="30"/>
  <c r="K53" i="30"/>
  <c r="K31" i="30"/>
  <c r="K46" i="30"/>
  <c r="L43" i="32"/>
  <c r="K140" i="30"/>
  <c r="L37" i="32"/>
  <c r="L36" i="32"/>
  <c r="K51" i="30"/>
  <c r="L39" i="32"/>
  <c r="K120" i="30"/>
  <c r="L38" i="32"/>
  <c r="K154" i="30"/>
  <c r="K123" i="30"/>
  <c r="L32" i="32"/>
  <c r="K54" i="30"/>
  <c r="N25" i="35"/>
  <c r="R25" i="35" s="1"/>
  <c r="K106" i="30"/>
  <c r="K40" i="30"/>
  <c r="K90" i="30"/>
  <c r="K32" i="30"/>
  <c r="K30" i="30"/>
  <c r="K21" i="30"/>
  <c r="R20" i="35"/>
  <c r="C24" i="8"/>
  <c r="I24" i="8" s="1"/>
  <c r="C23" i="8"/>
  <c r="I23" i="8" s="1"/>
  <c r="K71" i="30"/>
  <c r="B46" i="28"/>
  <c r="D14" i="28" s="1"/>
  <c r="D41" i="6"/>
  <c r="K80" i="30"/>
  <c r="K135" i="30"/>
  <c r="K63" i="30"/>
  <c r="L31" i="32"/>
  <c r="C35" i="11"/>
  <c r="K36" i="31"/>
  <c r="AB56" i="15"/>
  <c r="K29" i="30"/>
  <c r="C32" i="7"/>
  <c r="I32" i="7" s="1"/>
  <c r="C32" i="8"/>
  <c r="I32" i="8" s="1"/>
  <c r="K37" i="31"/>
  <c r="L35" i="32"/>
  <c r="C29" i="8"/>
  <c r="I29" i="8" s="1"/>
  <c r="B46" i="27"/>
  <c r="D14" i="27" s="1"/>
  <c r="K20" i="30"/>
  <c r="K145" i="30"/>
  <c r="K138" i="30"/>
  <c r="K79" i="30"/>
  <c r="C33" i="14"/>
  <c r="K23" i="31"/>
  <c r="C27" i="14"/>
  <c r="C40" i="7"/>
  <c r="I40" i="7" s="1"/>
  <c r="K57" i="30"/>
  <c r="R19" i="35"/>
  <c r="K134" i="30"/>
  <c r="K77" i="30"/>
  <c r="K36" i="30"/>
  <c r="K148" i="30"/>
  <c r="K66" i="30"/>
  <c r="K34" i="30"/>
  <c r="C33" i="8"/>
  <c r="I33" i="8" s="1"/>
  <c r="K68" i="30"/>
  <c r="K146" i="30"/>
  <c r="K73" i="30"/>
  <c r="K81" i="30"/>
  <c r="L40" i="32"/>
  <c r="AD78" i="22"/>
  <c r="AG13" i="22"/>
  <c r="AI13" i="22" s="1"/>
  <c r="AA57" i="3"/>
  <c r="AE16" i="17"/>
  <c r="K99" i="30"/>
  <c r="AG81" i="25"/>
  <c r="T41" i="6"/>
  <c r="T42" i="6" s="1"/>
  <c r="AD46" i="29"/>
  <c r="K72" i="30"/>
  <c r="AE49" i="26"/>
  <c r="T44" i="5"/>
  <c r="T45" i="5" s="1"/>
  <c r="K131" i="30"/>
  <c r="K16" i="30"/>
  <c r="K50" i="30"/>
  <c r="K152" i="30"/>
  <c r="C21" i="8"/>
  <c r="I21" i="8" s="1"/>
  <c r="C27" i="12"/>
  <c r="K55" i="30"/>
  <c r="K48" i="30"/>
  <c r="K41" i="30"/>
  <c r="K87" i="30"/>
  <c r="E100" i="24"/>
  <c r="G13" i="24" s="1"/>
  <c r="E13" i="23"/>
  <c r="R57" i="2" s="1"/>
  <c r="B46" i="29"/>
  <c r="D14" i="29" s="1"/>
  <c r="AG14" i="29"/>
  <c r="AI14" i="29" s="1"/>
  <c r="C26" i="11"/>
  <c r="K43" i="30"/>
  <c r="K56" i="30"/>
  <c r="C33" i="12"/>
  <c r="K19" i="30"/>
  <c r="K22" i="31"/>
  <c r="K78" i="30"/>
  <c r="K122" i="30"/>
  <c r="M51" i="34"/>
  <c r="K25" i="31"/>
  <c r="K37" i="30"/>
  <c r="C20" i="8"/>
  <c r="I20" i="8" s="1"/>
  <c r="K125" i="30"/>
  <c r="K24" i="31"/>
  <c r="K126" i="30"/>
  <c r="L41" i="32"/>
  <c r="L33" i="32"/>
  <c r="C31" i="8"/>
  <c r="I31" i="8" s="1"/>
  <c r="K70" i="30"/>
  <c r="K41" i="31"/>
  <c r="L24" i="32"/>
  <c r="K141" i="30"/>
  <c r="K27" i="30"/>
  <c r="K144" i="30"/>
  <c r="K119" i="30"/>
  <c r="K83" i="30"/>
  <c r="C30" i="8"/>
  <c r="I30" i="8" s="1"/>
  <c r="K127" i="30"/>
  <c r="L23" i="32"/>
  <c r="K75" i="30"/>
  <c r="K76" i="30"/>
  <c r="K35" i="31"/>
  <c r="K100" i="30"/>
  <c r="K47" i="30"/>
  <c r="K143" i="30"/>
  <c r="K124" i="30"/>
  <c r="K26" i="31"/>
  <c r="K155" i="30" l="1"/>
  <c r="M67" i="34"/>
  <c r="AB58" i="15"/>
  <c r="K42" i="31"/>
  <c r="D44" i="5"/>
  <c r="D45" i="5" s="1"/>
  <c r="AB49" i="26"/>
  <c r="AH49" i="26" s="1"/>
  <c r="AJ49" i="26" s="1"/>
  <c r="R78" i="22"/>
  <c r="G81" i="25"/>
  <c r="I13" i="25" s="1"/>
  <c r="G100" i="24"/>
  <c r="I13" i="24" s="1"/>
  <c r="S40" i="14"/>
  <c r="AD13" i="23"/>
  <c r="M26" i="10"/>
  <c r="C22" i="7"/>
  <c r="I22" i="7" s="1"/>
  <c r="H44" i="5"/>
  <c r="H45" i="5" s="1"/>
  <c r="AA46" i="27"/>
  <c r="AG46" i="27" s="1"/>
  <c r="AI46" i="27" s="1"/>
  <c r="W40" i="14"/>
  <c r="L25" i="32"/>
  <c r="K101" i="30"/>
  <c r="AA46" i="28"/>
  <c r="AG46" i="28" s="1"/>
  <c r="AI46" i="28" s="1"/>
  <c r="K112" i="30"/>
  <c r="G157" i="30"/>
  <c r="U33" i="14"/>
  <c r="AG78" i="22"/>
  <c r="AI78" i="22" s="1"/>
  <c r="K28" i="31"/>
  <c r="AJ13" i="24"/>
  <c r="I35" i="11"/>
  <c r="C23" i="7"/>
  <c r="I23" i="7" s="1"/>
  <c r="C33" i="13"/>
  <c r="I33" i="12"/>
  <c r="AG14" i="28"/>
  <c r="AI14" i="28" s="1"/>
  <c r="K23" i="30"/>
  <c r="I157" i="30"/>
  <c r="AG14" i="27"/>
  <c r="AI14" i="27" s="1"/>
  <c r="I27" i="12"/>
  <c r="C37" i="14"/>
  <c r="C40" i="14" s="1"/>
  <c r="I45" i="31"/>
  <c r="O42" i="11"/>
  <c r="C39" i="11"/>
  <c r="C42" i="11" s="1"/>
  <c r="J48" i="32"/>
  <c r="AJ13" i="25"/>
  <c r="AL13" i="25" s="1"/>
  <c r="G39" i="13"/>
  <c r="I33" i="13"/>
  <c r="R30" i="35"/>
  <c r="U35" i="11"/>
  <c r="E157" i="30"/>
  <c r="U26" i="11"/>
  <c r="I26" i="11"/>
  <c r="C37" i="12"/>
  <c r="C40" i="12" s="1"/>
  <c r="AL81" i="25"/>
  <c r="N30" i="35"/>
  <c r="L45" i="32"/>
  <c r="H41" i="6"/>
  <c r="H42" i="6" s="1"/>
  <c r="AG46" i="29"/>
  <c r="AI46" i="29" s="1"/>
  <c r="AH14" i="26"/>
  <c r="AJ14" i="26" s="1"/>
  <c r="U27" i="14"/>
  <c r="AD57" i="2"/>
  <c r="AE16" i="16"/>
  <c r="C16" i="16"/>
  <c r="AB16" i="16" s="1"/>
  <c r="I26" i="8"/>
  <c r="K91" i="30"/>
  <c r="M35" i="10"/>
  <c r="I34" i="8"/>
  <c r="C27" i="13"/>
  <c r="C21" i="7"/>
  <c r="I21" i="7" s="1"/>
  <c r="C30" i="7"/>
  <c r="I30" i="7" s="1"/>
  <c r="C34" i="8"/>
  <c r="C29" i="7"/>
  <c r="I29" i="7" s="1"/>
  <c r="C33" i="7"/>
  <c r="I33" i="7" s="1"/>
  <c r="C26" i="10"/>
  <c r="C25" i="7"/>
  <c r="I25" i="7" s="1"/>
  <c r="C35" i="10"/>
  <c r="C24" i="7"/>
  <c r="C31" i="7"/>
  <c r="I31" i="7" s="1"/>
  <c r="C26" i="8"/>
  <c r="C20" i="7"/>
  <c r="I20" i="7" s="1"/>
  <c r="AH16" i="17"/>
  <c r="AJ16" i="17" s="1"/>
  <c r="D42" i="6"/>
  <c r="I39" i="13" l="1"/>
  <c r="K39" i="13"/>
  <c r="U37" i="14"/>
  <c r="U40" i="14" s="1"/>
  <c r="G49" i="7"/>
  <c r="O40" i="14"/>
  <c r="I37" i="12"/>
  <c r="I40" i="12" s="1"/>
  <c r="N44" i="5"/>
  <c r="N45" i="5" s="1"/>
  <c r="I39" i="11"/>
  <c r="I42" i="11" s="1"/>
  <c r="I81" i="25"/>
  <c r="K13" i="25" s="1"/>
  <c r="I100" i="24"/>
  <c r="K13" i="24" s="1"/>
  <c r="E49" i="26"/>
  <c r="G14" i="26" s="1"/>
  <c r="D46" i="27"/>
  <c r="F14" i="27" s="1"/>
  <c r="D46" i="29"/>
  <c r="F14" i="29" s="1"/>
  <c r="D46" i="28"/>
  <c r="F14" i="28" s="1"/>
  <c r="K103" i="30"/>
  <c r="AL13" i="24"/>
  <c r="C37" i="13"/>
  <c r="C40" i="13" s="1"/>
  <c r="K45" i="31"/>
  <c r="AJ81" i="25"/>
  <c r="AJ13" i="23"/>
  <c r="AL13" i="23" s="1"/>
  <c r="L48" i="32"/>
  <c r="U39" i="11"/>
  <c r="U42" i="11" s="1"/>
  <c r="N41" i="6"/>
  <c r="W41" i="6" s="1"/>
  <c r="I37" i="8"/>
  <c r="C37" i="8"/>
  <c r="AH16" i="16"/>
  <c r="AJ16" i="16" s="1"/>
  <c r="I34" i="7"/>
  <c r="M39" i="10"/>
  <c r="M42" i="10" s="1"/>
  <c r="C34" i="7"/>
  <c r="C39" i="10"/>
  <c r="C42" i="10" s="1"/>
  <c r="C26" i="7"/>
  <c r="I49" i="7" l="1"/>
  <c r="K49" i="7"/>
  <c r="K157" i="30"/>
  <c r="T78" i="22"/>
  <c r="K100" i="24"/>
  <c r="K81" i="25"/>
  <c r="W44" i="5"/>
  <c r="Y44" i="5" s="1"/>
  <c r="N42" i="6"/>
  <c r="C37" i="7"/>
  <c r="Y41" i="6"/>
  <c r="W42" i="6"/>
  <c r="Y42" i="6" s="1"/>
  <c r="V22" i="15"/>
  <c r="M81" i="25" l="1"/>
  <c r="M100" i="24"/>
  <c r="W45" i="5"/>
  <c r="Y45" i="5" s="1"/>
  <c r="F46" i="29"/>
  <c r="H14" i="29" s="1"/>
  <c r="F41" i="6" s="1"/>
  <c r="F46" i="28"/>
  <c r="H14" i="28" s="1"/>
  <c r="B41" i="6" s="1"/>
  <c r="F46" i="27"/>
  <c r="H14" i="27" s="1"/>
  <c r="F44" i="5" s="1"/>
  <c r="G49" i="26"/>
  <c r="I14" i="26" s="1"/>
  <c r="B44" i="5" s="1"/>
  <c r="H25" i="15"/>
  <c r="H58" i="15" s="1"/>
  <c r="V78" i="22" l="1"/>
  <c r="O81" i="25"/>
  <c r="I49" i="26"/>
  <c r="Q81" i="25" l="1"/>
  <c r="K49" i="26"/>
  <c r="H46" i="29"/>
  <c r="H46" i="28"/>
  <c r="H46" i="27"/>
  <c r="X78" i="22" l="1"/>
  <c r="S81" i="25"/>
  <c r="M49" i="26"/>
  <c r="U81" i="25" l="1"/>
  <c r="O49" i="26"/>
  <c r="J46" i="28"/>
  <c r="J46" i="29"/>
  <c r="J46" i="27"/>
  <c r="W81" i="25" l="1"/>
  <c r="Q49" i="26"/>
  <c r="L46" i="27"/>
  <c r="V37" i="2"/>
  <c r="L41" i="3"/>
  <c r="R41" i="3" s="1"/>
  <c r="Y81" i="25" l="1"/>
  <c r="S49" i="26"/>
  <c r="L46" i="28"/>
  <c r="L46" i="29"/>
  <c r="AB129" i="17"/>
  <c r="AH129" i="17" s="1"/>
  <c r="AJ129" i="17" s="1"/>
  <c r="V40" i="2"/>
  <c r="V42" i="2" s="1"/>
  <c r="AB126" i="16"/>
  <c r="AH126" i="16" s="1"/>
  <c r="AJ126" i="16" s="1"/>
  <c r="L38" i="3"/>
  <c r="L43" i="3" s="1"/>
  <c r="AB126" i="17"/>
  <c r="AB129" i="16"/>
  <c r="AH129" i="16" s="1"/>
  <c r="AJ129" i="16" s="1"/>
  <c r="L42" i="2"/>
  <c r="AA81" i="25" l="1"/>
  <c r="U49" i="26"/>
  <c r="N46" i="27"/>
  <c r="R38" i="3"/>
  <c r="R43" i="3" s="1"/>
  <c r="AB132" i="17"/>
  <c r="AH126" i="17"/>
  <c r="AB132" i="16"/>
  <c r="W49" i="26" l="1"/>
  <c r="N46" i="28"/>
  <c r="N46" i="29"/>
  <c r="AH132" i="16"/>
  <c r="AJ132" i="16" s="1"/>
  <c r="AH132" i="17"/>
  <c r="AJ132" i="17" s="1"/>
  <c r="AJ126" i="17"/>
  <c r="Y49" i="26" l="1"/>
  <c r="P46" i="27"/>
  <c r="P46" i="29" l="1"/>
  <c r="P46" i="28"/>
  <c r="R46" i="27"/>
  <c r="R46" i="28" l="1"/>
  <c r="R46" i="29"/>
  <c r="T46" i="27"/>
  <c r="T46" i="29" l="1"/>
  <c r="T46" i="28"/>
  <c r="V46" i="27"/>
  <c r="F45" i="5" l="1"/>
  <c r="X46" i="27"/>
  <c r="B45" i="5"/>
  <c r="V46" i="29" l="1"/>
  <c r="V46" i="28"/>
  <c r="L44" i="5"/>
  <c r="L45" i="5" s="1"/>
  <c r="L25" i="15"/>
  <c r="L58" i="15" s="1"/>
  <c r="Q30" i="17"/>
  <c r="Q60" i="17" s="1"/>
  <c r="Q30" i="16"/>
  <c r="AB30" i="16" s="1"/>
  <c r="F42" i="6" l="1"/>
  <c r="L15" i="3"/>
  <c r="R15" i="3" s="1"/>
  <c r="R21" i="3" s="1"/>
  <c r="R46" i="3" s="1"/>
  <c r="L20" i="2"/>
  <c r="L45" i="2" s="1"/>
  <c r="L55" i="2" s="1"/>
  <c r="Q109" i="17"/>
  <c r="Q135" i="17" s="1"/>
  <c r="Q145" i="17" s="1"/>
  <c r="AB60" i="17"/>
  <c r="AB28" i="16"/>
  <c r="AH28" i="16" s="1"/>
  <c r="V25" i="15"/>
  <c r="AB28" i="17"/>
  <c r="X46" i="29" l="1"/>
  <c r="X46" i="28"/>
  <c r="B42" i="6"/>
  <c r="L41" i="6"/>
  <c r="L42" i="6" s="1"/>
  <c r="AH30" i="16"/>
  <c r="AJ28" i="16"/>
  <c r="L21" i="3"/>
  <c r="L46" i="3" s="1"/>
  <c r="L55" i="3" s="1"/>
  <c r="AB30" i="17"/>
  <c r="AH28" i="17"/>
  <c r="AH60" i="17"/>
  <c r="AB109" i="17"/>
  <c r="AB135" i="17" s="1"/>
  <c r="AJ30" i="16" l="1"/>
  <c r="AH30" i="17"/>
  <c r="AJ30" i="17" s="1"/>
  <c r="AJ28" i="17"/>
  <c r="AJ60" i="17"/>
  <c r="AH109" i="17"/>
  <c r="AJ109" i="17" s="1"/>
  <c r="AH135" i="17"/>
  <c r="AJ135" i="17" s="1"/>
  <c r="L59" i="2" l="1"/>
  <c r="L57" i="3" l="1"/>
  <c r="L59" i="3" l="1"/>
  <c r="Z42" i="43" l="1"/>
  <c r="Z44" i="43" s="1"/>
  <c r="D36" i="43"/>
  <c r="D42" i="43" s="1"/>
  <c r="D44" i="43" s="1"/>
  <c r="F12" i="43" s="1"/>
  <c r="F44" i="43" l="1"/>
  <c r="H12" i="43" s="1"/>
  <c r="G38" i="9"/>
  <c r="G39" i="9"/>
  <c r="G29" i="9"/>
  <c r="G28" i="9"/>
  <c r="AE139" i="17"/>
  <c r="C138" i="17"/>
  <c r="V138" i="18"/>
  <c r="V142" i="18" s="1"/>
  <c r="N138" i="18"/>
  <c r="N142" i="18" s="1"/>
  <c r="AI130" i="18"/>
  <c r="AK130" i="18" s="1"/>
  <c r="AI133" i="18"/>
  <c r="AK133" i="18" s="1"/>
  <c r="L138" i="18"/>
  <c r="L142" i="18" s="1"/>
  <c r="C139" i="17"/>
  <c r="AI134" i="18"/>
  <c r="AK134" i="18" s="1"/>
  <c r="AA49" i="3"/>
  <c r="AI129" i="18"/>
  <c r="AK129" i="18" s="1"/>
  <c r="K39" i="9" l="1"/>
  <c r="I28" i="9"/>
  <c r="K28" i="9"/>
  <c r="I29" i="9"/>
  <c r="K29" i="9"/>
  <c r="K38" i="9"/>
  <c r="I38" i="9"/>
  <c r="I39" i="9"/>
  <c r="H44" i="43"/>
  <c r="G30" i="9"/>
  <c r="J138" i="18"/>
  <c r="J142" i="18" s="1"/>
  <c r="I141" i="17"/>
  <c r="I145" i="17" s="1"/>
  <c r="V50" i="2"/>
  <c r="I140" i="16" s="1"/>
  <c r="T138" i="18"/>
  <c r="T142" i="18" s="1"/>
  <c r="AA50" i="3"/>
  <c r="AA51" i="3" s="1"/>
  <c r="AA55" i="3" s="1"/>
  <c r="AA59" i="3" s="1"/>
  <c r="AB139" i="17"/>
  <c r="AH139" i="17" s="1"/>
  <c r="AJ139" i="17" s="1"/>
  <c r="E141" i="17"/>
  <c r="E145" i="17" s="1"/>
  <c r="F138" i="18"/>
  <c r="F142" i="18" s="1"/>
  <c r="AI135" i="18"/>
  <c r="AK135" i="18" s="1"/>
  <c r="X138" i="18"/>
  <c r="X142" i="18" s="1"/>
  <c r="AI131" i="18"/>
  <c r="AK131" i="18" s="1"/>
  <c r="R138" i="18"/>
  <c r="R142" i="18" s="1"/>
  <c r="Z138" i="18"/>
  <c r="Z142" i="18" s="1"/>
  <c r="P138" i="18"/>
  <c r="P142" i="18" s="1"/>
  <c r="AD49" i="2"/>
  <c r="D138" i="18"/>
  <c r="AE138" i="17"/>
  <c r="AE141" i="17" s="1"/>
  <c r="AE145" i="17" s="1"/>
  <c r="AE147" i="17" s="1"/>
  <c r="X50" i="2"/>
  <c r="AF138" i="18"/>
  <c r="C141" i="17"/>
  <c r="C145" i="17" s="1"/>
  <c r="C147" i="17" s="1"/>
  <c r="E16" i="17" s="1"/>
  <c r="D49" i="3"/>
  <c r="AC138" i="18"/>
  <c r="H138" i="18"/>
  <c r="H142" i="18" s="1"/>
  <c r="AD50" i="2"/>
  <c r="AE140" i="16" s="1"/>
  <c r="K42" i="9" l="1"/>
  <c r="G42" i="7"/>
  <c r="I30" i="9"/>
  <c r="K30" i="9"/>
  <c r="G41" i="7"/>
  <c r="I42" i="9"/>
  <c r="I43" i="9" s="1"/>
  <c r="D142" i="18"/>
  <c r="D144" i="18" s="1"/>
  <c r="F13" i="18" s="1"/>
  <c r="AF142" i="18"/>
  <c r="J44" i="43"/>
  <c r="I142" i="16"/>
  <c r="I146" i="16" s="1"/>
  <c r="C142" i="16"/>
  <c r="W142" i="16"/>
  <c r="U142" i="16"/>
  <c r="U146" i="16" s="1"/>
  <c r="S142" i="16"/>
  <c r="Q142" i="16"/>
  <c r="G141" i="17"/>
  <c r="G145" i="17" s="1"/>
  <c r="D50" i="3"/>
  <c r="R50" i="3" s="1"/>
  <c r="D51" i="2"/>
  <c r="D55" i="2" s="1"/>
  <c r="E147" i="17"/>
  <c r="G16" i="17" s="1"/>
  <c r="AB138" i="17"/>
  <c r="AH138" i="17" s="1"/>
  <c r="AD51" i="2"/>
  <c r="AE139" i="16"/>
  <c r="AE142" i="16" s="1"/>
  <c r="F50" i="3"/>
  <c r="T50" i="3" s="1"/>
  <c r="AD50" i="3" s="1"/>
  <c r="AF50" i="3" s="1"/>
  <c r="AC142" i="18"/>
  <c r="AI138" i="18"/>
  <c r="AK138" i="18" s="1"/>
  <c r="R49" i="3"/>
  <c r="V51" i="2"/>
  <c r="AG50" i="2"/>
  <c r="AI50" i="2"/>
  <c r="F51" i="2"/>
  <c r="F55" i="2" s="1"/>
  <c r="X49" i="2"/>
  <c r="M142" i="16" s="1"/>
  <c r="F49" i="3"/>
  <c r="L44" i="43" l="1"/>
  <c r="N44" i="43" s="1"/>
  <c r="F144" i="18"/>
  <c r="H13" i="18" s="1"/>
  <c r="Y142" i="16"/>
  <c r="Y146" i="16" s="1"/>
  <c r="AF144" i="18"/>
  <c r="O142" i="16"/>
  <c r="O146" i="16" s="1"/>
  <c r="K142" i="16"/>
  <c r="K146" i="16" s="1"/>
  <c r="G147" i="17"/>
  <c r="I16" i="17" s="1"/>
  <c r="D51" i="3"/>
  <c r="D55" i="3" s="1"/>
  <c r="R51" i="3"/>
  <c r="R55" i="3" s="1"/>
  <c r="AB140" i="16"/>
  <c r="G41" i="8"/>
  <c r="AB141" i="17"/>
  <c r="AB145" i="17" s="1"/>
  <c r="AH145" i="17" s="1"/>
  <c r="AJ145" i="17" s="1"/>
  <c r="T49" i="3"/>
  <c r="F51" i="3"/>
  <c r="F55" i="3" s="1"/>
  <c r="AC144" i="18"/>
  <c r="AI142" i="18"/>
  <c r="AK142" i="18" s="1"/>
  <c r="G142" i="16"/>
  <c r="G146" i="16" s="1"/>
  <c r="AG49" i="2"/>
  <c r="AI49" i="2"/>
  <c r="X51" i="2"/>
  <c r="AJ138" i="17"/>
  <c r="AH141" i="17"/>
  <c r="AJ141" i="17" s="1"/>
  <c r="F59" i="2" l="1"/>
  <c r="F57" i="3"/>
  <c r="AG51" i="2"/>
  <c r="AI51" i="2" s="1"/>
  <c r="E142" i="16"/>
  <c r="E146" i="16" s="1"/>
  <c r="AB139" i="16"/>
  <c r="AB142" i="16" s="1"/>
  <c r="P44" i="43"/>
  <c r="AH140" i="16"/>
  <c r="AJ140" i="16" s="1"/>
  <c r="AI144" i="18"/>
  <c r="AK144" i="18" s="1"/>
  <c r="I147" i="17"/>
  <c r="H144" i="18"/>
  <c r="J13" i="18" s="1"/>
  <c r="D57" i="2" s="1"/>
  <c r="AB147" i="17"/>
  <c r="AH147" i="17" s="1"/>
  <c r="AJ147" i="17" s="1"/>
  <c r="AD49" i="3"/>
  <c r="AD51" i="3" s="1"/>
  <c r="G40" i="8"/>
  <c r="T51" i="3"/>
  <c r="T55" i="3" s="1"/>
  <c r="T57" i="3" l="1"/>
  <c r="F59" i="3"/>
  <c r="AH139" i="16"/>
  <c r="AH142" i="16" s="1"/>
  <c r="AJ142" i="16" s="1"/>
  <c r="R44" i="43"/>
  <c r="K147" i="17"/>
  <c r="J144" i="18"/>
  <c r="G42" i="8"/>
  <c r="G46" i="8" s="1"/>
  <c r="AF49" i="3"/>
  <c r="T59" i="3" l="1"/>
  <c r="AD57" i="3"/>
  <c r="AF57" i="3" s="1"/>
  <c r="G48" i="8"/>
  <c r="AJ139" i="16"/>
  <c r="T44" i="43"/>
  <c r="M147" i="17"/>
  <c r="L144" i="18"/>
  <c r="AF51" i="3"/>
  <c r="AD55" i="3"/>
  <c r="AF55" i="3" s="1"/>
  <c r="I48" i="8" l="1"/>
  <c r="K48" i="8"/>
  <c r="G49" i="8"/>
  <c r="V44" i="43"/>
  <c r="O147" i="17"/>
  <c r="AD59" i="3"/>
  <c r="AF59" i="3" s="1"/>
  <c r="X44" i="43" l="1"/>
  <c r="Q147" i="17"/>
  <c r="N144" i="18"/>
  <c r="S147" i="17" l="1"/>
  <c r="G31" i="9"/>
  <c r="U147" i="17" l="1"/>
  <c r="P144" i="18"/>
  <c r="G43" i="9"/>
  <c r="G47" i="9" s="1"/>
  <c r="G50" i="9" s="1"/>
  <c r="W147" i="17" l="1"/>
  <c r="G43" i="7"/>
  <c r="R19" i="6"/>
  <c r="Y147" i="17" l="1"/>
  <c r="R144" i="18"/>
  <c r="R21" i="5"/>
  <c r="R37" i="5"/>
  <c r="R26" i="6"/>
  <c r="R29" i="6" s="1"/>
  <c r="R34" i="6"/>
  <c r="Y51" i="3"/>
  <c r="Y21" i="3"/>
  <c r="Y43" i="3"/>
  <c r="R32" i="5" l="1"/>
  <c r="R42" i="5" s="1"/>
  <c r="R45" i="5" s="1"/>
  <c r="R39" i="6"/>
  <c r="R42" i="6" s="1"/>
  <c r="Y46" i="3"/>
  <c r="Y55" i="3" l="1"/>
  <c r="T144" i="18"/>
  <c r="O60" i="24"/>
  <c r="O64" i="24" s="1"/>
  <c r="O87" i="24" s="1"/>
  <c r="O98" i="24" s="1"/>
  <c r="O100" i="24" s="1"/>
  <c r="Y59" i="3" l="1"/>
  <c r="Q100" i="24"/>
  <c r="V144" i="18" l="1"/>
  <c r="O98" i="23"/>
  <c r="M146" i="16"/>
  <c r="X144" i="18" l="1"/>
  <c r="S21" i="24"/>
  <c r="S31" i="24" s="1"/>
  <c r="Q42" i="16" l="1"/>
  <c r="Q60" i="16" s="1"/>
  <c r="S21" i="23"/>
  <c r="D57" i="3" l="1"/>
  <c r="D59" i="2"/>
  <c r="Z144" i="18"/>
  <c r="S31" i="23"/>
  <c r="V29" i="15"/>
  <c r="V38" i="15" s="1"/>
  <c r="V58" i="15" s="1"/>
  <c r="P38" i="15"/>
  <c r="P58" i="15" s="1"/>
  <c r="D59" i="3" l="1"/>
  <c r="R57" i="3"/>
  <c r="R59" i="3" s="1"/>
  <c r="I31" i="9" l="1"/>
  <c r="E41" i="7"/>
  <c r="K41" i="7" s="1"/>
  <c r="C40" i="8"/>
  <c r="I40" i="8" s="1"/>
  <c r="E40" i="8"/>
  <c r="K40" i="8" s="1"/>
  <c r="K43" i="9"/>
  <c r="S60" i="24"/>
  <c r="S64" i="24" s="1"/>
  <c r="S87" i="24" s="1"/>
  <c r="S98" i="24" s="1"/>
  <c r="S100" i="24" s="1"/>
  <c r="C41" i="8"/>
  <c r="I41" i="8" s="1"/>
  <c r="C43" i="9"/>
  <c r="C41" i="7"/>
  <c r="I41" i="7" s="1"/>
  <c r="C42" i="7"/>
  <c r="I42" i="7" s="1"/>
  <c r="K31" i="9"/>
  <c r="E43" i="9"/>
  <c r="E42" i="7"/>
  <c r="K42" i="7" s="1"/>
  <c r="E41" i="8"/>
  <c r="K41" i="8" s="1"/>
  <c r="I43" i="7" l="1"/>
  <c r="I42" i="8"/>
  <c r="I46" i="8" s="1"/>
  <c r="I49" i="8" s="1"/>
  <c r="K42" i="8"/>
  <c r="K46" i="8" s="1"/>
  <c r="K49" i="8" s="1"/>
  <c r="K43" i="7"/>
  <c r="I47" i="9"/>
  <c r="I50" i="9" s="1"/>
  <c r="K47" i="9"/>
  <c r="K50" i="9" s="1"/>
  <c r="C47" i="9"/>
  <c r="C50" i="9" s="1"/>
  <c r="E47" i="9"/>
  <c r="E50" i="9" s="1"/>
  <c r="S60" i="23"/>
  <c r="E42" i="8"/>
  <c r="E46" i="8" s="1"/>
  <c r="E49" i="8" s="1"/>
  <c r="E43" i="7"/>
  <c r="E47" i="7" s="1"/>
  <c r="E50" i="7" s="1"/>
  <c r="C42" i="8"/>
  <c r="C46" i="8" s="1"/>
  <c r="C49" i="8" s="1"/>
  <c r="C43" i="7"/>
  <c r="C47" i="7" s="1"/>
  <c r="C50" i="7" s="1"/>
  <c r="S64" i="23" l="1"/>
  <c r="S87" i="23" s="1"/>
  <c r="S98" i="23" s="1"/>
  <c r="Q105" i="16"/>
  <c r="Q109" i="16" s="1"/>
  <c r="Q135" i="16" s="1"/>
  <c r="Q146" i="16" s="1"/>
  <c r="AB59" i="2" l="1"/>
  <c r="U60" i="24" l="1"/>
  <c r="U64" i="24" s="1"/>
  <c r="U87" i="24" s="1"/>
  <c r="U98" i="24" s="1"/>
  <c r="U100" i="24" s="1"/>
  <c r="W100" i="24" l="1"/>
  <c r="U60" i="23"/>
  <c r="S105" i="16" l="1"/>
  <c r="S109" i="16" s="1"/>
  <c r="S135" i="16" s="1"/>
  <c r="S146" i="16" s="1"/>
  <c r="U64" i="23"/>
  <c r="U87" i="23" s="1"/>
  <c r="U98" i="23" s="1"/>
  <c r="AJ59" i="24" l="1"/>
  <c r="AG59" i="23"/>
  <c r="AG60" i="23" s="1"/>
  <c r="AJ60" i="24" l="1"/>
  <c r="AJ64" i="24" s="1"/>
  <c r="AL59" i="24"/>
  <c r="AE103" i="16"/>
  <c r="Y60" i="24"/>
  <c r="Y64" i="24" s="1"/>
  <c r="Y87" i="24" s="1"/>
  <c r="Y98" i="24" s="1"/>
  <c r="Y100" i="24" s="1"/>
  <c r="AA100" i="24" l="1"/>
  <c r="AL60" i="24"/>
  <c r="G27" i="14"/>
  <c r="G37" i="14" s="1"/>
  <c r="I37" i="14"/>
  <c r="K27" i="14"/>
  <c r="K37" i="14" s="1"/>
  <c r="K40" i="14" s="1"/>
  <c r="AG87" i="24"/>
  <c r="AL64" i="24"/>
  <c r="Y60" i="23"/>
  <c r="AD18" i="2"/>
  <c r="AD20" i="2" s="1"/>
  <c r="AD45" i="2" s="1"/>
  <c r="AD55" i="2" s="1"/>
  <c r="AD59" i="2" s="1"/>
  <c r="AG64" i="23"/>
  <c r="AG87" i="23" s="1"/>
  <c r="AG98" i="23" s="1"/>
  <c r="AE105" i="16"/>
  <c r="X18" i="2" l="1"/>
  <c r="AE109" i="16"/>
  <c r="AE135" i="16" s="1"/>
  <c r="AE146" i="16" s="1"/>
  <c r="AE148" i="16" s="1"/>
  <c r="AJ59" i="23"/>
  <c r="AL59" i="23" s="1"/>
  <c r="W105" i="16"/>
  <c r="W109" i="16" s="1"/>
  <c r="W135" i="16" s="1"/>
  <c r="W146" i="16" s="1"/>
  <c r="AB103" i="16"/>
  <c r="AJ87" i="24"/>
  <c r="AJ98" i="24" s="1"/>
  <c r="AJ100" i="24" s="1"/>
  <c r="AG98" i="24"/>
  <c r="Y64" i="23"/>
  <c r="Y87" i="23" s="1"/>
  <c r="Y98" i="23" s="1"/>
  <c r="G27" i="13"/>
  <c r="G37" i="13" s="1"/>
  <c r="G40" i="13" s="1"/>
  <c r="G24" i="7"/>
  <c r="AG100" i="23"/>
  <c r="I40" i="14"/>
  <c r="G40" i="14"/>
  <c r="I24" i="7" l="1"/>
  <c r="I26" i="7" s="1"/>
  <c r="K24" i="7"/>
  <c r="K26" i="7" s="1"/>
  <c r="I27" i="13"/>
  <c r="I37" i="13" s="1"/>
  <c r="K27" i="13"/>
  <c r="K37" i="13" s="1"/>
  <c r="K40" i="13" s="1"/>
  <c r="AD100" i="24"/>
  <c r="V18" i="2"/>
  <c r="AH103" i="16"/>
  <c r="AB105" i="16"/>
  <c r="AL87" i="24"/>
  <c r="AJ60" i="23"/>
  <c r="AG100" i="24"/>
  <c r="AL100" i="24" s="1"/>
  <c r="AL98" i="24"/>
  <c r="G26" i="7"/>
  <c r="G37" i="7" l="1"/>
  <c r="G47" i="7"/>
  <c r="G50" i="7" s="1"/>
  <c r="AL60" i="23"/>
  <c r="I40" i="13"/>
  <c r="AH105" i="16"/>
  <c r="AJ103" i="16"/>
  <c r="K37" i="7"/>
  <c r="K47" i="7"/>
  <c r="K50" i="7" s="1"/>
  <c r="I37" i="7"/>
  <c r="I47" i="7"/>
  <c r="I50" i="7" s="1"/>
  <c r="AG18" i="2" l="1"/>
  <c r="AI18" i="2"/>
  <c r="AJ105" i="16"/>
  <c r="E21" i="23"/>
  <c r="C33" i="16"/>
  <c r="C42" i="16" s="1"/>
  <c r="C60" i="16" s="1"/>
  <c r="C109" i="16" s="1"/>
  <c r="C135" i="16" s="1"/>
  <c r="C146" i="16" s="1"/>
  <c r="C148" i="16" s="1"/>
  <c r="E16" i="16" s="1"/>
  <c r="AD21" i="23"/>
  <c r="R15" i="2" l="1"/>
  <c r="E148" i="16"/>
  <c r="G16" i="16" s="1"/>
  <c r="AB33" i="16"/>
  <c r="AH33" i="16" s="1"/>
  <c r="AJ33" i="16" s="1"/>
  <c r="E31" i="23"/>
  <c r="E64" i="23" s="1"/>
  <c r="E87" i="23" s="1"/>
  <c r="E98" i="23" s="1"/>
  <c r="E100" i="23" s="1"/>
  <c r="G13" i="23" s="1"/>
  <c r="AJ18" i="23"/>
  <c r="AL18" i="23" s="1"/>
  <c r="R29" i="15"/>
  <c r="X29" i="15" s="1"/>
  <c r="X38" i="15" s="1"/>
  <c r="AD31" i="23"/>
  <c r="AD64" i="23" s="1"/>
  <c r="AJ21" i="23"/>
  <c r="AL21" i="23" s="1"/>
  <c r="G148" i="16" l="1"/>
  <c r="I16" i="16" s="1"/>
  <c r="AB42" i="16"/>
  <c r="AB60" i="16" s="1"/>
  <c r="AB109" i="16" s="1"/>
  <c r="AB135" i="16" s="1"/>
  <c r="AH135" i="16" s="1"/>
  <c r="AJ135" i="16" s="1"/>
  <c r="R38" i="15"/>
  <c r="R58" i="15" s="1"/>
  <c r="AH29" i="15"/>
  <c r="AJ29" i="15" s="1"/>
  <c r="AH42" i="16"/>
  <c r="AH60" i="16" s="1"/>
  <c r="V15" i="2"/>
  <c r="V20" i="2" s="1"/>
  <c r="V45" i="2" s="1"/>
  <c r="V55" i="2" s="1"/>
  <c r="P20" i="2"/>
  <c r="P45" i="2" s="1"/>
  <c r="P55" i="2" s="1"/>
  <c r="AJ31" i="23"/>
  <c r="AD87" i="23"/>
  <c r="AH38" i="15"/>
  <c r="AJ38" i="15" s="1"/>
  <c r="R20" i="2"/>
  <c r="R45" i="2" s="1"/>
  <c r="R55" i="2" s="1"/>
  <c r="X15" i="2"/>
  <c r="AD98" i="23" l="1"/>
  <c r="I148" i="16"/>
  <c r="G100" i="23"/>
  <c r="I13" i="23" s="1"/>
  <c r="X57" i="2"/>
  <c r="AB146" i="16"/>
  <c r="AJ42" i="16"/>
  <c r="AH109" i="16"/>
  <c r="AJ109" i="16" s="1"/>
  <c r="AJ60" i="16"/>
  <c r="AJ64" i="23"/>
  <c r="AL31" i="23"/>
  <c r="AG15" i="2"/>
  <c r="AI15" i="2"/>
  <c r="AD100" i="23" l="1"/>
  <c r="AL100" i="23" s="1"/>
  <c r="AJ98" i="23"/>
  <c r="AJ100" i="23" s="1"/>
  <c r="AB148" i="16"/>
  <c r="K148" i="16"/>
  <c r="AI57" i="2"/>
  <c r="AG57" i="2"/>
  <c r="R59" i="2"/>
  <c r="AH146" i="16"/>
  <c r="AJ146" i="16" s="1"/>
  <c r="AL64" i="23"/>
  <c r="AJ87" i="23"/>
  <c r="AL87" i="23" s="1"/>
  <c r="AL98" i="23" l="1"/>
  <c r="AH148" i="16"/>
  <c r="AJ148" i="16" s="1"/>
  <c r="M148" i="16"/>
  <c r="I100" i="23"/>
  <c r="K13" i="23" s="1"/>
  <c r="P57" i="2" s="1"/>
  <c r="O148" i="16" l="1"/>
  <c r="Q148" i="16" l="1"/>
  <c r="K100" i="23"/>
  <c r="I35" i="40"/>
  <c r="S148" i="16" l="1"/>
  <c r="I46" i="40"/>
  <c r="I48" i="40" s="1"/>
  <c r="U148" i="16" l="1"/>
  <c r="M100" i="23"/>
  <c r="W148" i="16" l="1"/>
  <c r="Y148" i="16" l="1"/>
  <c r="O100" i="23"/>
  <c r="Q100" i="23" l="1"/>
  <c r="S100" i="23" l="1"/>
  <c r="U100" i="23" l="1"/>
  <c r="W100" i="23" l="1"/>
  <c r="Y100" i="23" l="1"/>
  <c r="AA100" i="23" l="1"/>
  <c r="P59" i="2" l="1"/>
  <c r="AJ22" i="15"/>
  <c r="J14" i="2"/>
  <c r="X14" i="2" s="1"/>
  <c r="AE38" i="19"/>
  <c r="AE85" i="19" s="1"/>
  <c r="AE111" i="19" s="1"/>
  <c r="AE121" i="19" s="1"/>
  <c r="J22" i="15"/>
  <c r="F38" i="19"/>
  <c r="F85" i="19" s="1"/>
  <c r="F111" i="19" s="1"/>
  <c r="F121" i="19" s="1"/>
  <c r="F123" i="19" s="1"/>
  <c r="H13" i="19" s="1"/>
  <c r="H123" i="19" l="1"/>
  <c r="J13" i="19" s="1"/>
  <c r="H57" i="2" s="1"/>
  <c r="X22" i="15"/>
  <c r="J25" i="15"/>
  <c r="J58" i="15" s="1"/>
  <c r="AE123" i="19"/>
  <c r="AK123" i="19" s="1"/>
  <c r="AM123" i="19" s="1"/>
  <c r="AK121" i="19"/>
  <c r="AM121" i="19" s="1"/>
  <c r="X20" i="2"/>
  <c r="AG14" i="2"/>
  <c r="AG20" i="2" s="1"/>
  <c r="AI14" i="2"/>
  <c r="AK17" i="19"/>
  <c r="J20" i="2"/>
  <c r="J45" i="2" s="1"/>
  <c r="J55" i="2" s="1"/>
  <c r="J59" i="2" s="1"/>
  <c r="AK38" i="19" l="1"/>
  <c r="AM17" i="19"/>
  <c r="J123" i="19"/>
  <c r="AI20" i="2"/>
  <c r="X45" i="2"/>
  <c r="X25" i="15"/>
  <c r="AH22" i="15"/>
  <c r="AM38" i="19" l="1"/>
  <c r="AK85" i="19"/>
  <c r="L123" i="19"/>
  <c r="AH25" i="15"/>
  <c r="AJ25" i="15" s="1"/>
  <c r="X58" i="15"/>
  <c r="AH58" i="15" s="1"/>
  <c r="AJ58" i="15" s="1"/>
  <c r="X55" i="2"/>
  <c r="AI45" i="2"/>
  <c r="AG45" i="2"/>
  <c r="AG55" i="2" s="1"/>
  <c r="AG59" i="2" s="1"/>
  <c r="AK111" i="19" l="1"/>
  <c r="AM111" i="19" s="1"/>
  <c r="AM85" i="19"/>
  <c r="N123" i="19"/>
  <c r="X59" i="2"/>
  <c r="AI59" i="2" s="1"/>
  <c r="AI55" i="2"/>
  <c r="P123" i="19" l="1"/>
  <c r="R123" i="19" l="1"/>
  <c r="T123" i="19" l="1"/>
  <c r="V123" i="19" l="1"/>
  <c r="X123" i="19" l="1"/>
  <c r="Z123" i="19" l="1"/>
  <c r="H59" i="2"/>
  <c r="I48" i="44"/>
  <c r="V57" i="2" l="1"/>
  <c r="V59" i="2" s="1"/>
  <c r="I52" i="44"/>
  <c r="I56" i="44" l="1"/>
  <c r="G56" i="44"/>
</calcChain>
</file>

<file path=xl/sharedStrings.xml><?xml version="1.0" encoding="utf-8"?>
<sst xmlns="http://schemas.openxmlformats.org/spreadsheetml/2006/main" count="4156" uniqueCount="1527">
  <si>
    <t xml:space="preserve">                             STATE OF NEW YORK</t>
  </si>
  <si>
    <t>THOMAS P. DiNAPOLI</t>
  </si>
  <si>
    <t xml:space="preserve">                               OFFICE OF OPERATIONS  </t>
  </si>
  <si>
    <t>STATE COMPTROLLER</t>
  </si>
  <si>
    <t xml:space="preserve">DIVISION OF PAYROLL, ACCOUNTING AND REVENUE SERVICES    </t>
  </si>
  <si>
    <t xml:space="preserve">BUREAU OF FINANCIAL REPORTING AND OIL SPILL REMEDIATION   </t>
  </si>
  <si>
    <t>COMPTROLLER'S MONTHLY REPORT TO THE LEGISLATURE ON STATE FUNDS - CASH BASIS OF ACCOUNTING</t>
  </si>
  <si>
    <t xml:space="preserve">TABLE OF CONTENTS  </t>
  </si>
  <si>
    <t xml:space="preserve">Combined Statements of Cash Receipts, Disbursements and Changes in Fund Balances       </t>
  </si>
  <si>
    <t>Exhibit A</t>
  </si>
  <si>
    <t xml:space="preserve">Governmental Funds  </t>
  </si>
  <si>
    <t xml:space="preserve">Exhibit A Supplemental </t>
  </si>
  <si>
    <t>Governmental Funds - State Operating</t>
  </si>
  <si>
    <t>Exhibit A Notes</t>
  </si>
  <si>
    <t>Governmental Funds Footnotes</t>
  </si>
  <si>
    <t>Exhibit B</t>
  </si>
  <si>
    <t xml:space="preserve">Proprietary Funds  </t>
  </si>
  <si>
    <t>Exhibit C</t>
  </si>
  <si>
    <t xml:space="preserve">Trust Funds  </t>
  </si>
  <si>
    <t>Exhibit D Governmental</t>
  </si>
  <si>
    <t>Governmental Funds - Budgetary Basis - Financial Plan and Actual - Governmental</t>
  </si>
  <si>
    <t>Exhibit D State Operating</t>
  </si>
  <si>
    <t xml:space="preserve">Governmental Funds - Budgetary Basis - Financial Plan and Actual - State Operating  </t>
  </si>
  <si>
    <t>Exhibit D General Fund</t>
  </si>
  <si>
    <t>Governmental Funds - Budgetary Basis - Financial Plan and Actual - General Fund</t>
  </si>
  <si>
    <t>Exhibit D Special Revenue</t>
  </si>
  <si>
    <t xml:space="preserve">Governmental Funds - Budgetary Basis - Financial Plan and Actual - Special Revenue  </t>
  </si>
  <si>
    <t>Exhibit D Special Revenue State/Federal</t>
  </si>
  <si>
    <t xml:space="preserve">Governmental Funds - Budgetary Basis - Financial Plan and Actual - Special Revenue State and Federal  </t>
  </si>
  <si>
    <t>Exhibit D Debt</t>
  </si>
  <si>
    <t xml:space="preserve">Governmental Funds - Budgetary Basis - Financial Plan and Actual - Debt Service  </t>
  </si>
  <si>
    <t>Exhibit D Capital Projects</t>
  </si>
  <si>
    <t xml:space="preserve">Governmental Funds - Budgetary Basis - Financial Plan and Actual - Capital Projects  </t>
  </si>
  <si>
    <t>Exhibit D Capital Projects State/Federal</t>
  </si>
  <si>
    <t xml:space="preserve">Governmental Funds - Budgetary Basis - Financial Plan and Actual - Capital Projects State and Federal  </t>
  </si>
  <si>
    <t>Exhibit E</t>
  </si>
  <si>
    <t xml:space="preserve">Comparative Schedule of Tax Receipts  </t>
  </si>
  <si>
    <t>Cash Flow - Governmental</t>
  </si>
  <si>
    <t>Governmental Funds - Governmental</t>
  </si>
  <si>
    <t>Cash Flow - State Operating</t>
  </si>
  <si>
    <t xml:space="preserve">Combining Statements of Cash Receipts, Disbursements and Changes in Fund Balances   </t>
  </si>
  <si>
    <t>Exhibit F</t>
  </si>
  <si>
    <t xml:space="preserve">General Fund - Statement of Cash Flow  </t>
  </si>
  <si>
    <t>Exhibit G</t>
  </si>
  <si>
    <t xml:space="preserve">Special Revenue Funds Combined - Statement of Cash Flow  </t>
  </si>
  <si>
    <t>Exhibit G State</t>
  </si>
  <si>
    <t xml:space="preserve">Special Revenue Funds State - Statement of Cash Flow  </t>
  </si>
  <si>
    <t>Exhibit G Federal</t>
  </si>
  <si>
    <t xml:space="preserve">Special Revenue Funds Federal - Statement of Cash Flow  </t>
  </si>
  <si>
    <t>Exhibit H</t>
  </si>
  <si>
    <t xml:space="preserve">Debt Service Funds - Statement of Cash Flow  </t>
  </si>
  <si>
    <t>Exhibit I</t>
  </si>
  <si>
    <t xml:space="preserve">Capital Projects Funds Combined - Statement of Cash Flow  </t>
  </si>
  <si>
    <t>Exhibit I State</t>
  </si>
  <si>
    <t xml:space="preserve">Capital Projects Funds State - Statement of Cash Flow  </t>
  </si>
  <si>
    <t>Exhibit I Federal</t>
  </si>
  <si>
    <t xml:space="preserve">Capital Projects Funds Federal - Statement of Cash Flow  </t>
  </si>
  <si>
    <t>Exhibit J</t>
  </si>
  <si>
    <t xml:space="preserve">Enterprise Funds - Statement of Cash Flow  </t>
  </si>
  <si>
    <t>Exhibit K</t>
  </si>
  <si>
    <t xml:space="preserve">Internal Service Funds - Statement of Cash Flow  </t>
  </si>
  <si>
    <t>Exhibit L</t>
  </si>
  <si>
    <t xml:space="preserve">Trust Funds - Statement of Cash Flow  </t>
  </si>
  <si>
    <t>Exhibit M</t>
  </si>
  <si>
    <t xml:space="preserve">Private Purpose Trust Funds - Statement of Cash Flow  </t>
  </si>
  <si>
    <t>Supplementary Schedules</t>
  </si>
  <si>
    <t>Schedule 1</t>
  </si>
  <si>
    <t xml:space="preserve">Governmental Funds - Summary of Cash Receipts, Disbursements and Changes in Fund Balances  </t>
  </si>
  <si>
    <t>Schedule 2</t>
  </si>
  <si>
    <t xml:space="preserve">Proprietary Funds - Summary of Cash Receipts, Disbursements and Changes in Fund Balances     </t>
  </si>
  <si>
    <t>Schedule 3</t>
  </si>
  <si>
    <t xml:space="preserve">Fiduciary Funds - Summary of Cash Receipts, Disbursements and Changes in Fund Balances    </t>
  </si>
  <si>
    <t>Schedule 4</t>
  </si>
  <si>
    <t xml:space="preserve">Sole Custody and Investment Accounts - Statement of Cash Receipts and Disbursements  </t>
  </si>
  <si>
    <t>Schedule 5</t>
  </si>
  <si>
    <t xml:space="preserve">Debt Service Funds - Statement of Direct State Debt Activity  </t>
  </si>
  <si>
    <t>Schedule 5a</t>
  </si>
  <si>
    <t>Schedule 6</t>
  </si>
  <si>
    <t xml:space="preserve">Summary of the Operating Fund Investments  </t>
  </si>
  <si>
    <t xml:space="preserve">Appendix A </t>
  </si>
  <si>
    <t xml:space="preserve">HCRA Resources Fund - Statement of Receipts and Disbursements by Account  </t>
  </si>
  <si>
    <t>Appendix B</t>
  </si>
  <si>
    <t xml:space="preserve">HCRA Resources Fund - Statement of Program Disbursements  </t>
  </si>
  <si>
    <t>Appendix C</t>
  </si>
  <si>
    <t xml:space="preserve">HCRA Public Goods Pool - Statement of Cash Flow  </t>
  </si>
  <si>
    <t>Appendix D</t>
  </si>
  <si>
    <t xml:space="preserve">HCRA Medicaid Disproportionate Share - Statement of Cash Flow  </t>
  </si>
  <si>
    <t>Appendix E</t>
  </si>
  <si>
    <t xml:space="preserve">Summary of Off-Budget Spending Report  </t>
  </si>
  <si>
    <t>Appendix F</t>
  </si>
  <si>
    <t xml:space="preserve">Schedule of Month-End Temporary Loans Outstanding  </t>
  </si>
  <si>
    <t>Appendix G</t>
  </si>
  <si>
    <t>Dedicated Infrastructure Investment Fund - Statement of Receipts and Disbursements</t>
  </si>
  <si>
    <t>Appendix H</t>
  </si>
  <si>
    <t>Medical Assistance Disbursements - State Funds</t>
  </si>
  <si>
    <t>Appendix I</t>
  </si>
  <si>
    <t>Medical Assistance Disbursements - Federal Funds</t>
  </si>
  <si>
    <t>Note to users: This Excel file contains formulas and links.</t>
  </si>
  <si>
    <t>STATE OF NEW YORK</t>
  </si>
  <si>
    <t>EXHIBIT A</t>
  </si>
  <si>
    <t>GOVERNMENTAL FUNDS</t>
  </si>
  <si>
    <t xml:space="preserve">COMBINED STATEMENT OF CASH RECEIPTS, DISBURSEMENTS AND CHANGES IN FUND BALANCES  </t>
  </si>
  <si>
    <t>(amounts in millions)</t>
  </si>
  <si>
    <t xml:space="preserve"> </t>
  </si>
  <si>
    <t xml:space="preserve">GENERAL </t>
  </si>
  <si>
    <t xml:space="preserve">SPECIAL REVENUE </t>
  </si>
  <si>
    <t xml:space="preserve">DEBT SERVICE </t>
  </si>
  <si>
    <t xml:space="preserve">CAPITAL PROJECTS </t>
  </si>
  <si>
    <t xml:space="preserve">                        TOTAL GOVERNMENTAL FUNDS                                              YEAR OVER YEAR</t>
  </si>
  <si>
    <t>MONTH OF</t>
  </si>
  <si>
    <t>$ Increase/</t>
  </si>
  <si>
    <t>% Increase/</t>
  </si>
  <si>
    <t>(Decrease)</t>
  </si>
  <si>
    <t>Decrease</t>
  </si>
  <si>
    <t>RECEIPTS:</t>
  </si>
  <si>
    <t xml:space="preserve">  Personal Income Tax     </t>
  </si>
  <si>
    <t xml:space="preserve">  Consumption/Use Taxes</t>
  </si>
  <si>
    <t xml:space="preserve">  Business Taxes</t>
  </si>
  <si>
    <t xml:space="preserve">  Other Taxes</t>
  </si>
  <si>
    <t xml:space="preserve">  Miscellaneous Receipts</t>
  </si>
  <si>
    <t xml:space="preserve">  Federal Receipts</t>
  </si>
  <si>
    <t xml:space="preserve">       Total Receipts</t>
  </si>
  <si>
    <t>DISBURSEMENTS:</t>
  </si>
  <si>
    <t xml:space="preserve">  Local Assistance Grants:</t>
  </si>
  <si>
    <t xml:space="preserve">       Education</t>
  </si>
  <si>
    <t xml:space="preserve">       Environment and Recreation</t>
  </si>
  <si>
    <t xml:space="preserve">       General Government</t>
  </si>
  <si>
    <t xml:space="preserve">       Public Health:</t>
  </si>
  <si>
    <t xml:space="preserve">         Medicaid</t>
  </si>
  <si>
    <t xml:space="preserve">         Other Public Health </t>
  </si>
  <si>
    <t xml:space="preserve">       Public Safety </t>
  </si>
  <si>
    <t xml:space="preserve">       Public Welfare </t>
  </si>
  <si>
    <t xml:space="preserve">       Support and Regulate Business </t>
  </si>
  <si>
    <t xml:space="preserve">       Transportation</t>
  </si>
  <si>
    <t xml:space="preserve">          Total Local Assistance Grants</t>
  </si>
  <si>
    <t xml:space="preserve">  Departmental Operations:</t>
  </si>
  <si>
    <t xml:space="preserve">       Personal Service</t>
  </si>
  <si>
    <t xml:space="preserve">       Non-Personal Service</t>
  </si>
  <si>
    <t xml:space="preserve">  General State Charges </t>
  </si>
  <si>
    <t xml:space="preserve">  Debt Service, Including Payments on</t>
  </si>
  <si>
    <t xml:space="preserve">  Capital Projects</t>
  </si>
  <si>
    <t>(1)</t>
  </si>
  <si>
    <t xml:space="preserve">        Total Disbursements</t>
  </si>
  <si>
    <t>Excess (Deficiency) of Receipts</t>
  </si>
  <si>
    <t xml:space="preserve">  over Disbursements</t>
  </si>
  <si>
    <t>OTHER FINANCING SOURCES (USES):</t>
  </si>
  <si>
    <t xml:space="preserve">  Bond and Note Proceeds (net)</t>
  </si>
  <si>
    <t xml:space="preserve">  Transfers from Other Funds</t>
  </si>
  <si>
    <t>(2)</t>
  </si>
  <si>
    <t xml:space="preserve">  Transfers to Other Funds </t>
  </si>
  <si>
    <t xml:space="preserve">       Total Other Financing Sources (Uses)</t>
  </si>
  <si>
    <t xml:space="preserve"> and Other Financing Sources over</t>
  </si>
  <si>
    <t xml:space="preserve"> Disbursements and Other Financing Uses</t>
  </si>
  <si>
    <t xml:space="preserve">Beginning Fund Balances (Deficits) </t>
  </si>
  <si>
    <t xml:space="preserve">Ending Fund Balances (Deficits)                          </t>
  </si>
  <si>
    <t xml:space="preserve">EXHIBIT A </t>
  </si>
  <si>
    <t>GOVERNMENTAL FUNDS - STATE OPERATING (*)</t>
  </si>
  <si>
    <t>SUPPLEMENTAL</t>
  </si>
  <si>
    <t xml:space="preserve">COMBINED STATEMENT OF CASH RECEIPTS, DISBURSEMENTS AND CHANGES IN FUND BALANCES </t>
  </si>
  <si>
    <t>STATE SPECIAL REVENUE (**)</t>
  </si>
  <si>
    <t xml:space="preserve">                                                                                                                                                             TOTAL STATE OPERATING FUNDS                                                </t>
  </si>
  <si>
    <t xml:space="preserve">  Personal Income Tax       </t>
  </si>
  <si>
    <t xml:space="preserve">       Total Disbursements</t>
  </si>
  <si>
    <t>and Other Financing Sources over</t>
  </si>
  <si>
    <t>Disbursements and Other Financing Uses</t>
  </si>
  <si>
    <t>Ending Fund Balances (Deficits)                            $</t>
  </si>
  <si>
    <r>
      <t xml:space="preserve">(*) </t>
    </r>
    <r>
      <rPr>
        <u/>
        <sz val="12"/>
        <rFont val="Arial"/>
        <family val="2"/>
      </rPr>
      <t>State Operating Funds</t>
    </r>
    <r>
      <rPr>
        <sz val="12"/>
        <rFont val="Arial"/>
        <family val="2"/>
      </rPr>
      <t xml:space="preserve"> are comprised of the General Fund, State Special Revenue Funds supported by activities from dedicated revenue sources (including operating transfers from Federal Funds) and Debt Service Funds.          </t>
    </r>
  </si>
  <si>
    <t>(**) Eliminations between Special Revenue - State and Federal Funds are not included.</t>
  </si>
  <si>
    <t xml:space="preserve">GOVERNMENTAL FUNDS FOOTNOTES </t>
  </si>
  <si>
    <t>EXHIBIT A NOTES</t>
  </si>
  <si>
    <t>1.</t>
  </si>
  <si>
    <t xml:space="preserve">Certain disbursements from Capital Projects funds are financed by operating transfers from other </t>
  </si>
  <si>
    <r>
      <t>Special Revenue Funds</t>
    </r>
    <r>
      <rPr>
        <b/>
        <sz val="9"/>
        <rFont val="Arial"/>
        <family val="2"/>
      </rPr>
      <t xml:space="preserve"> </t>
    </r>
    <r>
      <rPr>
        <sz val="9"/>
        <rFont val="Arial"/>
        <family val="2"/>
      </rPr>
      <t xml:space="preserve"> “Transfers To Other Funds” includes transfers to Mental Health Services</t>
    </r>
    <r>
      <rPr>
        <b/>
        <sz val="9"/>
        <rFont val="Arial"/>
        <family val="2"/>
      </rPr>
      <t xml:space="preserve"> </t>
    </r>
  </si>
  <si>
    <t xml:space="preserve">funds, proceeds of State bonds and notes, and reimbursements received from Public Authorities </t>
  </si>
  <si>
    <t xml:space="preserve">and the Federal Government.  The amounts shown below represent disbursements to be </t>
  </si>
  <si>
    <t xml:space="preserve">Urban Development Corporation (Correctional Facilities)       </t>
  </si>
  <si>
    <t>million</t>
  </si>
  <si>
    <t xml:space="preserve">Urban Development Corporation (Youth Facilities) </t>
  </si>
  <si>
    <t>Housing Finance Agency (HFA)</t>
  </si>
  <si>
    <t>Housing Assistance Fund</t>
  </si>
  <si>
    <t xml:space="preserve">Dormitory Authority (Mental Hygiene)  </t>
  </si>
  <si>
    <t>Dormitory Authority and State University Income Fund</t>
  </si>
  <si>
    <t>Federal Capital Projects</t>
  </si>
  <si>
    <t xml:space="preserve">State bond and note proceeds </t>
  </si>
  <si>
    <t>Revenue Bond Tax Fund</t>
  </si>
  <si>
    <t>Sales Tax Revenue Bond Tax Fund</t>
  </si>
  <si>
    <t>2.</t>
  </si>
  <si>
    <t xml:space="preserve">Operating Transfers constitute legally authorized transfers from a fund receiving revenues to a </t>
  </si>
  <si>
    <t>Clean Water/Clean Air Fund</t>
  </si>
  <si>
    <t>fund through which disbursements will ultimately be made.  The more significant transfers include:</t>
  </si>
  <si>
    <t>Mental Health Services Fund</t>
  </si>
  <si>
    <r>
      <t>General Fund</t>
    </r>
    <r>
      <rPr>
        <sz val="9"/>
        <rFont val="Arial"/>
        <family val="2"/>
      </rPr>
      <t xml:space="preserve">  “Transfers to Other Funds” are as follows:</t>
    </r>
  </si>
  <si>
    <t>State Capital Projects Fund</t>
  </si>
  <si>
    <t>General Debt Service Fund</t>
  </si>
  <si>
    <t>Banking Services Account</t>
  </si>
  <si>
    <t>Court Facilities Incentive Aid Fund</t>
  </si>
  <si>
    <t>Also included in the General Fund are transfers representing payments for patients residing in State-</t>
  </si>
  <si>
    <t xml:space="preserve">§72(4)(b) was added to the State Finance Law in 2010 to permit the State's General Debt Service </t>
  </si>
  <si>
    <t xml:space="preserve">Fund to maintain a cash reserve for the payment of debt service, and related expenses, during </t>
  </si>
  <si>
    <t>EXHIBIT B</t>
  </si>
  <si>
    <t>PROPRIETARY FUNDS</t>
  </si>
  <si>
    <t>ENTERPRISE</t>
  </si>
  <si>
    <t>INTERNAL SERVICE</t>
  </si>
  <si>
    <t>TOTAL PROPRIETARY FUNDS</t>
  </si>
  <si>
    <t>YEAR OVER YEAR</t>
  </si>
  <si>
    <t xml:space="preserve">  Federal Receipts </t>
  </si>
  <si>
    <t xml:space="preserve">  Unemployment Taxes</t>
  </si>
  <si>
    <t xml:space="preserve">     Personal Service</t>
  </si>
  <si>
    <t xml:space="preserve">     Non-Personal Service</t>
  </si>
  <si>
    <t xml:space="preserve">  General State Charges</t>
  </si>
  <si>
    <t xml:space="preserve">  Unemployment Benefits</t>
  </si>
  <si>
    <t xml:space="preserve">  Over Disbursements</t>
  </si>
  <si>
    <t xml:space="preserve">  Transfers to Other Funds  </t>
  </si>
  <si>
    <t xml:space="preserve">  and Other Financing Sources </t>
  </si>
  <si>
    <t xml:space="preserve">  over Disbursements and Other  </t>
  </si>
  <si>
    <t xml:space="preserve">  Financing Uses</t>
  </si>
  <si>
    <t>Beginning Fund Balances (Deficits)</t>
  </si>
  <si>
    <t>Ending Fund Balances (Deficits)</t>
  </si>
  <si>
    <t>EXHIBIT C</t>
  </si>
  <si>
    <t>TRUST FUNDS</t>
  </si>
  <si>
    <r>
      <t>TRUST</t>
    </r>
    <r>
      <rPr>
        <b/>
        <vertAlign val="superscript"/>
        <sz val="12"/>
        <rFont val="Arial"/>
        <family val="2"/>
      </rPr>
      <t>(*)</t>
    </r>
  </si>
  <si>
    <t>PRIVATE PURPOSE</t>
  </si>
  <si>
    <t>TOTAL TRUST FUNDS</t>
  </si>
  <si>
    <r>
      <rPr>
        <vertAlign val="superscript"/>
        <sz val="12"/>
        <rFont val="Arial"/>
        <family val="2"/>
      </rPr>
      <t>(*)</t>
    </r>
    <r>
      <rPr>
        <sz val="12"/>
        <rFont val="Arial"/>
        <family val="2"/>
      </rPr>
      <t xml:space="preserve"> Includes Common Retirement Administration and Retiree Health Benefit Trust.</t>
    </r>
  </si>
  <si>
    <t>EXHIBIT D</t>
  </si>
  <si>
    <t xml:space="preserve">BUDGETARY BASIS - FINANCIAL PLAN AND ACTUAL  </t>
  </si>
  <si>
    <t xml:space="preserve">(amounts in millions)  </t>
  </si>
  <si>
    <t xml:space="preserve">                                   ALL GOVERNMENTAL FUNDS</t>
  </si>
  <si>
    <t>Actual</t>
  </si>
  <si>
    <t>Over/</t>
  </si>
  <si>
    <t xml:space="preserve">  </t>
  </si>
  <si>
    <t>Enacted</t>
  </si>
  <si>
    <t>Updated</t>
  </si>
  <si>
    <t>(Under)</t>
  </si>
  <si>
    <t>Financial</t>
  </si>
  <si>
    <t xml:space="preserve">  Plan (*)</t>
  </si>
  <si>
    <t>Financial Plan</t>
  </si>
  <si>
    <t xml:space="preserve">  Taxes:</t>
  </si>
  <si>
    <t xml:space="preserve">    Personal Income</t>
  </si>
  <si>
    <t xml:space="preserve">    Consumption/Use</t>
  </si>
  <si>
    <t xml:space="preserve">    Business</t>
  </si>
  <si>
    <t xml:space="preserve">    Other</t>
  </si>
  <si>
    <t xml:space="preserve">      Total Receipts</t>
  </si>
  <si>
    <t xml:space="preserve">  Local Assistance Grants</t>
  </si>
  <si>
    <t xml:space="preserve">  Departmental Operations</t>
  </si>
  <si>
    <t xml:space="preserve">  Debt Service</t>
  </si>
  <si>
    <t xml:space="preserve">      Total Disbursements</t>
  </si>
  <si>
    <t xml:space="preserve">  Bond and Note Proceeds, net</t>
  </si>
  <si>
    <t xml:space="preserve">  Transfers to Other Funds</t>
  </si>
  <si>
    <t xml:space="preserve">      Total Other Financing Sources (Uses)</t>
  </si>
  <si>
    <t xml:space="preserve">Excess (Deficiency) of Receipts and Other   </t>
  </si>
  <si>
    <t xml:space="preserve">  Financing Sources over Disbursements    </t>
  </si>
  <si>
    <t xml:space="preserve">  and Other Financing Uses</t>
  </si>
  <si>
    <t>Fund Balances (Deficits) at April 1</t>
  </si>
  <si>
    <t>(***)</t>
  </si>
  <si>
    <t xml:space="preserve">                                GENERAL FUND</t>
  </si>
  <si>
    <t xml:space="preserve">  Transfers From:</t>
  </si>
  <si>
    <t xml:space="preserve">    Revenue Bond Tax Fund</t>
  </si>
  <si>
    <t xml:space="preserve">    Sales Tax in excess of STRBF Debt Service</t>
  </si>
  <si>
    <t xml:space="preserve">    Real Estate Taxes in excess of CW/CA Debt Service</t>
  </si>
  <si>
    <t xml:space="preserve">    All Other</t>
  </si>
  <si>
    <t xml:space="preserve">      Total Receipts and Other Financing Sources</t>
  </si>
  <si>
    <t xml:space="preserve">  Transfers To:</t>
  </si>
  <si>
    <t xml:space="preserve">    Debt Service</t>
  </si>
  <si>
    <t xml:space="preserve">    Capital Projects</t>
  </si>
  <si>
    <t xml:space="preserve">    State Share Medicaid</t>
  </si>
  <si>
    <t>(**)</t>
  </si>
  <si>
    <t xml:space="preserve">    SUNY Operations</t>
  </si>
  <si>
    <t xml:space="preserve">   </t>
  </si>
  <si>
    <t xml:space="preserve">    Other Purposes</t>
  </si>
  <si>
    <t xml:space="preserve">      Total Disbursements and Other Financing Uses</t>
  </si>
  <si>
    <t xml:space="preserve">Excess (Deficiency) of Receipts and Other     </t>
  </si>
  <si>
    <t xml:space="preserve">  Financing Sources over Disbursements   </t>
  </si>
  <si>
    <t xml:space="preserve">        for patients residing in State-Operated Health and State University facilities.</t>
  </si>
  <si>
    <t xml:space="preserve">                                                                    SPECIAL REVENUE FUNDS</t>
  </si>
  <si>
    <t>Eliminations</t>
  </si>
  <si>
    <t>Total</t>
  </si>
  <si>
    <t xml:space="preserve">  Transfers from Other Funds (**)</t>
  </si>
  <si>
    <t xml:space="preserve">  Transfers to Other Funds (**)</t>
  </si>
  <si>
    <t xml:space="preserve">                                           DEBT SERVICE FUNDS</t>
  </si>
  <si>
    <t xml:space="preserve">     CAPITAL PROJECTS FUNDS</t>
  </si>
  <si>
    <t xml:space="preserve">BUDGETARY BASIS - FINANCIAL PLAN AND ACTUAL     </t>
  </si>
  <si>
    <t xml:space="preserve">                             STATE CAPITAL PROJECTS FUNDS</t>
  </si>
  <si>
    <t xml:space="preserve">                     FEDERAL CAPITAL PROJECTS FUNDS</t>
  </si>
  <si>
    <t xml:space="preserve">COMPARATIVE SCHEDULE OF TAX RECEIPTS                   </t>
  </si>
  <si>
    <t>EXHIBIT E</t>
  </si>
  <si>
    <t>SPECIAL REVENUE</t>
  </si>
  <si>
    <t>CAPITAL PROJECTS</t>
  </si>
  <si>
    <t>TOTAL GOVERNMENTAL FUNDS</t>
  </si>
  <si>
    <t>PERSONAL INCOME TAX</t>
  </si>
  <si>
    <t xml:space="preserve">  Withholdings</t>
  </si>
  <si>
    <t xml:space="preserve">  Estimated Payments </t>
  </si>
  <si>
    <t xml:space="preserve">  Returns</t>
  </si>
  <si>
    <t xml:space="preserve">  State/City Offsets</t>
  </si>
  <si>
    <t xml:space="preserve">  Other (Assessments/LLC)</t>
  </si>
  <si>
    <t xml:space="preserve">    Gross Receipts</t>
  </si>
  <si>
    <t xml:space="preserve">  Transfers to School Tax Relief Fund</t>
  </si>
  <si>
    <t xml:space="preserve">  Transfers to Revenue Bond Tax Fund</t>
  </si>
  <si>
    <t xml:space="preserve">  Less: Refunds Issued</t>
  </si>
  <si>
    <t xml:space="preserve">    Total  </t>
  </si>
  <si>
    <t xml:space="preserve">CONSUMPTION/USE TAXES </t>
  </si>
  <si>
    <t xml:space="preserve">  Sales and Use </t>
  </si>
  <si>
    <t xml:space="preserve">  Auto Rental </t>
  </si>
  <si>
    <t xml:space="preserve">  Cigarette/Tobacco Products </t>
  </si>
  <si>
    <t xml:space="preserve">  Cannabis</t>
  </si>
  <si>
    <t xml:space="preserve">  Motor Fuel </t>
  </si>
  <si>
    <t xml:space="preserve">  Peer-to-Peer Car Sharing</t>
  </si>
  <si>
    <t xml:space="preserve">  Alcoholic Beverage </t>
  </si>
  <si>
    <t xml:space="preserve">  Highway Use </t>
  </si>
  <si>
    <t xml:space="preserve">  Vapor Excise </t>
  </si>
  <si>
    <t xml:space="preserve">  Opioid Excise </t>
  </si>
  <si>
    <t xml:space="preserve">    Total</t>
  </si>
  <si>
    <t>BUSINESS TAXES</t>
  </si>
  <si>
    <t xml:space="preserve">  Corporation Franchise </t>
  </si>
  <si>
    <t xml:space="preserve">  Corporation and Utilities </t>
  </si>
  <si>
    <t xml:space="preserve">  Insurance </t>
  </si>
  <si>
    <t xml:space="preserve">  Bank </t>
  </si>
  <si>
    <t xml:space="preserve">  Pass-Through Entity </t>
  </si>
  <si>
    <t xml:space="preserve">  Petroleum Business</t>
  </si>
  <si>
    <t xml:space="preserve">OTHER TAXES </t>
  </si>
  <si>
    <t xml:space="preserve">  Real Property Gains </t>
  </si>
  <si>
    <t xml:space="preserve">  Estate and Gift </t>
  </si>
  <si>
    <t xml:space="preserve">  Pari-Mutuel </t>
  </si>
  <si>
    <t xml:space="preserve">  Real Estate Transfer </t>
  </si>
  <si>
    <t xml:space="preserve">  Racing and Combative Sports </t>
  </si>
  <si>
    <t xml:space="preserve">  Employer Compensation Expense Tax</t>
  </si>
  <si>
    <t xml:space="preserve">    Total Tax Receipts</t>
  </si>
  <si>
    <t>GOVERNMENTAL FUNDS (*)</t>
  </si>
  <si>
    <t xml:space="preserve">STATEMENT OF CASH FLOW </t>
  </si>
  <si>
    <t>APRIL</t>
  </si>
  <si>
    <t>MAY</t>
  </si>
  <si>
    <t>JUNE</t>
  </si>
  <si>
    <t>JULY</t>
  </si>
  <si>
    <t>AUGUST</t>
  </si>
  <si>
    <t xml:space="preserve"> SEPTEMBER</t>
  </si>
  <si>
    <t xml:space="preserve"> OCTOBER</t>
  </si>
  <si>
    <t>NOVEMBER</t>
  </si>
  <si>
    <t>DECEMBER</t>
  </si>
  <si>
    <t>JANUARY</t>
  </si>
  <si>
    <t>FEBRUARY</t>
  </si>
  <si>
    <t xml:space="preserve"> MARCH</t>
  </si>
  <si>
    <t>Beginning Fund Balance</t>
  </si>
  <si>
    <t xml:space="preserve">   Taxes:</t>
  </si>
  <si>
    <t xml:space="preserve">     Personal Income Tax:</t>
  </si>
  <si>
    <t xml:space="preserve">         Withholdings</t>
  </si>
  <si>
    <t xml:space="preserve">         Estimated Payments</t>
  </si>
  <si>
    <t xml:space="preserve">         Returns</t>
  </si>
  <si>
    <t xml:space="preserve">         State/City Offsets</t>
  </si>
  <si>
    <t xml:space="preserve">         Other (Assessments/LLC)</t>
  </si>
  <si>
    <t xml:space="preserve">               Gross Receipts</t>
  </si>
  <si>
    <t xml:space="preserve">         Transfers to School Tax Relief Fund</t>
  </si>
  <si>
    <t xml:space="preserve">         Transfers to Revenue Bond Tax Fund</t>
  </si>
  <si>
    <t xml:space="preserve">         Refunds Issued</t>
  </si>
  <si>
    <t xml:space="preserve">                  Total Personal Income Tax</t>
  </si>
  <si>
    <t xml:space="preserve">     Consumption/Use Taxes:</t>
  </si>
  <si>
    <t xml:space="preserve">         Sales and Use </t>
  </si>
  <si>
    <t xml:space="preserve">         Auto Rental </t>
  </si>
  <si>
    <t xml:space="preserve">         Cigarette/Tobacco Products </t>
  </si>
  <si>
    <t xml:space="preserve">         Cannabis</t>
  </si>
  <si>
    <t xml:space="preserve">         Motor Fuel </t>
  </si>
  <si>
    <t xml:space="preserve">         Peer-to-Peer Car Sharing</t>
  </si>
  <si>
    <t xml:space="preserve">         Alcoholic Beverage </t>
  </si>
  <si>
    <t xml:space="preserve">         Highway Use </t>
  </si>
  <si>
    <t xml:space="preserve">         Vapor Excise </t>
  </si>
  <si>
    <t xml:space="preserve">         Opioid Excise </t>
  </si>
  <si>
    <t xml:space="preserve">                  Total Consumption/Use Taxes</t>
  </si>
  <si>
    <t xml:space="preserve">     Business Taxes:</t>
  </si>
  <si>
    <t xml:space="preserve">         Corporation Franchise </t>
  </si>
  <si>
    <t xml:space="preserve">         Corporation and Utilities </t>
  </si>
  <si>
    <t xml:space="preserve">         Insurance </t>
  </si>
  <si>
    <t xml:space="preserve">         Bank </t>
  </si>
  <si>
    <t xml:space="preserve">         Pass-Through Entity </t>
  </si>
  <si>
    <t xml:space="preserve">         Petroleum Business </t>
  </si>
  <si>
    <t xml:space="preserve">                  Total Business Taxes</t>
  </si>
  <si>
    <t xml:space="preserve">     Other Taxes:</t>
  </si>
  <si>
    <t xml:space="preserve">         Real Property Gains </t>
  </si>
  <si>
    <t xml:space="preserve">         Estate and Gift </t>
  </si>
  <si>
    <t xml:space="preserve">         Pari-Mutuel </t>
  </si>
  <si>
    <t xml:space="preserve">         Real Estate Transfer </t>
  </si>
  <si>
    <t xml:space="preserve">         Racing and Combative Sports </t>
  </si>
  <si>
    <t xml:space="preserve">         Employer Compensation Expense Tax</t>
  </si>
  <si>
    <t xml:space="preserve">                  Total Other Taxes</t>
  </si>
  <si>
    <t xml:space="preserve">                      Total Taxes</t>
  </si>
  <si>
    <t xml:space="preserve">   Miscellaneous Receipts:</t>
  </si>
  <si>
    <t xml:space="preserve">      Abandoned Property:</t>
  </si>
  <si>
    <t xml:space="preserve">        Abandoned Property</t>
  </si>
  <si>
    <t xml:space="preserve">        Bottle Bill</t>
  </si>
  <si>
    <t xml:space="preserve">      Assessments:</t>
  </si>
  <si>
    <t xml:space="preserve">        Business</t>
  </si>
  <si>
    <t xml:space="preserve">        Medical Care</t>
  </si>
  <si>
    <t xml:space="preserve">        Public Utilities</t>
  </si>
  <si>
    <t xml:space="preserve">        Other</t>
  </si>
  <si>
    <t xml:space="preserve">      Fees, Licenses and Permits:</t>
  </si>
  <si>
    <t xml:space="preserve">        Alcohol Beverage Control Licensing</t>
  </si>
  <si>
    <t xml:space="preserve">        Audit Fees</t>
  </si>
  <si>
    <t xml:space="preserve">        Business/Professional</t>
  </si>
  <si>
    <t xml:space="preserve">        Civil </t>
  </si>
  <si>
    <t xml:space="preserve">        Criminal</t>
  </si>
  <si>
    <t xml:space="preserve">        Motor Vehicle</t>
  </si>
  <si>
    <t xml:space="preserve">        Recreational/Consumer</t>
  </si>
  <si>
    <t xml:space="preserve">      Fines, Penalties and Forfeitures</t>
  </si>
  <si>
    <t xml:space="preserve">      Gaming:</t>
  </si>
  <si>
    <t xml:space="preserve">        Casino</t>
  </si>
  <si>
    <t xml:space="preserve">        Lottery</t>
  </si>
  <si>
    <t xml:space="preserve">        Mobile Sports</t>
  </si>
  <si>
    <t xml:space="preserve">        Video Lottery</t>
  </si>
  <si>
    <t xml:space="preserve">      Interest Earnings</t>
  </si>
  <si>
    <t xml:space="preserve">      Receipts from Municipalities</t>
  </si>
  <si>
    <t xml:space="preserve">      Receipts from Public Authorities:</t>
  </si>
  <si>
    <t xml:space="preserve">        Bond Proceeds</t>
  </si>
  <si>
    <t xml:space="preserve">        Cost Recovery Assessments</t>
  </si>
  <si>
    <t xml:space="preserve">        Issuance Fees</t>
  </si>
  <si>
    <t xml:space="preserve">        Non Bond Related</t>
  </si>
  <si>
    <t xml:space="preserve">      Rentals</t>
  </si>
  <si>
    <t xml:space="preserve">      Revenues of State Departments:</t>
  </si>
  <si>
    <t xml:space="preserve">        Administrative Recoveries</t>
  </si>
  <si>
    <t xml:space="preserve">        Commissions</t>
  </si>
  <si>
    <t xml:space="preserve">        Gifts, Grants and Donations</t>
  </si>
  <si>
    <t xml:space="preserve">        Indirect Cost Recoveries</t>
  </si>
  <si>
    <t xml:space="preserve">        Patient/Client Care Reimbursement</t>
  </si>
  <si>
    <t xml:space="preserve">        Rebates</t>
  </si>
  <si>
    <t xml:space="preserve">        Restitution and Settlements</t>
  </si>
  <si>
    <t xml:space="preserve">        Student Loans</t>
  </si>
  <si>
    <t xml:space="preserve">        All Other</t>
  </si>
  <si>
    <t xml:space="preserve">      Sales</t>
  </si>
  <si>
    <t xml:space="preserve">      Tuition</t>
  </si>
  <si>
    <t xml:space="preserve">                  Total Miscellaneous Receipts</t>
  </si>
  <si>
    <t xml:space="preserve">          Total Receipts</t>
  </si>
  <si>
    <t xml:space="preserve">  Local Assistance Grants: </t>
  </si>
  <si>
    <t xml:space="preserve">       Personal Service </t>
  </si>
  <si>
    <t xml:space="preserve">       Non-Personal Service </t>
  </si>
  <si>
    <t xml:space="preserve">  Debt Service, Including Payments on  </t>
  </si>
  <si>
    <t xml:space="preserve">  Capital Projects </t>
  </si>
  <si>
    <t>Ending Fund Balance</t>
  </si>
  <si>
    <t>(*)   Governmental Funds includes General, Special Revenue, Debt Service and Capital Projects Funds combined.</t>
  </si>
  <si>
    <t xml:space="preserve">     Personal Income Tax:   </t>
  </si>
  <si>
    <t xml:space="preserve">         Cannabis </t>
  </si>
  <si>
    <t xml:space="preserve">         Vapor Excise  </t>
  </si>
  <si>
    <t xml:space="preserve">                  Total Taxes</t>
  </si>
  <si>
    <r>
      <t xml:space="preserve">(*)   </t>
    </r>
    <r>
      <rPr>
        <u/>
        <sz val="12"/>
        <rFont val="Arial"/>
        <family val="2"/>
      </rPr>
      <t>State Operating Funds</t>
    </r>
    <r>
      <rPr>
        <sz val="12"/>
        <rFont val="Arial"/>
        <family val="2"/>
      </rPr>
      <t xml:space="preserve"> are comprised of the General Fund, State Special Revenue Funds supported by activities</t>
    </r>
  </si>
  <si>
    <t xml:space="preserve">       from dedicated revenue sources (including operating transfers from Federal funds) and Debt Service Funds. </t>
  </si>
  <si>
    <t xml:space="preserve">(**)  Eliminations between State and Federal Special Revenue Funds are not included.   </t>
  </si>
  <si>
    <t>EXHIBIT F</t>
  </si>
  <si>
    <t>GENERAL FUND</t>
  </si>
  <si>
    <t>STATEMENT OF CASH FLOW</t>
  </si>
  <si>
    <t>SEPTEMBER</t>
  </si>
  <si>
    <t>OCTOBER</t>
  </si>
  <si>
    <t>MARCH</t>
  </si>
  <si>
    <t xml:space="preserve">            Mobile Sports</t>
  </si>
  <si>
    <t xml:space="preserve">      </t>
  </si>
  <si>
    <t xml:space="preserve">   Federal Receipts             </t>
  </si>
  <si>
    <t xml:space="preserve">   Local Assistance Grants:</t>
  </si>
  <si>
    <t xml:space="preserve">             Total Local Assistance Grants </t>
  </si>
  <si>
    <t xml:space="preserve">   Departmental Operations:</t>
  </si>
  <si>
    <t xml:space="preserve">      Personal Service </t>
  </si>
  <si>
    <t xml:space="preserve">      Non-Personal Service              </t>
  </si>
  <si>
    <t xml:space="preserve">   General State Charges</t>
  </si>
  <si>
    <t xml:space="preserve">          Total Disbursements</t>
  </si>
  <si>
    <t xml:space="preserve">Excess (Deficiency) of Receipts </t>
  </si>
  <si>
    <t xml:space="preserve">   Transfers from Revenue Bond Tax Fund           </t>
  </si>
  <si>
    <t xml:space="preserve">   Transfers from STRBTF           </t>
  </si>
  <si>
    <t xml:space="preserve">   Transfers from CW/CA Fund           </t>
  </si>
  <si>
    <t xml:space="preserve">   Transfers from Other Funds           </t>
  </si>
  <si>
    <t xml:space="preserve">   Transfers to State Capital Projects</t>
  </si>
  <si>
    <t xml:space="preserve">   Transfers to All Other Capital Projects</t>
  </si>
  <si>
    <t xml:space="preserve">   Transfers to General Debt Service</t>
  </si>
  <si>
    <t xml:space="preserve">   Transfers to All Other State Funds</t>
  </si>
  <si>
    <t xml:space="preserve">          Total Other Financing</t>
  </si>
  <si>
    <t xml:space="preserve">            Sources (Uses)</t>
  </si>
  <si>
    <t xml:space="preserve">Excess (Deficiency) of Receipts and </t>
  </si>
  <si>
    <t xml:space="preserve">  Other Financing Sources over</t>
  </si>
  <si>
    <t xml:space="preserve">  Disbursements and Other Financing Uses</t>
  </si>
  <si>
    <t>EXHIBIT G</t>
  </si>
  <si>
    <t xml:space="preserve">SPECIAL REVENUE FUNDS - COMBINED  </t>
  </si>
  <si>
    <t xml:space="preserve">(amounts in millions)        </t>
  </si>
  <si>
    <t>Intra-Fund</t>
  </si>
  <si>
    <t>Transfer</t>
  </si>
  <si>
    <t>Eliminations (*)</t>
  </si>
  <si>
    <t xml:space="preserve">Beginning Fund Balance       </t>
  </si>
  <si>
    <t xml:space="preserve">     Personal Income Tax   </t>
  </si>
  <si>
    <t xml:space="preserve">                  Total Consumption/Use Taxes                </t>
  </si>
  <si>
    <t xml:space="preserve">                  Total Business Taxes             </t>
  </si>
  <si>
    <t xml:space="preserve">                  Total Taxes                </t>
  </si>
  <si>
    <t xml:space="preserve">            Business</t>
  </si>
  <si>
    <t xml:space="preserve">            Other</t>
  </si>
  <si>
    <t xml:space="preserve">            Audit Fees</t>
  </si>
  <si>
    <t xml:space="preserve">            Business/Professional</t>
  </si>
  <si>
    <t xml:space="preserve">            Civil </t>
  </si>
  <si>
    <t xml:space="preserve">            Criminal</t>
  </si>
  <si>
    <t xml:space="preserve">            Motor Vehicle</t>
  </si>
  <si>
    <t xml:space="preserve">            Recreational/Consumer</t>
  </si>
  <si>
    <t xml:space="preserve">            Casino</t>
  </si>
  <si>
    <t xml:space="preserve">            Lottery</t>
  </si>
  <si>
    <t xml:space="preserve">            Video Lottery</t>
  </si>
  <si>
    <t xml:space="preserve">            Bond Proceeds</t>
  </si>
  <si>
    <t xml:space="preserve">            Cost Recovery Assessments</t>
  </si>
  <si>
    <t xml:space="preserve">            Issuance Fees</t>
  </si>
  <si>
    <t xml:space="preserve">            Non Bond Related</t>
  </si>
  <si>
    <t xml:space="preserve">            Administrative Recoveries</t>
  </si>
  <si>
    <t xml:space="preserve">            Commissions</t>
  </si>
  <si>
    <t xml:space="preserve">            Gifts, Grants and Donations</t>
  </si>
  <si>
    <t xml:space="preserve">            Indirect Cost Recoveries</t>
  </si>
  <si>
    <t xml:space="preserve">            Patient/Client Care Reimbursement</t>
  </si>
  <si>
    <t xml:space="preserve">            Rebates</t>
  </si>
  <si>
    <t xml:space="preserve">            Restitution and Settlements</t>
  </si>
  <si>
    <t xml:space="preserve">            All Other</t>
  </si>
  <si>
    <t xml:space="preserve">                  Total Miscellaneous Receipts           </t>
  </si>
  <si>
    <t xml:space="preserve">   Federal Receipts</t>
  </si>
  <si>
    <t xml:space="preserve">             Total Local Assistance Grants     </t>
  </si>
  <si>
    <t xml:space="preserve">   Departmental Operations: </t>
  </si>
  <si>
    <t xml:space="preserve">      Non-Personal Service </t>
  </si>
  <si>
    <t xml:space="preserve">   General State Charges </t>
  </si>
  <si>
    <t xml:space="preserve">   Debt Service, Including Payments on</t>
  </si>
  <si>
    <t xml:space="preserve">   Capital Projects </t>
  </si>
  <si>
    <t xml:space="preserve">                    </t>
  </si>
  <si>
    <t xml:space="preserve">   Transfers from Other Funds </t>
  </si>
  <si>
    <t xml:space="preserve">   Transfers to Other Funds </t>
  </si>
  <si>
    <t xml:space="preserve">       Total Other Financing Sources (Uses)    </t>
  </si>
  <si>
    <t xml:space="preserve">  Disbursements and Other Financing Uses     </t>
  </si>
  <si>
    <t xml:space="preserve">Ending Fund Balance   </t>
  </si>
  <si>
    <t>(*)      Intra-Fund transfer eliminations represent transfers between Special Revenue-State and Federal Funds.</t>
  </si>
  <si>
    <t>SPECIAL REVENUE FUNDS - STATE</t>
  </si>
  <si>
    <t xml:space="preserve">(amounts in millions)     </t>
  </si>
  <si>
    <t xml:space="preserve">Beginning Fund Balance           </t>
  </si>
  <si>
    <t xml:space="preserve">     Business Taxes</t>
  </si>
  <si>
    <t xml:space="preserve">                  Total Business Taxes                </t>
  </si>
  <si>
    <t xml:space="preserve">                  Total Miscellaneous Receipts     </t>
  </si>
  <si>
    <t xml:space="preserve">   Public Health:</t>
  </si>
  <si>
    <t xml:space="preserve">             Total Local Assistance Grants            </t>
  </si>
  <si>
    <t xml:space="preserve">   Transfers from Other Funds   </t>
  </si>
  <si>
    <t xml:space="preserve">       Total Other Financing Sources (Uses)       </t>
  </si>
  <si>
    <t xml:space="preserve">  Other Financing Sources over           </t>
  </si>
  <si>
    <t xml:space="preserve">Ending Fund Balance     </t>
  </si>
  <si>
    <t>SPECIAL REVENUE FUNDS - FEDERAL</t>
  </si>
  <si>
    <t xml:space="preserve">             Total Local Assistance Grants   </t>
  </si>
  <si>
    <t xml:space="preserve">      Non-Personal Service</t>
  </si>
  <si>
    <t xml:space="preserve">   Capital Projects</t>
  </si>
  <si>
    <t xml:space="preserve">   Transfers from Other Funds</t>
  </si>
  <si>
    <t xml:space="preserve">   Transfers to Other Funds</t>
  </si>
  <si>
    <t>EXHIBIT H</t>
  </si>
  <si>
    <t>DEBT SERVICE FUNDS</t>
  </si>
  <si>
    <t xml:space="preserve">Beginning Fund Balance        </t>
  </si>
  <si>
    <t xml:space="preserve">        Patient/Client Care Reimbursement   </t>
  </si>
  <si>
    <t xml:space="preserve">   Federal Receipts </t>
  </si>
  <si>
    <t xml:space="preserve">             Total Receipts</t>
  </si>
  <si>
    <t xml:space="preserve">DISBURSEMENTS: </t>
  </si>
  <si>
    <t xml:space="preserve">             Total Disbursements</t>
  </si>
  <si>
    <t xml:space="preserve">   over Disbursements</t>
  </si>
  <si>
    <t xml:space="preserve">   Transfers to Other Funds            </t>
  </si>
  <si>
    <t xml:space="preserve">             Total Other Financing Sources (Uses)      </t>
  </si>
  <si>
    <t>Excess (Deficiency) of Receipts and</t>
  </si>
  <si>
    <t xml:space="preserve">   Other Financing Sources over</t>
  </si>
  <si>
    <t xml:space="preserve">   Disbursements and Other Financing Uses         </t>
  </si>
  <si>
    <t>EXHIBIT I</t>
  </si>
  <si>
    <t xml:space="preserve">CAPITAL PROJECTS FUNDS - COMBINED  </t>
  </si>
  <si>
    <t xml:space="preserve">(amounts in millions)    </t>
  </si>
  <si>
    <t xml:space="preserve">Beginning Fund Balance              </t>
  </si>
  <si>
    <t xml:space="preserve">RECEIPTS:  </t>
  </si>
  <si>
    <t xml:space="preserve">                  Total Consumption/Use Taxes    </t>
  </si>
  <si>
    <t xml:space="preserve">                  Total Business Taxes     </t>
  </si>
  <si>
    <t xml:space="preserve">                  Total Other Taxes    </t>
  </si>
  <si>
    <t xml:space="preserve">            Bottle Bill</t>
  </si>
  <si>
    <t xml:space="preserve">            Civil</t>
  </si>
  <si>
    <t xml:space="preserve">          Total Receipts   </t>
  </si>
  <si>
    <t xml:space="preserve">          Total Local Assistance Grants  </t>
  </si>
  <si>
    <t xml:space="preserve">   Departmental Operations:  </t>
  </si>
  <si>
    <t xml:space="preserve">      Personal Service  </t>
  </si>
  <si>
    <t xml:space="preserve">      Non-Personal Service   </t>
  </si>
  <si>
    <t xml:space="preserve">   General State Charges   </t>
  </si>
  <si>
    <t xml:space="preserve">          Total Disbursements   </t>
  </si>
  <si>
    <t xml:space="preserve">Excess (Deficiency) of Receipts    </t>
  </si>
  <si>
    <t xml:space="preserve">  over Disbursements   </t>
  </si>
  <si>
    <t xml:space="preserve">OTHER FINANCING SOURCES (USES):  </t>
  </si>
  <si>
    <t xml:space="preserve">   Bond and Note Proceeds (net)   </t>
  </si>
  <si>
    <t xml:space="preserve">   Transfers to Other Funds  </t>
  </si>
  <si>
    <t xml:space="preserve">          Total Other Financing Sources (Uses)   </t>
  </si>
  <si>
    <t xml:space="preserve">Excess (Deficiency) of Receipts and    </t>
  </si>
  <si>
    <t xml:space="preserve">  Other Financing Sources over  </t>
  </si>
  <si>
    <t>CAPITAL PROJECTS FUNDS - STATE</t>
  </si>
  <si>
    <t xml:space="preserve">     Consumption/Use Taxes</t>
  </si>
  <si>
    <t xml:space="preserve">     Other Taxes</t>
  </si>
  <si>
    <t xml:space="preserve">          Total Other Financing Sources (Uses)     </t>
  </si>
  <si>
    <t>CAPITAL PROJECTS FUNDS - FEDERAL</t>
  </si>
  <si>
    <t xml:space="preserve">   Capital Projects   </t>
  </si>
  <si>
    <t xml:space="preserve">   Transfers from Other Funds  </t>
  </si>
  <si>
    <t xml:space="preserve">   Transfers to Other Funds    </t>
  </si>
  <si>
    <t xml:space="preserve">          Total Other Financing Sources (Uses)</t>
  </si>
  <si>
    <t>EXHIBIT J</t>
  </si>
  <si>
    <t>ENTERPRISE FUNDS</t>
  </si>
  <si>
    <t xml:space="preserve">   Miscellaneous Receipts</t>
  </si>
  <si>
    <t xml:space="preserve">   Unemployment Taxes</t>
  </si>
  <si>
    <t xml:space="preserve">      Personal Service</t>
  </si>
  <si>
    <t xml:space="preserve">   Unemployment Benefits</t>
  </si>
  <si>
    <t xml:space="preserve">  Other Financing Sources Over</t>
  </si>
  <si>
    <t xml:space="preserve">    EXHIBIT K</t>
  </si>
  <si>
    <t>INTERNAL SERVICE FUNDS</t>
  </si>
  <si>
    <t xml:space="preserve">STATEMENT OF CASH FLOW  </t>
  </si>
  <si>
    <t>EXHIBIT L</t>
  </si>
  <si>
    <t xml:space="preserve">AUGUST </t>
  </si>
  <si>
    <t xml:space="preserve">  Disbursements and Other Financing Uses   </t>
  </si>
  <si>
    <t>EXHIBIT M</t>
  </si>
  <si>
    <t>PRIVATE PURPOSE TRUST FUNDS</t>
  </si>
  <si>
    <t>SCHEDULE 1</t>
  </si>
  <si>
    <t xml:space="preserve">GOVERNMENTAL FUNDS   </t>
  </si>
  <si>
    <t xml:space="preserve">SUMMARY OF CASH RECEIPTS, DISBURSEMENTS AND   </t>
  </si>
  <si>
    <t xml:space="preserve">CHANGES IN FUND BALANCES    </t>
  </si>
  <si>
    <t/>
  </si>
  <si>
    <t>BALANCE</t>
  </si>
  <si>
    <t>OTHER FINANCING</t>
  </si>
  <si>
    <t>RECEIPTS</t>
  </si>
  <si>
    <t>DISBURSEMENTS</t>
  </si>
  <si>
    <t>SOURCES (USES)</t>
  </si>
  <si>
    <t xml:space="preserve">  10000-10049-Local Assistance Account</t>
  </si>
  <si>
    <t xml:space="preserve">  10050-10099-State Operations Account </t>
  </si>
  <si>
    <t xml:space="preserve">  10100-10149-Tax Stabilization Reserve </t>
  </si>
  <si>
    <t xml:space="preserve">  10150-10199-Contingency Reserve </t>
  </si>
  <si>
    <t xml:space="preserve">  10200-10249-Universal Pre-K Reserve</t>
  </si>
  <si>
    <t xml:space="preserve">  10250-10299-Community Projects </t>
  </si>
  <si>
    <t xml:space="preserve">  10400-10449-Refund Reserve Account</t>
  </si>
  <si>
    <t xml:space="preserve">  10550-10599-Tobacco Revenue Guarantee </t>
  </si>
  <si>
    <t xml:space="preserve">     TOTAL GENERAL FUND </t>
  </si>
  <si>
    <t>SPECIAL REVENUE FUNDS-STATE</t>
  </si>
  <si>
    <t xml:space="preserve">  20000-20099-Mental Health Gifts and Donations</t>
  </si>
  <si>
    <t xml:space="preserve">  20100-20299-Combined Expendable Trust</t>
  </si>
  <si>
    <t xml:space="preserve">  20300-20349-New York Interest on Lawyer Account </t>
  </si>
  <si>
    <t xml:space="preserve">  20350-20399-NYS Archives Partnership Trust </t>
  </si>
  <si>
    <t xml:space="preserve">  20400-20449-Child Performer's Protection </t>
  </si>
  <si>
    <t xml:space="preserve">  20450-20499-Tuition Reimbursement </t>
  </si>
  <si>
    <t xml:space="preserve">  20500-20549-New York State Local Government Records</t>
  </si>
  <si>
    <t xml:space="preserve">                         Management Improvement</t>
  </si>
  <si>
    <t xml:space="preserve">  20550-20599-School Tax Relief </t>
  </si>
  <si>
    <t xml:space="preserve">  20600-20649-Charter Schools Stimulus </t>
  </si>
  <si>
    <t xml:space="preserve">   20650-20699-Not-For-Profit Short Term Revolving Loan </t>
  </si>
  <si>
    <t xml:space="preserve">  20800-20849-HCRA Resources</t>
  </si>
  <si>
    <t xml:space="preserve">  20850-20899-Dedicated Mass Transportation Trust </t>
  </si>
  <si>
    <t xml:space="preserve">  20900-20949-State Lottery</t>
  </si>
  <si>
    <t xml:space="preserve">  20950-20999-Combined Student Loan </t>
  </si>
  <si>
    <t xml:space="preserve">  21000-21049-Sewage Treatment Program Mgmt. &amp; Administration</t>
  </si>
  <si>
    <t xml:space="preserve">  21050-21149-Encon Special Revenue</t>
  </si>
  <si>
    <t xml:space="preserve">  21150-21199-Conservation </t>
  </si>
  <si>
    <t xml:space="preserve">  21200-21249-Environmental Protection and Oil Spill Compensation </t>
  </si>
  <si>
    <t xml:space="preserve">  21250-21299-Training and Education Program on OSHA </t>
  </si>
  <si>
    <t xml:space="preserve">  21300-21349-Lawyers' Fund for Client Protection</t>
  </si>
  <si>
    <t xml:space="preserve">  21350-21399-Equipment Loan for the Disabled</t>
  </si>
  <si>
    <t xml:space="preserve">  21400-21449-Mass Transportation Operating Assistance </t>
  </si>
  <si>
    <t xml:space="preserve">  21450-21499-Clean Air</t>
  </si>
  <si>
    <t xml:space="preserve">  21500-21549-New York State Infrastructure Trust </t>
  </si>
  <si>
    <t xml:space="preserve">  21550-21599-Legislative Computer Services </t>
  </si>
  <si>
    <t xml:space="preserve">  21600-21649-Biodiversity Stewardship and Research </t>
  </si>
  <si>
    <t xml:space="preserve">  21650-21699-Combined Non-Expendable Trust</t>
  </si>
  <si>
    <t xml:space="preserve">  21700-21749-Winter Sports Education Trust</t>
  </si>
  <si>
    <t xml:space="preserve">  21850-21899-Arts Capital Grants</t>
  </si>
  <si>
    <t xml:space="preserve">  21900-22499-Miscellaneous State Special Revenue</t>
  </si>
  <si>
    <t xml:space="preserve">  22500-22549-Court Facilities Incentive Aid </t>
  </si>
  <si>
    <t>SPECIAL REVENUE FUNDS-STATE (CONTINUED)</t>
  </si>
  <si>
    <t xml:space="preserve">  22550-22599-Employment Training </t>
  </si>
  <si>
    <t xml:space="preserve">  22650-22699-State University Income </t>
  </si>
  <si>
    <t xml:space="preserve">  22700-22749-Chemical Dependence Service </t>
  </si>
  <si>
    <t xml:space="preserve">  22750-22799-Lake George Park Trust</t>
  </si>
  <si>
    <t xml:space="preserve">  22800-22849-State Police Motor Vehicle Law Enforcement and</t>
  </si>
  <si>
    <t xml:space="preserve">                         Motor Vehicle Theft and Insurance Fraud Prevention</t>
  </si>
  <si>
    <t xml:space="preserve">  22850-22899-New York Great Lakes Protection </t>
  </si>
  <si>
    <t xml:space="preserve">  22900-22949-Federal Revenue Maximization</t>
  </si>
  <si>
    <t xml:space="preserve">  22950-22999-Housing Development</t>
  </si>
  <si>
    <t xml:space="preserve">  23000-23049-NYS/DOT Highway Safety Program </t>
  </si>
  <si>
    <t xml:space="preserve">  23050-23099-Vocational Rehabilitation </t>
  </si>
  <si>
    <t xml:space="preserve">  23100-23149-Drinking Water Program Management and </t>
  </si>
  <si>
    <t xml:space="preserve">                         Administration</t>
  </si>
  <si>
    <t xml:space="preserve">  23150-23199-NYC County Clerks' Operations Offset </t>
  </si>
  <si>
    <t xml:space="preserve">  23200-23249-Judiciary Data Processing Offset</t>
  </si>
  <si>
    <t xml:space="preserve">  23500-23549-USOC Lake Placid Training </t>
  </si>
  <si>
    <t xml:space="preserve">  23550-23599-Indigent Legal Services    </t>
  </si>
  <si>
    <t xml:space="preserve">  23600-23649-Unemployment Insurance Interest and Penalty </t>
  </si>
  <si>
    <t xml:space="preserve">  23800-23899-Dedicated Miscellaneous State Special Revenue</t>
  </si>
  <si>
    <t xml:space="preserve">  24800-24849-NYS Cannabis Revenue</t>
  </si>
  <si>
    <t xml:space="preserve">  24850-24899-Health Care Transformation</t>
  </si>
  <si>
    <t xml:space="preserve">  24950-24954-Interactive Fantasy Sports</t>
  </si>
  <si>
    <t xml:space="preserve">  24955-24959-Mobile Sports Wagering</t>
  </si>
  <si>
    <t xml:space="preserve">  40350-40399-State University Dormitory Income </t>
  </si>
  <si>
    <t>TOTAL SPECIAL REVENUE FUNDS-STATE</t>
  </si>
  <si>
    <t>SPECIAL REVENUE FUNDS-FEDERAL</t>
  </si>
  <si>
    <t xml:space="preserve">  25000-25099-Federal USDA/Food and Consumer Services </t>
  </si>
  <si>
    <t xml:space="preserve">  25100-25199-Federal Health and Human Services </t>
  </si>
  <si>
    <t xml:space="preserve">  25200-25249-Federal Education </t>
  </si>
  <si>
    <t xml:space="preserve">  25300-25899, 25951-Federal Miscellaneous Operating Grants</t>
  </si>
  <si>
    <t xml:space="preserve">  25900-25949-Unemployment Insurance Administration </t>
  </si>
  <si>
    <t xml:space="preserve">  25950, 25952-25999-Unemployment Insurance Occupational Training </t>
  </si>
  <si>
    <t xml:space="preserve">  26000-26049-Federal Employment and Training Grants </t>
  </si>
  <si>
    <t xml:space="preserve">  TOTAL SPECIAL REVENUE FUNDS-FEDERAL</t>
  </si>
  <si>
    <t xml:space="preserve">   TOTAL SPECIAL REVENUE FUNDS</t>
  </si>
  <si>
    <t xml:space="preserve">  40000-40049-Debt Reduction Reserve </t>
  </si>
  <si>
    <t xml:space="preserve">  40100-40149-Mental Health Services </t>
  </si>
  <si>
    <t xml:space="preserve">  40150-40199-General Debt Service </t>
  </si>
  <si>
    <t xml:space="preserve">  40250-40299-State Housing Debt Service</t>
  </si>
  <si>
    <t xml:space="preserve">  40300-40349-Department of Health Income </t>
  </si>
  <si>
    <t xml:space="preserve">  40400-40449-Clean Water/Clean Air</t>
  </si>
  <si>
    <t xml:space="preserve">     TOTAL DEBT SERVICE FUNDS   </t>
  </si>
  <si>
    <t>CAPITAL PROJECTS FUNDS</t>
  </si>
  <si>
    <t xml:space="preserve">  30000-30049-State Capital Projects </t>
  </si>
  <si>
    <t xml:space="preserve">  30050-30099-Dedicated Highway and Bridge Trust </t>
  </si>
  <si>
    <t xml:space="preserve">  30100-30299-SUNY Residence Halls Rehabilitation and Repair </t>
  </si>
  <si>
    <t xml:space="preserve">  30300-30349-New York State Canal System Development</t>
  </si>
  <si>
    <t xml:space="preserve">  30350-30399-Parks Infrastructure </t>
  </si>
  <si>
    <t xml:space="preserve">  30400-30449-Passenger Facility Charge </t>
  </si>
  <si>
    <t xml:space="preserve">  30450-30499-Environmental Protection </t>
  </si>
  <si>
    <t xml:space="preserve">  30500-30549-Clean Water/Clean Air Implementation</t>
  </si>
  <si>
    <t xml:space="preserve">  30600-30609-Energy Conservation Thru Improved Transportation Bond</t>
  </si>
  <si>
    <t xml:space="preserve">  30610-30619-Park and Recreation Land Acquisition Bond</t>
  </si>
  <si>
    <t xml:space="preserve">  30620-30629-Pure Waters Bond</t>
  </si>
  <si>
    <t xml:space="preserve">  30630-30639-Transportation Capital Facilities Bond</t>
  </si>
  <si>
    <t xml:space="preserve">  30640-30649-Environmental Quality Protection Bond</t>
  </si>
  <si>
    <t xml:space="preserve">  30650-30659-Rebuild and Renew New York Transportation Bond</t>
  </si>
  <si>
    <t xml:space="preserve">  30660-30669-Transportation Infrastructure Renewal Bond</t>
  </si>
  <si>
    <t xml:space="preserve">  30670-30679-1986 Environmental Quality Bond Act</t>
  </si>
  <si>
    <t xml:space="preserve">  30680-30689-Accelerated Capacity and Transportation</t>
  </si>
  <si>
    <t xml:space="preserve">                         Improvement Bond</t>
  </si>
  <si>
    <t xml:space="preserve">  30690-30699-Clean Water/Clean Air Bond</t>
  </si>
  <si>
    <t xml:space="preserve">  30700-30709-State Housing Bond</t>
  </si>
  <si>
    <t xml:space="preserve">  30710-30719-Smart Schools Bond</t>
  </si>
  <si>
    <t xml:space="preserve">  30720-30729-Clean Water, Clean Air, and Green Jobs Bond</t>
  </si>
  <si>
    <t xml:space="preserve">  30750-30799-Outdoor Recreation Development Bond</t>
  </si>
  <si>
    <t xml:space="preserve">  30900-30949-Rail Preservation and Development Bond</t>
  </si>
  <si>
    <t xml:space="preserve">  31350-31449-Federal Capital Projects </t>
  </si>
  <si>
    <t xml:space="preserve">  31450-31499-Forest Preserve Expansion </t>
  </si>
  <si>
    <t xml:space="preserve">  31500-31549-Hazardous Waste Remedial</t>
  </si>
  <si>
    <t xml:space="preserve">  31650-31699-Suburban Transportation </t>
  </si>
  <si>
    <t xml:space="preserve">  31700-31749-Division for Youth Facilities Improvement</t>
  </si>
  <si>
    <t xml:space="preserve">  31800-31849-Housing Assistance</t>
  </si>
  <si>
    <t xml:space="preserve">  31850-31899-Housing Program</t>
  </si>
  <si>
    <t xml:space="preserve">  31950-31999-DOT Engineering Services</t>
  </si>
  <si>
    <t xml:space="preserve">  32200-32249-Miscellaneous Capital Projects</t>
  </si>
  <si>
    <t xml:space="preserve">  32250-32299-CUNY Capital Projects</t>
  </si>
  <si>
    <t xml:space="preserve">  32300-32349-Mental Hygiene Facilities Capital Improvement</t>
  </si>
  <si>
    <t xml:space="preserve">  32350-32399-Correction Facilities Capital Improvement</t>
  </si>
  <si>
    <t xml:space="preserve">  32400-32999-State University Capital Projects</t>
  </si>
  <si>
    <t xml:space="preserve">  33050-33099 Dedicated Infrastructure Investment Fund</t>
  </si>
  <si>
    <t xml:space="preserve">     TOTAL CAPITAL PROJECTS FUNDS </t>
  </si>
  <si>
    <t xml:space="preserve">     TOTAL GOVERNMENTAL FUNDS       </t>
  </si>
  <si>
    <t>SCHEDULE 2</t>
  </si>
  <si>
    <t>SUMMARY OF CASH RECEIPTS, DISBURSEMENTS AND</t>
  </si>
  <si>
    <t xml:space="preserve">CHANGES IN FUND BALANCES  </t>
  </si>
  <si>
    <t>OTHER</t>
  </si>
  <si>
    <t>FINANCING</t>
  </si>
  <si>
    <t>FUND TYPE</t>
  </si>
  <si>
    <t xml:space="preserve"> 23250-23449-CUNY Senior College Program</t>
  </si>
  <si>
    <t xml:space="preserve">  50000-50049-Youth Commissary </t>
  </si>
  <si>
    <t xml:space="preserve">  50050-50099-State Exposition Special </t>
  </si>
  <si>
    <t xml:space="preserve">  50100-50299-Correctional Services Commissary </t>
  </si>
  <si>
    <t xml:space="preserve">  50300-50399-Agencies Enterprise </t>
  </si>
  <si>
    <t xml:space="preserve">  50400-50449-Sheltered Workshop </t>
  </si>
  <si>
    <t xml:space="preserve">  50450-50499-Patient Workshop </t>
  </si>
  <si>
    <t xml:space="preserve">  50500-50599-Mental Hygiene Community Stores </t>
  </si>
  <si>
    <t xml:space="preserve">  50650-50699-Unemployment Insurance</t>
  </si>
  <si>
    <t xml:space="preserve">  60850-60899-CUNY Senior College Operating </t>
  </si>
  <si>
    <t xml:space="preserve">     TOTAL ENTERPRISE FUNDS</t>
  </si>
  <si>
    <t xml:space="preserve">  55000-55049-Centralized Services</t>
  </si>
  <si>
    <t xml:space="preserve">  55050-55099-Agency Internal Service </t>
  </si>
  <si>
    <t xml:space="preserve">  55100-55149-Mental Hygiene Revolving </t>
  </si>
  <si>
    <t xml:space="preserve">  55150-55199-Youth Vocational Education </t>
  </si>
  <si>
    <t xml:space="preserve">  55200-55249-Joint Labor and Management Administration </t>
  </si>
  <si>
    <t xml:space="preserve">  55250-55299-Audit and Control Revolving </t>
  </si>
  <si>
    <t xml:space="preserve">  55300-55349-Health Insurance Revolving </t>
  </si>
  <si>
    <t xml:space="preserve">  55350-55399-Correctional Industries Revolving </t>
  </si>
  <si>
    <t xml:space="preserve">     TOTAL INTERNAL SERVICE FUNDS</t>
  </si>
  <si>
    <t>SCHEDULE 3</t>
  </si>
  <si>
    <t>FIDUCIARY FUNDS</t>
  </si>
  <si>
    <t xml:space="preserve">SUMMARY OF CASH RECEIPTS, DISBURSEMENTS AND </t>
  </si>
  <si>
    <t xml:space="preserve">  65000-65049-Common Retirement Administration</t>
  </si>
  <si>
    <t xml:space="preserve">  65050-65099-Retiree Health Benefit Trust</t>
  </si>
  <si>
    <t xml:space="preserve">    TOTAL TRUST FUNDS</t>
  </si>
  <si>
    <t xml:space="preserve">  22022-College Savings Account</t>
  </si>
  <si>
    <t xml:space="preserve">  66000-66049-Agriculture Producers' Security</t>
  </si>
  <si>
    <t xml:space="preserve">  66050-66099-Milk Producers' Security</t>
  </si>
  <si>
    <t xml:space="preserve">     TOTAL PRIVATE PURPOSE TRUST FUNDS       </t>
  </si>
  <si>
    <t xml:space="preserve">  60050-60149-School Capital Facilities Financing Reserve   </t>
  </si>
  <si>
    <t xml:space="preserve">  60150-60199-Child Performer's Holding</t>
  </si>
  <si>
    <t xml:space="preserve">  60200-60249-Employees Health Insurance </t>
  </si>
  <si>
    <t xml:space="preserve">  60250-60299-Social Security Contribution </t>
  </si>
  <si>
    <t xml:space="preserve">  60300-60399-Employee Payroll Withholding</t>
  </si>
  <si>
    <t xml:space="preserve">  60400-60449-Employees Dental Insurance </t>
  </si>
  <si>
    <t xml:space="preserve">  60450-60499-Management Confidential Group Insurance </t>
  </si>
  <si>
    <t xml:space="preserve">  60500-60549-Lottery Prize </t>
  </si>
  <si>
    <t xml:space="preserve">  60550-60599-Health Insurance Reserve Receipts </t>
  </si>
  <si>
    <t xml:space="preserve">  60600-60799-Miscellaneous New York State Agency </t>
  </si>
  <si>
    <t xml:space="preserve">  60800-60849-Elderly Pharmaceutical Insurance Coverage (EPIC) Escrow     </t>
  </si>
  <si>
    <t xml:space="preserve">  60900-60949-Medicaid Management Information System (MMIS) Escrow       </t>
  </si>
  <si>
    <t xml:space="preserve">  60950-60999-Special Education</t>
  </si>
  <si>
    <t xml:space="preserve">  61000-61099-State University of New York Revenue Collection</t>
  </si>
  <si>
    <t xml:space="preserve">  61100-61999-State University Federal Direct Lending Program   </t>
  </si>
  <si>
    <t xml:space="preserve">  62000-62049-SSI SSP Payment Escrow</t>
  </si>
  <si>
    <t xml:space="preserve">TOTAL FIDUCIARY FUNDS    </t>
  </si>
  <si>
    <t xml:space="preserve">   SCHEDULE 4</t>
  </si>
  <si>
    <t>SOLE CUSTODY AND INVESTMENT ACCOUNTS</t>
  </si>
  <si>
    <t xml:space="preserve">STATEMENT OF CASH RECEIPTS AND DISBURSEMENTS </t>
  </si>
  <si>
    <t>ACCOUNTS</t>
  </si>
  <si>
    <t xml:space="preserve">  70000-70049-Tobacco Settlement</t>
  </si>
  <si>
    <t xml:space="preserve">  70093, 70095, 70300-70301-MTA State Assistance   </t>
  </si>
  <si>
    <t xml:space="preserve">  70050-70149-Sole Custody Investment (*)  </t>
  </si>
  <si>
    <t xml:space="preserve">  70200-Comptroller's Refund Account  </t>
  </si>
  <si>
    <t>TOTAL ACCOUNTS</t>
  </si>
  <si>
    <t>(*) Includes Public Asset Fund resources:</t>
  </si>
  <si>
    <t xml:space="preserve">Chapter 1 of the Laws of 2002 authorized the conversion of Empire Health Choice, d/b/a Empire Blue Cross and Blue Shield from a not-for-profit corporation to a for-profit corporation. Chapter 1 requires, in part, that upon such conversion, assets representing 95 percent of the fair market value of the not-for-profit corporation be transferred to a fund designated as the "Public Asset Fund" and 5 percent transferred to a Charitable Foundation - as set forth in Section 7317 of the Insurance Law. On December 28, 2005, WellChoice, Inc. (previously known as Empire Blue Cross, Blue Shield) approved a takeover by WellPoint, Inc. This conversion was also subject to the same Chapter 1 requirements of assigning assets representing 95 percent of the fair market value of the not-for-profit corporation be transferred to the "Public Asset Fund".  </t>
  </si>
  <si>
    <t>SCHEDULE 5</t>
  </si>
  <si>
    <t>STATEMENT OF DIRECT STATE DEBT ACTIVITY</t>
  </si>
  <si>
    <t xml:space="preserve">DEBT MATURED </t>
  </si>
  <si>
    <t xml:space="preserve">    INTEREST DISBURSED </t>
  </si>
  <si>
    <t>DEBT</t>
  </si>
  <si>
    <t>OUTSTANDING</t>
  </si>
  <si>
    <t xml:space="preserve"> MONTH OF </t>
  </si>
  <si>
    <t>PURPOSE</t>
  </si>
  <si>
    <t>GENERAL OBLIGATION BONDED DEBT:</t>
  </si>
  <si>
    <t xml:space="preserve">  Accelerated Capacity and Transportation Improvements </t>
  </si>
  <si>
    <t xml:space="preserve">  Clean Water/Clean Air:</t>
  </si>
  <si>
    <t xml:space="preserve">           Air Quality </t>
  </si>
  <si>
    <t xml:space="preserve">           Clean Water </t>
  </si>
  <si>
    <t xml:space="preserve">           Solid Waste </t>
  </si>
  <si>
    <t xml:space="preserve">           Environmental Restoration </t>
  </si>
  <si>
    <t xml:space="preserve">  Clean Water/Clean Air and Green Jobs:</t>
  </si>
  <si>
    <t xml:space="preserve">           Flood Restoration and Risk Reduction </t>
  </si>
  <si>
    <t xml:space="preserve">           Open Space Land Conservation and Recreation</t>
  </si>
  <si>
    <t xml:space="preserve">           Climate Change Mitigation </t>
  </si>
  <si>
    <t xml:space="preserve">           Water Quality Improvement and Resilient Infrastructure </t>
  </si>
  <si>
    <t xml:space="preserve">           NY Natural Resources </t>
  </si>
  <si>
    <t xml:space="preserve">  Energy Conservation Through Improved Transportation:</t>
  </si>
  <si>
    <t xml:space="preserve">           Rapid Transit and Rail Freight     </t>
  </si>
  <si>
    <t xml:space="preserve">  Environmental Quality (1972):</t>
  </si>
  <si>
    <t xml:space="preserve">           Air</t>
  </si>
  <si>
    <t xml:space="preserve">           Land and Wetlands </t>
  </si>
  <si>
    <t xml:space="preserve">           Water</t>
  </si>
  <si>
    <t xml:space="preserve">  Environmental Quality (1986):</t>
  </si>
  <si>
    <t xml:space="preserve">           Land Acquisition/Development/Restoration/Forests</t>
  </si>
  <si>
    <t xml:space="preserve">           Solid Waste Management</t>
  </si>
  <si>
    <t xml:space="preserve">  Housing:</t>
  </si>
  <si>
    <t xml:space="preserve">           Low Income</t>
  </si>
  <si>
    <t xml:space="preserve">           Middle Income </t>
  </si>
  <si>
    <t xml:space="preserve">  Park and Recreation Land Acquisition </t>
  </si>
  <si>
    <t xml:space="preserve">  Pure Waters</t>
  </si>
  <si>
    <t xml:space="preserve">  Rail Preservation Development</t>
  </si>
  <si>
    <t xml:space="preserve">  Rebuild and Renew New York Transportation:</t>
  </si>
  <si>
    <t xml:space="preserve">           Highway Facilities</t>
  </si>
  <si>
    <t xml:space="preserve">           Canals and Waterways</t>
  </si>
  <si>
    <t xml:space="preserve">           Aviation</t>
  </si>
  <si>
    <t xml:space="preserve">           Rail and Port</t>
  </si>
  <si>
    <t xml:space="preserve">           Mass Transit - Dept. of Transportation</t>
  </si>
  <si>
    <t xml:space="preserve">           Mass Transit - Metropolitan Transportation Authority</t>
  </si>
  <si>
    <t xml:space="preserve">  Rebuild New York-Transportation Infrastructure Renewal:</t>
  </si>
  <si>
    <t xml:space="preserve">           Highways, Parkways, and Bridges </t>
  </si>
  <si>
    <t xml:space="preserve">           Rapid Transit, Rail and Aviation</t>
  </si>
  <si>
    <t xml:space="preserve">  Smart Schools Bond Act</t>
  </si>
  <si>
    <t xml:space="preserve">            Total General Obligation Bonded Debt</t>
  </si>
  <si>
    <t>SCHEDULE 5a</t>
  </si>
  <si>
    <t xml:space="preserve">DEBT SERVICE FUNDS </t>
  </si>
  <si>
    <t>GENERAL</t>
  </si>
  <si>
    <t>DEPARTMENT</t>
  </si>
  <si>
    <t>REVENUE</t>
  </si>
  <si>
    <t>SALES TAX</t>
  </si>
  <si>
    <t>REDUCTION</t>
  </si>
  <si>
    <t>OF HEALTH</t>
  </si>
  <si>
    <t>BOND</t>
  </si>
  <si>
    <t>REVENUE BOND</t>
  </si>
  <si>
    <t>COMBINED TOTALS</t>
  </si>
  <si>
    <t>RESERVE</t>
  </si>
  <si>
    <t>SERVICE</t>
  </si>
  <si>
    <t>INCOME</t>
  </si>
  <si>
    <t xml:space="preserve">TAX </t>
  </si>
  <si>
    <t>TAX</t>
  </si>
  <si>
    <t>$ INCREASE/</t>
  </si>
  <si>
    <t>(40000-40049)</t>
  </si>
  <si>
    <t>(40151)</t>
  </si>
  <si>
    <t>(40300-40349)</t>
  </si>
  <si>
    <t>(40152)</t>
  </si>
  <si>
    <t>(40154)</t>
  </si>
  <si>
    <t>(DECREASE)</t>
  </si>
  <si>
    <t>Payments to Public Authorities:</t>
  </si>
  <si>
    <t xml:space="preserve">     City University Construction </t>
  </si>
  <si>
    <t xml:space="preserve">     Dormitory Authority: </t>
  </si>
  <si>
    <t xml:space="preserve">         DASNY Revenue Bond</t>
  </si>
  <si>
    <t xml:space="preserve">         Department of Health Facilities</t>
  </si>
  <si>
    <t xml:space="preserve">         Secured Hospital Program</t>
  </si>
  <si>
    <t xml:space="preserve">         SUNY Community Colleges</t>
  </si>
  <si>
    <t xml:space="preserve">         SUNY Educational Facilities</t>
  </si>
  <si>
    <t xml:space="preserve">     Thruway Authority:</t>
  </si>
  <si>
    <t xml:space="preserve">         Dedicated Highway and Bridge </t>
  </si>
  <si>
    <t xml:space="preserve">         Transportation </t>
  </si>
  <si>
    <t xml:space="preserve">     Urban Development Corporation:</t>
  </si>
  <si>
    <t xml:space="preserve">         Debt Reduction Reserve</t>
  </si>
  <si>
    <t xml:space="preserve">         UDC Revenue Bond</t>
  </si>
  <si>
    <t>Total Disbursements for Special Contractual</t>
  </si>
  <si>
    <t>SCHEDULE 6</t>
  </si>
  <si>
    <t xml:space="preserve">SUMMARY OF THE OPERATING FUND INVESTMENTS                                                                    </t>
  </si>
  <si>
    <t>AS REQUIRED OF THE STATE COMPTROLLER</t>
  </si>
  <si>
    <t>FISCAL YEAR</t>
  </si>
  <si>
    <t xml:space="preserve">PRIOR FISCAL </t>
  </si>
  <si>
    <t>TO DATE</t>
  </si>
  <si>
    <t>YEAR TO DATE</t>
  </si>
  <si>
    <t>SHORT TERM INVESTMENT POOL (*)</t>
  </si>
  <si>
    <t>AVERAGE DAILY INVESTMENT BALANCE (**)</t>
  </si>
  <si>
    <t>AVERAGE YIELD (**)</t>
  </si>
  <si>
    <t>TOTAL INVESTMENT EARNINGS</t>
  </si>
  <si>
    <t>Month-End Portfolio Balances</t>
  </si>
  <si>
    <t>DESCRIPTION</t>
  </si>
  <si>
    <t>PAR  AMOUNT</t>
  </si>
  <si>
    <t>GOVT. AGENCY BILLS/NOTES</t>
  </si>
  <si>
    <t>REPURCHASE AGREEMENTS</t>
  </si>
  <si>
    <t>GOVT. SPONSORED AGENCIES</t>
  </si>
  <si>
    <t>COMMERCIAL PAPER</t>
  </si>
  <si>
    <t>CERTIFICATES OF DEPOSIT/SAVINGS</t>
  </si>
  <si>
    <t>0% COMPENSATING BALANCE CDs</t>
  </si>
  <si>
    <t>(*) Pursuant to §98 of the State Finance Law, the State Comptroller is authorized to invest and keep invested all moneys, in any fund, held by the State.  The Short Term investment Pool (STIP) represents an accounting mechanism that allows for the separate accounting of individual funds (on deposit in the State's General Checking account) for the purpose of making short term investments.  Pursuant to State Finance Law §4(5) the STIP is authorized to temporarily loan to the General Fund-State Operations Account (10050) funds for a period not to exceed the end of the fiscal year.  However, it must be noted that certain funds are invested as part of STIP, but are held by the State Comptroller in a fiduciary capacity.  Fiduciary fund balances are restricted and may not be used for any State purposes since moneys in such funds are held by the State in a trustee (or fiduciary) capacity or as an agent for individuals, private organizations, or non-State governmental units (e.g. local governments and public authorities). Therefore, Fiduciary fund balances are not available to be temporarily loaned to the General Fund-State Operations Account. Fiduciary fund balances are presented in Schedules 3 and 4 of this report.</t>
  </si>
  <si>
    <t>(**) Does not include 0% Compensating Balance CDs.</t>
  </si>
  <si>
    <t>APPENDIX A</t>
  </si>
  <si>
    <t xml:space="preserve">HCRA RESOURCES FUND </t>
  </si>
  <si>
    <t xml:space="preserve">STATEMENT OF RECEIPTS AND DISBURSEMENTS BY ACCOUNT       </t>
  </si>
  <si>
    <t>OPENING CASH BALANCE</t>
  </si>
  <si>
    <t xml:space="preserve">   Cigarette Tax </t>
  </si>
  <si>
    <t xml:space="preserve">   State Share of NYC Cigarette Tax   </t>
  </si>
  <si>
    <t xml:space="preserve">   Vapor Excise Tax</t>
  </si>
  <si>
    <t xml:space="preserve">   STIP Interest</t>
  </si>
  <si>
    <t xml:space="preserve">   Assessments </t>
  </si>
  <si>
    <t xml:space="preserve">   Fees</t>
  </si>
  <si>
    <t xml:space="preserve">   Rebates</t>
  </si>
  <si>
    <t xml:space="preserve">   Restitution and Settlements</t>
  </si>
  <si>
    <t xml:space="preserve">   Administrative Recoveries</t>
  </si>
  <si>
    <t xml:space="preserve">   Miscellaneous</t>
  </si>
  <si>
    <t xml:space="preserve">   Grants </t>
  </si>
  <si>
    <t xml:space="preserve">   Interest - Late Payments</t>
  </si>
  <si>
    <t xml:space="preserve">   Personal Service</t>
  </si>
  <si>
    <t xml:space="preserve">   Non-Personal Service</t>
  </si>
  <si>
    <t xml:space="preserve">   Employee Benefits/Indirect Costs</t>
  </si>
  <si>
    <t>OPERATING TRANSFERS:</t>
  </si>
  <si>
    <t xml:space="preserve">   Transfers to Capital Projects Fund</t>
  </si>
  <si>
    <t xml:space="preserve">   Transfers to General Fund</t>
  </si>
  <si>
    <t xml:space="preserve">   Transfers to Miscellaneous Special Revenue Fund:    </t>
  </si>
  <si>
    <t xml:space="preserve">      Administration Program Account</t>
  </si>
  <si>
    <t xml:space="preserve">      Empire State Stem Cell Trust Account</t>
  </si>
  <si>
    <t xml:space="preserve">   Transfers to SUNY Income Fund</t>
  </si>
  <si>
    <t xml:space="preserve">          Total Operating Transfers</t>
  </si>
  <si>
    <t xml:space="preserve">          Total Disbursements and Transfers</t>
  </si>
  <si>
    <t xml:space="preserve">CLOSING CASH BALANCE             </t>
  </si>
  <si>
    <t xml:space="preserve">STATE OF NEW YORK </t>
  </si>
  <si>
    <t>APPENDIX B</t>
  </si>
  <si>
    <t>HCRA RESOURCES FUND</t>
  </si>
  <si>
    <t xml:space="preserve">STATEMENT OF PROGRAM DISBURSEMENTS </t>
  </si>
  <si>
    <t>Program/Purpose</t>
  </si>
  <si>
    <t>Appropriation Amount (*)</t>
  </si>
  <si>
    <t xml:space="preserve">CENTER FOR COMMUNITY HEALTH PROGRAM          </t>
  </si>
  <si>
    <t>CENTER FOR COMMUNITY HLTH</t>
  </si>
  <si>
    <t xml:space="preserve">CHILD HEALTH INSURANCE PROGRAM         </t>
  </si>
  <si>
    <t xml:space="preserve">CHILD HEALTH INSURANCE        </t>
  </si>
  <si>
    <t>ELDERLY PHARMACEUTICAL INS COVERAGE PRG</t>
  </si>
  <si>
    <t>ELDERLY PHARMACEUTICAL INSURANCE COVERAGE</t>
  </si>
  <si>
    <t xml:space="preserve">HEALTH CARE REFORM ACT PROGRAM         </t>
  </si>
  <si>
    <t>AIDS DRUG ASSISTANCE</t>
  </si>
  <si>
    <t xml:space="preserve">AMBULATORY CARE TRAINING </t>
  </si>
  <si>
    <t>AREA HEALTH EDUCATION CENTER</t>
  </si>
  <si>
    <t>COMMISSIONER EMERGENCY DISTRIBUTIONS</t>
  </si>
  <si>
    <t>DIAGNOSTIC AND TREATMENT CTR UNCOMPENSATED CARE</t>
  </si>
  <si>
    <t xml:space="preserve">DIVERSITY IN MEDICINE </t>
  </si>
  <si>
    <t>EMPIRE CLINIC RESEARCH INVESTMENT (ECRIP)</t>
  </si>
  <si>
    <t>HCRA PAYOR / PROVIDER AUDITS</t>
  </si>
  <si>
    <t>HEALTH FACILITY RESTRUCTURING DASNY</t>
  </si>
  <si>
    <t>HEALTH WORKFORCE RETRAINING</t>
  </si>
  <si>
    <t>INFERTILITY SERVICES GRANTS</t>
  </si>
  <si>
    <t xml:space="preserve">MEDICAL INDEMNITY FUND       </t>
  </si>
  <si>
    <t>NURSE LOAN REPAYMENT</t>
  </si>
  <si>
    <t>NYS WORKFORCE INNOVATION CTR</t>
  </si>
  <si>
    <t>PART 405.4 HOSPITAL AUDITS NYCRR</t>
  </si>
  <si>
    <t xml:space="preserve">PHYSICIAN EXCESS MEDICAL MALPRACTICE            </t>
  </si>
  <si>
    <t>PHYSICIAN LOAN REPAYMENT</t>
  </si>
  <si>
    <t>PHYSICIAN WORKFORCE STUDIES</t>
  </si>
  <si>
    <t>POISON CONTROL CENTERS</t>
  </si>
  <si>
    <t>POOL ADMINISTRATION</t>
  </si>
  <si>
    <t>ROSWELL PARK CANCER INSTITUTE</t>
  </si>
  <si>
    <t>ROSWELL PARK COMPREHENSIVE CANCER CENTER</t>
  </si>
  <si>
    <t>RURAL HEALTH CARE ACCESS</t>
  </si>
  <si>
    <t>RURAL HEALTH CARE ACCESS &amp; NETWORK DEVELOPMENT</t>
  </si>
  <si>
    <t>RURAL HEALTH CARE GRANTS</t>
  </si>
  <si>
    <t>RURAL HEALTH NETWORK</t>
  </si>
  <si>
    <t>SCHOOL BASED HEALTH CENTERS</t>
  </si>
  <si>
    <t>SCHOOL BASED HEALTH CLINICS-POOL ADMN</t>
  </si>
  <si>
    <t>TRANSITION ACCT - PRIOR YEAR ALLOCATION</t>
  </si>
  <si>
    <t xml:space="preserve">MEDICAL ASSISTANCE PROGRAM             </t>
  </si>
  <si>
    <t>HOME HEALTH RATE INCREASE</t>
  </si>
  <si>
    <t>MEDICAID INDIGENT CARE</t>
  </si>
  <si>
    <t xml:space="preserve">MEDICAL ASSISTANCE </t>
  </si>
  <si>
    <t>PSNL CRE WRKR RECR &amp; RETEN NYC  (***)</t>
  </si>
  <si>
    <t>PSNL CRE WRKR RECR &amp; RETEN ROS  (****)</t>
  </si>
  <si>
    <t>NEW YORK STATE OF HEALTH</t>
  </si>
  <si>
    <t>NEW YORK STATE OF HEALTH ADMINISTRATION</t>
  </si>
  <si>
    <t xml:space="preserve">OFFICE OF HEALTH INSURANCE PROGRAM     </t>
  </si>
  <si>
    <t xml:space="preserve">OFFICE OF HEALTH INSURANCE </t>
  </si>
  <si>
    <t xml:space="preserve">OFFICE OF HEALTH SYSTEMS MANAGEMENT    </t>
  </si>
  <si>
    <t xml:space="preserve">OFFICE HEALTH SYSTEMS MANAGEMENT </t>
  </si>
  <si>
    <t>REVENUE, PROCESSING &amp; RECONCILIATION</t>
  </si>
  <si>
    <t>TOTAL</t>
  </si>
  <si>
    <t xml:space="preserve">     Reclass of SUNY Hospital Disprop Share to Transfer</t>
  </si>
  <si>
    <t xml:space="preserve">     Reclass of SUNY Hospital Poison Control Centers to Transfer</t>
  </si>
  <si>
    <t xml:space="preserve">     Reclass of SUNY Empire Clinical Research Investigator Program to Transfer</t>
  </si>
  <si>
    <t xml:space="preserve">     Reconciling Adjustment (P-Card and T-Card)</t>
  </si>
  <si>
    <t>TOTAL REPORTED AMOUNT</t>
  </si>
  <si>
    <t xml:space="preserve">     for administration of grant programs, and transfers to the Public Goods Pool to finance payments made by the State’s fiscal agent.</t>
  </si>
  <si>
    <t xml:space="preserve">(***) Full title is: NYC Personal Care Workforce Recruitment and Retention Rates Grants.                           </t>
  </si>
  <si>
    <t xml:space="preserve">(****) Full title is: Personal Care Workforce Recruitment and Retention Rates Grants.                                  </t>
  </si>
  <si>
    <t>APPENDIX C</t>
  </si>
  <si>
    <t>STATEMENT OF CASH FLOW - PUBLIC GOODS POOL</t>
  </si>
  <si>
    <t xml:space="preserve">     Patient Services</t>
  </si>
  <si>
    <t xml:space="preserve">     Covered Lives</t>
  </si>
  <si>
    <t xml:space="preserve">     Provider Assessments</t>
  </si>
  <si>
    <t xml:space="preserve">     1% Assessments</t>
  </si>
  <si>
    <t xml:space="preserve">     DASNY- MOE/Recast receivables</t>
  </si>
  <si>
    <t xml:space="preserve">     Interest Income</t>
  </si>
  <si>
    <t xml:space="preserve">     Unassigned</t>
  </si>
  <si>
    <t>PROGRAM DISBURSEMENTS:</t>
  </si>
  <si>
    <t xml:space="preserve">     Poison Control Centers</t>
  </si>
  <si>
    <t xml:space="preserve">     School Based Health Center Grants</t>
  </si>
  <si>
    <t xml:space="preserve">     ECRIP Distributions</t>
  </si>
  <si>
    <t xml:space="preserve">           Total Program Disbursements</t>
  </si>
  <si>
    <t>Excess (Deficiency) of Receipts over Disbursements</t>
  </si>
  <si>
    <t xml:space="preserve"> Transfers From Other Pools:</t>
  </si>
  <si>
    <t xml:space="preserve">     Medicaid Disproportionate Share</t>
  </si>
  <si>
    <t xml:space="preserve">     Health Facility Assessment Fund - Hospital Quality Contribution</t>
  </si>
  <si>
    <t xml:space="preserve">  Transfers From State Funds:</t>
  </si>
  <si>
    <t xml:space="preserve">     HCRA Resources Fund</t>
  </si>
  <si>
    <t xml:space="preserve">         Total Other Financing Sources</t>
  </si>
  <si>
    <t xml:space="preserve">  Transfers To Other Pools:</t>
  </si>
  <si>
    <t xml:space="preserve">     Health Facility Assessment Fund</t>
  </si>
  <si>
    <t xml:space="preserve">  Transfers To State Funds:</t>
  </si>
  <si>
    <t xml:space="preserve">          Total Other Financing Uses</t>
  </si>
  <si>
    <t>Excess (Deficiency) of Receipts and Other Financing Sources</t>
  </si>
  <si>
    <t xml:space="preserve">     over Disbursements and Other Financing Uses</t>
  </si>
  <si>
    <t>CLOSING CASH BALANCE</t>
  </si>
  <si>
    <t>Source: HCRA - Office of Pool Administration</t>
  </si>
  <si>
    <t>APPENDIX D</t>
  </si>
  <si>
    <t xml:space="preserve">STATEMENT OF CASH FLOW - MEDICAID DISPROPORTIONATE SHARE  </t>
  </si>
  <si>
    <t xml:space="preserve"> PROGRAM DISBURSEMENTS:</t>
  </si>
  <si>
    <t xml:space="preserve">     Indigent Care</t>
  </si>
  <si>
    <t xml:space="preserve">     High Need Indigent Care</t>
  </si>
  <si>
    <t xml:space="preserve">     Other</t>
  </si>
  <si>
    <t xml:space="preserve">          Total Program Disbursements</t>
  </si>
  <si>
    <t xml:space="preserve">Excess (Deficiency) of Receipts over Disbursements       </t>
  </si>
  <si>
    <t xml:space="preserve">     Public Goods Pool</t>
  </si>
  <si>
    <t xml:space="preserve">     HCRA Resources Indigent Care - Matched</t>
  </si>
  <si>
    <t xml:space="preserve">     HCRA Resources Indigent Care - Unmatched</t>
  </si>
  <si>
    <t xml:space="preserve">     Federal DHHS Fund</t>
  </si>
  <si>
    <t xml:space="preserve">     HCRA Resources Fund Indigent Care Acct</t>
  </si>
  <si>
    <t xml:space="preserve">     CSRA Inc (eMedNY) General Fund</t>
  </si>
  <si>
    <t>Excess (Deficiency) of Receipts and Other Financing</t>
  </si>
  <si>
    <t xml:space="preserve">  Sources over Disbursements and Other Financing Uses</t>
  </si>
  <si>
    <t>APPENDIX E</t>
  </si>
  <si>
    <t>SUMMARY OF OFF-BUDGET SPENDING REPORT</t>
  </si>
  <si>
    <t>(amounts in thousands)</t>
  </si>
  <si>
    <t>DORMITORY AUTHORITY:</t>
  </si>
  <si>
    <t>Education - All Other</t>
  </si>
  <si>
    <t>Education - EXCEL</t>
  </si>
  <si>
    <t>Department of Health - All Other</t>
  </si>
  <si>
    <t>Community Enhancement Facilities Assistance Program (CEFAP)</t>
  </si>
  <si>
    <t>Community Capital Assistance Program (CCAP)/RESTORE</t>
  </si>
  <si>
    <t>Brooklyn Court Officer Training Academy</t>
  </si>
  <si>
    <t xml:space="preserve">     TOTAL DORMITORY AUTHORITY</t>
  </si>
  <si>
    <t>TOTAL OFF-BUDGET</t>
  </si>
  <si>
    <t>APPENDIX F</t>
  </si>
  <si>
    <t>SCHEDULE OF MONTH-END TEMPORARY LOANS OUTSTANDING(*)</t>
  </si>
  <si>
    <t>SFS Fund</t>
  </si>
  <si>
    <t>ACCOUNT TITLE</t>
  </si>
  <si>
    <t>Change</t>
  </si>
  <si>
    <t>STATE OPERATIONS AND LOCAL ASSISTANCE</t>
  </si>
  <si>
    <t>TOTAL GENERAL FUND</t>
  </si>
  <si>
    <t xml:space="preserve">CAPITAL PROJECT AND BOND REIMBURSABLE FUNDS </t>
  </si>
  <si>
    <t>HIGHWAY AND BRIDGE CAPITAL</t>
  </si>
  <si>
    <t>REHAB/REPAIR MARITIME</t>
  </si>
  <si>
    <t>D21RVE- MARITIME</t>
  </si>
  <si>
    <t>D36RVE- CENTRAL ADMIN</t>
  </si>
  <si>
    <t>RESIDENCE HALL CAMPUS LET BOND PROCEEDS</t>
  </si>
  <si>
    <t>REHAB/REPAIR ALBANY</t>
  </si>
  <si>
    <t>D01RVE- ALBANY</t>
  </si>
  <si>
    <t>REHAB/REPAIR BINGHAMTON</t>
  </si>
  <si>
    <t>D07RVE- BINGHAMTON</t>
  </si>
  <si>
    <t>REHAB/REPAIR BUFFALO UNIVERSITY</t>
  </si>
  <si>
    <t>D28RVE- SUNY BUFFALO</t>
  </si>
  <si>
    <t>REHAB/REPAIR STONYBROOK</t>
  </si>
  <si>
    <t>D13RVE- STONYBROOK</t>
  </si>
  <si>
    <t>REHAB/REPAIR BROOKLYN</t>
  </si>
  <si>
    <t>D14RVE - HSC BROOKLYN</t>
  </si>
  <si>
    <t>REHAB/REPAIR SYRACUSE</t>
  </si>
  <si>
    <t>D15RVE- HSC SYRACUSE</t>
  </si>
  <si>
    <t>REHAB/REPAIR BROCKPORT</t>
  </si>
  <si>
    <t>D02RVE- BROCKPORT</t>
  </si>
  <si>
    <t>REHAB/REPAIR BUFFALO COLLEGE</t>
  </si>
  <si>
    <t>D03RVE -SUB BUFFALO</t>
  </si>
  <si>
    <t>REHAB/REPAIR CORTLAND</t>
  </si>
  <si>
    <t>D04RVE- CORTLAND</t>
  </si>
  <si>
    <t>REHAB/REPAIR FREDONIA</t>
  </si>
  <si>
    <t>D05RVE- FREDONIA</t>
  </si>
  <si>
    <t>REHAB/REPAIR GENESEO</t>
  </si>
  <si>
    <t>D06RVE- GENESEO</t>
  </si>
  <si>
    <t>REHAB/REPAIR OLD WESTBURY</t>
  </si>
  <si>
    <t>D31RVE- OLD WESTBURY</t>
  </si>
  <si>
    <t>REHAB/REPAIR NEW PALTZ</t>
  </si>
  <si>
    <t>D08RVE- NEW PALTZ</t>
  </si>
  <si>
    <t>REHAB/REPAIR ONEONTA</t>
  </si>
  <si>
    <t>D09RVE- ONEONTA</t>
  </si>
  <si>
    <t>REHAB/REPAIR OSWEGO</t>
  </si>
  <si>
    <t>D10RVE- OSWEGO</t>
  </si>
  <si>
    <t>REHAB/REPAIR PLATTSBURGH</t>
  </si>
  <si>
    <t>D11RVE- PLATTSBURGH</t>
  </si>
  <si>
    <t>REHAB/REPAIR POTSDAM</t>
  </si>
  <si>
    <t>D12RVE- POTSDAM</t>
  </si>
  <si>
    <t>REHAB/REPAIR PURCHASE</t>
  </si>
  <si>
    <t>D29RVE- PURCHASE</t>
  </si>
  <si>
    <t>REHAB/REPAIR FOR UTICA/ROME</t>
  </si>
  <si>
    <t>D27RVE- CAMPUS RESERVE</t>
  </si>
  <si>
    <t>REHAB/REPAIR ALFRED</t>
  </si>
  <si>
    <t>D22RVE- ALFRED</t>
  </si>
  <si>
    <t>REHAB/REPAIR CANTON</t>
  </si>
  <si>
    <t>D23RVE- CANTON</t>
  </si>
  <si>
    <t>REHAB/REPAIR COBLESKILL</t>
  </si>
  <si>
    <t>D24RVE- COBLESKILL</t>
  </si>
  <si>
    <t>REHAB/REPAIR DELHI</t>
  </si>
  <si>
    <t>D25RVE- DELHI</t>
  </si>
  <si>
    <t>REHAB/REPAIR FARMINGDALE</t>
  </si>
  <si>
    <t>D26RVE- FARMINGDALE</t>
  </si>
  <si>
    <t>REHAB/REPAIR MORRISVILLE</t>
  </si>
  <si>
    <t>D27RVE- MORRISVILLE</t>
  </si>
  <si>
    <t>STATE PARK INFRASTRUCTURE</t>
  </si>
  <si>
    <t>HAZARDOUS WASTE CLEAN UP</t>
  </si>
  <si>
    <t>YOUTH FACILITIES IMPROVEMENT</t>
  </si>
  <si>
    <t>HOUSING ASSISTANCE</t>
  </si>
  <si>
    <t>HOUSING PROG FD-HSG TR FD CORP</t>
  </si>
  <si>
    <t>HOUSING PROG FD AFFORD HSG CORP</t>
  </si>
  <si>
    <t>HOUSING PROG FD-DEPT OF SOCIAL SERVICES</t>
  </si>
  <si>
    <t>HOUSING PROG FD-HFA</t>
  </si>
  <si>
    <t xml:space="preserve">HIGHWAY FAC PURPOSE </t>
  </si>
  <si>
    <t>NY RACING ACCOUNT</t>
  </si>
  <si>
    <t>IT CAPITAL FINANCING ACCT</t>
  </si>
  <si>
    <t>NY ENVIRONMENTAL PROTECTION &amp; SPILL REMEDIATION</t>
  </si>
  <si>
    <t>OPWDD-STATE FACILITIES PRE 12/99</t>
  </si>
  <si>
    <t>DSAS-COMMUINTY FACILITIES</t>
  </si>
  <si>
    <t>OMH-COMMUNITY FACILITIES</t>
  </si>
  <si>
    <t>OPWDD-COMMUNITY FACILITIES</t>
  </si>
  <si>
    <t>OASAS-COMMUNITY FACILITIES</t>
  </si>
  <si>
    <t>DASNY - OMH ADMIN</t>
  </si>
  <si>
    <t>DASNY - OPWDD ADMIN</t>
  </si>
  <si>
    <t>DASNY - OASAS ADMIN</t>
  </si>
  <si>
    <t>OMH -STATE FACILITIES</t>
  </si>
  <si>
    <t>OPWDD -STATE FACILITIES</t>
  </si>
  <si>
    <t>OASAS -STATE FACILITIES</t>
  </si>
  <si>
    <t>CORR. FACILITIES CAPITAL IMPROVEMENT</t>
  </si>
  <si>
    <t>DOCS-REHABILITATION PROJECTS</t>
  </si>
  <si>
    <t>CORR. FACILITIES CAPITAL CLOSURE</t>
  </si>
  <si>
    <t xml:space="preserve">TOTAL CAPITAL AND BOND REIMBURSABLE FUNDS </t>
  </si>
  <si>
    <t>STATE SPECIAL REVENUE FUNDS</t>
  </si>
  <si>
    <t>LOCAL GOVERNMENT RECORDS MGMT</t>
  </si>
  <si>
    <t>CHILD HEALTH INSURANCE</t>
  </si>
  <si>
    <t>EPIC PREMIUM ACCOUNT</t>
  </si>
  <si>
    <t>LOTTERY-EDUCATION</t>
  </si>
  <si>
    <t>VLT EDUCATION</t>
  </si>
  <si>
    <t>ENVIR FAC CORP ADM ACCT</t>
  </si>
  <si>
    <t>ENCON ADMIN ACCT</t>
  </si>
  <si>
    <t>UTILITY ENVIRONMENTAL REGULATORY ACCOUNT</t>
  </si>
  <si>
    <t xml:space="preserve">FEDERAL GRANTS INDIRECT COST RECOVERY ACCOUNT  </t>
  </si>
  <si>
    <t>ENCON-LOW LEVEL RADIOACTIVE WASTE SITING</t>
  </si>
  <si>
    <t>ENCON-RECREATION</t>
  </si>
  <si>
    <t>ENVIRONMENTAL REGULATORY</t>
  </si>
  <si>
    <t>NATURAL RESOURCES ACCOUNT</t>
  </si>
  <si>
    <t>AUDIT AND CONTROL OIL SPILL</t>
  </si>
  <si>
    <t>HEALTH DEPT OIL SPILL</t>
  </si>
  <si>
    <t>DEPT OF ENVIRONMENTAL CONSERVATION OIL SPILL</t>
  </si>
  <si>
    <t>OIL SPILL COMPENSATION</t>
  </si>
  <si>
    <t>LICENSE FEE SURCHARGES</t>
  </si>
  <si>
    <t>DEPT OF LAW OIL SPILL</t>
  </si>
  <si>
    <t xml:space="preserve">PUBLIC TRANSPORTATION SYSTEMS </t>
  </si>
  <si>
    <t xml:space="preserve">METROPOLITAN MASS TRANSPORTATION </t>
  </si>
  <si>
    <t>OPERATING PERMIT PROGRAM</t>
  </si>
  <si>
    <t>MOBILE SOURCE</t>
  </si>
  <si>
    <t>THRUWAY AUTHORITY ACCT</t>
  </si>
  <si>
    <t xml:space="preserve">FINANCIAL CONTROL BOARD </t>
  </si>
  <si>
    <t>RACING REGULATION ACCOUNT</t>
  </si>
  <si>
    <t xml:space="preserve">SU DORM INCOME REIMBURSE </t>
  </si>
  <si>
    <t>TRAINING, MANAGEMENT AND EVALUATION ACCOUNT</t>
  </si>
  <si>
    <t>CLINICAL LAB FEE</t>
  </si>
  <si>
    <t>INDIRECT COST RECOVERY</t>
  </si>
  <si>
    <t xml:space="preserve">MULTI - AGENCY TRAINING ACCOUNT </t>
  </si>
  <si>
    <t>BELL JAR COLLECTION ACCOUNT</t>
  </si>
  <si>
    <t>REAL PROPERTY DISPOSITION</t>
  </si>
  <si>
    <t>PARKING ACCOUNT</t>
  </si>
  <si>
    <t>COURTS SPECIAL GRANTS</t>
  </si>
  <si>
    <t>BATAVIA SCHOOL FOR THE BLIND</t>
  </si>
  <si>
    <t>FINANCIAL OVERSIGHT</t>
  </si>
  <si>
    <t>REGULATION INDIAN GAMING</t>
  </si>
  <si>
    <t>ROME SCHOOL FOR THE DEAF</t>
  </si>
  <si>
    <t xml:space="preserve">ADMINISTRATIVE ADJUDICATION </t>
  </si>
  <si>
    <t>CULTURAL EDUCATION ACCOUNT</t>
  </si>
  <si>
    <t>DHCR MORTGAGE SERVICES</t>
  </si>
  <si>
    <t>VOTING MACHINE EXAMINATIONS ACCOUNT</t>
  </si>
  <si>
    <t>DHCR-HOUSING CREDIT AGENCY APPLY FEE</t>
  </si>
  <si>
    <t>RESTITUTION ACCOUNT</t>
  </si>
  <si>
    <t>MONTROSE VETERAN'S HOME</t>
  </si>
  <si>
    <t>DEFERRED COMPENSATION ADMIN</t>
  </si>
  <si>
    <t>TRANSPORTATION AVIATION ACCOUNT</t>
  </si>
  <si>
    <t>NEW YORK STATE CAMPAIGN FINANCE FUND ACCOUNT</t>
  </si>
  <si>
    <t>NYS MEDICAL INDEMNITY FUND ACCOUNT</t>
  </si>
  <si>
    <t>BEHAVIORAL HEALTH PARITY COMPLIANCE FUND</t>
  </si>
  <si>
    <t>PHARMACY BENEFIT MANAGER REGULATORY FUND</t>
  </si>
  <si>
    <t>S.U. NON-RESIDENT REV.  OFFSET</t>
  </si>
  <si>
    <t>DOT - HIGHWAY SAFETY PRGM</t>
  </si>
  <si>
    <t>NYCCC OPERATING OFFSET</t>
  </si>
  <si>
    <t>COMMERCIAL GAMING REVENUE ACCOUNT</t>
  </si>
  <si>
    <t>COMMERCIAL GAMING REGULATION</t>
  </si>
  <si>
    <t>NYS SECURE CHOICE ADMIN</t>
  </si>
  <si>
    <t>NEW YORK STATE CANNABIS REVENUE FUND</t>
  </si>
  <si>
    <t>FANTASY SPORTS ADMINISTRATION</t>
  </si>
  <si>
    <t>MOBILE SPORTS WAGERING FUND</t>
  </si>
  <si>
    <t xml:space="preserve">TOTAL STATE SPECIAL REVENUE FUNDS </t>
  </si>
  <si>
    <t xml:space="preserve">FEDERAL FUNDS  </t>
  </si>
  <si>
    <t>25000-25099</t>
  </si>
  <si>
    <t>FEDERAL USDA/FOOD AND NUTRITION SERVICES FUND</t>
  </si>
  <si>
    <t>25100-25199</t>
  </si>
  <si>
    <t>FEDERAL HEALTH AND HUMAN SERVICES FUND</t>
  </si>
  <si>
    <t>25200-25249</t>
  </si>
  <si>
    <t>FEDERAL EDUCATION GRANTS FUND</t>
  </si>
  <si>
    <t>25300-25899</t>
  </si>
  <si>
    <t>FEDERAL OPERATING GRANTS FUND</t>
  </si>
  <si>
    <t>DEPARTMENT OF TRANSPORTATION</t>
  </si>
  <si>
    <t>31350-31449</t>
  </si>
  <si>
    <t>FEDERAL CAPITAL PROJECTS FUND (ALL OTHER)</t>
  </si>
  <si>
    <t>25900-25949</t>
  </si>
  <si>
    <t>UNEMPLOYMENT INSURANCE ADMINISTRATION</t>
  </si>
  <si>
    <t xml:space="preserve">FEDERAL UNEMPLOYMENT INS OCCUPATIONAL TRAINING  </t>
  </si>
  <si>
    <t>26001-26049</t>
  </si>
  <si>
    <t>DOL EMPLOYMENT AND TRAINING GRANTS</t>
  </si>
  <si>
    <t>TOTAL FEDERAL FUNDS</t>
  </si>
  <si>
    <t xml:space="preserve">AGENCY FUNDS </t>
  </si>
  <si>
    <t>EMPLOYEES HEALTH INSURANCE ACCT</t>
  </si>
  <si>
    <t>MMIS - STATE AND FEDERAL</t>
  </si>
  <si>
    <t>TOTAL AGENCY FUNDS</t>
  </si>
  <si>
    <t>ENTERPRISE FUND</t>
  </si>
  <si>
    <t>OGS CONVENTION CENTER ACCOUNT</t>
  </si>
  <si>
    <t>EMPIRE PLAZA GIFT SHOP</t>
  </si>
  <si>
    <t>INTEREST ASSESSMENT ACCOUNT</t>
  </si>
  <si>
    <t>TOTAL ENTERPRISE FUND</t>
  </si>
  <si>
    <t>CENTRALIZED SERVICES-FLEET MGMT</t>
  </si>
  <si>
    <t>CENTRALIZED SERVICES-PRINTING</t>
  </si>
  <si>
    <t>CENTRALIZED SERVICES-REAL PROPERTY-LABOR</t>
  </si>
  <si>
    <t>CENTRALIZED SERVICES-DONATED FOODS</t>
  </si>
  <si>
    <t>CENTRALIZED SERVICES-CONSTRUCTION SERVICES</t>
  </si>
  <si>
    <t>CENTRALIZED SERVICES-PASNY</t>
  </si>
  <si>
    <t>CENTRALIZED SERVICES-ADMIN SUPPORT</t>
  </si>
  <si>
    <t>CENTRALIZED SERVICES-DESIGN AND CONSTR</t>
  </si>
  <si>
    <t>CENTRALIZED SERVICES-INSURANCE</t>
  </si>
  <si>
    <t>CENTRALIZED SERVICES-SECURITY CARD ACCESS</t>
  </si>
  <si>
    <t>CENTRALIZED SERVICES-COP'S</t>
  </si>
  <si>
    <t>CENTRALIZED SERVICES-FOOD SERVICES</t>
  </si>
  <si>
    <t>CENTRALIZED SERVICES-HOMER FOLKS</t>
  </si>
  <si>
    <t>CENTRALIZED SERVICES-IMMICS</t>
  </si>
  <si>
    <t>DOWNSTATE WAREHOUSE</t>
  </si>
  <si>
    <t>BUILDING ADMINISTRATION</t>
  </si>
  <si>
    <t>LEASE SPACE INITIATIVE</t>
  </si>
  <si>
    <t>OGS ENTERPRISE CONTRACTING ACCT</t>
  </si>
  <si>
    <t>NYS MEDIA CENTER</t>
  </si>
  <si>
    <t>BUSINESS SERVICES CENTER</t>
  </si>
  <si>
    <t xml:space="preserve">ARCHIVES RECORD MGMT I.S. </t>
  </si>
  <si>
    <t>FEDERAL SINGLE AUDIT</t>
  </si>
  <si>
    <t>CIVIL SERVICE ADMINISTRATION ACCOUNT</t>
  </si>
  <si>
    <t>BANKING SERVICES ACCOUNT</t>
  </si>
  <si>
    <t>CULTURAL RESOURCE SURVEY</t>
  </si>
  <si>
    <t>NEIGHBOR WORK PROJECT</t>
  </si>
  <si>
    <t>AUTOMATIC/PRINT CHARGBACKS</t>
  </si>
  <si>
    <t>DATA CENTER ACCOUNT</t>
  </si>
  <si>
    <t>CYBER SECURITY INTRUSION ACCT</t>
  </si>
  <si>
    <t>DOMESTIC VIOLENCE GRANT</t>
  </si>
  <si>
    <t>CENTRALIZED TECHNOLOGY SERVICES</t>
  </si>
  <si>
    <t>LABOR CONTACT CENTER ACCT</t>
  </si>
  <si>
    <t>HUMAN SERVICES CONTACT CNTR ACCT</t>
  </si>
  <si>
    <t>CIVIL RECOVERIES ACCT</t>
  </si>
  <si>
    <t>EXECUTIVE DIRECTION INTERNAL AUDIT</t>
  </si>
  <si>
    <t>CIO INFORMATION TECHNOLOGY CENTRALIZED SERVICES</t>
  </si>
  <si>
    <t>HEALTH INSURANCE INTERNAL SERVICE</t>
  </si>
  <si>
    <t>CIVIL SERVICE EMPLOYEE BENEFITS DIV ADM</t>
  </si>
  <si>
    <t>CORR INDUSTRIES INTERNAL SERVICE</t>
  </si>
  <si>
    <t>TOTAL INTERNAL SERVICE FUNDS</t>
  </si>
  <si>
    <t>GRAND TOTAL - TEMPORARY LOANS OUTSTANDING</t>
  </si>
  <si>
    <t>(*)</t>
  </si>
  <si>
    <t>The loans represent authorizations made by the Legislature to allow certain funds/accounts to make appropriated payments regardless of the fund (cash) balance.</t>
  </si>
  <si>
    <t>Such loans are made from the State's Short-Term Investment Pool (STIP) and are intended to satisfy temporary cash shortfalls whenever scheduled disbursements</t>
  </si>
  <si>
    <t>exceed available revenues during the fiscal year.  Generally, temporary loans are repaid from the first cash receipts of the fund or account; however, in some cases actual</t>
  </si>
  <si>
    <t>revenues are not sufficient to repay all loans made to the fund or account and a transfer from the General Fund "Repayment of Receivables" appropriation is approved by the Budget Director.</t>
  </si>
  <si>
    <t>The balances reported here in Appendix F are the actual fund balances as of the close of business on the last day of the reporting month and do not include post-closing adjustments.</t>
  </si>
  <si>
    <t>Please refer to Schedule 1 for a detailed analysis of the 'reported' cash balances of the fund group.</t>
  </si>
  <si>
    <t>making a reimbursement claim from the U.S. Treasury.</t>
  </si>
  <si>
    <t xml:space="preserve">Per Section 72 of the State Finance Law, the General Fund includes the Local Assistance Fund (10000) and State Purpose Fund (10050). </t>
  </si>
  <si>
    <t>APPENDIX G</t>
  </si>
  <si>
    <t xml:space="preserve">DEDICATED INFRASTRUCTURE INVESTMENT FUND(*)   </t>
  </si>
  <si>
    <t xml:space="preserve">STATEMENT OF RECEIPTS AND DISBURSEMENTS   </t>
  </si>
  <si>
    <t xml:space="preserve">   Transfers from General Fund (**)</t>
  </si>
  <si>
    <t xml:space="preserve">   Other</t>
  </si>
  <si>
    <t xml:space="preserve">      Affordable and Homeless Housing</t>
  </si>
  <si>
    <t xml:space="preserve">      Broadband Initiative</t>
  </si>
  <si>
    <t xml:space="preserve">      Downtown Revitalization</t>
  </si>
  <si>
    <t xml:space="preserve">      Empire State Poverty Reduction Initiatives</t>
  </si>
  <si>
    <t xml:space="preserve">      Health Care / Hospital Initiatives </t>
  </si>
  <si>
    <t xml:space="preserve">      Infrastructure Improvements</t>
  </si>
  <si>
    <t xml:space="preserve">      Life Sciences Initiative</t>
  </si>
  <si>
    <t xml:space="preserve">      Municipal Restructuring / Consolidation Competition</t>
  </si>
  <si>
    <t xml:space="preserve">      Resiliency, Mitigation, Security and Emergency Response</t>
  </si>
  <si>
    <t xml:space="preserve">      Southern Tier / Hudson Valley Farm Initiative</t>
  </si>
  <si>
    <t xml:space="preserve">      Transformative Economic Development Projects</t>
  </si>
  <si>
    <t xml:space="preserve">      Upstate Revitalization Program</t>
  </si>
  <si>
    <t>(*)    Fund created pursuant to Chapter 60, Laws of 2015-16, Part H and SFL § 93-b</t>
  </si>
  <si>
    <t>(**)   Pursuant to Section 93(b) of the State Finance Law</t>
  </si>
  <si>
    <t>APPENDIX H</t>
  </si>
  <si>
    <r>
      <t>MEDICAL ASSISTANCE DISBURSEMENTS - STATE FUNDS</t>
    </r>
    <r>
      <rPr>
        <b/>
        <vertAlign val="superscript"/>
        <sz val="14"/>
        <color theme="1"/>
        <rFont val="Arial"/>
        <family val="2"/>
      </rPr>
      <t>(*)</t>
    </r>
  </si>
  <si>
    <t>Department of Health</t>
  </si>
  <si>
    <t>Other State Agencies</t>
  </si>
  <si>
    <t xml:space="preserve"> Year to Date</t>
  </si>
  <si>
    <t>Adult State Share Medicaid</t>
  </si>
  <si>
    <t xml:space="preserve">State Share Medicaid </t>
  </si>
  <si>
    <t xml:space="preserve">Medical Assistance Administration </t>
  </si>
  <si>
    <t>Traumatic Brain Injury Services</t>
  </si>
  <si>
    <t>Nursing Home Transition &amp; Diversion</t>
  </si>
  <si>
    <t>Reducing Maternal Mortality</t>
  </si>
  <si>
    <t>New York Connects</t>
  </si>
  <si>
    <t>Vital Access Provider Services</t>
  </si>
  <si>
    <t>Facilitated Enrollment</t>
  </si>
  <si>
    <t>Managed Long-Term Care Ombudsman</t>
  </si>
  <si>
    <t>General Hospitals Safety-Net Providers</t>
  </si>
  <si>
    <t>AIDS Epidemic</t>
  </si>
  <si>
    <t>Expanding Caregiver Support Services</t>
  </si>
  <si>
    <t>Provide Affordable Housing</t>
  </si>
  <si>
    <t>Community Provider Network</t>
  </si>
  <si>
    <t>Inpatient Services</t>
  </si>
  <si>
    <t>Patient Centered Medical Homes</t>
  </si>
  <si>
    <t>Outpatient &amp; Emergency Room Services</t>
  </si>
  <si>
    <t>Clinic Services</t>
  </si>
  <si>
    <t>Nursing Home Services</t>
  </si>
  <si>
    <t>Other Long Term Care Services</t>
  </si>
  <si>
    <t>Managed Care Services</t>
  </si>
  <si>
    <t>Pharmacy Services</t>
  </si>
  <si>
    <t>Transportation Services</t>
  </si>
  <si>
    <t>Dental Services</t>
  </si>
  <si>
    <t xml:space="preserve">Non-Institutional &amp; Other </t>
  </si>
  <si>
    <t>Medical Services State Facilities</t>
  </si>
  <si>
    <t>CSEA Family Health Plus Buy In</t>
  </si>
  <si>
    <t>Medical Assistance (HCRA)</t>
  </si>
  <si>
    <t>Indigent Care</t>
  </si>
  <si>
    <t>Provider Assessments</t>
  </si>
  <si>
    <t>Additional DSH Payments SUNY</t>
  </si>
  <si>
    <r>
      <t>TOTAL</t>
    </r>
    <r>
      <rPr>
        <b/>
        <vertAlign val="superscript"/>
        <sz val="12"/>
        <rFont val="Arial"/>
        <family val="2"/>
      </rPr>
      <t>(**)</t>
    </r>
  </si>
  <si>
    <t>TOTAL REPORTED MEDICAID</t>
  </si>
  <si>
    <r>
      <t xml:space="preserve">(*) </t>
    </r>
    <r>
      <rPr>
        <sz val="10"/>
        <color theme="1"/>
        <rFont val="Arial"/>
        <family val="2"/>
      </rPr>
      <t xml:space="preserve"> General Fund and State Special Revenue Funds only.</t>
    </r>
  </si>
  <si>
    <t xml:space="preserve">    These amounts do not include Medical Assistance spending for State Operations.</t>
  </si>
  <si>
    <t xml:space="preserve">    These amounts are not comparable to Medicaid Global Cap spending.</t>
  </si>
  <si>
    <t xml:space="preserve">    Department of Health regularly reclassifies spending between programs,  </t>
  </si>
  <si>
    <t xml:space="preserve">    and therefore amounts for any individual program may be restated by DOH.</t>
  </si>
  <si>
    <r>
      <rPr>
        <vertAlign val="superscript"/>
        <sz val="10"/>
        <color theme="1"/>
        <rFont val="Arial"/>
        <family val="2"/>
      </rPr>
      <t xml:space="preserve">(**) </t>
    </r>
    <r>
      <rPr>
        <sz val="10"/>
        <color theme="1"/>
        <rFont val="Arial"/>
        <family val="2"/>
      </rPr>
      <t>Source: Statewide Financial System</t>
    </r>
  </si>
  <si>
    <t>APPENDIX I</t>
  </si>
  <si>
    <r>
      <t>MEDICAL ASSISTANCE DISBURSEMENTS - FEDERAL FUNDS</t>
    </r>
    <r>
      <rPr>
        <b/>
        <vertAlign val="superscript"/>
        <sz val="14"/>
        <color theme="1"/>
        <rFont val="Arial"/>
        <family val="2"/>
      </rPr>
      <t>(*)</t>
    </r>
  </si>
  <si>
    <t>Medical Assistance &amp; Survey Certification Program</t>
  </si>
  <si>
    <t>Non-Institutional &amp; Other</t>
  </si>
  <si>
    <r>
      <t>TOTAL REPORTED MEDICAID</t>
    </r>
    <r>
      <rPr>
        <b/>
        <vertAlign val="superscript"/>
        <sz val="12"/>
        <color theme="1"/>
        <rFont val="Arial"/>
        <family val="2"/>
      </rPr>
      <t>(***)</t>
    </r>
  </si>
  <si>
    <r>
      <t xml:space="preserve">(*) </t>
    </r>
    <r>
      <rPr>
        <sz val="10"/>
        <color theme="1"/>
        <rFont val="Arial"/>
        <family val="2"/>
      </rPr>
      <t xml:space="preserve"> Special Revenue Federal Funds only.</t>
    </r>
  </si>
  <si>
    <r>
      <rPr>
        <vertAlign val="superscript"/>
        <sz val="10"/>
        <color theme="1"/>
        <rFont val="Arial"/>
        <family val="2"/>
      </rPr>
      <t>(**)</t>
    </r>
    <r>
      <rPr>
        <sz val="10"/>
        <color theme="1"/>
        <rFont val="Arial"/>
        <family val="2"/>
      </rPr>
      <t xml:space="preserve">  Source: Statewide Financial System</t>
    </r>
  </si>
  <si>
    <r>
      <rPr>
        <vertAlign val="superscript"/>
        <sz val="10"/>
        <color theme="1"/>
        <rFont val="Arial"/>
        <family val="2"/>
      </rPr>
      <t xml:space="preserve">(***)  </t>
    </r>
    <r>
      <rPr>
        <sz val="10"/>
        <color theme="1"/>
        <rFont val="Arial"/>
        <family val="2"/>
      </rPr>
      <t>Reported Medicaid spending does not include the Basic Health Plan.</t>
    </r>
  </si>
  <si>
    <t>VIRTUAL CURRENCY FUND</t>
  </si>
  <si>
    <t xml:space="preserve">      Orchard Park Stadium</t>
  </si>
  <si>
    <t xml:space="preserve">      Penn Station Access</t>
  </si>
  <si>
    <t xml:space="preserve">      Fines, Penalties and Forfeitures  </t>
  </si>
  <si>
    <t xml:space="preserve">         Peer-to-Peer Car Sharing </t>
  </si>
  <si>
    <t xml:space="preserve">            Abandoned Property </t>
  </si>
  <si>
    <t xml:space="preserve">            Business </t>
  </si>
  <si>
    <t xml:space="preserve">            Medical Care </t>
  </si>
  <si>
    <t xml:space="preserve">            Public Utilities </t>
  </si>
  <si>
    <t xml:space="preserve"> Disbursements and Other Financing Uses    </t>
  </si>
  <si>
    <t xml:space="preserve">            Business/Professional </t>
  </si>
  <si>
    <t xml:space="preserve">            Motor Vehicle </t>
  </si>
  <si>
    <t xml:space="preserve">            Recreational/Consumer </t>
  </si>
  <si>
    <t xml:space="preserve">      Fines, Penalties and Forfeitures </t>
  </si>
  <si>
    <t xml:space="preserve">      Receipts from Municipalities </t>
  </si>
  <si>
    <t xml:space="preserve">            Issuance Fees </t>
  </si>
  <si>
    <t xml:space="preserve">            Administrative Recoveries </t>
  </si>
  <si>
    <t xml:space="preserve">            Gifts, Grants and Donations </t>
  </si>
  <si>
    <t xml:space="preserve">            Indirect Cost Recoveries </t>
  </si>
  <si>
    <t xml:space="preserve">            Patient/Client Care Reimbursement </t>
  </si>
  <si>
    <t xml:space="preserve">            Restitution and Settlements </t>
  </si>
  <si>
    <t xml:space="preserve">      Tuition </t>
  </si>
  <si>
    <t xml:space="preserve">       General Government </t>
  </si>
  <si>
    <t xml:space="preserve">       Environment and Recreation </t>
  </si>
  <si>
    <t xml:space="preserve">   Debt Service, Including Payments on </t>
  </si>
  <si>
    <t xml:space="preserve">     Consumption/Use Taxes: </t>
  </si>
  <si>
    <t xml:space="preserve">         Auto Rental  </t>
  </si>
  <si>
    <t xml:space="preserve">         Alcoholic Beverage  </t>
  </si>
  <si>
    <t xml:space="preserve">            Abandoned Property  </t>
  </si>
  <si>
    <t xml:space="preserve">            Other </t>
  </si>
  <si>
    <t xml:space="preserve">            Audit Fees </t>
  </si>
  <si>
    <t xml:space="preserve">            Business/Professional  </t>
  </si>
  <si>
    <t xml:space="preserve">            Casino </t>
  </si>
  <si>
    <t xml:space="preserve">            Lottery </t>
  </si>
  <si>
    <t xml:space="preserve">            Mobile Sports </t>
  </si>
  <si>
    <t xml:space="preserve">            Video Lottery </t>
  </si>
  <si>
    <t xml:space="preserve">      Interest Earnings </t>
  </si>
  <si>
    <t xml:space="preserve">            Cost Recovery Assessments </t>
  </si>
  <si>
    <t xml:space="preserve">            Non Bond Related </t>
  </si>
  <si>
    <t xml:space="preserve">            Rebates </t>
  </si>
  <si>
    <t xml:space="preserve">            All Other </t>
  </si>
  <si>
    <t xml:space="preserve">       Transportation </t>
  </si>
  <si>
    <t xml:space="preserve">          Total Disbursements </t>
  </si>
  <si>
    <t xml:space="preserve">  over Disbursements </t>
  </si>
  <si>
    <t xml:space="preserve">            Bond Proceeds </t>
  </si>
  <si>
    <t xml:space="preserve">Temporary loans to federal funds are typically reimbursed within 2-3 days.  Such loans are made pursuant to federal regulations which require the State to disburse funds prior to </t>
  </si>
  <si>
    <t xml:space="preserve">            Student Loans   </t>
  </si>
  <si>
    <t xml:space="preserve">            Student Loans  </t>
  </si>
  <si>
    <t xml:space="preserve">                           STATE SPECIAL REVENUE FUNDS</t>
  </si>
  <si>
    <t xml:space="preserve">                           FEDERAL SPECIAL REVENUE FUNDS</t>
  </si>
  <si>
    <t xml:space="preserve">      Transportation Capital Plan</t>
  </si>
  <si>
    <t xml:space="preserve">  Other Financing Sources over </t>
  </si>
  <si>
    <t>Also included in Debt Service funds are transfers to Special Revenue funds representing receipts in</t>
  </si>
  <si>
    <t xml:space="preserve">        by activities from dedicated revenue sources (including operating transfers from Federal Funds) and Debt Service Funds. </t>
  </si>
  <si>
    <t>Ryan White Clinics</t>
  </si>
  <si>
    <t>DEBT ISSUED</t>
  </si>
  <si>
    <t xml:space="preserve">Medical Assistance (OPWDD) </t>
  </si>
  <si>
    <t>DFS IT MODERNIZATION CAP ACCOUNT</t>
  </si>
  <si>
    <t xml:space="preserve">Debt Service Funds - Other Financing Arrangements  </t>
  </si>
  <si>
    <t>OTHER FINANCING ARRANGEMENTS</t>
  </si>
  <si>
    <t xml:space="preserve">Special Contractual Financing Arrangements: </t>
  </si>
  <si>
    <t xml:space="preserve">       Financing Arrangements </t>
  </si>
  <si>
    <t xml:space="preserve">    Other Financing Arrangements</t>
  </si>
  <si>
    <t xml:space="preserve">     Other Financing Arrangements</t>
  </si>
  <si>
    <t xml:space="preserve">    Other Financing Arrangements </t>
  </si>
  <si>
    <t xml:space="preserve">excess of other financing arrangement obligations that are used to finance a portion of the operating </t>
  </si>
  <si>
    <r>
      <t xml:space="preserve">   </t>
    </r>
    <r>
      <rPr>
        <sz val="12"/>
        <color indexed="8"/>
        <rFont val="Arial"/>
        <family val="2"/>
      </rPr>
      <t>Federal Receipts</t>
    </r>
  </si>
  <si>
    <t xml:space="preserve">The Division of the Budget (DOB) is responsible for organizing and presenting the above schedule of ‘Off Budget Spending’. Such reported disbursements are drawn from unaudited financial data provided by public authorities. Although the Office of the State Comptroller (OSC) has no reason to believe this information to be unreliable, it is important to note that these program disbursements are financed with public authority bond proceeds deposited directly into public authority accounts and all disbursements are made without any oversight by the OSC. Therefore, and pursuant to the provisions of Chapter 60, §16, of the Laws of 2006; this schedule is provided for information only. </t>
  </si>
  <si>
    <t xml:space="preserve">      Economic Development</t>
  </si>
  <si>
    <t>reimbursed in future months from the sources indicated:</t>
  </si>
  <si>
    <t>NY RACING CAPITAL IMPROVEMENT</t>
  </si>
  <si>
    <t xml:space="preserve">Medical Assistance (OASAS) </t>
  </si>
  <si>
    <t xml:space="preserve">Healthcare Stability </t>
  </si>
  <si>
    <t>Office of Health Insurance</t>
  </si>
  <si>
    <t>Healthcare Safety Net</t>
  </si>
  <si>
    <t>Long Term Care Providers</t>
  </si>
  <si>
    <t>MAP DC37 &amp; Teamster Local 858</t>
  </si>
  <si>
    <t>CENTRALIZED SERVICES-INFORMATION RESOURCE MGMT</t>
  </si>
  <si>
    <t>CENTRALIZED SERVICES- FEDERAL PERSONAL PROPERTY</t>
  </si>
  <si>
    <t xml:space="preserve">            Abandoned Property</t>
  </si>
  <si>
    <t>NY WATERFRONT COMMISSION EMPLOYER ASSESSMENT ACCOUNT</t>
  </si>
  <si>
    <t>payments for patients residing in State-operated Health and Mental Hygiene facilities, SUNY Capital</t>
  </si>
  <si>
    <t xml:space="preserve">   Transfers from Health Care Stability Fund</t>
  </si>
  <si>
    <t>Dedicated Mass Transportation - Transit Authority Account</t>
  </si>
  <si>
    <t>Partnership Plan</t>
  </si>
  <si>
    <t xml:space="preserve">     Housing Finance Agency</t>
  </si>
  <si>
    <t>Reclassification of Medical Assistance payments for care and treatment of patients at State-operated health, mental hygiene and State University facilities to Transfers</t>
  </si>
  <si>
    <t xml:space="preserve">(**) Disbursements from the HCRA Resources Fund includes direct grant payments to program beneficiaries, services and expenses </t>
  </si>
  <si>
    <t xml:space="preserve">     Bank Charge</t>
  </si>
  <si>
    <t>Independent Living Center</t>
  </si>
  <si>
    <t>FISCAL YEAR 2026-2027</t>
  </si>
  <si>
    <t>April 30, 2026</t>
  </si>
  <si>
    <t>CUSTODIAL FUNDS</t>
  </si>
  <si>
    <t xml:space="preserve">     TOTAL CUSTODIAL FUNDS   </t>
  </si>
  <si>
    <t>New York Central Business District Trust Fund</t>
  </si>
  <si>
    <t xml:space="preserve">(**)  Actual reported transfer amounts include eliminations between Special Revenue - State and Federal Funds. </t>
  </si>
  <si>
    <t xml:space="preserve">(*) Includes amounts appropriated in SFY 2026-27, as well as prior year appropriations that were reappropriated. </t>
  </si>
  <si>
    <t>New York City County Clerks' Operations Offset</t>
  </si>
  <si>
    <t>SUNY Hospital IFR</t>
  </si>
  <si>
    <r>
      <t>Debt Service Funds</t>
    </r>
    <r>
      <rPr>
        <b/>
        <sz val="9"/>
        <rFont val="Arial"/>
        <family val="2"/>
      </rPr>
      <t xml:space="preserve">  </t>
    </r>
    <r>
      <rPr>
        <sz val="9"/>
        <rFont val="Arial"/>
        <family val="2"/>
      </rPr>
      <t>“Transfers To Other Funds” includes transfers to the General Fund from the following:</t>
    </r>
  </si>
  <si>
    <t>May 31, 2026</t>
  </si>
  <si>
    <t>State University Income Fund</t>
  </si>
  <si>
    <t>Mass Transportation Finance Assistance</t>
  </si>
  <si>
    <t>(****)</t>
  </si>
  <si>
    <t>GRANTS REIMBURSEMENT FROM NON-FED ENTITY ACCOUNT</t>
  </si>
  <si>
    <t>RENOURISHMENT ACCOUNT</t>
  </si>
  <si>
    <t>TRANSIT AUTHORITIES ACCOUNT</t>
  </si>
  <si>
    <t>RAILROAD ACCOUNT</t>
  </si>
  <si>
    <t>NON-MTA CAPITAL ACCOUNT</t>
  </si>
  <si>
    <t>ANIMAL SHELTER REGULATION ACCOUNT</t>
  </si>
  <si>
    <t xml:space="preserve">  21750-21799-Music Grant</t>
  </si>
  <si>
    <t>(*)  Source: 2026-27 Enacted Budget dated June 10, 2026.</t>
  </si>
  <si>
    <t xml:space="preserve">  31900-31949-Natural Resource Damages</t>
  </si>
  <si>
    <t xml:space="preserve">  23650-23699-MTA Financial Assistance</t>
  </si>
  <si>
    <t xml:space="preserve">  23700-23749-New York State Commercial Gaming</t>
  </si>
  <si>
    <t xml:space="preserve">  10300-10349-Rainy Day Reserve</t>
  </si>
  <si>
    <t xml:space="preserve">  24900-24949-Charitable Gifts Trust</t>
  </si>
  <si>
    <t xml:space="preserve">  23750-23799-Medical Cannabis Trust</t>
  </si>
  <si>
    <t>Temporary Loans are authorized pursuant to Subdivision 5 of Section 4 of the State Finance Law and Chapter 58, Part GGG, Section 1 of the Laws of 2026-27.</t>
  </si>
  <si>
    <t xml:space="preserve">Reclassification of Medical Assistance payments for care and treatment of patients at State-operated health, mental hygiene and State University facilities to Transfers and adjustments for timing of payments at month end.  </t>
  </si>
  <si>
    <t>June 30, 2026</t>
  </si>
  <si>
    <t>Dedicated Highway and Bridge Trust Fund</t>
  </si>
  <si>
    <t>Dedicated Mass Transportation (Non MTA)</t>
  </si>
  <si>
    <t>Dedicated Mass Transportation - Railroad Account</t>
  </si>
  <si>
    <t>Mass Transportation Operating Assistance Fund</t>
  </si>
  <si>
    <t>Recruitment Incentive Account</t>
  </si>
  <si>
    <t xml:space="preserve">Business Services Center </t>
  </si>
  <si>
    <t>Indigent Legal Services Account</t>
  </si>
  <si>
    <t>Training and Education Program on OSHA</t>
  </si>
  <si>
    <t>Unemployment Insurance Administration</t>
  </si>
  <si>
    <t>Also Included in Special Revenue Funds are transfers to the General Fund from the following:</t>
  </si>
  <si>
    <t>JULY 2026</t>
  </si>
  <si>
    <t>JULY 31, 2026</t>
  </si>
  <si>
    <t>4 MOS. ENDED</t>
  </si>
  <si>
    <t>FOR FOUR MONTHS ENDED JULY 31, 2026</t>
  </si>
  <si>
    <t>July 31, 2026</t>
  </si>
  <si>
    <t>Combined Expendable Trust</t>
  </si>
  <si>
    <t>Green Energy Loan Fund</t>
  </si>
  <si>
    <t xml:space="preserve">the current fiscal quarter.  As of July 31, 2026 - pursuant to a certification of the Budget Director - </t>
  </si>
  <si>
    <t>the reserve amount is ($40.3m), which was funded by a transfer from the General Fund.</t>
  </si>
  <si>
    <t>Public Service Account</t>
  </si>
  <si>
    <t>Statewide Public Safety Communications Account</t>
  </si>
  <si>
    <t>Miscellaneous State Special Revenue Fund</t>
  </si>
  <si>
    <t>Workers' Compensation Board Account</t>
  </si>
  <si>
    <t>State Lottery Fund</t>
  </si>
  <si>
    <t>HCRA Resources Fund</t>
  </si>
  <si>
    <t>Federal Operating Grants</t>
  </si>
  <si>
    <t>Federal USDA / Food and Nutrition</t>
  </si>
  <si>
    <t>Projects Fund ($21.7m), and All Other Capital Projects ($33.6m).</t>
  </si>
  <si>
    <t xml:space="preserve">  Plan (**)</t>
  </si>
  <si>
    <r>
      <t xml:space="preserve">(***)  </t>
    </r>
    <r>
      <rPr>
        <u/>
        <sz val="12"/>
        <rFont val="Arial"/>
        <family val="2"/>
      </rPr>
      <t>State Operating Funds</t>
    </r>
    <r>
      <rPr>
        <sz val="12"/>
        <rFont val="Arial"/>
        <family val="2"/>
      </rPr>
      <t xml:space="preserve"> are comprised of the General Fund, State Special Revenue Funds supported</t>
    </r>
  </si>
  <si>
    <t>(****) Eliminations between Special Revenue - State and Federal Funds are not included.</t>
  </si>
  <si>
    <t xml:space="preserve">                                     STATE OPERATING FUNDS (***)</t>
  </si>
  <si>
    <t xml:space="preserve">  Transfers from Other Funds (***)</t>
  </si>
  <si>
    <t xml:space="preserve">  Transfers to Other Funds (***)</t>
  </si>
  <si>
    <t>(**) Source: 2026-27 First Quarter Budget Update dated July 30, 2026, which made no changes to the Enacted Financial Plan.</t>
  </si>
  <si>
    <t xml:space="preserve">As of July 31, 2026, $11,433,177.87 (representing the remaining balance of the State's 95 percent share of the fair market value of the not-for-profit corporation plus interest) is on deposit in the sole custody account titled Public Asset Fund. In accordance with Section 4301(j)(4)(F) and (O) of the Insurance Law and at the direction of the Director of the Budget, these funds are available for transfer to HCRA Resources Fund (20800-20849). </t>
  </si>
  <si>
    <t xml:space="preserve">(***)   Includes transfers to the Department of Health Income Fund and the State University Income Fund representing payments </t>
  </si>
  <si>
    <r>
      <t>Capital Projects Funds</t>
    </r>
    <r>
      <rPr>
        <b/>
        <sz val="9"/>
        <rFont val="Arial"/>
        <family val="2"/>
      </rPr>
      <t xml:space="preserve">  </t>
    </r>
    <r>
      <rPr>
        <sz val="9"/>
        <rFont val="Arial"/>
        <family val="2"/>
      </rPr>
      <t>“Transfers To Other Funds” includes transfers to the General Fund ($23.2m).</t>
    </r>
  </si>
  <si>
    <t xml:space="preserve">expenses for the Department of Health ($63.0m). </t>
  </si>
  <si>
    <t xml:space="preserve">State University Income Fund ($324.0m). </t>
  </si>
  <si>
    <t xml:space="preserve">Fund and Department of Health Income Fund ($697.1m) representing the federal share of Medicaid </t>
  </si>
  <si>
    <t xml:space="preserve">operated health, mental hygiene and State University facilities to Debt Service funds ($2.4m), and the </t>
  </si>
  <si>
    <t>1st Quarter</t>
  </si>
  <si>
    <t>APRIL - 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</si>
</sst>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5" formatCode="&quot;$&quot;#,##0_);\(&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
    <numFmt numFmtId="166" formatCode="#,##0.0_);\(#,##0.0\)"/>
    <numFmt numFmtId="167" formatCode="_(&quot;$&quot;* #,##0.0_);_(&quot;$&quot;* \(#,##0.0\);_(&quot;$&quot;* &quot;-&quot;??_);_(@_)"/>
    <numFmt numFmtId="168" formatCode="[$$-409]#,##0.0"/>
    <numFmt numFmtId="169" formatCode="&quot;$&quot;#,##0.0_);\(&quot;$&quot;#,##0.0\)"/>
    <numFmt numFmtId="170" formatCode="_(* #,##0.0_);_(* \(#,##0.0\);_(* &quot;-&quot;?_);_(@_)"/>
    <numFmt numFmtId="171" formatCode="0_);\(0\)"/>
    <numFmt numFmtId="172" formatCode="#,##0.0%"/>
    <numFmt numFmtId="173" formatCode="#,##0.000"/>
    <numFmt numFmtId="174" formatCode="_(&quot;$&quot;* #,##0.0_);_(&quot;$&quot;* \(#,##0.0\);_(&quot;$&quot;* &quot;-&quot;?_);_(@_)"/>
    <numFmt numFmtId="175" formatCode="&quot;$&quot;#,##0.0"/>
    <numFmt numFmtId="176" formatCode="0.000"/>
    <numFmt numFmtId="177" formatCode="_(* #,##0.000_);_(* \(#,##0.000\);_(* &quot;-&quot;???_);_(@_)"/>
    <numFmt numFmtId="178" formatCode="m/d/yy;@"/>
    <numFmt numFmtId="179" formatCode="_(&quot;$&quot;* #,##0.000_);_(&quot;$&quot;* \(#,##0.000\);_(&quot;$&quot;* &quot;-&quot;???_);_(@_)"/>
    <numFmt numFmtId="180" formatCode="#,##0.000_);\(#,##0.000\)"/>
    <numFmt numFmtId="181" formatCode="_(* #,##0.000_);_(* \(#,##0.000\);_(* &quot;-&quot;??_);_(@_)"/>
    <numFmt numFmtId="182" formatCode="&quot;$&quot;#,##0.000_);\(&quot;$&quot;#,##0.000\)"/>
    <numFmt numFmtId="183" formatCode="m/d/yy"/>
    <numFmt numFmtId="184" formatCode="0.000_);\(0.000\)"/>
    <numFmt numFmtId="185" formatCode="[$-409]mmmm\ d\,\ yyyy;@"/>
    <numFmt numFmtId="186" formatCode="&quot;$&quot;#,##0.00"/>
    <numFmt numFmtId="187" formatCode="&quot;$&quot;#,##0"/>
    <numFmt numFmtId="188" formatCode="0.000%"/>
    <numFmt numFmtId="189" formatCode="_(* #,##0_);_(* \(#,##0\);_(* &quot;-&quot;??_);_(@_)"/>
    <numFmt numFmtId="190" formatCode="&quot;$&quot;#,##0.0_);[Red]\(&quot;$&quot;#,##0.0\)"/>
    <numFmt numFmtId="191" formatCode="0.0"/>
    <numFmt numFmtId="192" formatCode="_(* #,##0.0_);_(* \(#,##0.0\);_(* &quot;-&quot;??_);_(@_)"/>
    <numFmt numFmtId="193" formatCode="0.0000%"/>
    <numFmt numFmtId="194" formatCode="#,##0.00000_);\(#,##0.00000\)"/>
    <numFmt numFmtId="195" formatCode="0.0_);\(0.0\)"/>
    <numFmt numFmtId="196" formatCode="_(&quot;$&quot;* #,##0_);_(&quot;$&quot;* \(#,##0\);_(&quot;$&quot;* &quot;-&quot;??_);_(@_)"/>
    <numFmt numFmtId="197" formatCode="#,#00.0%"/>
    <numFmt numFmtId="198" formatCode="_(* #,##0.000_);_(* \(#,##0.000\);_(* &quot;-&quot;?_);_(@_)"/>
    <numFmt numFmtId="199" formatCode="mmm\.\ dd\,\ yyyy"/>
  </numFmts>
  <fonts count="233">
    <font>
      <sz val="12"/>
      <name val="Arial"/>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name val="Arial"/>
      <family val="2"/>
    </font>
    <font>
      <b/>
      <sz val="16"/>
      <name val="Arial"/>
      <family val="2"/>
    </font>
    <font>
      <sz val="12"/>
      <name val="Arial"/>
      <family val="2"/>
    </font>
    <font>
      <sz val="8"/>
      <name val="Arial"/>
      <family val="2"/>
    </font>
    <font>
      <sz val="16"/>
      <name val="Arial"/>
      <family val="2"/>
    </font>
    <font>
      <sz val="10"/>
      <name val="Arial"/>
      <family val="2"/>
    </font>
    <font>
      <b/>
      <sz val="10"/>
      <name val="Arial"/>
      <family val="2"/>
    </font>
    <font>
      <b/>
      <sz val="12"/>
      <name val="Arial"/>
      <family val="2"/>
    </font>
    <font>
      <b/>
      <sz val="12"/>
      <name val="Helv"/>
    </font>
    <font>
      <sz val="12"/>
      <name val="Helv"/>
    </font>
    <font>
      <b/>
      <sz val="8"/>
      <name val="Arial"/>
      <family val="2"/>
    </font>
    <font>
      <sz val="12"/>
      <color theme="1"/>
      <name val="Arial"/>
      <family val="2"/>
    </font>
    <font>
      <sz val="9"/>
      <name val="Arial"/>
      <family val="2"/>
    </font>
    <font>
      <sz val="12"/>
      <name val="Helvetica-Narrow"/>
      <family val="2"/>
    </font>
    <font>
      <b/>
      <sz val="18"/>
      <name val="Arial"/>
      <family val="2"/>
    </font>
    <font>
      <sz val="18"/>
      <name val="Arial"/>
      <family val="2"/>
    </font>
    <font>
      <sz val="8"/>
      <color indexed="9"/>
      <name val="Arial"/>
      <family val="2"/>
    </font>
    <font>
      <b/>
      <sz val="16"/>
      <color indexed="9"/>
      <name val="Helv"/>
    </font>
    <font>
      <sz val="10"/>
      <name val="Times New Roman"/>
      <family val="1"/>
    </font>
    <font>
      <b/>
      <sz val="10"/>
      <color indexed="8"/>
      <name val="Arial"/>
      <family val="2"/>
    </font>
    <font>
      <b/>
      <sz val="12"/>
      <color indexed="8"/>
      <name val="Arial"/>
      <family val="2"/>
    </font>
    <font>
      <sz val="12"/>
      <color indexed="8"/>
      <name val="Arial"/>
      <family val="2"/>
    </font>
    <font>
      <sz val="8"/>
      <color indexed="8"/>
      <name val="Arial"/>
      <family val="2"/>
    </font>
    <font>
      <sz val="14"/>
      <name val="Arial"/>
      <family val="2"/>
    </font>
    <font>
      <u/>
      <sz val="14"/>
      <name val="Arial"/>
      <family val="2"/>
    </font>
    <font>
      <sz val="12"/>
      <name val="SWISS"/>
    </font>
    <font>
      <b/>
      <sz val="12"/>
      <name val="SWISS"/>
    </font>
    <font>
      <sz val="10"/>
      <name val="SWISS"/>
    </font>
    <font>
      <b/>
      <sz val="14"/>
      <name val="Arial"/>
      <family val="2"/>
    </font>
    <font>
      <b/>
      <sz val="13"/>
      <name val="Arial"/>
      <family val="2"/>
    </font>
    <font>
      <b/>
      <sz val="20"/>
      <name val="Arial"/>
      <family val="2"/>
    </font>
    <font>
      <b/>
      <u/>
      <sz val="12"/>
      <name val="Arial"/>
      <family val="2"/>
    </font>
    <font>
      <sz val="13"/>
      <name val="Arial"/>
      <family val="2"/>
    </font>
    <font>
      <b/>
      <sz val="15"/>
      <name val="Times New Roman"/>
      <family val="1"/>
    </font>
    <font>
      <b/>
      <sz val="12"/>
      <color indexed="9"/>
      <name val="Arial"/>
      <family val="2"/>
    </font>
    <font>
      <b/>
      <sz val="10"/>
      <name val="SWISS"/>
    </font>
    <font>
      <b/>
      <sz val="18"/>
      <color indexed="8"/>
      <name val="Arial"/>
      <family val="2"/>
    </font>
    <font>
      <sz val="14"/>
      <name val="SWISS"/>
    </font>
    <font>
      <b/>
      <sz val="14"/>
      <name val="SWISS"/>
    </font>
    <font>
      <b/>
      <u/>
      <sz val="10"/>
      <name val="Arial"/>
      <family val="2"/>
    </font>
    <font>
      <sz val="11"/>
      <name val="Arial"/>
      <family val="2"/>
    </font>
    <font>
      <sz val="10"/>
      <color indexed="12"/>
      <name val="Arial"/>
      <family val="2"/>
    </font>
    <font>
      <b/>
      <sz val="11"/>
      <name val="Arial"/>
      <family val="2"/>
    </font>
    <font>
      <sz val="10"/>
      <name val="Arial"/>
      <family val="2"/>
    </font>
    <font>
      <sz val="10"/>
      <color indexed="9"/>
      <name val="Arial"/>
      <family val="2"/>
    </font>
    <font>
      <sz val="8"/>
      <name val="SWISS"/>
    </font>
    <font>
      <i/>
      <sz val="18"/>
      <name val="Arial"/>
      <family val="2"/>
    </font>
    <font>
      <i/>
      <sz val="14"/>
      <name val="SWISS"/>
    </font>
    <font>
      <i/>
      <sz val="14"/>
      <name val="Arial"/>
      <family val="2"/>
    </font>
    <font>
      <b/>
      <sz val="14"/>
      <color indexed="9"/>
      <name val="Arial"/>
      <family val="2"/>
    </font>
    <font>
      <i/>
      <sz val="12"/>
      <name val="Arial"/>
      <family val="2"/>
    </font>
    <font>
      <sz val="10"/>
      <name val="Arial MT"/>
    </font>
    <font>
      <sz val="12"/>
      <name val="Arial MT"/>
    </font>
    <font>
      <b/>
      <sz val="12"/>
      <name val="Arial MT"/>
    </font>
    <font>
      <sz val="12"/>
      <name val="Times New Roman"/>
      <family val="1"/>
    </font>
    <font>
      <sz val="12"/>
      <name val="Times New Roman"/>
      <family val="1"/>
    </font>
    <font>
      <sz val="10"/>
      <name val="SCRRMN"/>
    </font>
    <font>
      <sz val="12"/>
      <name val="Century Gothic"/>
      <family val="2"/>
    </font>
    <font>
      <b/>
      <sz val="12"/>
      <name val="Times New Roman"/>
      <family val="1"/>
    </font>
    <font>
      <b/>
      <u/>
      <sz val="14"/>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u/>
      <sz val="12"/>
      <name val="Arial"/>
      <family val="2"/>
    </font>
    <font>
      <b/>
      <sz val="13"/>
      <name val="SWISS"/>
    </font>
    <font>
      <b/>
      <sz val="16"/>
      <color indexed="10"/>
      <name val="Arial"/>
      <family val="2"/>
    </font>
    <font>
      <b/>
      <sz val="10"/>
      <color theme="1"/>
      <name val="Arial"/>
      <family val="2"/>
    </font>
    <font>
      <sz val="11"/>
      <color theme="1"/>
      <name val="Calibri"/>
      <family val="2"/>
    </font>
    <font>
      <sz val="11"/>
      <color indexed="8"/>
      <name val="Calibri"/>
      <family val="2"/>
    </font>
    <font>
      <b/>
      <sz val="9"/>
      <name val="Arial"/>
      <family val="2"/>
    </font>
    <font>
      <b/>
      <sz val="10"/>
      <color indexed="9"/>
      <name val="Arial"/>
      <family val="2"/>
    </font>
    <font>
      <sz val="12"/>
      <color theme="1"/>
      <name val="Calibri"/>
      <family val="2"/>
      <scheme val="minor"/>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56"/>
      <name val="Cambria"/>
      <family val="2"/>
    </font>
    <font>
      <sz val="10"/>
      <color indexed="10"/>
      <name val="Arial"/>
      <family val="2"/>
    </font>
    <font>
      <sz val="12"/>
      <color theme="4" tint="-0.249977111117893"/>
      <name val="Arial"/>
      <family val="2"/>
    </font>
    <font>
      <b/>
      <sz val="12"/>
      <color theme="4" tint="-0.249977111117893"/>
      <name val="Arial"/>
      <family val="2"/>
    </font>
    <font>
      <sz val="10"/>
      <color theme="4" tint="-0.249977111117893"/>
      <name val="SWISS"/>
    </font>
    <font>
      <sz val="10"/>
      <color theme="4" tint="-0.249977111117893"/>
      <name val="Arial"/>
      <family val="2"/>
    </font>
    <font>
      <b/>
      <u/>
      <sz val="12"/>
      <color theme="4" tint="-0.249977111117893"/>
      <name val="Arial"/>
      <family val="2"/>
    </font>
    <font>
      <sz val="12"/>
      <color theme="3" tint="0.39997558519241921"/>
      <name val="Arial"/>
      <family val="2"/>
    </font>
    <font>
      <sz val="11"/>
      <color theme="1"/>
      <name val="Arial"/>
      <family val="2"/>
    </font>
    <font>
      <sz val="12"/>
      <color indexed="9"/>
      <name val="Arial"/>
      <family val="2"/>
    </font>
    <font>
      <b/>
      <u/>
      <sz val="9"/>
      <name val="Arial"/>
      <family val="2"/>
    </font>
    <font>
      <sz val="7.5"/>
      <name val="Arial"/>
      <family val="2"/>
    </font>
    <font>
      <sz val="9"/>
      <name val="Times New Roman"/>
      <family val="1"/>
    </font>
    <font>
      <u/>
      <sz val="10"/>
      <name val="Arial"/>
      <family val="2"/>
    </font>
    <font>
      <sz val="10"/>
      <name val="Microsoft Sans Serif"/>
      <family val="2"/>
    </font>
    <font>
      <sz val="8"/>
      <color theme="4" tint="-0.249977111117893"/>
      <name val="Arial"/>
      <family val="2"/>
    </font>
    <font>
      <b/>
      <sz val="10"/>
      <color theme="4" tint="-0.249977111117893"/>
      <name val="Arial"/>
      <family val="2"/>
    </font>
    <font>
      <sz val="12"/>
      <color theme="4" tint="-0.249977111117893"/>
      <name val="Helv"/>
    </font>
    <font>
      <u/>
      <sz val="10"/>
      <color theme="1"/>
      <name val="Arial"/>
      <family val="2"/>
    </font>
    <font>
      <u/>
      <sz val="10"/>
      <color theme="10"/>
      <name val="Arial"/>
      <family val="2"/>
    </font>
    <font>
      <b/>
      <sz val="12"/>
      <color theme="1"/>
      <name val="Arial"/>
      <family val="2"/>
    </font>
    <font>
      <sz val="10"/>
      <color indexed="8"/>
      <name val="Arial"/>
      <family val="2"/>
    </font>
    <font>
      <sz val="10"/>
      <name val="MS Sans Serif"/>
      <family val="2"/>
    </font>
    <font>
      <sz val="11"/>
      <color rgb="FF000000"/>
      <name val="Calibri"/>
      <family val="2"/>
      <scheme val="minor"/>
    </font>
    <font>
      <sz val="12"/>
      <name val="Arial"/>
      <family val="2"/>
    </font>
    <font>
      <sz val="14"/>
      <name val="Arial MT"/>
    </font>
    <font>
      <b/>
      <i/>
      <sz val="18"/>
      <name val="Arial"/>
      <family val="2"/>
    </font>
    <font>
      <b/>
      <i/>
      <sz val="14"/>
      <name val="SWISS"/>
    </font>
    <font>
      <b/>
      <i/>
      <sz val="12"/>
      <name val="Arial"/>
      <family val="2"/>
    </font>
    <font>
      <b/>
      <sz val="13"/>
      <name val="Arrial"/>
    </font>
    <font>
      <i/>
      <sz val="16"/>
      <name val="Arial"/>
      <family val="2"/>
    </font>
    <font>
      <sz val="12"/>
      <name val="Arial"/>
      <family val="2"/>
    </font>
    <font>
      <sz val="12"/>
      <color rgb="FFFF0000"/>
      <name val="Arial"/>
      <family val="2"/>
    </font>
    <font>
      <b/>
      <sz val="12"/>
      <color rgb="FFFF0000"/>
      <name val="Arial"/>
      <family val="2"/>
    </font>
    <font>
      <sz val="10"/>
      <color theme="1"/>
      <name val="Arial"/>
      <family val="2"/>
    </font>
    <font>
      <u/>
      <sz val="10"/>
      <color rgb="FF0000FF"/>
      <name val="Arial"/>
      <family val="2"/>
    </font>
    <font>
      <b/>
      <u/>
      <sz val="10"/>
      <color rgb="FF0000FF"/>
      <name val="Arial"/>
      <family val="2"/>
    </font>
    <font>
      <sz val="10"/>
      <name val="Arial"/>
      <family val="2"/>
    </font>
    <font>
      <sz val="10"/>
      <name val="Arial Unicode MS"/>
      <family val="2"/>
    </font>
    <font>
      <b/>
      <sz val="10"/>
      <name val="Arial Unicode MS"/>
      <family val="2"/>
    </font>
    <font>
      <sz val="10"/>
      <name val="Arial Unicode MS"/>
      <family val="2"/>
    </font>
    <font>
      <sz val="10"/>
      <name val="Arial"/>
      <family val="2"/>
    </font>
    <font>
      <sz val="12"/>
      <name val="Arial"/>
      <family val="2"/>
    </font>
    <font>
      <sz val="10"/>
      <name val="Arial"/>
      <family val="2"/>
    </font>
    <font>
      <sz val="10"/>
      <name val="Arial"/>
      <family val="2"/>
    </font>
    <font>
      <sz val="10"/>
      <color theme="1"/>
      <name val="SCRRMN"/>
    </font>
    <font>
      <sz val="10"/>
      <name val="Arial"/>
      <family val="2"/>
    </font>
    <font>
      <sz val="12"/>
      <color theme="0"/>
      <name val="Arial"/>
      <family val="2"/>
    </font>
    <font>
      <sz val="12"/>
      <name val="Arial"/>
      <family val="2"/>
    </font>
    <font>
      <sz val="10"/>
      <name val="Arial"/>
      <family val="2"/>
    </font>
    <font>
      <b/>
      <sz val="14"/>
      <color theme="1"/>
      <name val="Arial"/>
      <family val="2"/>
    </font>
    <font>
      <b/>
      <sz val="16"/>
      <color theme="1"/>
      <name val="Calibri"/>
      <family val="2"/>
      <scheme val="minor"/>
    </font>
    <font>
      <b/>
      <sz val="16"/>
      <name val="Calibri"/>
      <family val="2"/>
      <scheme val="minor"/>
    </font>
    <font>
      <b/>
      <i/>
      <sz val="16"/>
      <name val="Arial"/>
      <family val="2"/>
    </font>
    <font>
      <b/>
      <sz val="12"/>
      <color indexed="32"/>
      <name val="Arial"/>
      <family val="2"/>
    </font>
    <font>
      <b/>
      <u/>
      <sz val="12"/>
      <color theme="1"/>
      <name val="Arial"/>
      <family val="2"/>
    </font>
    <font>
      <b/>
      <vertAlign val="superscript"/>
      <sz val="12"/>
      <name val="Arial"/>
      <family val="2"/>
    </font>
    <font>
      <b/>
      <sz val="12"/>
      <color theme="1"/>
      <name val="Calibri"/>
      <family val="2"/>
      <scheme val="minor"/>
    </font>
    <font>
      <u/>
      <sz val="12"/>
      <color theme="1"/>
      <name val="Arial"/>
      <family val="2"/>
    </font>
    <font>
      <b/>
      <vertAlign val="superscript"/>
      <sz val="12"/>
      <color theme="1"/>
      <name val="Arial"/>
      <family val="2"/>
    </font>
    <font>
      <b/>
      <vertAlign val="superscript"/>
      <sz val="14"/>
      <color theme="1"/>
      <name val="Arial"/>
      <family val="2"/>
    </font>
    <font>
      <vertAlign val="superscript"/>
      <sz val="10"/>
      <color theme="1"/>
      <name val="Arial"/>
      <family val="2"/>
    </font>
    <font>
      <sz val="10"/>
      <name val="Arial"/>
      <family val="2"/>
    </font>
    <font>
      <b/>
      <i/>
      <sz val="14"/>
      <name val="Arial"/>
      <family val="2"/>
    </font>
    <font>
      <b/>
      <sz val="24"/>
      <name val="Arial Narrow"/>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sz val="8"/>
      <color indexed="38"/>
      <name val="Arial"/>
      <family val="2"/>
    </font>
    <font>
      <i/>
      <sz val="11"/>
      <name val="Arial"/>
      <family val="2"/>
    </font>
    <font>
      <vertAlign val="superscript"/>
      <sz val="12"/>
      <name val="Arial"/>
      <family val="2"/>
    </font>
    <font>
      <sz val="18"/>
      <color rgb="FFFF0000"/>
      <name val="Arial"/>
      <family val="2"/>
    </font>
    <font>
      <sz val="10"/>
      <name val="Arial"/>
      <family val="2"/>
    </font>
    <font>
      <b/>
      <sz val="11"/>
      <name val="Calibri"/>
      <family val="2"/>
      <scheme val="minor"/>
    </font>
    <font>
      <sz val="12"/>
      <color rgb="FF000000"/>
      <name val="Arial"/>
      <family val="2"/>
    </font>
    <font>
      <b/>
      <sz val="12"/>
      <color rgb="FF000000"/>
      <name val="Arial"/>
      <family val="2"/>
    </font>
    <font>
      <sz val="10"/>
      <color rgb="FF000000"/>
      <name val="Arial"/>
      <family val="2"/>
    </font>
    <font>
      <sz val="8"/>
      <color rgb="FFFF0000"/>
      <name val="Arial"/>
      <family val="2"/>
    </font>
    <font>
      <sz val="10"/>
      <color rgb="FFFF0000"/>
      <name val="Arial"/>
      <family val="2"/>
    </font>
    <font>
      <sz val="12"/>
      <color rgb="FFFF0000"/>
      <name val="SWISS"/>
    </font>
    <font>
      <sz val="8"/>
      <color rgb="FF000000"/>
      <name val="Arial"/>
      <family val="2"/>
    </font>
    <font>
      <sz val="8"/>
      <color rgb="FF000000"/>
      <name val="Helvetica-Narrow"/>
      <family val="2"/>
    </font>
    <font>
      <b/>
      <sz val="16"/>
      <color rgb="FF000000"/>
      <name val="Arial"/>
      <family val="2"/>
    </font>
    <font>
      <sz val="16"/>
      <color rgb="FF000000"/>
      <name val="Arial"/>
      <family val="2"/>
    </font>
    <font>
      <b/>
      <sz val="10"/>
      <color rgb="FF000000"/>
      <name val="Arial"/>
      <family val="2"/>
    </font>
    <font>
      <b/>
      <sz val="8"/>
      <color rgb="FF000000"/>
      <name val="Arial"/>
      <family val="2"/>
    </font>
    <font>
      <sz val="9"/>
      <color rgb="FF000000"/>
      <name val="Arial"/>
      <family val="2"/>
    </font>
    <font>
      <sz val="12"/>
      <color rgb="FF000000"/>
      <name val="Helvetica-Narrow"/>
      <family val="2"/>
    </font>
    <font>
      <b/>
      <sz val="12"/>
      <color rgb="FF000000"/>
      <name val="Helv"/>
    </font>
    <font>
      <sz val="12"/>
      <color rgb="FF000000"/>
      <name val="Helv"/>
    </font>
    <font>
      <sz val="10"/>
      <color rgb="FF000000"/>
      <name val="SWISS"/>
    </font>
    <font>
      <b/>
      <sz val="11"/>
      <color rgb="FFFF0000"/>
      <name val="Arial"/>
      <family val="2"/>
    </font>
    <font>
      <b/>
      <sz val="10"/>
      <color rgb="FFFF0000"/>
      <name val="Arial"/>
      <family val="2"/>
    </font>
    <font>
      <sz val="10"/>
      <name val="Arial"/>
      <family val="2"/>
    </font>
    <font>
      <sz val="11"/>
      <color rgb="FFFF0000"/>
      <name val="Arial"/>
      <family val="2"/>
    </font>
    <font>
      <b/>
      <sz val="12"/>
      <color rgb="FFFF0000"/>
      <name val="SWISS"/>
    </font>
    <font>
      <sz val="10"/>
      <color rgb="FFFF0000"/>
      <name val="SWISS"/>
    </font>
    <font>
      <i/>
      <sz val="12"/>
      <name val="SWISS"/>
    </font>
    <font>
      <b/>
      <sz val="11"/>
      <color theme="1"/>
      <name val="Arial"/>
      <family val="2"/>
    </font>
    <font>
      <b/>
      <sz val="16"/>
      <color theme="1"/>
      <name val="Arial"/>
      <family val="2"/>
    </font>
    <font>
      <sz val="12"/>
      <name val="SWISS"/>
      <family val="2"/>
    </font>
    <font>
      <sz val="12"/>
      <name val="Arial"/>
      <family val="2"/>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indexed="30"/>
      </patternFill>
    </fill>
    <fill>
      <patternFill patternType="solid">
        <fgColor indexed="29"/>
      </patternFill>
    </fill>
    <fill>
      <patternFill patternType="solid">
        <fgColor indexed="11"/>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47"/>
      </patternFill>
    </fill>
    <fill>
      <patternFill patternType="solid">
        <fgColor indexed="43"/>
      </patternFill>
    </fill>
    <fill>
      <patternFill patternType="solid">
        <fgColor indexed="31"/>
      </patternFill>
    </fill>
    <fill>
      <patternFill patternType="solid">
        <fgColor indexed="46"/>
      </patternFill>
    </fill>
    <fill>
      <patternFill patternType="solid">
        <fgColor indexed="27"/>
      </patternFill>
    </fill>
    <fill>
      <patternFill patternType="solid">
        <fgColor indexed="44"/>
      </patternFill>
    </fill>
    <fill>
      <patternFill patternType="solid">
        <fgColor indexed="51"/>
      </patternFill>
    </fill>
    <fill>
      <patternFill patternType="solid">
        <fgColor indexed="26"/>
      </patternFill>
    </fill>
    <fill>
      <patternFill patternType="solid">
        <fgColor theme="1"/>
        <bgColor indexed="64"/>
      </patternFill>
    </fill>
  </fills>
  <borders count="7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ck">
        <color indexed="64"/>
      </left>
      <right/>
      <top/>
      <bottom/>
      <diagonal/>
    </border>
    <border>
      <left/>
      <right/>
      <top/>
      <bottom style="double">
        <color indexed="64"/>
      </bottom>
      <diagonal/>
    </border>
    <border>
      <left style="thin">
        <color indexed="64"/>
      </left>
      <right/>
      <top/>
      <bottom/>
      <diagonal/>
    </border>
    <border>
      <left style="thin">
        <color indexed="8"/>
      </left>
      <right/>
      <top/>
      <bottom/>
      <diagonal/>
    </border>
    <border>
      <left style="thin">
        <color indexed="8"/>
      </left>
      <right style="thin">
        <color indexed="8"/>
      </right>
      <top/>
      <bottom/>
      <diagonal/>
    </border>
    <border>
      <left style="thin">
        <color auto="1"/>
      </left>
      <right/>
      <top/>
      <bottom/>
      <diagonal/>
    </border>
    <border>
      <left/>
      <right/>
      <top style="double">
        <color indexed="8"/>
      </top>
      <bottom/>
      <diagonal/>
    </border>
    <border>
      <left/>
      <right/>
      <top/>
      <bottom style="double">
        <color indexed="8"/>
      </bottom>
      <diagonal/>
    </border>
    <border>
      <left/>
      <right/>
      <top style="double">
        <color indexed="64"/>
      </top>
      <bottom/>
      <diagonal/>
    </border>
    <border>
      <left/>
      <right/>
      <top/>
      <bottom style="thin">
        <color indexed="8"/>
      </bottom>
      <diagonal/>
    </border>
    <border>
      <left/>
      <right style="medium">
        <color indexed="64"/>
      </right>
      <top/>
      <bottom/>
      <diagonal/>
    </border>
    <border>
      <left/>
      <right/>
      <top style="thin">
        <color auto="1"/>
      </top>
      <bottom style="thin">
        <color indexed="64"/>
      </bottom>
      <diagonal/>
    </border>
    <border>
      <left/>
      <right/>
      <top style="thin">
        <color auto="1"/>
      </top>
      <bottom/>
      <diagonal/>
    </border>
    <border>
      <left/>
      <right style="thick">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auto="1"/>
      </bottom>
      <diagonal/>
    </border>
    <border>
      <left style="double">
        <color indexed="8"/>
      </left>
      <right/>
      <top style="double">
        <color indexed="8"/>
      </top>
      <bottom/>
      <diagonal/>
    </border>
    <border>
      <left style="double">
        <color indexed="8"/>
      </left>
      <right/>
      <top/>
      <bottom/>
      <diagonal/>
    </border>
    <border>
      <left style="thin">
        <color indexed="22"/>
      </left>
      <right style="thin">
        <color indexed="22"/>
      </right>
      <top style="thin">
        <color indexed="22"/>
      </top>
      <bottom style="thin">
        <color indexed="22"/>
      </bottom>
      <diagonal/>
    </border>
    <border>
      <left style="thin">
        <color auto="1"/>
      </left>
      <right style="thin">
        <color indexed="64"/>
      </right>
      <top/>
      <bottom/>
      <diagonal/>
    </border>
    <border>
      <left/>
      <right style="thin">
        <color auto="1"/>
      </right>
      <top/>
      <bottom/>
      <diagonal/>
    </border>
    <border>
      <left/>
      <right/>
      <top/>
      <bottom style="double">
        <color auto="1"/>
      </bottom>
      <diagonal/>
    </border>
    <border>
      <left/>
      <right style="thin">
        <color auto="1"/>
      </right>
      <top/>
      <bottom/>
      <diagonal/>
    </border>
    <border>
      <left/>
      <right/>
      <top style="thin">
        <color indexed="8"/>
      </top>
      <bottom style="thin">
        <color indexed="8"/>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8"/>
      </bottom>
      <diagonal/>
    </border>
    <border>
      <left/>
      <right/>
      <top style="thin">
        <color indexed="8"/>
      </top>
      <bottom/>
      <diagonal/>
    </border>
    <border>
      <left/>
      <right/>
      <top style="thin">
        <color indexed="64"/>
      </top>
      <bottom/>
      <diagonal/>
    </border>
    <border>
      <left/>
      <right/>
      <top style="thin">
        <color indexed="8"/>
      </top>
      <bottom style="thin">
        <color indexed="64"/>
      </bottom>
      <diagonal/>
    </border>
    <border>
      <left/>
      <right/>
      <top style="thin">
        <color indexed="8"/>
      </top>
      <bottom style="double">
        <color indexed="64"/>
      </bottom>
      <diagonal/>
    </border>
    <border>
      <left/>
      <right style="thin">
        <color auto="1"/>
      </right>
      <top/>
      <bottom/>
      <diagonal/>
    </border>
    <border>
      <left/>
      <right/>
      <top style="thin">
        <color indexed="64"/>
      </top>
      <bottom style="thin">
        <color auto="1"/>
      </bottom>
      <diagonal/>
    </border>
    <border>
      <left/>
      <right style="thin">
        <color indexed="64"/>
      </right>
      <top/>
      <bottom/>
      <diagonal/>
    </border>
    <border>
      <left/>
      <right/>
      <top style="thin">
        <color indexed="8"/>
      </top>
      <bottom style="double">
        <color indexed="8"/>
      </bottom>
      <diagonal/>
    </border>
    <border>
      <left/>
      <right/>
      <top/>
      <bottom style="thin">
        <color rgb="FF000000"/>
      </bottom>
      <diagonal/>
    </border>
    <border>
      <left/>
      <right/>
      <top/>
      <bottom style="double">
        <color rgb="FF000000"/>
      </bottom>
      <diagonal/>
    </border>
    <border>
      <left/>
      <right style="thin">
        <color indexed="64"/>
      </right>
      <top/>
      <bottom/>
      <diagonal/>
    </border>
    <border>
      <left/>
      <right style="thin">
        <color indexed="8"/>
      </right>
      <top/>
      <bottom/>
      <diagonal/>
    </border>
    <border>
      <left/>
      <right style="thin">
        <color auto="1"/>
      </right>
      <top/>
      <bottom/>
      <diagonal/>
    </border>
  </borders>
  <cellStyleXfs count="49850">
    <xf numFmtId="164" fontId="0" fillId="0" borderId="0"/>
    <xf numFmtId="0" fontId="44" fillId="0" borderId="0"/>
    <xf numFmtId="0" fontId="44" fillId="0" borderId="0"/>
    <xf numFmtId="0" fontId="87" fillId="0" borderId="0"/>
    <xf numFmtId="43" fontId="87" fillId="0" borderId="0" applyFont="0" applyFill="0" applyBorder="0" applyAlignment="0" applyProtection="0"/>
    <xf numFmtId="0" fontId="98" fillId="0" borderId="0"/>
    <xf numFmtId="43" fontId="99" fillId="0" borderId="0" applyFont="0" applyFill="0" applyBorder="0" applyAlignment="0" applyProtection="0"/>
    <xf numFmtId="0" fontId="44" fillId="0" borderId="0"/>
    <xf numFmtId="43" fontId="49" fillId="0" borderId="0" applyFont="0" applyFill="0" applyBorder="0" applyAlignment="0" applyProtection="0"/>
    <xf numFmtId="40" fontId="104" fillId="33" borderId="0">
      <alignment horizontal="right"/>
    </xf>
    <xf numFmtId="0" fontId="105" fillId="33" borderId="0">
      <alignment horizontal="right"/>
    </xf>
    <xf numFmtId="0" fontId="106" fillId="33" borderId="12"/>
    <xf numFmtId="0" fontId="106" fillId="0" borderId="0" applyBorder="0">
      <alignment horizontal="centerContinuous"/>
    </xf>
    <xf numFmtId="0" fontId="107" fillId="0" borderId="0" applyBorder="0">
      <alignment horizontal="centerContinuous"/>
    </xf>
    <xf numFmtId="175" fontId="44" fillId="0" borderId="0"/>
    <xf numFmtId="175" fontId="46" fillId="0" borderId="0"/>
    <xf numFmtId="0" fontId="46" fillId="0" borderId="0"/>
    <xf numFmtId="0" fontId="27" fillId="0" borderId="0"/>
    <xf numFmtId="43" fontId="27" fillId="0" borderId="0" applyFont="0" applyFill="0" applyBorder="0" applyAlignment="0" applyProtection="0"/>
    <xf numFmtId="0" fontId="27" fillId="8" borderId="8" applyNumberFormat="0" applyFont="0" applyAlignment="0" applyProtection="0"/>
    <xf numFmtId="0" fontId="112" fillId="0" borderId="0"/>
    <xf numFmtId="43" fontId="113" fillId="0" borderId="0" applyFont="0" applyFill="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44" fontId="27" fillId="0" borderId="0" applyFont="0" applyFill="0" applyBorder="0" applyAlignment="0" applyProtection="0"/>
    <xf numFmtId="0" fontId="44" fillId="0" borderId="0"/>
    <xf numFmtId="0" fontId="99" fillId="0" borderId="0"/>
    <xf numFmtId="43" fontId="99" fillId="0" borderId="0" applyFont="0" applyFill="0" applyBorder="0" applyAlignment="0" applyProtection="0"/>
    <xf numFmtId="0" fontId="43" fillId="12" borderId="0" applyNumberFormat="0" applyBorder="0" applyAlignment="0" applyProtection="0"/>
    <xf numFmtId="0" fontId="88" fillId="36" borderId="0" applyNumberFormat="0" applyBorder="0" applyAlignment="0" applyProtection="0"/>
    <xf numFmtId="0" fontId="88" fillId="36" borderId="0" applyNumberFormat="0" applyBorder="0" applyAlignment="0" applyProtection="0"/>
    <xf numFmtId="0" fontId="43" fillId="16" borderId="0" applyNumberFormat="0" applyBorder="0" applyAlignment="0" applyProtection="0"/>
    <xf numFmtId="0" fontId="88" fillId="37" borderId="0" applyNumberFormat="0" applyBorder="0" applyAlignment="0" applyProtection="0"/>
    <xf numFmtId="0" fontId="88" fillId="37" borderId="0" applyNumberFormat="0" applyBorder="0" applyAlignment="0" applyProtection="0"/>
    <xf numFmtId="0" fontId="43" fillId="20"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43" fillId="24" borderId="0" applyNumberFormat="0" applyBorder="0" applyAlignment="0" applyProtection="0"/>
    <xf numFmtId="0" fontId="88" fillId="39" borderId="0" applyNumberFormat="0" applyBorder="0" applyAlignment="0" applyProtection="0"/>
    <xf numFmtId="0" fontId="88" fillId="39" borderId="0" applyNumberFormat="0" applyBorder="0" applyAlignment="0" applyProtection="0"/>
    <xf numFmtId="0" fontId="43" fillId="28" borderId="0" applyNumberFormat="0" applyBorder="0" applyAlignment="0" applyProtection="0"/>
    <xf numFmtId="0" fontId="88" fillId="40" borderId="0" applyNumberFormat="0" applyBorder="0" applyAlignment="0" applyProtection="0"/>
    <xf numFmtId="0" fontId="88" fillId="40" borderId="0" applyNumberFormat="0" applyBorder="0" applyAlignment="0" applyProtection="0"/>
    <xf numFmtId="0" fontId="43" fillId="32" borderId="0" applyNumberFormat="0" applyBorder="0" applyAlignment="0" applyProtection="0"/>
    <xf numFmtId="0" fontId="88" fillId="41" borderId="0" applyNumberFormat="0" applyBorder="0" applyAlignment="0" applyProtection="0"/>
    <xf numFmtId="0" fontId="88" fillId="41" borderId="0" applyNumberFormat="0" applyBorder="0" applyAlignment="0" applyProtection="0"/>
    <xf numFmtId="0" fontId="43" fillId="9"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43" fillId="13" borderId="0" applyNumberFormat="0" applyBorder="0" applyAlignment="0" applyProtection="0"/>
    <xf numFmtId="0" fontId="88" fillId="43" borderId="0" applyNumberFormat="0" applyBorder="0" applyAlignment="0" applyProtection="0"/>
    <xf numFmtId="0" fontId="88" fillId="43" borderId="0" applyNumberFormat="0" applyBorder="0" applyAlignment="0" applyProtection="0"/>
    <xf numFmtId="0" fontId="43" fillId="17" borderId="0" applyNumberFormat="0" applyBorder="0" applyAlignment="0" applyProtection="0"/>
    <xf numFmtId="0" fontId="88" fillId="44" borderId="0" applyNumberFormat="0" applyBorder="0" applyAlignment="0" applyProtection="0"/>
    <xf numFmtId="0" fontId="88" fillId="44" borderId="0" applyNumberFormat="0" applyBorder="0" applyAlignment="0" applyProtection="0"/>
    <xf numFmtId="0" fontId="43" fillId="21" borderId="0" applyNumberFormat="0" applyBorder="0" applyAlignment="0" applyProtection="0"/>
    <xf numFmtId="0" fontId="88" fillId="39" borderId="0" applyNumberFormat="0" applyBorder="0" applyAlignment="0" applyProtection="0"/>
    <xf numFmtId="0" fontId="88" fillId="39" borderId="0" applyNumberFormat="0" applyBorder="0" applyAlignment="0" applyProtection="0"/>
    <xf numFmtId="0" fontId="43" fillId="25" borderId="0" applyNumberFormat="0" applyBorder="0" applyAlignment="0" applyProtection="0"/>
    <xf numFmtId="0" fontId="88" fillId="40" borderId="0" applyNumberFormat="0" applyBorder="0" applyAlignment="0" applyProtection="0"/>
    <xf numFmtId="0" fontId="88" fillId="40" borderId="0" applyNumberFormat="0" applyBorder="0" applyAlignment="0" applyProtection="0"/>
    <xf numFmtId="0" fontId="43" fillId="29" borderId="0" applyNumberFormat="0" applyBorder="0" applyAlignment="0" applyProtection="0"/>
    <xf numFmtId="0" fontId="88" fillId="45" borderId="0" applyNumberFormat="0" applyBorder="0" applyAlignment="0" applyProtection="0"/>
    <xf numFmtId="0" fontId="88" fillId="45" borderId="0" applyNumberFormat="0" applyBorder="0" applyAlignment="0" applyProtection="0"/>
    <xf numFmtId="0" fontId="33" fillId="3"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37" fillId="6" borderId="4" applyNumberFormat="0" applyAlignment="0" applyProtection="0"/>
    <xf numFmtId="0" fontId="118" fillId="47" borderId="37" applyNumberFormat="0" applyAlignment="0" applyProtection="0"/>
    <xf numFmtId="0" fontId="118" fillId="47" borderId="37" applyNumberFormat="0" applyAlignment="0" applyProtection="0"/>
    <xf numFmtId="0" fontId="39" fillId="7" borderId="7" applyNumberFormat="0" applyAlignment="0" applyProtection="0"/>
    <xf numFmtId="0" fontId="115" fillId="48" borderId="38" applyNumberFormat="0" applyAlignment="0" applyProtection="0"/>
    <xf numFmtId="0" fontId="115" fillId="48" borderId="38" applyNumberFormat="0" applyAlignment="0" applyProtection="0"/>
    <xf numFmtId="0" fontId="41"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32" fillId="2" borderId="0" applyNumberFormat="0" applyBorder="0" applyAlignment="0" applyProtection="0"/>
    <xf numFmtId="0" fontId="120" fillId="49" borderId="0" applyNumberFormat="0" applyBorder="0" applyAlignment="0" applyProtection="0"/>
    <xf numFmtId="0" fontId="120" fillId="49" borderId="0" applyNumberFormat="0" applyBorder="0" applyAlignment="0" applyProtection="0"/>
    <xf numFmtId="0" fontId="29" fillId="0" borderId="1" applyNumberFormat="0" applyFill="0" applyAlignment="0" applyProtection="0"/>
    <xf numFmtId="0" fontId="121" fillId="0" borderId="39" applyNumberFormat="0" applyFill="0" applyAlignment="0" applyProtection="0"/>
    <xf numFmtId="0" fontId="121" fillId="0" borderId="39" applyNumberFormat="0" applyFill="0" applyAlignment="0" applyProtection="0"/>
    <xf numFmtId="0" fontId="30" fillId="0" borderId="2" applyNumberFormat="0" applyFill="0" applyAlignment="0" applyProtection="0"/>
    <xf numFmtId="0" fontId="122" fillId="0" borderId="40" applyNumberFormat="0" applyFill="0" applyAlignment="0" applyProtection="0"/>
    <xf numFmtId="0" fontId="122" fillId="0" borderId="40" applyNumberFormat="0" applyFill="0" applyAlignment="0" applyProtection="0"/>
    <xf numFmtId="0" fontId="31" fillId="0" borderId="3"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31"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35" fillId="5" borderId="4" applyNumberFormat="0" applyAlignment="0" applyProtection="0"/>
    <xf numFmtId="0" fontId="124" fillId="50" borderId="37" applyNumberFormat="0" applyAlignment="0" applyProtection="0"/>
    <xf numFmtId="0" fontId="124" fillId="50" borderId="37" applyNumberFormat="0" applyAlignment="0" applyProtection="0"/>
    <xf numFmtId="0" fontId="38" fillId="0" borderId="6" applyNumberFormat="0" applyFill="0" applyAlignment="0" applyProtection="0"/>
    <xf numFmtId="0" fontId="125" fillId="0" borderId="42" applyNumberFormat="0" applyFill="0" applyAlignment="0" applyProtection="0"/>
    <xf numFmtId="0" fontId="125" fillId="0" borderId="42" applyNumberFormat="0" applyFill="0" applyAlignment="0" applyProtection="0"/>
    <xf numFmtId="0" fontId="34" fillId="4" borderId="0" applyNumberFormat="0" applyBorder="0" applyAlignment="0" applyProtection="0"/>
    <xf numFmtId="0" fontId="126" fillId="51" borderId="0" applyNumberFormat="0" applyBorder="0" applyAlignment="0" applyProtection="0"/>
    <xf numFmtId="0" fontId="126" fillId="51" borderId="0" applyNumberFormat="0" applyBorder="0" applyAlignment="0" applyProtection="0"/>
    <xf numFmtId="0" fontId="27" fillId="0" borderId="0"/>
    <xf numFmtId="0" fontId="36" fillId="6" borderId="5" applyNumberFormat="0" applyAlignment="0" applyProtection="0"/>
    <xf numFmtId="0" fontId="127" fillId="47" borderId="43" applyNumberFormat="0" applyAlignment="0" applyProtection="0"/>
    <xf numFmtId="0" fontId="127" fillId="47" borderId="43" applyNumberFormat="0" applyAlignment="0" applyProtection="0"/>
    <xf numFmtId="0" fontId="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42" fillId="0" borderId="9" applyNumberFormat="0" applyFill="0" applyAlignment="0" applyProtection="0"/>
    <xf numFmtId="0" fontId="63" fillId="0" borderId="44" applyNumberFormat="0" applyFill="0" applyAlignment="0" applyProtection="0"/>
    <xf numFmtId="0" fontId="63" fillId="0" borderId="44" applyNumberFormat="0" applyFill="0" applyAlignment="0" applyProtection="0"/>
    <xf numFmtId="0" fontId="4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26" fillId="0" borderId="0"/>
    <xf numFmtId="0" fontId="44" fillId="0" borderId="0"/>
    <xf numFmtId="0" fontId="46" fillId="0" borderId="0"/>
    <xf numFmtId="0" fontId="44" fillId="0" borderId="0"/>
    <xf numFmtId="0" fontId="25" fillId="0" borderId="0"/>
    <xf numFmtId="43" fontId="25"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9" fillId="0" borderId="0"/>
    <xf numFmtId="0" fontId="24" fillId="0" borderId="0"/>
    <xf numFmtId="43" fontId="24" fillId="0" borderId="0" applyFont="0" applyFill="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11"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8" borderId="8" applyNumberFormat="0" applyFont="0" applyAlignment="0" applyProtection="0"/>
    <xf numFmtId="44" fontId="24" fillId="0" borderId="0" applyFont="0" applyFill="0" applyBorder="0" applyAlignment="0" applyProtection="0"/>
    <xf numFmtId="43" fontId="46" fillId="0" borderId="0" applyFont="0" applyFill="0" applyBorder="0" applyAlignment="0" applyProtection="0"/>
    <xf numFmtId="0" fontId="46" fillId="0" borderId="0"/>
    <xf numFmtId="0" fontId="99" fillId="0" borderId="0"/>
    <xf numFmtId="0" fontId="44" fillId="0" borderId="0"/>
    <xf numFmtId="0" fontId="147" fillId="0" borderId="0" applyNumberFormat="0" applyFill="0" applyBorder="0" applyAlignment="0" applyProtection="0">
      <alignment vertical="top"/>
      <protection locked="0"/>
    </xf>
    <xf numFmtId="0" fontId="149" fillId="52"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149" fillId="52"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149" fillId="46"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149" fillId="46"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149" fillId="4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149" fillId="4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149" fillId="53"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149" fillId="53"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149" fillId="5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149" fillId="5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149" fillId="5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149" fillId="5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149" fillId="55"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149" fillId="55"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149" fillId="37"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149" fillId="37"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149" fillId="38"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149" fillId="38"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149" fillId="5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149" fillId="5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149" fillId="55"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149" fillId="55"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149" fillId="56"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49" fillId="56"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24" fillId="0" borderId="0" applyFont="0" applyFill="0" applyBorder="0" applyAlignment="0" applyProtection="0"/>
    <xf numFmtId="43" fontId="98" fillId="0" borderId="0" applyFont="0" applyFill="0" applyBorder="0" applyAlignment="0" applyProtection="0"/>
    <xf numFmtId="44" fontId="98" fillId="0" borderId="0" applyFont="0" applyFill="0" applyBorder="0" applyAlignment="0" applyProtection="0"/>
    <xf numFmtId="44" fontId="98" fillId="0" borderId="0" applyFont="0" applyFill="0" applyBorder="0" applyAlignment="0" applyProtection="0"/>
    <xf numFmtId="0" fontId="151" fillId="0" borderId="0"/>
    <xf numFmtId="0" fontId="24" fillId="0" borderId="0"/>
    <xf numFmtId="0" fontId="24" fillId="0" borderId="0"/>
    <xf numFmtId="0" fontId="24" fillId="0" borderId="0"/>
    <xf numFmtId="0" fontId="98" fillId="0" borderId="0"/>
    <xf numFmtId="0" fontId="150" fillId="0" borderId="0"/>
    <xf numFmtId="0" fontId="24" fillId="0" borderId="0"/>
    <xf numFmtId="0" fontId="24" fillId="0" borderId="0"/>
    <xf numFmtId="0" fontId="24" fillId="0" borderId="0"/>
    <xf numFmtId="0" fontId="24" fillId="0" borderId="0"/>
    <xf numFmtId="0" fontId="24" fillId="0" borderId="0"/>
    <xf numFmtId="0" fontId="24" fillId="0" borderId="0"/>
    <xf numFmtId="0" fontId="98" fillId="0" borderId="0"/>
    <xf numFmtId="0" fontId="150" fillId="0" borderId="0"/>
    <xf numFmtId="0" fontId="150" fillId="0" borderId="0"/>
    <xf numFmtId="0" fontId="24" fillId="0" borderId="0"/>
    <xf numFmtId="0" fontId="44" fillId="0" borderId="0"/>
    <xf numFmtId="0" fontId="149" fillId="57" borderId="4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149" fillId="57" borderId="4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44" fillId="0" borderId="0"/>
    <xf numFmtId="0" fontId="152" fillId="0" borderId="0"/>
    <xf numFmtId="9" fontId="44" fillId="0" borderId="0" applyFont="0" applyFill="0" applyBorder="0" applyAlignment="0" applyProtection="0"/>
    <xf numFmtId="43" fontId="44" fillId="0" borderId="0" applyFont="0" applyFill="0" applyBorder="0" applyAlignment="0" applyProtection="0"/>
    <xf numFmtId="0" fontId="49" fillId="0" borderId="0"/>
    <xf numFmtId="43" fontId="49" fillId="0" borderId="0" applyFont="0" applyFill="0" applyBorder="0" applyAlignment="0" applyProtection="0"/>
    <xf numFmtId="9" fontId="44" fillId="0" borderId="0" applyFont="0" applyFill="0" applyBorder="0" applyAlignment="0" applyProtection="0"/>
    <xf numFmtId="0" fontId="23" fillId="0" borderId="0"/>
    <xf numFmtId="43" fontId="23" fillId="0" borderId="0" applyFont="0" applyFill="0" applyBorder="0" applyAlignment="0" applyProtection="0"/>
    <xf numFmtId="0" fontId="23" fillId="8" borderId="8" applyNumberFormat="0" applyFont="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44" fontId="23" fillId="0" borderId="0" applyFont="0" applyFill="0" applyBorder="0" applyAlignment="0" applyProtection="0"/>
    <xf numFmtId="0" fontId="23" fillId="0" borderId="0"/>
    <xf numFmtId="0" fontId="23" fillId="0" borderId="0"/>
    <xf numFmtId="0" fontId="44" fillId="0" borderId="0"/>
    <xf numFmtId="0" fontId="23" fillId="0" borderId="0"/>
    <xf numFmtId="43" fontId="2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xf numFmtId="0" fontId="44" fillId="0" borderId="0"/>
    <xf numFmtId="0" fontId="44" fillId="0" borderId="0"/>
    <xf numFmtId="0" fontId="44" fillId="0" borderId="0"/>
    <xf numFmtId="0" fontId="23" fillId="0" borderId="0"/>
    <xf numFmtId="43" fontId="23" fillId="0" borderId="0" applyFont="0" applyFill="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3" fillId="18" borderId="0" applyNumberFormat="0" applyBorder="0" applyAlignment="0" applyProtection="0"/>
    <xf numFmtId="0" fontId="23" fillId="22"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0" fontId="23" fillId="11"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8" borderId="8" applyNumberFormat="0" applyFont="0" applyAlignment="0" applyProtection="0"/>
    <xf numFmtId="44" fontId="23" fillId="0" borderId="0" applyFont="0" applyFill="0" applyBorder="0" applyAlignment="0" applyProtection="0"/>
    <xf numFmtId="43" fontId="44" fillId="0" borderId="0" applyFont="0" applyFill="0" applyBorder="0" applyAlignment="0" applyProtection="0"/>
    <xf numFmtId="0" fontId="44" fillId="0" borderId="0"/>
    <xf numFmtId="0" fontId="98" fillId="0" borderId="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9" fontId="159" fillId="0" borderId="0" applyFont="0" applyFill="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52"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6"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49"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0"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7"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38"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3"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5"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56" borderId="0" applyNumberFormat="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75" fontId="44" fillId="0" borderId="0"/>
    <xf numFmtId="0" fontId="113" fillId="0" borderId="0"/>
    <xf numFmtId="0" fontId="113" fillId="0" borderId="0"/>
    <xf numFmtId="0" fontId="113" fillId="0" borderId="0"/>
    <xf numFmtId="0" fontId="44" fillId="0" borderId="0"/>
    <xf numFmtId="0" fontId="113" fillId="0" borderId="0"/>
    <xf numFmtId="0" fontId="44" fillId="0" borderId="0"/>
    <xf numFmtId="0" fontId="44" fillId="0" borderId="0"/>
    <xf numFmtId="0" fontId="44" fillId="0" borderId="0"/>
    <xf numFmtId="0" fontId="44" fillId="0" borderId="0"/>
    <xf numFmtId="0" fontId="44" fillId="0" borderId="0"/>
    <xf numFmtId="0" fontId="98" fillId="0" borderId="0"/>
    <xf numFmtId="0" fontId="113" fillId="0" borderId="0"/>
    <xf numFmtId="0" fontId="113" fillId="0" borderId="0"/>
    <xf numFmtId="0" fontId="113" fillId="0" borderId="0"/>
    <xf numFmtId="0" fontId="113" fillId="0" borderId="0"/>
    <xf numFmtId="0" fontId="44"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49"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13" fillId="57" borderId="48" applyNumberFormat="0" applyFont="0" applyAlignment="0" applyProtection="0"/>
    <xf numFmtId="0" fontId="106" fillId="33" borderId="50"/>
    <xf numFmtId="0" fontId="49" fillId="0" borderId="0"/>
    <xf numFmtId="0" fontId="106" fillId="33" borderId="50"/>
    <xf numFmtId="175" fontId="44" fillId="0" borderId="0"/>
    <xf numFmtId="0" fontId="22" fillId="0" borderId="0"/>
    <xf numFmtId="43" fontId="22" fillId="0" borderId="0" applyFont="0" applyFill="0" applyBorder="0" applyAlignment="0" applyProtection="0"/>
    <xf numFmtId="0" fontId="22" fillId="8" borderId="8" applyNumberFormat="0" applyFont="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44" fontId="22" fillId="0" borderId="0" applyFont="0" applyFill="0" applyBorder="0" applyAlignment="0" applyProtection="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8" borderId="8" applyNumberFormat="0" applyFont="0" applyAlignment="0" applyProtection="0"/>
    <xf numFmtId="44" fontId="22" fillId="0" borderId="0" applyFont="0" applyFill="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44" fillId="0" borderId="0"/>
    <xf numFmtId="0" fontId="22" fillId="0" borderId="0"/>
    <xf numFmtId="43" fontId="22" fillId="0" borderId="0" applyFont="0" applyFill="0" applyBorder="0" applyAlignment="0" applyProtection="0"/>
    <xf numFmtId="0" fontId="22" fillId="8" borderId="8" applyNumberFormat="0" applyFont="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44" fontId="22" fillId="0" borderId="0" applyFont="0" applyFill="0" applyBorder="0" applyAlignment="0" applyProtection="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8" borderId="8" applyNumberFormat="0" applyFont="0" applyAlignment="0" applyProtection="0"/>
    <xf numFmtId="44" fontId="22" fillId="0" borderId="0" applyFont="0" applyFill="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164" fontId="44" fillId="0" borderId="0"/>
    <xf numFmtId="0" fontId="165" fillId="0" borderId="0"/>
    <xf numFmtId="0" fontId="106" fillId="33" borderId="52"/>
    <xf numFmtId="0" fontId="165" fillId="0" borderId="0"/>
    <xf numFmtId="0" fontId="20" fillId="0" borderId="0"/>
    <xf numFmtId="0" fontId="165" fillId="0" borderId="0"/>
    <xf numFmtId="0" fontId="165" fillId="0" borderId="0"/>
    <xf numFmtId="0" fontId="19" fillId="0" borderId="0"/>
    <xf numFmtId="0" fontId="166" fillId="0" borderId="0"/>
    <xf numFmtId="43" fontId="167" fillId="0" borderId="0" applyFont="0" applyFill="0" applyBorder="0" applyAlignment="0" applyProtection="0"/>
    <xf numFmtId="0" fontId="166" fillId="0" borderId="0"/>
    <xf numFmtId="43" fontId="166" fillId="0" borderId="0" applyFont="0" applyFill="0" applyBorder="0" applyAlignment="0" applyProtection="0"/>
    <xf numFmtId="0" fontId="166" fillId="0" borderId="0"/>
    <xf numFmtId="0" fontId="19" fillId="0" borderId="0"/>
    <xf numFmtId="0" fontId="166" fillId="0" borderId="0"/>
    <xf numFmtId="43" fontId="166" fillId="0" borderId="0" applyFont="0" applyFill="0" applyBorder="0" applyAlignment="0" applyProtection="0"/>
    <xf numFmtId="0" fontId="168" fillId="0" borderId="0"/>
    <xf numFmtId="0" fontId="166" fillId="0" borderId="0"/>
    <xf numFmtId="0" fontId="166" fillId="0" borderId="0"/>
    <xf numFmtId="0" fontId="166" fillId="0" borderId="0"/>
    <xf numFmtId="0" fontId="19" fillId="0" borderId="0"/>
    <xf numFmtId="0" fontId="166" fillId="0" borderId="0"/>
    <xf numFmtId="0" fontId="168" fillId="0" borderId="0"/>
    <xf numFmtId="0" fontId="165" fillId="0" borderId="0"/>
    <xf numFmtId="0" fontId="165" fillId="0" borderId="0"/>
    <xf numFmtId="0" fontId="18" fillId="0" borderId="0"/>
    <xf numFmtId="0" fontId="165" fillId="0" borderId="0"/>
    <xf numFmtId="0" fontId="165" fillId="0" borderId="0"/>
    <xf numFmtId="0" fontId="18" fillId="0" borderId="0"/>
    <xf numFmtId="0" fontId="18" fillId="0" borderId="0"/>
    <xf numFmtId="0" fontId="49" fillId="0" borderId="0"/>
    <xf numFmtId="0" fontId="17" fillId="0" borderId="0"/>
    <xf numFmtId="0" fontId="166" fillId="0" borderId="0"/>
    <xf numFmtId="0" fontId="166" fillId="0" borderId="0"/>
    <xf numFmtId="0" fontId="166" fillId="0" borderId="0"/>
    <xf numFmtId="0" fontId="169" fillId="0" borderId="0"/>
    <xf numFmtId="0" fontId="169" fillId="0" borderId="0"/>
    <xf numFmtId="0" fontId="16" fillId="0" borderId="0"/>
    <xf numFmtId="0" fontId="16" fillId="0" borderId="0"/>
    <xf numFmtId="43" fontId="49" fillId="0" borderId="0" applyFont="0" applyFill="0" applyBorder="0" applyAlignment="0" applyProtection="0"/>
    <xf numFmtId="0" fontId="16" fillId="0" borderId="0"/>
    <xf numFmtId="0" fontId="169" fillId="0" borderId="0"/>
    <xf numFmtId="0" fontId="169" fillId="0" borderId="0"/>
    <xf numFmtId="0" fontId="15" fillId="0" borderId="0"/>
    <xf numFmtId="0" fontId="15" fillId="0" borderId="0"/>
    <xf numFmtId="0" fontId="15" fillId="0" borderId="0"/>
    <xf numFmtId="0" fontId="169" fillId="0" borderId="0"/>
    <xf numFmtId="0" fontId="166" fillId="0" borderId="0"/>
    <xf numFmtId="0" fontId="14" fillId="0" borderId="0"/>
    <xf numFmtId="0" fontId="166" fillId="0" borderId="0"/>
    <xf numFmtId="0" fontId="166" fillId="0" borderId="0"/>
    <xf numFmtId="0" fontId="166" fillId="0" borderId="0"/>
    <xf numFmtId="0" fontId="14" fillId="0" borderId="0"/>
    <xf numFmtId="0" fontId="166" fillId="0" borderId="0"/>
    <xf numFmtId="0" fontId="166" fillId="0" borderId="0"/>
    <xf numFmtId="164" fontId="170" fillId="0" borderId="0"/>
    <xf numFmtId="43" fontId="44" fillId="0" borderId="0" applyFont="0" applyFill="0" applyBorder="0" applyAlignment="0" applyProtection="0"/>
    <xf numFmtId="0" fontId="44" fillId="0" borderId="0"/>
    <xf numFmtId="0" fontId="44" fillId="0" borderId="0"/>
    <xf numFmtId="0" fontId="49" fillId="0" borderId="0"/>
    <xf numFmtId="43" fontId="49" fillId="0" borderId="0" applyFont="0" applyFill="0" applyBorder="0" applyAlignment="0" applyProtection="0"/>
    <xf numFmtId="0" fontId="98" fillId="0" borderId="0"/>
    <xf numFmtId="175" fontId="44" fillId="0" borderId="0"/>
    <xf numFmtId="0" fontId="14" fillId="0" borderId="0"/>
    <xf numFmtId="43" fontId="14" fillId="0" borderId="0" applyFont="0" applyFill="0" applyBorder="0" applyAlignment="0" applyProtection="0"/>
    <xf numFmtId="0" fontId="14" fillId="8" borderId="8" applyNumberFormat="0" applyFont="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44" fontId="14" fillId="0" borderId="0" applyFont="0" applyFill="0" applyBorder="0" applyAlignment="0" applyProtection="0"/>
    <xf numFmtId="0" fontId="118" fillId="47" borderId="55" applyNumberFormat="0" applyAlignment="0" applyProtection="0"/>
    <xf numFmtId="0" fontId="118" fillId="47" borderId="55" applyNumberFormat="0" applyAlignment="0" applyProtection="0"/>
    <xf numFmtId="0" fontId="124" fillId="50" borderId="55" applyNumberFormat="0" applyAlignment="0" applyProtection="0"/>
    <xf numFmtId="0" fontId="124" fillId="50" borderId="55" applyNumberFormat="0" applyAlignment="0" applyProtection="0"/>
    <xf numFmtId="0" fontId="14" fillId="0" borderId="0"/>
    <xf numFmtId="0" fontId="166" fillId="0" borderId="0"/>
    <xf numFmtId="0" fontId="127" fillId="47" borderId="56" applyNumberFormat="0" applyAlignment="0" applyProtection="0"/>
    <xf numFmtId="0" fontId="127" fillId="47" borderId="56" applyNumberFormat="0" applyAlignment="0" applyProtection="0"/>
    <xf numFmtId="0" fontId="63" fillId="0" borderId="57" applyNumberFormat="0" applyFill="0" applyAlignment="0" applyProtection="0"/>
    <xf numFmtId="0" fontId="63" fillId="0" borderId="57" applyNumberFormat="0" applyFill="0" applyAlignment="0" applyProtection="0"/>
    <xf numFmtId="0" fontId="169"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8" borderId="8" applyNumberFormat="0" applyFont="0" applyAlignment="0" applyProtection="0"/>
    <xf numFmtId="44" fontId="14" fillId="0" borderId="0" applyFont="0" applyFill="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9" fillId="57" borderId="5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9" fillId="57" borderId="5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66" fillId="0" borderId="0"/>
    <xf numFmtId="0" fontId="14" fillId="0" borderId="0"/>
    <xf numFmtId="43" fontId="14" fillId="0" borderId="0" applyFont="0" applyFill="0" applyBorder="0" applyAlignment="0" applyProtection="0"/>
    <xf numFmtId="0" fontId="14" fillId="8" borderId="8" applyNumberFormat="0" applyFont="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44"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8" borderId="8" applyNumberFormat="0" applyFont="0" applyAlignment="0" applyProtection="0"/>
    <xf numFmtId="44" fontId="14" fillId="0" borderId="0" applyFont="0" applyFill="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9" fontId="44" fillId="0" borderId="0" applyFont="0" applyFill="0" applyBorder="0" applyAlignment="0" applyProtection="0"/>
    <xf numFmtId="0" fontId="14" fillId="0" borderId="0"/>
    <xf numFmtId="0" fontId="106" fillId="33" borderId="52"/>
    <xf numFmtId="0" fontId="14" fillId="0" borderId="0"/>
    <xf numFmtId="43" fontId="14" fillId="0" borderId="0" applyFont="0" applyFill="0" applyBorder="0" applyAlignment="0" applyProtection="0"/>
    <xf numFmtId="0" fontId="14" fillId="8" borderId="8" applyNumberFormat="0" applyFont="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44"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8" borderId="8" applyNumberFormat="0" applyFont="0" applyAlignment="0" applyProtection="0"/>
    <xf numFmtId="44" fontId="14" fillId="0" borderId="0" applyFont="0" applyFill="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0" borderId="0"/>
    <xf numFmtId="43" fontId="14" fillId="0" borderId="0" applyFont="0" applyFill="0" applyBorder="0" applyAlignment="0" applyProtection="0"/>
    <xf numFmtId="0" fontId="14" fillId="8" borderId="8" applyNumberFormat="0" applyFont="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44"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8" borderId="8" applyNumberFormat="0" applyFont="0" applyAlignment="0" applyProtection="0"/>
    <xf numFmtId="44" fontId="14" fillId="0" borderId="0" applyFont="0" applyFill="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49" fillId="0" borderId="0"/>
    <xf numFmtId="0" fontId="166" fillId="0" borderId="0"/>
    <xf numFmtId="0" fontId="49" fillId="0" borderId="0"/>
    <xf numFmtId="0" fontId="14" fillId="0" borderId="0"/>
    <xf numFmtId="0" fontId="49" fillId="0" borderId="0"/>
    <xf numFmtId="0" fontId="49" fillId="0" borderId="0"/>
    <xf numFmtId="0" fontId="14" fillId="0" borderId="0"/>
    <xf numFmtId="0" fontId="14" fillId="0" borderId="0"/>
    <xf numFmtId="0" fontId="166" fillId="0" borderId="0"/>
    <xf numFmtId="0" fontId="14" fillId="0" borderId="0"/>
    <xf numFmtId="0" fontId="166" fillId="0" borderId="0"/>
    <xf numFmtId="0" fontId="49" fillId="0" borderId="0"/>
    <xf numFmtId="0" fontId="49" fillId="0" borderId="0"/>
    <xf numFmtId="0" fontId="14" fillId="0" borderId="0"/>
    <xf numFmtId="0" fontId="49" fillId="0" borderId="0"/>
    <xf numFmtId="0" fontId="49" fillId="0" borderId="0"/>
    <xf numFmtId="0" fontId="14" fillId="0" borderId="0"/>
    <xf numFmtId="0" fontId="14" fillId="0" borderId="0"/>
    <xf numFmtId="0" fontId="14" fillId="0" borderId="0"/>
    <xf numFmtId="0" fontId="171" fillId="0" borderId="0"/>
    <xf numFmtId="0" fontId="171" fillId="0" borderId="0"/>
    <xf numFmtId="0" fontId="13" fillId="0" borderId="0"/>
    <xf numFmtId="0" fontId="13" fillId="0" borderId="0"/>
    <xf numFmtId="175" fontId="44" fillId="0" borderId="0"/>
    <xf numFmtId="0" fontId="13" fillId="0" borderId="0"/>
    <xf numFmtId="43" fontId="13" fillId="0" borderId="0" applyFont="0" applyFill="0" applyBorder="0" applyAlignment="0" applyProtection="0"/>
    <xf numFmtId="0" fontId="13" fillId="8" borderId="8" applyNumberFormat="0" applyFont="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44"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8" borderId="8" applyNumberFormat="0" applyFont="0" applyAlignment="0" applyProtection="0"/>
    <xf numFmtId="44" fontId="13" fillId="0" borderId="0" applyFont="0" applyFill="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0" borderId="0"/>
    <xf numFmtId="0" fontId="13" fillId="0" borderId="0"/>
    <xf numFmtId="0" fontId="13" fillId="0" borderId="0"/>
    <xf numFmtId="0" fontId="13" fillId="0" borderId="0"/>
    <xf numFmtId="0" fontId="44" fillId="0" borderId="0"/>
    <xf numFmtId="0" fontId="172" fillId="0" borderId="0"/>
    <xf numFmtId="0" fontId="17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72" fillId="0" borderId="0"/>
    <xf numFmtId="0" fontId="12" fillId="0" borderId="0"/>
    <xf numFmtId="0" fontId="174" fillId="0" borderId="0"/>
    <xf numFmtId="0" fontId="11" fillId="0" borderId="0"/>
    <xf numFmtId="0" fontId="11" fillId="0" borderId="0"/>
    <xf numFmtId="0" fontId="10" fillId="0" borderId="0"/>
    <xf numFmtId="43" fontId="10" fillId="0" borderId="0" applyFont="0" applyFill="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4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44" fontId="10" fillId="0" borderId="0" applyFont="0" applyFill="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0" borderId="0"/>
    <xf numFmtId="43" fontId="10" fillId="0" borderId="0" applyFont="0" applyFill="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4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44" fontId="10" fillId="0" borderId="0" applyFont="0" applyFill="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0" borderId="0"/>
    <xf numFmtId="43" fontId="10" fillId="0" borderId="0" applyFont="0" applyFill="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4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44" fontId="10" fillId="0" borderId="0" applyFont="0" applyFill="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0" borderId="0"/>
    <xf numFmtId="43" fontId="10" fillId="0" borderId="0" applyFont="0" applyFill="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4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44" fontId="10" fillId="0" borderId="0" applyFont="0" applyFill="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6" fillId="33" borderId="6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10" fillId="0" borderId="0"/>
    <xf numFmtId="0" fontId="10" fillId="0" borderId="0"/>
    <xf numFmtId="0" fontId="10" fillId="0" borderId="0"/>
    <xf numFmtId="0" fontId="49" fillId="0" borderId="0"/>
    <xf numFmtId="0" fontId="49" fillId="0" borderId="0"/>
    <xf numFmtId="0" fontId="10" fillId="0" borderId="0"/>
    <xf numFmtId="0" fontId="10" fillId="0" borderId="0"/>
    <xf numFmtId="0" fontId="10" fillId="0" borderId="0"/>
    <xf numFmtId="0" fontId="49" fillId="0" borderId="0"/>
    <xf numFmtId="0" fontId="10" fillId="0" borderId="0"/>
    <xf numFmtId="0" fontId="10" fillId="0" borderId="0"/>
    <xf numFmtId="164" fontId="44" fillId="0" borderId="0"/>
    <xf numFmtId="0" fontId="10" fillId="0" borderId="0"/>
    <xf numFmtId="43" fontId="10" fillId="0" borderId="0" applyFont="0" applyFill="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44" fontId="10" fillId="0" borderId="0" applyFont="0" applyFill="0" applyBorder="0" applyAlignment="0" applyProtection="0"/>
    <xf numFmtId="0" fontId="10" fillId="0" borderId="0"/>
    <xf numFmtId="0" fontId="49"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44" fontId="10" fillId="0" borderId="0" applyFont="0" applyFill="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0" borderId="0"/>
    <xf numFmtId="43" fontId="10" fillId="0" borderId="0" applyFont="0" applyFill="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4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44" fontId="10" fillId="0" borderId="0" applyFont="0" applyFill="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0" borderId="0"/>
    <xf numFmtId="0" fontId="106" fillId="33" borderId="60"/>
    <xf numFmtId="0" fontId="10" fillId="0" borderId="0"/>
    <xf numFmtId="43" fontId="10" fillId="0" borderId="0" applyFont="0" applyFill="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4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44" fontId="10" fillId="0" borderId="0" applyFont="0" applyFill="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0" borderId="0"/>
    <xf numFmtId="43" fontId="10" fillId="0" borderId="0" applyFont="0" applyFill="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4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44" fontId="10" fillId="0" borderId="0" applyFont="0" applyFill="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10" fillId="0" borderId="0"/>
    <xf numFmtId="0" fontId="10" fillId="0" borderId="0"/>
    <xf numFmtId="0" fontId="10" fillId="0" borderId="0"/>
    <xf numFmtId="43" fontId="10" fillId="0" borderId="0" applyFont="0" applyFill="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4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44" fontId="10" fillId="0" borderId="0" applyFont="0" applyFill="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0" borderId="0"/>
    <xf numFmtId="0" fontId="10" fillId="0" borderId="0"/>
    <xf numFmtId="0" fontId="10" fillId="0" borderId="0"/>
    <xf numFmtId="0" fontId="10" fillId="0" borderId="0"/>
    <xf numFmtId="0" fontId="49" fillId="0" borderId="0"/>
    <xf numFmtId="0" fontId="49"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10" fillId="0" borderId="0"/>
    <xf numFmtId="43" fontId="176" fillId="0" borderId="0" applyFont="0" applyFill="0" applyBorder="0" applyAlignment="0" applyProtection="0"/>
    <xf numFmtId="0" fontId="9" fillId="0" borderId="0"/>
    <xf numFmtId="43" fontId="9" fillId="0" borderId="0" applyFont="0" applyFill="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8" borderId="8" applyNumberFormat="0" applyFont="0" applyAlignment="0" applyProtection="0"/>
    <xf numFmtId="44" fontId="9" fillId="0" borderId="0" applyFont="0" applyFill="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0" borderId="0"/>
    <xf numFmtId="43" fontId="9" fillId="0" borderId="0" applyFont="0" applyFill="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8" borderId="8" applyNumberFormat="0" applyFont="0" applyAlignment="0" applyProtection="0"/>
    <xf numFmtId="44" fontId="9" fillId="0" borderId="0" applyFont="0" applyFill="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0" borderId="0"/>
    <xf numFmtId="43" fontId="9" fillId="0" borderId="0" applyFont="0" applyFill="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8" borderId="8" applyNumberFormat="0" applyFont="0" applyAlignment="0" applyProtection="0"/>
    <xf numFmtId="44" fontId="9" fillId="0" borderId="0" applyFont="0" applyFill="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0" borderId="0"/>
    <xf numFmtId="43" fontId="9" fillId="0" borderId="0" applyFont="0" applyFill="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8" borderId="8" applyNumberFormat="0" applyFont="0" applyAlignment="0" applyProtection="0"/>
    <xf numFmtId="44" fontId="9" fillId="0" borderId="0" applyFont="0" applyFill="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8" borderId="8" applyNumberFormat="0" applyFont="0" applyAlignment="0" applyProtection="0"/>
    <xf numFmtId="44" fontId="9" fillId="0" borderId="0" applyFont="0" applyFill="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0" borderId="0"/>
    <xf numFmtId="43" fontId="9" fillId="0" borderId="0" applyFont="0" applyFill="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8" borderId="8" applyNumberFormat="0" applyFont="0" applyAlignment="0" applyProtection="0"/>
    <xf numFmtId="44" fontId="9" fillId="0" borderId="0" applyFont="0" applyFill="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0" borderId="0"/>
    <xf numFmtId="0" fontId="9" fillId="0" borderId="0"/>
    <xf numFmtId="43" fontId="9" fillId="0" borderId="0" applyFont="0" applyFill="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8" borderId="8" applyNumberFormat="0" applyFont="0" applyAlignment="0" applyProtection="0"/>
    <xf numFmtId="44" fontId="9" fillId="0" borderId="0" applyFont="0" applyFill="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0" borderId="0"/>
    <xf numFmtId="43" fontId="9" fillId="0" borderId="0" applyFont="0" applyFill="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8" borderId="8" applyNumberFormat="0" applyFont="0" applyAlignment="0" applyProtection="0"/>
    <xf numFmtId="44" fontId="9" fillId="0" borderId="0" applyFont="0" applyFill="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8" borderId="8" applyNumberFormat="0" applyFont="0" applyAlignment="0" applyProtection="0"/>
    <xf numFmtId="44" fontId="9" fillId="0" borderId="0" applyFont="0" applyFill="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4" fillId="0" borderId="0"/>
    <xf numFmtId="0" fontId="177" fillId="0" borderId="0"/>
    <xf numFmtId="0" fontId="50" fillId="0" borderId="62" applyNumberFormat="0" applyFont="0" applyBorder="0">
      <alignment horizontal="right"/>
    </xf>
    <xf numFmtId="0" fontId="181" fillId="0" borderId="0" applyFill="0"/>
    <xf numFmtId="0" fontId="49" fillId="0" borderId="0" applyNumberFormat="0" applyFont="0" applyBorder="0" applyAlignment="0"/>
    <xf numFmtId="0" fontId="182" fillId="0" borderId="0" applyFill="0">
      <alignment horizontal="left" indent="1"/>
    </xf>
    <xf numFmtId="44" fontId="177" fillId="0" borderId="0" applyFont="0" applyFill="0" applyBorder="0" applyAlignment="0" applyProtection="0"/>
    <xf numFmtId="43" fontId="177" fillId="0" borderId="0" applyFont="0" applyFill="0" applyBorder="0" applyAlignment="0" applyProtection="0"/>
    <xf numFmtId="4" fontId="114" fillId="0" borderId="10" applyFill="0"/>
    <xf numFmtId="0" fontId="51" fillId="0" borderId="0" applyFill="0"/>
    <xf numFmtId="0" fontId="49" fillId="0" borderId="0"/>
    <xf numFmtId="43" fontId="49" fillId="0" borderId="0" applyFont="0" applyFill="0" applyBorder="0" applyAlignment="0" applyProtection="0"/>
    <xf numFmtId="44" fontId="49" fillId="0" borderId="0" applyFont="0" applyFill="0" applyBorder="0" applyAlignment="0" applyProtection="0"/>
    <xf numFmtId="0" fontId="49" fillId="0" borderId="0"/>
    <xf numFmtId="0" fontId="98" fillId="0" borderId="0"/>
    <xf numFmtId="0" fontId="106" fillId="33" borderId="68"/>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106" fillId="33" borderId="68"/>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106" fillId="33" borderId="7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0" fontId="106" fillId="33" borderId="7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9" fillId="0" borderId="0"/>
    <xf numFmtId="0" fontId="7" fillId="0" borderId="0"/>
    <xf numFmtId="0" fontId="7" fillId="0" borderId="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106" fillId="33" borderId="7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0" fontId="106" fillId="33" borderId="7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44" fontId="7" fillId="0" borderId="0" applyFont="0" applyFill="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9"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190" fillId="0" borderId="0"/>
    <xf numFmtId="186" fontId="47" fillId="0" borderId="0" applyFill="0"/>
    <xf numFmtId="186" fontId="47" fillId="0" borderId="0">
      <alignment horizontal="center"/>
    </xf>
    <xf numFmtId="0" fontId="47" fillId="0" borderId="0" applyFill="0">
      <alignment horizontal="center"/>
    </xf>
    <xf numFmtId="186" fontId="72" fillId="0" borderId="22" applyFill="0"/>
    <xf numFmtId="0" fontId="49" fillId="0" borderId="0" applyFont="0" applyAlignment="0"/>
    <xf numFmtId="0" fontId="191" fillId="0" borderId="0" applyFill="0">
      <alignment vertical="top"/>
    </xf>
    <xf numFmtId="0" fontId="72" fillId="0" borderId="0" applyFill="0">
      <alignment horizontal="left" vertical="top"/>
    </xf>
    <xf numFmtId="186" fontId="51" fillId="0" borderId="65" applyFill="0"/>
    <xf numFmtId="0" fontId="49" fillId="0" borderId="0" applyNumberFormat="0" applyFont="0" applyAlignment="0"/>
    <xf numFmtId="0" fontId="191" fillId="0" borderId="0" applyFill="0">
      <alignment wrapText="1"/>
    </xf>
    <xf numFmtId="0" fontId="72" fillId="0" borderId="0" applyFill="0">
      <alignment horizontal="left" vertical="top" wrapText="1"/>
    </xf>
    <xf numFmtId="186" fontId="86" fillId="0" borderId="0" applyFill="0"/>
    <xf numFmtId="0" fontId="192" fillId="0" borderId="0" applyNumberFormat="0" applyFont="0" applyAlignment="0">
      <alignment horizontal="center"/>
    </xf>
    <xf numFmtId="0" fontId="156" fillId="0" borderId="0" applyFill="0">
      <alignment vertical="top" wrapText="1"/>
    </xf>
    <xf numFmtId="0" fontId="51" fillId="0" borderId="0" applyFill="0">
      <alignment horizontal="left" vertical="top" wrapText="1"/>
    </xf>
    <xf numFmtId="186" fontId="49" fillId="0" borderId="0" applyFill="0"/>
    <xf numFmtId="0" fontId="192" fillId="0" borderId="0" applyNumberFormat="0" applyFont="0" applyAlignment="0">
      <alignment horizontal="center"/>
    </xf>
    <xf numFmtId="0" fontId="94" fillId="0" borderId="0" applyFill="0">
      <alignment vertical="center" wrapText="1"/>
    </xf>
    <xf numFmtId="0" fontId="44" fillId="0" borderId="0">
      <alignment horizontal="left" vertical="center" wrapText="1"/>
    </xf>
    <xf numFmtId="186" fontId="56" fillId="0" borderId="0" applyFill="0"/>
    <xf numFmtId="0" fontId="192" fillId="0" borderId="0" applyNumberFormat="0" applyFont="0" applyAlignment="0">
      <alignment horizontal="center"/>
    </xf>
    <xf numFmtId="0" fontId="193" fillId="0" borderId="0" applyFill="0">
      <alignment horizontal="center" vertical="center" wrapText="1"/>
    </xf>
    <xf numFmtId="0" fontId="49" fillId="0" borderId="0" applyFill="0">
      <alignment horizontal="center" vertical="center" wrapText="1"/>
    </xf>
    <xf numFmtId="186" fontId="194" fillId="0" borderId="0" applyFill="0"/>
    <xf numFmtId="0" fontId="192" fillId="0" borderId="0" applyNumberFormat="0" applyFont="0" applyAlignment="0">
      <alignment horizontal="center"/>
    </xf>
    <xf numFmtId="0" fontId="195" fillId="0" borderId="0" applyFill="0">
      <alignment horizontal="center" vertical="center" wrapText="1"/>
    </xf>
    <xf numFmtId="0" fontId="196" fillId="0" borderId="0" applyFill="0">
      <alignment horizontal="center" vertical="center" wrapText="1"/>
    </xf>
    <xf numFmtId="186" fontId="197" fillId="0" borderId="0" applyFill="0"/>
    <xf numFmtId="0" fontId="192" fillId="0" borderId="0" applyNumberFormat="0" applyFont="0" applyAlignment="0">
      <alignment horizontal="center"/>
    </xf>
    <xf numFmtId="0" fontId="198" fillId="0" borderId="0">
      <alignment horizontal="center" wrapText="1"/>
    </xf>
    <xf numFmtId="0" fontId="194" fillId="0" borderId="0" applyFill="0">
      <alignment horizontal="center" wrapText="1"/>
    </xf>
    <xf numFmtId="4" fontId="47" fillId="35" borderId="0" applyFill="0"/>
    <xf numFmtId="0" fontId="199" fillId="0" borderId="0">
      <alignment horizontal="left" indent="7"/>
    </xf>
    <xf numFmtId="0" fontId="47" fillId="0" borderId="0" applyFill="0">
      <alignment horizontal="left" indent="7"/>
    </xf>
    <xf numFmtId="186" fontId="114" fillId="0" borderId="10" applyFill="0">
      <alignment horizontal="right"/>
    </xf>
    <xf numFmtId="0" fontId="156" fillId="0" borderId="0" applyFill="0">
      <alignment horizontal="left" indent="1"/>
    </xf>
    <xf numFmtId="4" fontId="56" fillId="0" borderId="0" applyFill="0"/>
    <xf numFmtId="0" fontId="49" fillId="0" borderId="0" applyNumberFormat="0" applyFont="0" applyFill="0" applyBorder="0" applyAlignment="0"/>
    <xf numFmtId="0" fontId="156" fillId="0" borderId="0" applyFill="0">
      <alignment horizontal="left" indent="2"/>
    </xf>
    <xf numFmtId="0" fontId="51" fillId="0" borderId="0" applyFill="0">
      <alignment horizontal="left" indent="2"/>
    </xf>
    <xf numFmtId="4" fontId="56" fillId="0" borderId="0" applyFill="0"/>
    <xf numFmtId="0" fontId="49" fillId="0" borderId="0" applyNumberFormat="0" applyFont="0" applyBorder="0" applyAlignment="0"/>
    <xf numFmtId="0" fontId="200" fillId="0" borderId="0">
      <alignment horizontal="left" indent="3"/>
    </xf>
    <xf numFmtId="0" fontId="84" fillId="0" borderId="0" applyFill="0">
      <alignment horizontal="left" indent="3"/>
    </xf>
    <xf numFmtId="4" fontId="56" fillId="0" borderId="0" applyFill="0"/>
    <xf numFmtId="0" fontId="49" fillId="0" borderId="0" applyNumberFormat="0" applyFont="0" applyBorder="0" applyAlignment="0"/>
    <xf numFmtId="0" fontId="193" fillId="0" borderId="0">
      <alignment horizontal="left" indent="4"/>
    </xf>
    <xf numFmtId="0" fontId="49" fillId="0" borderId="0" applyFill="0">
      <alignment horizontal="left" indent="4"/>
    </xf>
    <xf numFmtId="4" fontId="194" fillId="0" borderId="0" applyFill="0"/>
    <xf numFmtId="0" fontId="49" fillId="0" borderId="0" applyNumberFormat="0" applyFont="0" applyBorder="0" applyAlignment="0"/>
    <xf numFmtId="0" fontId="195" fillId="0" borderId="0">
      <alignment horizontal="left" indent="5"/>
    </xf>
    <xf numFmtId="0" fontId="196" fillId="0" borderId="0" applyFill="0">
      <alignment horizontal="left" indent="5"/>
    </xf>
    <xf numFmtId="4" fontId="197" fillId="0" borderId="0" applyFill="0"/>
    <xf numFmtId="0" fontId="49" fillId="0" borderId="0" applyNumberFormat="0" applyFont="0" applyFill="0" applyBorder="0" applyAlignment="0"/>
    <xf numFmtId="0" fontId="198" fillId="0" borderId="0" applyFill="0">
      <alignment horizontal="left" indent="6"/>
    </xf>
    <xf numFmtId="0" fontId="194" fillId="0" borderId="0" applyFill="0">
      <alignment horizontal="left" indent="6"/>
    </xf>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49" fillId="0" borderId="0" applyFill="0">
      <alignment horizontal="center" vertical="center" wrapText="1"/>
    </xf>
    <xf numFmtId="0" fontId="49" fillId="0" borderId="0" applyFill="0">
      <alignment horizontal="left" indent="4"/>
    </xf>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49" fillId="0" borderId="0" applyFill="0">
      <alignment horizontal="center" vertical="center" wrapText="1"/>
    </xf>
    <xf numFmtId="0" fontId="49" fillId="0" borderId="0" applyFill="0">
      <alignment horizontal="left" indent="4"/>
    </xf>
    <xf numFmtId="0" fontId="203"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43" fontId="203" fillId="0" borderId="0" applyFont="0" applyFill="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49" fillId="0" borderId="0"/>
    <xf numFmtId="0" fontId="224" fillId="0" borderId="0"/>
    <xf numFmtId="0" fontId="106" fillId="33" borderId="76"/>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86" fontId="114" fillId="0" borderId="45" applyFill="0">
      <alignment horizontal="right"/>
    </xf>
    <xf numFmtId="4" fontId="114" fillId="0" borderId="45" applyFill="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4" fontId="232" fillId="0" borderId="0" applyFont="0" applyFill="0" applyBorder="0" applyAlignment="0" applyProtection="0"/>
  </cellStyleXfs>
  <cellXfs count="2087">
    <xf numFmtId="164" fontId="0" fillId="0" borderId="0" xfId="0"/>
    <xf numFmtId="170" fontId="51" fillId="0" borderId="0" xfId="0" applyNumberFormat="1" applyFont="1"/>
    <xf numFmtId="164" fontId="51" fillId="0" borderId="0" xfId="0" applyFont="1" applyProtection="1">
      <protection locked="0"/>
    </xf>
    <xf numFmtId="0" fontId="51" fillId="0" borderId="0" xfId="1" applyFont="1"/>
    <xf numFmtId="165" fontId="46" fillId="0" borderId="0" xfId="1" applyNumberFormat="1" applyFont="1"/>
    <xf numFmtId="0" fontId="46" fillId="0" borderId="0" xfId="1" applyFont="1"/>
    <xf numFmtId="0" fontId="51" fillId="0" borderId="0" xfId="1" quotePrefix="1" applyFont="1" applyAlignment="1">
      <alignment horizontal="left"/>
    </xf>
    <xf numFmtId="0" fontId="69" fillId="0" borderId="0" xfId="1" applyFont="1"/>
    <xf numFmtId="165" fontId="69" fillId="0" borderId="0" xfId="1" applyNumberFormat="1" applyFont="1" applyAlignment="1" applyProtection="1">
      <alignment horizontal="center"/>
      <protection locked="0"/>
    </xf>
    <xf numFmtId="165" fontId="69" fillId="0" borderId="0" xfId="1" applyNumberFormat="1" applyFont="1" applyProtection="1">
      <protection locked="0"/>
    </xf>
    <xf numFmtId="165" fontId="69" fillId="0" borderId="0" xfId="1" applyNumberFormat="1" applyFont="1"/>
    <xf numFmtId="170" fontId="69" fillId="0" borderId="0" xfId="1" applyNumberFormat="1" applyFont="1"/>
    <xf numFmtId="170" fontId="0" fillId="0" borderId="0" xfId="1" applyNumberFormat="1" applyFont="1"/>
    <xf numFmtId="170" fontId="51" fillId="0" borderId="0" xfId="1" applyNumberFormat="1" applyFont="1"/>
    <xf numFmtId="170" fontId="51" fillId="0" borderId="17" xfId="1" applyNumberFormat="1" applyFont="1" applyBorder="1"/>
    <xf numFmtId="165" fontId="70" fillId="0" borderId="0" xfId="1" applyNumberFormat="1" applyFont="1"/>
    <xf numFmtId="170" fontId="51" fillId="0" borderId="0" xfId="1" quotePrefix="1" applyNumberFormat="1" applyFont="1" applyAlignment="1">
      <alignment horizontal="center"/>
    </xf>
    <xf numFmtId="170" fontId="51" fillId="0" borderId="0" xfId="1" applyNumberFormat="1" applyFont="1" applyAlignment="1">
      <alignment horizontal="center"/>
    </xf>
    <xf numFmtId="170" fontId="51" fillId="0" borderId="0" xfId="1" applyNumberFormat="1" applyFont="1" applyAlignment="1">
      <alignment horizontal="right"/>
    </xf>
    <xf numFmtId="170" fontId="51" fillId="0" borderId="0" xfId="1" applyNumberFormat="1" applyFont="1" applyAlignment="1">
      <alignment vertical="center"/>
    </xf>
    <xf numFmtId="174" fontId="51" fillId="0" borderId="0" xfId="1" applyNumberFormat="1" applyFont="1"/>
    <xf numFmtId="174" fontId="51" fillId="0" borderId="17" xfId="1" applyNumberFormat="1" applyFont="1" applyBorder="1"/>
    <xf numFmtId="168" fontId="69" fillId="0" borderId="0" xfId="1" applyNumberFormat="1" applyFont="1" applyProtection="1">
      <protection locked="0"/>
    </xf>
    <xf numFmtId="0" fontId="0" fillId="0" borderId="0" xfId="1" applyFont="1"/>
    <xf numFmtId="166" fontId="71" fillId="0" borderId="0" xfId="1" applyNumberFormat="1" applyFont="1"/>
    <xf numFmtId="0" fontId="51" fillId="0" borderId="0" xfId="1" applyFont="1" applyAlignment="1">
      <alignment horizontal="centerContinuous"/>
    </xf>
    <xf numFmtId="170" fontId="51" fillId="0" borderId="0" xfId="1" quotePrefix="1" applyNumberFormat="1" applyFont="1" applyAlignment="1">
      <alignment horizontal="right"/>
    </xf>
    <xf numFmtId="174" fontId="51" fillId="0" borderId="0" xfId="1" applyNumberFormat="1" applyFont="1" applyAlignment="1">
      <alignment horizontal="center"/>
    </xf>
    <xf numFmtId="0" fontId="72" fillId="33" borderId="0" xfId="1" applyFont="1" applyFill="1" applyAlignment="1">
      <alignment horizontal="left"/>
    </xf>
    <xf numFmtId="37" fontId="49" fillId="33" borderId="0" xfId="1" applyNumberFormat="1" applyFont="1" applyFill="1"/>
    <xf numFmtId="37" fontId="49" fillId="0" borderId="0" xfId="1" applyNumberFormat="1" applyFont="1"/>
    <xf numFmtId="37" fontId="73" fillId="0" borderId="0" xfId="1" applyNumberFormat="1" applyFont="1" applyAlignment="1">
      <alignment horizontal="center"/>
    </xf>
    <xf numFmtId="37" fontId="74" fillId="0" borderId="0" xfId="1" applyNumberFormat="1" applyFont="1"/>
    <xf numFmtId="0" fontId="72" fillId="0" borderId="0" xfId="1" quotePrefix="1" applyFont="1" applyAlignment="1" applyProtection="1">
      <alignment horizontal="left"/>
      <protection locked="0"/>
    </xf>
    <xf numFmtId="0" fontId="67" fillId="0" borderId="0" xfId="1" applyFont="1"/>
    <xf numFmtId="0" fontId="47" fillId="0" borderId="0" xfId="1" applyFont="1"/>
    <xf numFmtId="37" fontId="51" fillId="0" borderId="0" xfId="1" applyNumberFormat="1" applyFont="1"/>
    <xf numFmtId="37" fontId="51" fillId="0" borderId="0" xfId="1" applyNumberFormat="1" applyFont="1" applyAlignment="1">
      <alignment horizontal="center"/>
    </xf>
    <xf numFmtId="37" fontId="51" fillId="0" borderId="0" xfId="1" quotePrefix="1" applyNumberFormat="1" applyFont="1" applyAlignment="1">
      <alignment horizontal="center"/>
    </xf>
    <xf numFmtId="3" fontId="49" fillId="0" borderId="0" xfId="1" applyNumberFormat="1" applyFont="1"/>
    <xf numFmtId="166" fontId="51" fillId="0" borderId="0" xfId="1" applyNumberFormat="1" applyFont="1"/>
    <xf numFmtId="166" fontId="0" fillId="0" borderId="0" xfId="1" applyNumberFormat="1" applyFont="1"/>
    <xf numFmtId="37" fontId="51" fillId="0" borderId="0" xfId="1" applyNumberFormat="1" applyFont="1" applyAlignment="1">
      <alignment horizontal="right"/>
    </xf>
    <xf numFmtId="3" fontId="51" fillId="0" borderId="0" xfId="1" applyNumberFormat="1" applyFont="1" applyAlignment="1">
      <alignment horizontal="right"/>
    </xf>
    <xf numFmtId="174" fontId="51" fillId="0" borderId="0" xfId="1" applyNumberFormat="1" applyFont="1" applyAlignment="1">
      <alignment horizontal="right"/>
    </xf>
    <xf numFmtId="169" fontId="51" fillId="0" borderId="0" xfId="1" applyNumberFormat="1" applyFont="1"/>
    <xf numFmtId="166" fontId="69" fillId="0" borderId="0" xfId="1" quotePrefix="1" applyNumberFormat="1" applyFont="1" applyAlignment="1">
      <alignment horizontal="left"/>
    </xf>
    <xf numFmtId="0" fontId="76" fillId="0" borderId="0" xfId="1" applyFont="1"/>
    <xf numFmtId="37" fontId="71" fillId="0" borderId="0" xfId="1" applyNumberFormat="1" applyFont="1"/>
    <xf numFmtId="0" fontId="77" fillId="0" borderId="0" xfId="1" applyFont="1"/>
    <xf numFmtId="0" fontId="72" fillId="0" borderId="0" xfId="1" applyFont="1" applyAlignment="1">
      <alignment horizontal="left"/>
    </xf>
    <xf numFmtId="37" fontId="51" fillId="0" borderId="0" xfId="1" applyNumberFormat="1" applyFont="1" applyAlignment="1">
      <alignment horizontal="centerContinuous"/>
    </xf>
    <xf numFmtId="0" fontId="51" fillId="0" borderId="0" xfId="1" applyFont="1" applyAlignment="1">
      <alignment horizontal="center"/>
    </xf>
    <xf numFmtId="0" fontId="78" fillId="0" borderId="0" xfId="1" applyFont="1" applyAlignment="1">
      <alignment horizontal="center"/>
    </xf>
    <xf numFmtId="37" fontId="75" fillId="0" borderId="0" xfId="1" quotePrefix="1" applyNumberFormat="1" applyFont="1" applyAlignment="1">
      <alignment horizontal="centerContinuous"/>
    </xf>
    <xf numFmtId="0" fontId="56" fillId="0" borderId="0" xfId="1" applyFont="1"/>
    <xf numFmtId="165" fontId="71" fillId="0" borderId="0" xfId="1" applyNumberFormat="1" applyFont="1"/>
    <xf numFmtId="165" fontId="51" fillId="0" borderId="0" xfId="1" applyNumberFormat="1" applyFont="1"/>
    <xf numFmtId="166" fontId="69" fillId="0" borderId="0" xfId="1" applyNumberFormat="1" applyFont="1"/>
    <xf numFmtId="165" fontId="79" fillId="0" borderId="0" xfId="1" applyNumberFormat="1" applyFont="1"/>
    <xf numFmtId="166" fontId="80" fillId="0" borderId="0" xfId="1" applyNumberFormat="1" applyFont="1"/>
    <xf numFmtId="166" fontId="80" fillId="0" borderId="0" xfId="1" quotePrefix="1" applyNumberFormat="1" applyFont="1" applyAlignment="1">
      <alignment horizontal="left"/>
    </xf>
    <xf numFmtId="166" fontId="65" fillId="0" borderId="0" xfId="1" applyNumberFormat="1" applyFont="1"/>
    <xf numFmtId="165" fontId="49" fillId="0" borderId="0" xfId="1" applyNumberFormat="1" applyFont="1"/>
    <xf numFmtId="165" fontId="72" fillId="0" borderId="0" xfId="1" applyNumberFormat="1" applyFont="1"/>
    <xf numFmtId="0" fontId="72" fillId="0" borderId="0" xfId="1" applyFont="1"/>
    <xf numFmtId="164" fontId="72" fillId="0" borderId="0" xfId="1" applyNumberFormat="1" applyFont="1" applyAlignment="1">
      <alignment horizontal="right"/>
    </xf>
    <xf numFmtId="174" fontId="70" fillId="0" borderId="0" xfId="1" applyNumberFormat="1" applyFont="1"/>
    <xf numFmtId="170" fontId="51" fillId="0" borderId="25" xfId="1" applyNumberFormat="1" applyFont="1" applyBorder="1"/>
    <xf numFmtId="0" fontId="51" fillId="0" borderId="17" xfId="1" applyFont="1" applyBorder="1"/>
    <xf numFmtId="174" fontId="51" fillId="0" borderId="15" xfId="1" applyNumberFormat="1" applyFont="1" applyBorder="1"/>
    <xf numFmtId="0" fontId="49" fillId="0" borderId="0" xfId="1" applyFont="1"/>
    <xf numFmtId="0" fontId="45" fillId="0" borderId="0" xfId="1" applyFont="1" applyAlignment="1">
      <alignment horizontal="right"/>
    </xf>
    <xf numFmtId="174" fontId="51" fillId="0" borderId="27" xfId="1" applyNumberFormat="1" applyFont="1" applyBorder="1"/>
    <xf numFmtId="164" fontId="51" fillId="0" borderId="0" xfId="1" applyNumberFormat="1" applyFont="1"/>
    <xf numFmtId="170" fontId="51" fillId="0" borderId="27" xfId="1" applyNumberFormat="1" applyFont="1" applyBorder="1"/>
    <xf numFmtId="166" fontId="51" fillId="0" borderId="0" xfId="1" applyNumberFormat="1" applyFont="1" applyAlignment="1">
      <alignment horizontal="right"/>
    </xf>
    <xf numFmtId="164" fontId="51" fillId="0" borderId="15" xfId="1" applyNumberFormat="1" applyFont="1" applyBorder="1"/>
    <xf numFmtId="168" fontId="47" fillId="0" borderId="0" xfId="1" applyNumberFormat="1" applyFont="1"/>
    <xf numFmtId="0" fontId="86" fillId="0" borderId="0" xfId="1" applyFont="1"/>
    <xf numFmtId="0" fontId="49" fillId="0" borderId="0" xfId="3" applyFont="1"/>
    <xf numFmtId="0" fontId="72" fillId="0" borderId="0" xfId="3" applyFont="1"/>
    <xf numFmtId="174" fontId="51" fillId="0" borderId="0" xfId="3" applyNumberFormat="1" applyFont="1"/>
    <xf numFmtId="0" fontId="51" fillId="0" borderId="0" xfId="3" applyFont="1"/>
    <xf numFmtId="165" fontId="89" fillId="0" borderId="0" xfId="1" applyNumberFormat="1" applyFont="1" applyAlignment="1">
      <alignment horizontal="left"/>
    </xf>
    <xf numFmtId="165" fontId="90" fillId="0" borderId="0" xfId="1" applyNumberFormat="1" applyFont="1"/>
    <xf numFmtId="165" fontId="91" fillId="0" borderId="0" xfId="1" applyNumberFormat="1" applyFont="1"/>
    <xf numFmtId="165" fontId="92" fillId="0" borderId="0" xfId="1" applyNumberFormat="1" applyFont="1" applyAlignment="1">
      <alignment horizontal="centerContinuous"/>
    </xf>
    <xf numFmtId="0" fontId="82" fillId="0" borderId="0" xfId="1" applyFont="1"/>
    <xf numFmtId="165" fontId="89" fillId="0" borderId="0" xfId="1" applyNumberFormat="1" applyFont="1" applyAlignment="1">
      <alignment horizontal="centerContinuous"/>
    </xf>
    <xf numFmtId="0" fontId="93" fillId="0" borderId="0" xfId="1" applyFont="1" applyAlignment="1">
      <alignment horizontal="left"/>
    </xf>
    <xf numFmtId="165" fontId="94" fillId="0" borderId="0" xfId="1" applyNumberFormat="1" applyFont="1"/>
    <xf numFmtId="166" fontId="51" fillId="0" borderId="14" xfId="1" applyNumberFormat="1" applyFont="1" applyBorder="1"/>
    <xf numFmtId="174" fontId="51" fillId="0" borderId="0" xfId="1" quotePrefix="1" applyNumberFormat="1" applyFont="1"/>
    <xf numFmtId="174" fontId="51" fillId="0" borderId="14" xfId="1" applyNumberFormat="1" applyFont="1" applyBorder="1"/>
    <xf numFmtId="166" fontId="0" fillId="0" borderId="0" xfId="1" applyNumberFormat="1" applyFont="1" applyAlignment="1">
      <alignment horizontal="center"/>
    </xf>
    <xf numFmtId="164" fontId="0" fillId="0" borderId="0" xfId="1" applyNumberFormat="1" applyFont="1"/>
    <xf numFmtId="170" fontId="51" fillId="0" borderId="14" xfId="1" applyNumberFormat="1" applyFont="1" applyBorder="1" applyAlignment="1">
      <alignment horizontal="right"/>
    </xf>
    <xf numFmtId="170" fontId="51" fillId="0" borderId="14" xfId="1" applyNumberFormat="1" applyFont="1" applyBorder="1"/>
    <xf numFmtId="172" fontId="0" fillId="0" borderId="0" xfId="1" applyNumberFormat="1" applyFont="1"/>
    <xf numFmtId="170" fontId="51" fillId="0" borderId="14" xfId="1" applyNumberFormat="1" applyFont="1" applyBorder="1" applyAlignment="1">
      <alignment horizontal="center"/>
    </xf>
    <xf numFmtId="7" fontId="51" fillId="0" borderId="0" xfId="1" applyNumberFormat="1" applyFont="1"/>
    <xf numFmtId="166" fontId="84" fillId="0" borderId="0" xfId="1" applyNumberFormat="1" applyFont="1" applyAlignment="1">
      <alignment horizontal="left"/>
    </xf>
    <xf numFmtId="0" fontId="84" fillId="0" borderId="0" xfId="1" applyFont="1"/>
    <xf numFmtId="166" fontId="84" fillId="0" borderId="0" xfId="1" quotePrefix="1" applyNumberFormat="1" applyFont="1" applyAlignment="1">
      <alignment horizontal="left"/>
    </xf>
    <xf numFmtId="170" fontId="65" fillId="0" borderId="0" xfId="1" applyNumberFormat="1" applyFont="1" applyAlignment="1">
      <alignment horizontal="right"/>
    </xf>
    <xf numFmtId="0" fontId="72" fillId="0" borderId="0" xfId="1" applyFont="1" applyAlignment="1">
      <alignment horizontal="right"/>
    </xf>
    <xf numFmtId="0" fontId="96" fillId="0" borderId="0" xfId="1" applyFont="1"/>
    <xf numFmtId="0" fontId="0" fillId="0" borderId="0" xfId="14" applyNumberFormat="1" applyFont="1"/>
    <xf numFmtId="0" fontId="51" fillId="0" borderId="0" xfId="14" applyNumberFormat="1" applyFont="1" applyAlignment="1" applyProtection="1">
      <alignment horizontal="center"/>
      <protection locked="0"/>
    </xf>
    <xf numFmtId="0" fontId="51" fillId="0" borderId="0" xfId="14" applyNumberFormat="1" applyFont="1" applyAlignment="1">
      <alignment horizontal="center"/>
    </xf>
    <xf numFmtId="0" fontId="75" fillId="0" borderId="0" xfId="14" applyNumberFormat="1" applyFont="1"/>
    <xf numFmtId="174" fontId="51" fillId="0" borderId="0" xfId="14" applyNumberFormat="1" applyFont="1"/>
    <xf numFmtId="189" fontId="109" fillId="0" borderId="0" xfId="8" applyNumberFormat="1" applyFont="1" applyAlignment="1">
      <alignment horizontal="right"/>
    </xf>
    <xf numFmtId="189" fontId="71" fillId="0" borderId="0" xfId="8" applyNumberFormat="1" applyFont="1" applyAlignment="1"/>
    <xf numFmtId="43" fontId="79" fillId="0" borderId="0" xfId="8" applyFont="1" applyAlignment="1"/>
    <xf numFmtId="189" fontId="49" fillId="0" borderId="0" xfId="8" applyNumberFormat="1" applyFont="1" applyAlignment="1"/>
    <xf numFmtId="0" fontId="45" fillId="0" borderId="0" xfId="736" quotePrefix="1" applyFont="1" applyAlignment="1">
      <alignment horizontal="left"/>
    </xf>
    <xf numFmtId="0" fontId="51" fillId="0" borderId="0" xfId="736" applyFont="1"/>
    <xf numFmtId="0" fontId="96" fillId="0" borderId="0" xfId="736" applyFont="1"/>
    <xf numFmtId="0" fontId="95" fillId="0" borderId="0" xfId="736" applyFont="1"/>
    <xf numFmtId="37" fontId="95" fillId="0" borderId="0" xfId="736" applyNumberFormat="1" applyFont="1"/>
    <xf numFmtId="0" fontId="97" fillId="0" borderId="0" xfId="736" applyFont="1"/>
    <xf numFmtId="37" fontId="96" fillId="0" borderId="22" xfId="736" quotePrefix="1" applyNumberFormat="1" applyFont="1" applyBorder="1" applyAlignment="1">
      <alignment horizontal="center"/>
    </xf>
    <xf numFmtId="37" fontId="132" fillId="0" borderId="0" xfId="1" applyNumberFormat="1" applyFont="1"/>
    <xf numFmtId="37" fontId="133" fillId="0" borderId="0" xfId="1" applyNumberFormat="1" applyFont="1"/>
    <xf numFmtId="0" fontId="131" fillId="0" borderId="0" xfId="1" applyFont="1" applyAlignment="1">
      <alignment horizontal="center"/>
    </xf>
    <xf numFmtId="37" fontId="131" fillId="0" borderId="0" xfId="1" applyNumberFormat="1" applyFont="1"/>
    <xf numFmtId="37" fontId="130" fillId="0" borderId="0" xfId="1" applyNumberFormat="1" applyFont="1"/>
    <xf numFmtId="166" fontId="70" fillId="0" borderId="0" xfId="1" applyNumberFormat="1" applyFont="1"/>
    <xf numFmtId="177" fontId="51" fillId="0" borderId="0" xfId="737" quotePrefix="1" applyNumberFormat="1" applyFont="1" applyAlignment="1">
      <alignment horizontal="left"/>
    </xf>
    <xf numFmtId="177" fontId="51" fillId="0" borderId="0" xfId="737" applyNumberFormat="1" applyFont="1" applyAlignment="1">
      <alignment horizontal="center"/>
    </xf>
    <xf numFmtId="177" fontId="75" fillId="0" borderId="0" xfId="737" applyNumberFormat="1" applyFont="1"/>
    <xf numFmtId="177" fontId="100" fillId="0" borderId="0" xfId="737" applyNumberFormat="1" applyFont="1"/>
    <xf numFmtId="165" fontId="100" fillId="0" borderId="0" xfId="737" applyNumberFormat="1" applyFont="1"/>
    <xf numFmtId="177" fontId="51" fillId="0" borderId="0" xfId="737" applyNumberFormat="1" applyFont="1"/>
    <xf numFmtId="177" fontId="51" fillId="0" borderId="0" xfId="737" applyNumberFormat="1" applyFont="1" applyAlignment="1">
      <alignment horizontal="right"/>
    </xf>
    <xf numFmtId="182" fontId="51" fillId="0" borderId="0" xfId="737" applyNumberFormat="1" applyFont="1"/>
    <xf numFmtId="0" fontId="67" fillId="0" borderId="0" xfId="833" applyFont="1"/>
    <xf numFmtId="0" fontId="67" fillId="0" borderId="0" xfId="833" applyFont="1" applyAlignment="1">
      <alignment horizontal="right"/>
    </xf>
    <xf numFmtId="177" fontId="67" fillId="0" borderId="0" xfId="833" applyNumberFormat="1" applyFont="1"/>
    <xf numFmtId="173" fontId="71" fillId="0" borderId="0" xfId="833" applyNumberFormat="1" applyFont="1"/>
    <xf numFmtId="0" fontId="72" fillId="0" borderId="0" xfId="833" applyFont="1"/>
    <xf numFmtId="0" fontId="51" fillId="0" borderId="0" xfId="833" applyFont="1"/>
    <xf numFmtId="173" fontId="46" fillId="0" borderId="0" xfId="833" applyNumberFormat="1"/>
    <xf numFmtId="0" fontId="72" fillId="0" borderId="0" xfId="833" applyFont="1" applyAlignment="1">
      <alignment horizontal="right"/>
    </xf>
    <xf numFmtId="173" fontId="67" fillId="0" borderId="0" xfId="833" applyNumberFormat="1" applyFont="1"/>
    <xf numFmtId="0" fontId="51" fillId="0" borderId="0" xfId="833" applyFont="1" applyAlignment="1">
      <alignment horizontal="right"/>
    </xf>
    <xf numFmtId="0" fontId="72" fillId="0" borderId="0" xfId="833" quotePrefix="1" applyFont="1" applyAlignment="1">
      <alignment horizontal="left"/>
    </xf>
    <xf numFmtId="0" fontId="103" fillId="0" borderId="0" xfId="833" applyFont="1"/>
    <xf numFmtId="180" fontId="46" fillId="0" borderId="0" xfId="833" applyNumberFormat="1"/>
    <xf numFmtId="180" fontId="51" fillId="0" borderId="0" xfId="833" applyNumberFormat="1" applyFont="1"/>
    <xf numFmtId="173" fontId="51" fillId="0" borderId="0" xfId="833" applyNumberFormat="1" applyFont="1"/>
    <xf numFmtId="173" fontId="72" fillId="0" borderId="0" xfId="833" applyNumberFormat="1" applyFont="1"/>
    <xf numFmtId="180" fontId="46" fillId="0" borderId="0" xfId="833" quotePrefix="1" applyNumberFormat="1" applyAlignment="1">
      <alignment horizontal="left"/>
    </xf>
    <xf numFmtId="173" fontId="72" fillId="0" borderId="0" xfId="833" applyNumberFormat="1" applyFont="1" applyAlignment="1">
      <alignment horizontal="centerContinuous"/>
    </xf>
    <xf numFmtId="173" fontId="72" fillId="0" borderId="0" xfId="833" applyNumberFormat="1" applyFont="1" applyAlignment="1">
      <alignment horizontal="center"/>
    </xf>
    <xf numFmtId="0" fontId="103" fillId="0" borderId="0" xfId="833" applyFont="1" applyAlignment="1">
      <alignment horizontal="center"/>
    </xf>
    <xf numFmtId="0" fontId="72" fillId="0" borderId="0" xfId="833" applyFont="1" applyAlignment="1">
      <alignment horizontal="center"/>
    </xf>
    <xf numFmtId="173" fontId="67" fillId="0" borderId="0" xfId="833" applyNumberFormat="1" applyFont="1" applyAlignment="1">
      <alignment horizontal="right"/>
    </xf>
    <xf numFmtId="176" fontId="67" fillId="0" borderId="0" xfId="833" applyNumberFormat="1" applyFont="1"/>
    <xf numFmtId="173" fontId="67" fillId="0" borderId="0" xfId="833" applyNumberFormat="1" applyFont="1" applyAlignment="1">
      <alignment horizontal="center"/>
    </xf>
    <xf numFmtId="0" fontId="68" fillId="0" borderId="0" xfId="833" applyFont="1"/>
    <xf numFmtId="165" fontId="49" fillId="0" borderId="0" xfId="837" applyNumberFormat="1"/>
    <xf numFmtId="165" fontId="109" fillId="0" borderId="0" xfId="837" applyNumberFormat="1" applyFont="1" applyAlignment="1">
      <alignment horizontal="right"/>
    </xf>
    <xf numFmtId="39" fontId="49" fillId="0" borderId="0" xfId="837" applyNumberFormat="1"/>
    <xf numFmtId="40" fontId="49" fillId="0" borderId="0" xfId="837" applyNumberFormat="1"/>
    <xf numFmtId="165" fontId="71" fillId="0" borderId="0" xfId="837" applyNumberFormat="1" applyFont="1"/>
    <xf numFmtId="5" fontId="51" fillId="0" borderId="0" xfId="837" applyNumberFormat="1" applyFont="1"/>
    <xf numFmtId="40" fontId="51" fillId="0" borderId="0" xfId="837" applyNumberFormat="1" applyFont="1"/>
    <xf numFmtId="165" fontId="79" fillId="0" borderId="0" xfId="837" applyNumberFormat="1" applyFont="1" applyAlignment="1">
      <alignment horizontal="right"/>
    </xf>
    <xf numFmtId="0" fontId="73" fillId="0" borderId="0" xfId="837" quotePrefix="1" applyFont="1" applyAlignment="1">
      <alignment horizontal="left"/>
    </xf>
    <xf numFmtId="0" fontId="72" fillId="0" borderId="0" xfId="837" applyFont="1"/>
    <xf numFmtId="40" fontId="110" fillId="0" borderId="0" xfId="837" applyNumberFormat="1" applyFont="1" applyAlignment="1">
      <alignment horizontal="center"/>
    </xf>
    <xf numFmtId="40" fontId="51" fillId="0" borderId="0" xfId="837" quotePrefix="1" applyNumberFormat="1" applyFont="1" applyAlignment="1">
      <alignment horizontal="left"/>
    </xf>
    <xf numFmtId="40" fontId="51" fillId="0" borderId="0" xfId="837" applyNumberFormat="1" applyFont="1" applyAlignment="1">
      <alignment horizontal="left"/>
    </xf>
    <xf numFmtId="39" fontId="51" fillId="0" borderId="0" xfId="837" quotePrefix="1" applyNumberFormat="1" applyFont="1" applyAlignment="1">
      <alignment horizontal="center"/>
    </xf>
    <xf numFmtId="40" fontId="51" fillId="0" borderId="0" xfId="837" applyNumberFormat="1" applyFont="1" applyAlignment="1">
      <alignment horizontal="center"/>
    </xf>
    <xf numFmtId="39" fontId="51" fillId="0" borderId="0" xfId="837" applyNumberFormat="1" applyFont="1" applyAlignment="1">
      <alignment horizontal="center"/>
    </xf>
    <xf numFmtId="37" fontId="51" fillId="0" borderId="0" xfId="837" applyNumberFormat="1" applyFont="1"/>
    <xf numFmtId="185" fontId="51" fillId="0" borderId="0" xfId="837" quotePrefix="1" applyNumberFormat="1" applyFont="1" applyAlignment="1">
      <alignment horizontal="center"/>
    </xf>
    <xf numFmtId="42" fontId="51" fillId="0" borderId="0" xfId="837" applyNumberFormat="1" applyFont="1"/>
    <xf numFmtId="165" fontId="79" fillId="0" borderId="0" xfId="837" applyNumberFormat="1" applyFont="1"/>
    <xf numFmtId="0" fontId="51" fillId="0" borderId="0" xfId="837" applyFont="1"/>
    <xf numFmtId="41" fontId="51" fillId="0" borderId="0" xfId="837" applyNumberFormat="1" applyFont="1"/>
    <xf numFmtId="0" fontId="51" fillId="0" borderId="0" xfId="837" applyFont="1" applyAlignment="1">
      <alignment horizontal="left"/>
    </xf>
    <xf numFmtId="0" fontId="49" fillId="0" borderId="0" xfId="837" applyAlignment="1">
      <alignment horizontal="left"/>
    </xf>
    <xf numFmtId="166" fontId="64" fillId="0" borderId="0" xfId="1" applyNumberFormat="1" applyFont="1"/>
    <xf numFmtId="166" fontId="64" fillId="0" borderId="0" xfId="1" quotePrefix="1" applyNumberFormat="1" applyFont="1" applyAlignment="1">
      <alignment horizontal="left"/>
    </xf>
    <xf numFmtId="166" fontId="65" fillId="0" borderId="0" xfId="1" applyNumberFormat="1" applyFont="1" applyAlignment="1">
      <alignment horizontal="center"/>
    </xf>
    <xf numFmtId="174" fontId="64" fillId="0" borderId="0" xfId="1" applyNumberFormat="1" applyFont="1"/>
    <xf numFmtId="174" fontId="64" fillId="0" borderId="16" xfId="1" applyNumberFormat="1" applyFont="1" applyBorder="1"/>
    <xf numFmtId="166" fontId="65" fillId="0" borderId="0" xfId="1" applyNumberFormat="1" applyFont="1" applyAlignment="1">
      <alignment horizontal="right"/>
    </xf>
    <xf numFmtId="166" fontId="65" fillId="0" borderId="16" xfId="1" applyNumberFormat="1" applyFont="1" applyBorder="1"/>
    <xf numFmtId="170" fontId="65" fillId="0" borderId="0" xfId="1" applyNumberFormat="1" applyFont="1"/>
    <xf numFmtId="170" fontId="65" fillId="0" borderId="16" xfId="1" applyNumberFormat="1" applyFont="1" applyBorder="1"/>
    <xf numFmtId="170" fontId="65" fillId="0" borderId="45" xfId="1" applyNumberFormat="1" applyFont="1" applyBorder="1"/>
    <xf numFmtId="170" fontId="64" fillId="0" borderId="0" xfId="1" applyNumberFormat="1" applyFont="1"/>
    <xf numFmtId="170" fontId="64" fillId="0" borderId="16" xfId="1" applyNumberFormat="1" applyFont="1" applyBorder="1"/>
    <xf numFmtId="166" fontId="65" fillId="0" borderId="0" xfId="1" quotePrefix="1" applyNumberFormat="1" applyFont="1" applyAlignment="1">
      <alignment horizontal="left"/>
    </xf>
    <xf numFmtId="170" fontId="137" fillId="0" borderId="0" xfId="1" applyNumberFormat="1" applyFont="1"/>
    <xf numFmtId="170" fontId="69" fillId="0" borderId="16" xfId="1" applyNumberFormat="1" applyFont="1" applyBorder="1"/>
    <xf numFmtId="170" fontId="70" fillId="0" borderId="0" xfId="1" applyNumberFormat="1" applyFont="1"/>
    <xf numFmtId="170" fontId="70" fillId="0" borderId="16" xfId="1" applyNumberFormat="1" applyFont="1" applyBorder="1"/>
    <xf numFmtId="170" fontId="64" fillId="0" borderId="0" xfId="1" applyNumberFormat="1" applyFont="1" applyAlignment="1">
      <alignment horizontal="right"/>
    </xf>
    <xf numFmtId="166" fontId="69" fillId="0" borderId="16" xfId="1" applyNumberFormat="1" applyFont="1" applyBorder="1"/>
    <xf numFmtId="166" fontId="51" fillId="0" borderId="0" xfId="1" applyNumberFormat="1" applyFont="1" applyAlignment="1">
      <alignment horizontal="left"/>
    </xf>
    <xf numFmtId="174" fontId="64" fillId="0" borderId="15" xfId="1" applyNumberFormat="1" applyFont="1" applyBorder="1"/>
    <xf numFmtId="174" fontId="70" fillId="0" borderId="0" xfId="1" applyNumberFormat="1" applyFont="1" applyAlignment="1">
      <alignment horizontal="right"/>
    </xf>
    <xf numFmtId="174" fontId="70" fillId="0" borderId="16" xfId="1" applyNumberFormat="1" applyFont="1" applyBorder="1"/>
    <xf numFmtId="166" fontId="53" fillId="0" borderId="0" xfId="1" applyNumberFormat="1" applyFont="1"/>
    <xf numFmtId="43" fontId="49" fillId="0" borderId="0" xfId="4" applyFont="1" applyFill="1" applyBorder="1" applyAlignment="1">
      <alignment horizontal="right"/>
    </xf>
    <xf numFmtId="0" fontId="83" fillId="0" borderId="0" xfId="5" applyFont="1"/>
    <xf numFmtId="0" fontId="138" fillId="0" borderId="0" xfId="5" applyFont="1"/>
    <xf numFmtId="0" fontId="114" fillId="0" borderId="0" xfId="5" applyFont="1"/>
    <xf numFmtId="0" fontId="56" fillId="0" borderId="0" xfId="5" applyFont="1"/>
    <xf numFmtId="0" fontId="56" fillId="0" borderId="0" xfId="5" applyFont="1" applyAlignment="1">
      <alignment horizontal="left"/>
    </xf>
    <xf numFmtId="0" fontId="56" fillId="0" borderId="0" xfId="5" applyFont="1" applyAlignment="1">
      <alignment horizontal="right" indent="15"/>
    </xf>
    <xf numFmtId="0" fontId="49" fillId="0" borderId="0" xfId="5" applyFont="1" applyAlignment="1">
      <alignment horizontal="center"/>
    </xf>
    <xf numFmtId="0" fontId="56" fillId="0" borderId="0" xfId="5" applyFont="1" applyAlignment="1">
      <alignment horizontal="center"/>
    </xf>
    <xf numFmtId="0" fontId="56" fillId="0" borderId="0" xfId="5" applyFont="1" applyAlignment="1">
      <alignment horizontal="right"/>
    </xf>
    <xf numFmtId="0" fontId="114" fillId="0" borderId="0" xfId="5" quotePrefix="1" applyFont="1" applyAlignment="1">
      <alignment horizontal="right"/>
    </xf>
    <xf numFmtId="165" fontId="56" fillId="0" borderId="0" xfId="5" applyNumberFormat="1" applyFont="1" applyAlignment="1">
      <alignment horizontal="right"/>
    </xf>
    <xf numFmtId="0" fontId="140" fillId="0" borderId="0" xfId="5" applyFont="1"/>
    <xf numFmtId="0" fontId="114" fillId="0" borderId="0" xfId="5" applyFont="1" applyAlignment="1">
      <alignment horizontal="center"/>
    </xf>
    <xf numFmtId="187" fontId="56" fillId="0" borderId="0" xfId="5" applyNumberFormat="1" applyFont="1"/>
    <xf numFmtId="0" fontId="138" fillId="0" borderId="0" xfId="5" applyFont="1" applyAlignment="1">
      <alignment horizontal="center"/>
    </xf>
    <xf numFmtId="190" fontId="56" fillId="0" borderId="0" xfId="5" applyNumberFormat="1" applyFont="1"/>
    <xf numFmtId="175" fontId="56" fillId="0" borderId="0" xfId="5" quotePrefix="1" applyNumberFormat="1" applyFont="1" applyAlignment="1">
      <alignment horizontal="right"/>
    </xf>
    <xf numFmtId="191" fontId="56" fillId="0" borderId="0" xfId="5" applyNumberFormat="1" applyFont="1"/>
    <xf numFmtId="175" fontId="56" fillId="0" borderId="0" xfId="5" quotePrefix="1" applyNumberFormat="1" applyFont="1"/>
    <xf numFmtId="0" fontId="50" fillId="0" borderId="0" xfId="857" applyFont="1" applyAlignment="1">
      <alignment horizontal="centerContinuous"/>
    </xf>
    <xf numFmtId="37" fontId="50" fillId="0" borderId="0" xfId="857" applyNumberFormat="1" applyFont="1" applyAlignment="1">
      <alignment horizontal="centerContinuous"/>
    </xf>
    <xf numFmtId="0" fontId="50" fillId="0" borderId="0" xfId="857" applyFont="1"/>
    <xf numFmtId="0" fontId="49" fillId="0" borderId="0" xfId="857" applyFont="1" applyAlignment="1">
      <alignment horizontal="centerContinuous"/>
    </xf>
    <xf numFmtId="37" fontId="72" fillId="0" borderId="0" xfId="857" applyNumberFormat="1" applyFont="1" applyAlignment="1">
      <alignment horizontal="centerContinuous"/>
    </xf>
    <xf numFmtId="0" fontId="49" fillId="0" borderId="0" xfId="857" applyFont="1"/>
    <xf numFmtId="0" fontId="50" fillId="0" borderId="46" xfId="857" applyFont="1" applyBorder="1" applyAlignment="1">
      <alignment horizontal="centerContinuous"/>
    </xf>
    <xf numFmtId="0" fontId="49" fillId="0" borderId="20" xfId="857" applyFont="1" applyBorder="1" applyAlignment="1">
      <alignment horizontal="centerContinuous"/>
    </xf>
    <xf numFmtId="37" fontId="72" fillId="0" borderId="47" xfId="857" applyNumberFormat="1" applyFont="1" applyBorder="1"/>
    <xf numFmtId="0" fontId="50" fillId="0" borderId="20" xfId="857" applyFont="1" applyBorder="1"/>
    <xf numFmtId="0" fontId="49" fillId="0" borderId="20" xfId="857" applyFont="1" applyBorder="1"/>
    <xf numFmtId="37" fontId="72" fillId="0" borderId="0" xfId="857" applyNumberFormat="1" applyFont="1"/>
    <xf numFmtId="37" fontId="49" fillId="0" borderId="0" xfId="857" applyNumberFormat="1" applyFont="1"/>
    <xf numFmtId="37" fontId="47" fillId="0" borderId="0" xfId="857" applyNumberFormat="1" applyFont="1"/>
    <xf numFmtId="0" fontId="49" fillId="0" borderId="45" xfId="857" applyFont="1" applyBorder="1"/>
    <xf numFmtId="0" fontId="141" fillId="0" borderId="0" xfId="857" applyFont="1"/>
    <xf numFmtId="37" fontId="49" fillId="0" borderId="0" xfId="857" applyNumberFormat="1" applyFont="1" applyAlignment="1">
      <alignment horizontal="left"/>
    </xf>
    <xf numFmtId="0" fontId="111" fillId="0" borderId="0" xfId="857" applyFont="1"/>
    <xf numFmtId="165" fontId="49" fillId="0" borderId="0" xfId="857" applyNumberFormat="1" applyFont="1" applyAlignment="1">
      <alignment horizontal="left"/>
    </xf>
    <xf numFmtId="0" fontId="142" fillId="0" borderId="0" xfId="857" applyFont="1" applyAlignment="1">
      <alignment vertical="top" wrapText="1"/>
    </xf>
    <xf numFmtId="0" fontId="85" fillId="0" borderId="0" xfId="857" applyFont="1"/>
    <xf numFmtId="0" fontId="49" fillId="0" borderId="0" xfId="857" applyFont="1" applyAlignment="1">
      <alignment horizontal="left"/>
    </xf>
    <xf numFmtId="170" fontId="44" fillId="0" borderId="0" xfId="0" applyNumberFormat="1" applyFont="1"/>
    <xf numFmtId="166" fontId="44" fillId="0" borderId="0" xfId="0" applyNumberFormat="1" applyFont="1" applyProtection="1">
      <protection locked="0"/>
    </xf>
    <xf numFmtId="170" fontId="44" fillId="0" borderId="0" xfId="0" quotePrefix="1" applyNumberFormat="1" applyFont="1" applyAlignment="1">
      <alignment horizontal="center"/>
    </xf>
    <xf numFmtId="37" fontId="44" fillId="0" borderId="0" xfId="1" applyNumberFormat="1"/>
    <xf numFmtId="49" fontId="44" fillId="0" borderId="0" xfId="14" applyNumberFormat="1" applyAlignment="1">
      <alignment horizontal="center"/>
    </xf>
    <xf numFmtId="0" fontId="72" fillId="0" borderId="0" xfId="0" applyNumberFormat="1" applyFont="1"/>
    <xf numFmtId="0" fontId="49" fillId="0" borderId="0" xfId="0" applyNumberFormat="1" applyFont="1"/>
    <xf numFmtId="0" fontId="49" fillId="0" borderId="0" xfId="0" applyNumberFormat="1" applyFont="1" applyAlignment="1">
      <alignment horizontal="right"/>
    </xf>
    <xf numFmtId="0" fontId="50" fillId="0" borderId="0" xfId="0" applyNumberFormat="1" applyFont="1"/>
    <xf numFmtId="39" fontId="50" fillId="0" borderId="0" xfId="0" applyNumberFormat="1" applyFont="1"/>
    <xf numFmtId="0" fontId="49" fillId="0" borderId="0" xfId="0" applyNumberFormat="1" applyFont="1" applyAlignment="1">
      <alignment horizontal="left" vertical="top"/>
    </xf>
    <xf numFmtId="170" fontId="44" fillId="0" borderId="0" xfId="1" applyNumberFormat="1"/>
    <xf numFmtId="165" fontId="44" fillId="0" borderId="0" xfId="0" applyNumberFormat="1" applyFont="1" applyProtection="1">
      <protection locked="0"/>
    </xf>
    <xf numFmtId="164" fontId="44" fillId="0" borderId="0" xfId="0" applyFont="1"/>
    <xf numFmtId="164" fontId="96" fillId="0" borderId="0" xfId="0" applyFont="1"/>
    <xf numFmtId="166" fontId="44" fillId="0" borderId="0" xfId="1" applyNumberFormat="1"/>
    <xf numFmtId="0" fontId="44" fillId="0" borderId="0" xfId="14" applyNumberFormat="1" applyAlignment="1">
      <alignment horizontal="left"/>
    </xf>
    <xf numFmtId="164" fontId="72" fillId="0" borderId="0" xfId="0" applyFont="1"/>
    <xf numFmtId="0" fontId="146" fillId="0" borderId="0" xfId="857" applyFont="1"/>
    <xf numFmtId="37" fontId="49" fillId="34" borderId="0" xfId="857" applyNumberFormat="1" applyFont="1" applyFill="1" applyAlignment="1">
      <alignment horizontal="left"/>
    </xf>
    <xf numFmtId="0" fontId="50" fillId="34" borderId="0" xfId="857" applyFont="1" applyFill="1"/>
    <xf numFmtId="174" fontId="44" fillId="0" borderId="0" xfId="1" applyNumberFormat="1"/>
    <xf numFmtId="170" fontId="44" fillId="0" borderId="0" xfId="1" quotePrefix="1" applyNumberFormat="1" applyAlignment="1">
      <alignment horizontal="center"/>
    </xf>
    <xf numFmtId="174" fontId="44" fillId="0" borderId="0" xfId="1" applyNumberFormat="1" applyAlignment="1">
      <alignment horizontal="right"/>
    </xf>
    <xf numFmtId="174" fontId="44" fillId="0" borderId="0" xfId="1" quotePrefix="1" applyNumberFormat="1" applyAlignment="1">
      <alignment horizontal="center"/>
    </xf>
    <xf numFmtId="186" fontId="98" fillId="0" borderId="0" xfId="5" applyNumberFormat="1"/>
    <xf numFmtId="0" fontId="44" fillId="0" borderId="0" xfId="14" quotePrefix="1" applyNumberFormat="1" applyAlignment="1">
      <alignment horizontal="left"/>
    </xf>
    <xf numFmtId="164" fontId="67" fillId="0" borderId="0" xfId="0" applyFont="1"/>
    <xf numFmtId="164" fontId="51" fillId="0" borderId="0" xfId="0" applyFont="1"/>
    <xf numFmtId="0" fontId="139" fillId="0" borderId="0" xfId="5" applyFont="1" applyAlignment="1">
      <alignment horizontal="left"/>
    </xf>
    <xf numFmtId="164" fontId="44" fillId="0" borderId="0" xfId="1" applyNumberFormat="1"/>
    <xf numFmtId="165" fontId="44" fillId="0" borderId="0" xfId="0" applyNumberFormat="1" applyFont="1"/>
    <xf numFmtId="165" fontId="51" fillId="0" borderId="0" xfId="0" applyNumberFormat="1" applyFont="1"/>
    <xf numFmtId="165" fontId="44" fillId="0" borderId="0" xfId="0" quotePrefix="1" applyNumberFormat="1" applyFont="1" applyAlignment="1">
      <alignment horizontal="center"/>
    </xf>
    <xf numFmtId="170" fontId="44" fillId="0" borderId="0" xfId="1" applyNumberFormat="1" applyAlignment="1">
      <alignment horizontal="right"/>
    </xf>
    <xf numFmtId="170" fontId="44" fillId="0" borderId="0" xfId="1" quotePrefix="1" applyNumberFormat="1" applyAlignment="1">
      <alignment horizontal="right"/>
    </xf>
    <xf numFmtId="170" fontId="44" fillId="0" borderId="0" xfId="1" quotePrefix="1" applyNumberFormat="1"/>
    <xf numFmtId="174" fontId="130" fillId="0" borderId="0" xfId="1" applyNumberFormat="1" applyFont="1"/>
    <xf numFmtId="0" fontId="44" fillId="0" borderId="0" xfId="1"/>
    <xf numFmtId="180" fontId="67" fillId="0" borderId="0" xfId="833" applyNumberFormat="1" applyFont="1"/>
    <xf numFmtId="177" fontId="72" fillId="0" borderId="0" xfId="833" applyNumberFormat="1" applyFont="1" applyAlignment="1">
      <alignment horizontal="right"/>
    </xf>
    <xf numFmtId="177" fontId="72" fillId="0" borderId="0" xfId="833" applyNumberFormat="1" applyFont="1"/>
    <xf numFmtId="173" fontId="67" fillId="0" borderId="0" xfId="833" quotePrefix="1" applyNumberFormat="1" applyFont="1" applyAlignment="1">
      <alignment horizontal="left"/>
    </xf>
    <xf numFmtId="179" fontId="67" fillId="0" borderId="0" xfId="833" applyNumberFormat="1" applyFont="1"/>
    <xf numFmtId="179" fontId="72" fillId="0" borderId="0" xfId="833" applyNumberFormat="1" applyFont="1" applyAlignment="1">
      <alignment horizontal="right"/>
    </xf>
    <xf numFmtId="0" fontId="153" fillId="0" borderId="0" xfId="833" quotePrefix="1" applyFont="1" applyAlignment="1">
      <alignment horizontal="left"/>
    </xf>
    <xf numFmtId="173" fontId="81" fillId="0" borderId="0" xfId="833" applyNumberFormat="1" applyFont="1"/>
    <xf numFmtId="0" fontId="44" fillId="0" borderId="0" xfId="14" applyNumberFormat="1" applyAlignment="1">
      <alignment readingOrder="1"/>
    </xf>
    <xf numFmtId="0" fontId="44" fillId="0" borderId="0" xfId="14" applyNumberFormat="1"/>
    <xf numFmtId="0" fontId="44" fillId="0" borderId="0" xfId="14" applyNumberFormat="1" applyAlignment="1" applyProtection="1">
      <alignment readingOrder="1"/>
      <protection locked="0"/>
    </xf>
    <xf numFmtId="0" fontId="44" fillId="0" borderId="0" xfId="14" applyNumberFormat="1" applyProtection="1">
      <protection locked="0"/>
    </xf>
    <xf numFmtId="0" fontId="51" fillId="0" borderId="0" xfId="14" applyNumberFormat="1" applyFont="1" applyProtection="1">
      <protection locked="0"/>
    </xf>
    <xf numFmtId="39" fontId="49" fillId="0" borderId="0" xfId="0" applyNumberFormat="1" applyFont="1" applyAlignment="1">
      <alignment horizontal="center" vertical="top"/>
    </xf>
    <xf numFmtId="0" fontId="49" fillId="0" borderId="0" xfId="0" quotePrefix="1" applyNumberFormat="1" applyFont="1"/>
    <xf numFmtId="177" fontId="44" fillId="0" borderId="0" xfId="737" applyNumberFormat="1" applyFont="1" applyAlignment="1">
      <alignment horizontal="right"/>
    </xf>
    <xf numFmtId="177" fontId="44" fillId="0" borderId="0" xfId="737" applyNumberFormat="1" applyFont="1"/>
    <xf numFmtId="177" fontId="44" fillId="0" borderId="0" xfId="737" quotePrefix="1" applyNumberFormat="1" applyFont="1" applyAlignment="1">
      <alignment horizontal="left"/>
    </xf>
    <xf numFmtId="177" fontId="98" fillId="0" borderId="0" xfId="737" applyNumberFormat="1" applyFont="1"/>
    <xf numFmtId="0" fontId="98" fillId="0" borderId="0" xfId="737" applyFont="1"/>
    <xf numFmtId="0" fontId="44" fillId="0" borderId="0" xfId="737" quotePrefix="1" applyFont="1" applyAlignment="1">
      <alignment horizontal="left"/>
    </xf>
    <xf numFmtId="181" fontId="44" fillId="0" borderId="0" xfId="738" applyNumberFormat="1" applyFont="1" applyFill="1" applyBorder="1" applyAlignment="1"/>
    <xf numFmtId="0" fontId="51" fillId="0" borderId="0" xfId="1" quotePrefix="1" applyFont="1" applyAlignment="1">
      <alignment horizontal="center"/>
    </xf>
    <xf numFmtId="17" fontId="51" fillId="0" borderId="0" xfId="1" applyNumberFormat="1" applyFont="1" applyAlignment="1">
      <alignment horizontal="center"/>
    </xf>
    <xf numFmtId="15" fontId="51" fillId="0" borderId="0" xfId="1" applyNumberFormat="1" applyFont="1" applyAlignment="1">
      <alignment horizontal="center"/>
    </xf>
    <xf numFmtId="166" fontId="64" fillId="0" borderId="0" xfId="1" applyNumberFormat="1" applyFont="1" applyAlignment="1">
      <alignment horizontal="center"/>
    </xf>
    <xf numFmtId="165" fontId="51" fillId="0" borderId="0" xfId="1" quotePrefix="1" applyNumberFormat="1" applyFont="1" applyAlignment="1">
      <alignment horizontal="center"/>
    </xf>
    <xf numFmtId="166" fontId="51" fillId="0" borderId="0" xfId="1" applyNumberFormat="1" applyFont="1" applyAlignment="1">
      <alignment horizontal="center"/>
    </xf>
    <xf numFmtId="165" fontId="51" fillId="0" borderId="0" xfId="1" applyNumberFormat="1" applyFont="1" applyAlignment="1">
      <alignment horizontal="center"/>
    </xf>
    <xf numFmtId="165" fontId="50" fillId="0" borderId="0" xfId="1" applyNumberFormat="1" applyFont="1"/>
    <xf numFmtId="165" fontId="155" fillId="0" borderId="0" xfId="1" applyNumberFormat="1" applyFont="1"/>
    <xf numFmtId="165" fontId="156" fillId="0" borderId="0" xfId="1" applyNumberFormat="1" applyFont="1"/>
    <xf numFmtId="164" fontId="51" fillId="0" borderId="0" xfId="0" applyFont="1" applyAlignment="1">
      <alignment horizontal="center"/>
    </xf>
    <xf numFmtId="0" fontId="72" fillId="0" borderId="0" xfId="0" applyNumberFormat="1" applyFont="1" applyAlignment="1">
      <alignment horizontal="center"/>
    </xf>
    <xf numFmtId="164" fontId="72" fillId="0" borderId="0" xfId="0" applyFont="1" applyAlignment="1">
      <alignment horizontal="center"/>
    </xf>
    <xf numFmtId="0" fontId="50" fillId="0" borderId="0" xfId="857" applyFont="1" applyAlignment="1">
      <alignment horizontal="right"/>
    </xf>
    <xf numFmtId="164" fontId="49" fillId="0" borderId="0" xfId="1" applyNumberFormat="1" applyFont="1"/>
    <xf numFmtId="164" fontId="45" fillId="0" borderId="0" xfId="1" applyNumberFormat="1" applyFont="1" applyAlignment="1">
      <alignment horizontal="right"/>
    </xf>
    <xf numFmtId="164" fontId="47" fillId="0" borderId="0" xfId="1" applyNumberFormat="1" applyFont="1"/>
    <xf numFmtId="164" fontId="51" fillId="0" borderId="0" xfId="1" applyNumberFormat="1" applyFont="1" applyAlignment="1">
      <alignment horizontal="center"/>
    </xf>
    <xf numFmtId="43" fontId="44" fillId="0" borderId="0" xfId="0" applyNumberFormat="1" applyFont="1"/>
    <xf numFmtId="42" fontId="44" fillId="0" borderId="0" xfId="0" applyNumberFormat="1" applyFont="1"/>
    <xf numFmtId="42" fontId="44" fillId="0" borderId="0" xfId="0" applyNumberFormat="1" applyFont="1" applyProtection="1">
      <protection locked="0"/>
    </xf>
    <xf numFmtId="41" fontId="44" fillId="0" borderId="0" xfId="0" quotePrefix="1" applyNumberFormat="1" applyFont="1" applyAlignment="1">
      <alignment horizontal="right"/>
    </xf>
    <xf numFmtId="41" fontId="44" fillId="0" borderId="0" xfId="0" applyNumberFormat="1" applyFont="1"/>
    <xf numFmtId="41" fontId="44" fillId="0" borderId="0" xfId="0" applyNumberFormat="1" applyFont="1" applyProtection="1">
      <protection locked="0"/>
    </xf>
    <xf numFmtId="41" fontId="44" fillId="0" borderId="0" xfId="0" quotePrefix="1" applyNumberFormat="1" applyFont="1" applyAlignment="1">
      <alignment horizontal="center"/>
    </xf>
    <xf numFmtId="41" fontId="44" fillId="0" borderId="0" xfId="0" quotePrefix="1" applyNumberFormat="1" applyFont="1"/>
    <xf numFmtId="174" fontId="51" fillId="0" borderId="49" xfId="1" applyNumberFormat="1" applyFont="1" applyBorder="1"/>
    <xf numFmtId="0" fontId="72" fillId="0" borderId="0" xfId="833" quotePrefix="1" applyFont="1"/>
    <xf numFmtId="43" fontId="49" fillId="0" borderId="0" xfId="0" applyNumberFormat="1" applyFont="1"/>
    <xf numFmtId="189" fontId="157" fillId="0" borderId="0" xfId="8" applyNumberFormat="1" applyFont="1" applyAlignment="1">
      <alignment horizontal="right"/>
    </xf>
    <xf numFmtId="4" fontId="51" fillId="0" borderId="0" xfId="1025" applyNumberFormat="1" applyFont="1" applyAlignment="1">
      <alignment horizontal="left"/>
    </xf>
    <xf numFmtId="37" fontId="102" fillId="0" borderId="0" xfId="0" applyNumberFormat="1" applyFont="1" applyAlignment="1">
      <alignment horizontal="right"/>
    </xf>
    <xf numFmtId="164" fontId="98" fillId="0" borderId="0" xfId="0" applyFont="1"/>
    <xf numFmtId="165" fontId="73" fillId="0" borderId="0" xfId="837" applyNumberFormat="1" applyFont="1" applyAlignment="1">
      <alignment horizontal="left"/>
    </xf>
    <xf numFmtId="0" fontId="73" fillId="0" borderId="0" xfId="837" applyFont="1" applyAlignment="1">
      <alignment horizontal="left"/>
    </xf>
    <xf numFmtId="0" fontId="44" fillId="0" borderId="0" xfId="837" applyFont="1" applyAlignment="1">
      <alignment horizontal="left"/>
    </xf>
    <xf numFmtId="0" fontId="44" fillId="0" borderId="0" xfId="1" applyAlignment="1">
      <alignment horizontal="left"/>
    </xf>
    <xf numFmtId="0" fontId="72" fillId="0" borderId="0" xfId="1" applyFont="1" applyAlignment="1" applyProtection="1">
      <alignment horizontal="left"/>
      <protection locked="0"/>
    </xf>
    <xf numFmtId="37" fontId="72" fillId="0" borderId="0" xfId="1" applyNumberFormat="1" applyFont="1" applyAlignment="1">
      <alignment horizontal="center"/>
    </xf>
    <xf numFmtId="37" fontId="72" fillId="0" borderId="0" xfId="1" quotePrefix="1" applyNumberFormat="1" applyFont="1" applyAlignment="1">
      <alignment horizontal="center"/>
    </xf>
    <xf numFmtId="165" fontId="44" fillId="0" borderId="0" xfId="1" applyNumberFormat="1" applyProtection="1">
      <protection locked="0"/>
    </xf>
    <xf numFmtId="165" fontId="44" fillId="0" borderId="0" xfId="14" applyNumberFormat="1" applyProtection="1">
      <protection locked="0"/>
    </xf>
    <xf numFmtId="0" fontId="51" fillId="0" borderId="0" xfId="14" applyNumberFormat="1" applyFont="1"/>
    <xf numFmtId="170" fontId="51" fillId="0" borderId="45" xfId="1" applyNumberFormat="1" applyFont="1" applyBorder="1"/>
    <xf numFmtId="43" fontId="50" fillId="0" borderId="0" xfId="0" applyNumberFormat="1" applyFont="1"/>
    <xf numFmtId="0" fontId="103" fillId="0" borderId="0" xfId="14" applyNumberFormat="1" applyFont="1"/>
    <xf numFmtId="0" fontId="108" fillId="0" borderId="0" xfId="14" applyNumberFormat="1" applyFont="1" applyProtection="1">
      <protection locked="0"/>
    </xf>
    <xf numFmtId="0" fontId="108" fillId="0" borderId="0" xfId="14" applyNumberFormat="1" applyFont="1"/>
    <xf numFmtId="0" fontId="108" fillId="0" borderId="0" xfId="14" applyNumberFormat="1" applyFont="1" applyAlignment="1">
      <alignment horizontal="center"/>
    </xf>
    <xf numFmtId="0" fontId="50" fillId="0" borderId="0" xfId="5" applyFont="1" applyAlignment="1">
      <alignment horizontal="right"/>
    </xf>
    <xf numFmtId="165" fontId="44" fillId="0" borderId="0" xfId="1" applyNumberFormat="1"/>
    <xf numFmtId="165" fontId="44" fillId="0" borderId="0" xfId="1" applyNumberFormat="1" applyAlignment="1">
      <alignment horizontal="centerContinuous"/>
    </xf>
    <xf numFmtId="0" fontId="79" fillId="0" borderId="0" xfId="1" applyFont="1" applyAlignment="1">
      <alignment horizontal="left"/>
    </xf>
    <xf numFmtId="170" fontId="44" fillId="0" borderId="0" xfId="1" applyNumberFormat="1" applyAlignment="1">
      <alignment horizontal="center"/>
    </xf>
    <xf numFmtId="164" fontId="51" fillId="0" borderId="45" xfId="1" applyNumberFormat="1" applyFont="1" applyBorder="1"/>
    <xf numFmtId="179" fontId="0" fillId="0" borderId="0" xfId="14" applyNumberFormat="1" applyFont="1"/>
    <xf numFmtId="17" fontId="51" fillId="0" borderId="45" xfId="1" quotePrefix="1" applyNumberFormat="1" applyFont="1" applyBorder="1" applyAlignment="1">
      <alignment horizontal="center"/>
    </xf>
    <xf numFmtId="178" fontId="72" fillId="0" borderId="0" xfId="833" quotePrefix="1" applyNumberFormat="1" applyFont="1" applyAlignment="1">
      <alignment horizontal="center"/>
    </xf>
    <xf numFmtId="0" fontId="160" fillId="0" borderId="0" xfId="1" applyFont="1"/>
    <xf numFmtId="0" fontId="51" fillId="0" borderId="0" xfId="837" quotePrefix="1" applyFont="1" applyAlignment="1">
      <alignment horizontal="center"/>
    </xf>
    <xf numFmtId="164" fontId="44" fillId="0" borderId="0" xfId="0" applyFont="1" applyProtection="1">
      <protection locked="0"/>
    </xf>
    <xf numFmtId="0" fontId="162" fillId="0" borderId="0" xfId="0" applyNumberFormat="1" applyFont="1"/>
    <xf numFmtId="41" fontId="162" fillId="0" borderId="0" xfId="0" applyNumberFormat="1" applyFont="1"/>
    <xf numFmtId="165" fontId="44" fillId="34" borderId="0" xfId="5450" applyNumberFormat="1" applyFill="1" applyProtection="1">
      <protection locked="0"/>
    </xf>
    <xf numFmtId="37" fontId="44" fillId="0" borderId="0" xfId="1" applyNumberFormat="1" applyAlignment="1">
      <alignment horizontal="right"/>
    </xf>
    <xf numFmtId="169" fontId="44" fillId="0" borderId="0" xfId="1" applyNumberFormat="1"/>
    <xf numFmtId="37" fontId="44" fillId="0" borderId="0" xfId="1" quotePrefix="1" applyNumberFormat="1" applyAlignment="1">
      <alignment horizontal="center"/>
    </xf>
    <xf numFmtId="170" fontId="44" fillId="0" borderId="45" xfId="1" applyNumberFormat="1" applyBorder="1" applyAlignment="1">
      <alignment horizontal="right"/>
    </xf>
    <xf numFmtId="170" fontId="44" fillId="0" borderId="45" xfId="1" applyNumberFormat="1" applyBorder="1"/>
    <xf numFmtId="166" fontId="44" fillId="0" borderId="0" xfId="1" applyNumberFormat="1" applyAlignment="1">
      <alignment horizontal="right"/>
    </xf>
    <xf numFmtId="3" fontId="44" fillId="0" borderId="0" xfId="1" applyNumberFormat="1"/>
    <xf numFmtId="0" fontId="44" fillId="0" borderId="0" xfId="5450" applyNumberFormat="1" applyAlignment="1">
      <alignment horizontal="left"/>
    </xf>
    <xf numFmtId="165" fontId="44" fillId="0" borderId="0" xfId="5450" applyNumberFormat="1" applyProtection="1">
      <protection locked="0"/>
    </xf>
    <xf numFmtId="174" fontId="44" fillId="0" borderId="0" xfId="1" quotePrefix="1" applyNumberFormat="1" applyAlignment="1">
      <alignment horizontal="right"/>
    </xf>
    <xf numFmtId="37" fontId="44" fillId="0" borderId="0" xfId="1" applyNumberFormat="1" applyAlignment="1">
      <alignment horizontal="center"/>
    </xf>
    <xf numFmtId="174" fontId="44" fillId="0" borderId="0" xfId="1" quotePrefix="1" applyNumberFormat="1"/>
    <xf numFmtId="166" fontId="65" fillId="0" borderId="19" xfId="1" applyNumberFormat="1" applyFont="1" applyBorder="1"/>
    <xf numFmtId="170" fontId="65" fillId="0" borderId="19" xfId="1" applyNumberFormat="1" applyFont="1" applyBorder="1"/>
    <xf numFmtId="37" fontId="134" fillId="0" borderId="0" xfId="1" applyNumberFormat="1" applyFont="1" applyAlignment="1">
      <alignment horizontal="centerContinuous"/>
    </xf>
    <xf numFmtId="170" fontId="51" fillId="0" borderId="0" xfId="1" quotePrefix="1" applyNumberFormat="1" applyFont="1"/>
    <xf numFmtId="0" fontId="51" fillId="0" borderId="14" xfId="1" applyFont="1" applyBorder="1" applyAlignment="1">
      <alignment horizontal="center"/>
    </xf>
    <xf numFmtId="0" fontId="51" fillId="0" borderId="14" xfId="1" quotePrefix="1" applyFont="1" applyBorder="1" applyAlignment="1">
      <alignment horizontal="center"/>
    </xf>
    <xf numFmtId="170" fontId="51" fillId="0" borderId="14" xfId="1" quotePrefix="1" applyNumberFormat="1" applyFont="1" applyBorder="1"/>
    <xf numFmtId="170" fontId="51" fillId="0" borderId="14" xfId="1" applyNumberFormat="1" applyFont="1" applyBorder="1" applyAlignment="1">
      <alignment vertical="center"/>
    </xf>
    <xf numFmtId="0" fontId="51" fillId="0" borderId="14" xfId="1" applyFont="1" applyBorder="1"/>
    <xf numFmtId="0" fontId="44" fillId="0" borderId="0" xfId="1" applyAlignment="1">
      <alignment horizontal="centerContinuous"/>
    </xf>
    <xf numFmtId="165" fontId="44" fillId="0" borderId="0" xfId="1" applyNumberFormat="1" applyAlignment="1" applyProtection="1">
      <alignment horizontal="center"/>
      <protection locked="0"/>
    </xf>
    <xf numFmtId="165" fontId="44" fillId="0" borderId="14" xfId="1" applyNumberFormat="1" applyBorder="1" applyProtection="1">
      <protection locked="0"/>
    </xf>
    <xf numFmtId="0" fontId="44" fillId="0" borderId="14" xfId="1" applyBorder="1"/>
    <xf numFmtId="169" fontId="44" fillId="0" borderId="14" xfId="1" applyNumberFormat="1" applyBorder="1"/>
    <xf numFmtId="168" fontId="44" fillId="0" borderId="0" xfId="1" applyNumberFormat="1" applyProtection="1">
      <protection locked="0"/>
    </xf>
    <xf numFmtId="168" fontId="44" fillId="0" borderId="0" xfId="1" applyNumberFormat="1"/>
    <xf numFmtId="166" fontId="44" fillId="0" borderId="14" xfId="1" applyNumberFormat="1" applyBorder="1"/>
    <xf numFmtId="0" fontId="44" fillId="0" borderId="14" xfId="1" quotePrefix="1" applyBorder="1"/>
    <xf numFmtId="0" fontId="44" fillId="0" borderId="14" xfId="1" quotePrefix="1" applyBorder="1" applyAlignment="1">
      <alignment horizontal="center"/>
    </xf>
    <xf numFmtId="0" fontId="44" fillId="0" borderId="14" xfId="1" quotePrefix="1" applyBorder="1" applyAlignment="1">
      <alignment horizontal="right"/>
    </xf>
    <xf numFmtId="169" fontId="44" fillId="0" borderId="20" xfId="1" applyNumberFormat="1" applyBorder="1"/>
    <xf numFmtId="170" fontId="44" fillId="0" borderId="0" xfId="1" applyNumberFormat="1" applyProtection="1">
      <protection locked="0"/>
    </xf>
    <xf numFmtId="0" fontId="44" fillId="0" borderId="0" xfId="1" quotePrefix="1" applyAlignment="1">
      <alignment horizontal="left"/>
    </xf>
    <xf numFmtId="170" fontId="51" fillId="0" borderId="0" xfId="3" applyNumberFormat="1" applyFont="1"/>
    <xf numFmtId="170" fontId="51" fillId="0" borderId="0" xfId="4" applyNumberFormat="1" applyFont="1" applyFill="1" applyBorder="1"/>
    <xf numFmtId="165" fontId="51" fillId="0" borderId="45" xfId="1" applyNumberFormat="1" applyFont="1" applyBorder="1" applyAlignment="1">
      <alignment horizontal="center"/>
    </xf>
    <xf numFmtId="164" fontId="51" fillId="0" borderId="25" xfId="1" applyNumberFormat="1" applyFont="1" applyBorder="1"/>
    <xf numFmtId="0" fontId="54" fillId="0" borderId="0" xfId="1" applyFont="1"/>
    <xf numFmtId="170" fontId="86" fillId="0" borderId="0" xfId="1" applyNumberFormat="1" applyFont="1"/>
    <xf numFmtId="170" fontId="51" fillId="0" borderId="25" xfId="1" applyNumberFormat="1" applyFont="1" applyBorder="1" applyAlignment="1">
      <alignment horizontal="right"/>
    </xf>
    <xf numFmtId="165" fontId="44" fillId="0" borderId="0" xfId="0" applyNumberFormat="1" applyFont="1" applyAlignment="1">
      <alignment horizontal="left"/>
    </xf>
    <xf numFmtId="165" fontId="0" fillId="0" borderId="0" xfId="1" applyNumberFormat="1" applyFont="1"/>
    <xf numFmtId="170" fontId="49" fillId="0" borderId="0" xfId="1" applyNumberFormat="1" applyFont="1"/>
    <xf numFmtId="170" fontId="44" fillId="0" borderId="0" xfId="17915" applyNumberFormat="1" applyFont="1" applyFill="1" applyAlignment="1">
      <alignment horizontal="center"/>
    </xf>
    <xf numFmtId="174" fontId="44" fillId="0" borderId="0" xfId="1" applyNumberFormat="1" applyProtection="1">
      <protection locked="0"/>
    </xf>
    <xf numFmtId="174" fontId="0" fillId="0" borderId="0" xfId="1" applyNumberFormat="1" applyFont="1"/>
    <xf numFmtId="37" fontId="51" fillId="0" borderId="45" xfId="1" applyNumberFormat="1" applyFont="1" applyBorder="1"/>
    <xf numFmtId="37" fontId="51" fillId="0" borderId="45" xfId="1" applyNumberFormat="1" applyFont="1" applyBorder="1" applyAlignment="1">
      <alignment horizontal="centerContinuous"/>
    </xf>
    <xf numFmtId="166" fontId="44" fillId="0" borderId="0" xfId="1" applyNumberFormat="1" applyAlignment="1">
      <alignment horizontal="left"/>
    </xf>
    <xf numFmtId="0" fontId="51" fillId="0" borderId="0" xfId="14" applyNumberFormat="1" applyFont="1" applyAlignment="1" applyProtection="1">
      <alignment horizontal="right"/>
      <protection locked="0"/>
    </xf>
    <xf numFmtId="37" fontId="51" fillId="0" borderId="45" xfId="1" applyNumberFormat="1" applyFont="1" applyBorder="1" applyAlignment="1">
      <alignment horizontal="center"/>
    </xf>
    <xf numFmtId="174" fontId="44" fillId="0" borderId="17" xfId="1" applyNumberFormat="1" applyBorder="1"/>
    <xf numFmtId="43" fontId="44" fillId="0" borderId="0" xfId="737" applyNumberFormat="1" applyFont="1" applyAlignment="1">
      <alignment horizontal="right"/>
    </xf>
    <xf numFmtId="0" fontId="99" fillId="0" borderId="0" xfId="737"/>
    <xf numFmtId="0" fontId="44" fillId="0" borderId="0" xfId="736"/>
    <xf numFmtId="37" fontId="44" fillId="0" borderId="0" xfId="736" applyNumberFormat="1"/>
    <xf numFmtId="164" fontId="45" fillId="0" borderId="0" xfId="0" applyFont="1" applyAlignment="1">
      <alignment horizontal="right"/>
    </xf>
    <xf numFmtId="0" fontId="44" fillId="0" borderId="0" xfId="736" applyAlignment="1">
      <alignment horizontal="centerContinuous"/>
    </xf>
    <xf numFmtId="166" fontId="44" fillId="0" borderId="0" xfId="736" applyNumberFormat="1" applyProtection="1">
      <protection locked="0"/>
    </xf>
    <xf numFmtId="0" fontId="44" fillId="0" borderId="0" xfId="736" applyAlignment="1">
      <alignment horizontal="left"/>
    </xf>
    <xf numFmtId="0" fontId="44" fillId="0" borderId="0" xfId="1769"/>
    <xf numFmtId="39" fontId="44" fillId="0" borderId="0" xfId="1769" applyNumberFormat="1"/>
    <xf numFmtId="165" fontId="67" fillId="0" borderId="0" xfId="1769" applyNumberFormat="1" applyFont="1" applyAlignment="1">
      <alignment horizontal="left"/>
    </xf>
    <xf numFmtId="39" fontId="67" fillId="0" borderId="0" xfId="1769" applyNumberFormat="1" applyFont="1"/>
    <xf numFmtId="0" fontId="67" fillId="0" borderId="0" xfId="1769" applyFont="1"/>
    <xf numFmtId="0" fontId="44" fillId="0" borderId="0" xfId="1769" applyAlignment="1">
      <alignment horizontal="left"/>
    </xf>
    <xf numFmtId="39" fontId="44" fillId="0" borderId="0" xfId="1769" applyNumberFormat="1" applyAlignment="1">
      <alignment horizontal="center"/>
    </xf>
    <xf numFmtId="165" fontId="51" fillId="0" borderId="0" xfId="1769" applyNumberFormat="1" applyFont="1"/>
    <xf numFmtId="39" fontId="51" fillId="0" borderId="0" xfId="1769" applyNumberFormat="1" applyFont="1"/>
    <xf numFmtId="0" fontId="51" fillId="0" borderId="0" xfId="1769" applyFont="1"/>
    <xf numFmtId="39" fontId="51" fillId="0" borderId="0" xfId="1769" applyNumberFormat="1" applyFont="1" applyAlignment="1">
      <alignment horizontal="center"/>
    </xf>
    <xf numFmtId="44" fontId="51" fillId="0" borderId="0" xfId="1769" applyNumberFormat="1" applyFont="1"/>
    <xf numFmtId="8" fontId="51" fillId="0" borderId="0" xfId="1769" applyNumberFormat="1" applyFont="1"/>
    <xf numFmtId="40" fontId="51" fillId="0" borderId="0" xfId="1769" applyNumberFormat="1" applyFont="1"/>
    <xf numFmtId="43" fontId="44" fillId="0" borderId="0" xfId="1769" applyNumberFormat="1"/>
    <xf numFmtId="0" fontId="51" fillId="0" borderId="0" xfId="1769" applyFont="1" applyAlignment="1">
      <alignment horizontal="left"/>
    </xf>
    <xf numFmtId="0" fontId="44" fillId="0" borderId="0" xfId="1769" quotePrefix="1" applyAlignment="1">
      <alignment horizontal="left"/>
    </xf>
    <xf numFmtId="43" fontId="51" fillId="0" borderId="0" xfId="1769" applyNumberFormat="1" applyFont="1" applyAlignment="1">
      <alignment horizontal="right"/>
    </xf>
    <xf numFmtId="43" fontId="44" fillId="0" borderId="0" xfId="1769" applyNumberFormat="1" applyAlignment="1">
      <alignment horizontal="right"/>
    </xf>
    <xf numFmtId="39" fontId="44" fillId="0" borderId="26" xfId="1769" applyNumberFormat="1" applyBorder="1"/>
    <xf numFmtId="39" fontId="51" fillId="0" borderId="0" xfId="1769" quotePrefix="1" applyNumberFormat="1" applyFont="1" applyAlignment="1">
      <alignment horizontal="left"/>
    </xf>
    <xf numFmtId="4" fontId="51" fillId="0" borderId="0" xfId="1769" applyNumberFormat="1" applyFont="1"/>
    <xf numFmtId="0" fontId="84" fillId="0" borderId="0" xfId="1769" applyFont="1"/>
    <xf numFmtId="165" fontId="44" fillId="0" borderId="0" xfId="1769" applyNumberFormat="1" applyProtection="1">
      <protection locked="0"/>
    </xf>
    <xf numFmtId="0" fontId="58" fillId="0" borderId="0" xfId="1769" applyFont="1" applyAlignment="1">
      <alignment horizontal="left"/>
    </xf>
    <xf numFmtId="165" fontId="90" fillId="0" borderId="0" xfId="1769" applyNumberFormat="1" applyFont="1"/>
    <xf numFmtId="39" fontId="90" fillId="0" borderId="0" xfId="1769" applyNumberFormat="1" applyFont="1"/>
    <xf numFmtId="44" fontId="51" fillId="0" borderId="17" xfId="1769" applyNumberFormat="1" applyFont="1" applyBorder="1"/>
    <xf numFmtId="39" fontId="44" fillId="0" borderId="17" xfId="1769" applyNumberFormat="1" applyBorder="1"/>
    <xf numFmtId="43" fontId="44" fillId="0" borderId="17" xfId="1769" applyNumberFormat="1" applyBorder="1"/>
    <xf numFmtId="43" fontId="44" fillId="0" borderId="16" xfId="1769" applyNumberFormat="1" applyBorder="1"/>
    <xf numFmtId="43" fontId="51" fillId="0" borderId="17" xfId="1769" applyNumberFormat="1" applyFont="1" applyBorder="1"/>
    <xf numFmtId="43" fontId="51" fillId="0" borderId="0" xfId="1769" applyNumberFormat="1" applyFont="1"/>
    <xf numFmtId="43" fontId="94" fillId="0" borderId="0" xfId="1769" applyNumberFormat="1" applyFont="1"/>
    <xf numFmtId="43" fontId="51" fillId="0" borderId="16" xfId="1769" applyNumberFormat="1" applyFont="1" applyBorder="1"/>
    <xf numFmtId="39" fontId="44" fillId="0" borderId="16" xfId="1769" applyNumberFormat="1" applyBorder="1"/>
    <xf numFmtId="44" fontId="51" fillId="0" borderId="16" xfId="1769" applyNumberFormat="1" applyFont="1" applyBorder="1"/>
    <xf numFmtId="39" fontId="44" fillId="0" borderId="20" xfId="1769" applyNumberFormat="1" applyBorder="1"/>
    <xf numFmtId="165" fontId="47" fillId="0" borderId="0" xfId="837" applyNumberFormat="1" applyFont="1" applyProtection="1">
      <protection locked="0"/>
    </xf>
    <xf numFmtId="40" fontId="44" fillId="0" borderId="0" xfId="837" applyNumberFormat="1" applyFont="1" applyAlignment="1">
      <alignment horizontal="center"/>
    </xf>
    <xf numFmtId="189" fontId="44" fillId="0" borderId="0" xfId="8" applyNumberFormat="1" applyFont="1" applyAlignment="1">
      <alignment horizontal="center"/>
    </xf>
    <xf numFmtId="40" fontId="44" fillId="0" borderId="0" xfId="837" quotePrefix="1" applyNumberFormat="1" applyFont="1" applyAlignment="1">
      <alignment horizontal="center"/>
    </xf>
    <xf numFmtId="165" fontId="44" fillId="0" borderId="0" xfId="837" applyNumberFormat="1" applyFont="1"/>
    <xf numFmtId="39" fontId="44" fillId="0" borderId="0" xfId="837" applyNumberFormat="1" applyFont="1"/>
    <xf numFmtId="40" fontId="44" fillId="0" borderId="0" xfId="837" applyNumberFormat="1" applyFont="1"/>
    <xf numFmtId="42" fontId="44" fillId="0" borderId="0" xfId="837" applyNumberFormat="1" applyFont="1"/>
    <xf numFmtId="0" fontId="44" fillId="0" borderId="0" xfId="837" applyFont="1"/>
    <xf numFmtId="37" fontId="44" fillId="0" borderId="0" xfId="837" applyNumberFormat="1" applyFont="1"/>
    <xf numFmtId="189" fontId="44" fillId="0" borderId="0" xfId="8" applyNumberFormat="1" applyFont="1" applyAlignment="1"/>
    <xf numFmtId="41" fontId="44" fillId="0" borderId="0" xfId="837" applyNumberFormat="1" applyFont="1"/>
    <xf numFmtId="41" fontId="44" fillId="0" borderId="0" xfId="8" applyNumberFormat="1" applyFont="1" applyFill="1" applyAlignment="1"/>
    <xf numFmtId="41" fontId="44" fillId="0" borderId="0" xfId="837" quotePrefix="1" applyNumberFormat="1" applyFont="1" applyAlignment="1">
      <alignment horizontal="center"/>
    </xf>
    <xf numFmtId="41" fontId="44" fillId="0" borderId="0" xfId="8" applyNumberFormat="1" applyFont="1" applyAlignment="1"/>
    <xf numFmtId="41" fontId="44" fillId="0" borderId="0" xfId="837" applyNumberFormat="1" applyFont="1" applyAlignment="1">
      <alignment horizontal="right"/>
    </xf>
    <xf numFmtId="41" fontId="44" fillId="0" borderId="0" xfId="837" quotePrefix="1" applyNumberFormat="1" applyFont="1" applyAlignment="1">
      <alignment horizontal="right"/>
    </xf>
    <xf numFmtId="189" fontId="44" fillId="0" borderId="0" xfId="8" applyNumberFormat="1" applyFont="1" applyBorder="1" applyAlignment="1"/>
    <xf numFmtId="174" fontId="44" fillId="0" borderId="0" xfId="14" applyNumberFormat="1"/>
    <xf numFmtId="170" fontId="44" fillId="0" borderId="0" xfId="14" applyNumberFormat="1"/>
    <xf numFmtId="174" fontId="46" fillId="0" borderId="0" xfId="15" applyNumberFormat="1" applyAlignment="1">
      <alignment horizontal="center"/>
    </xf>
    <xf numFmtId="170" fontId="44" fillId="0" borderId="0" xfId="14" applyNumberFormat="1" applyProtection="1">
      <protection locked="0"/>
    </xf>
    <xf numFmtId="170" fontId="44" fillId="0" borderId="0" xfId="14" applyNumberFormat="1" applyAlignment="1">
      <alignment horizontal="right"/>
    </xf>
    <xf numFmtId="186" fontId="44" fillId="0" borderId="0" xfId="14" applyNumberFormat="1"/>
    <xf numFmtId="0" fontId="0" fillId="0" borderId="0" xfId="1" applyFont="1" applyAlignment="1">
      <alignment horizontal="right"/>
    </xf>
    <xf numFmtId="165" fontId="69" fillId="0" borderId="0" xfId="1" applyNumberFormat="1" applyFont="1" applyAlignment="1">
      <alignment horizontal="center"/>
    </xf>
    <xf numFmtId="193" fontId="44" fillId="0" borderId="0" xfId="1" applyNumberFormat="1" applyProtection="1">
      <protection locked="0"/>
    </xf>
    <xf numFmtId="39" fontId="72" fillId="0" borderId="0" xfId="1769" applyNumberFormat="1" applyFont="1" applyAlignment="1">
      <alignment horizontal="right" vertical="top"/>
    </xf>
    <xf numFmtId="0" fontId="72" fillId="0" borderId="0" xfId="1769" applyFont="1" applyAlignment="1">
      <alignment horizontal="left"/>
    </xf>
    <xf numFmtId="0" fontId="51" fillId="0" borderId="0" xfId="1769" applyFont="1" applyAlignment="1">
      <alignment horizontal="left" vertical="top"/>
    </xf>
    <xf numFmtId="0" fontId="72" fillId="0" borderId="0" xfId="1769" applyFont="1" applyAlignment="1">
      <alignment horizontal="center"/>
    </xf>
    <xf numFmtId="39" fontId="47" fillId="0" borderId="0" xfId="1769" applyNumberFormat="1" applyFont="1" applyAlignment="1">
      <alignment horizontal="centerContinuous"/>
    </xf>
    <xf numFmtId="0" fontId="67" fillId="0" borderId="0" xfId="1769" applyFont="1" applyAlignment="1">
      <alignment horizontal="left"/>
    </xf>
    <xf numFmtId="0" fontId="44" fillId="0" borderId="0" xfId="1769" applyAlignment="1">
      <alignment horizontal="center"/>
    </xf>
    <xf numFmtId="170" fontId="44" fillId="0" borderId="0" xfId="0" quotePrefix="1" applyNumberFormat="1" applyFont="1" applyAlignment="1">
      <alignment horizontal="right"/>
    </xf>
    <xf numFmtId="0" fontId="163" fillId="0" borderId="0" xfId="858" applyNumberFormat="1" applyFont="1" applyAlignment="1" applyProtection="1"/>
    <xf numFmtId="0" fontId="163" fillId="0" borderId="0" xfId="857" applyFont="1"/>
    <xf numFmtId="0" fontId="164" fillId="0" borderId="0" xfId="857" applyFont="1"/>
    <xf numFmtId="0" fontId="163" fillId="0" borderId="0" xfId="858" quotePrefix="1" applyNumberFormat="1" applyFont="1" applyBorder="1" applyAlignment="1" applyProtection="1">
      <alignment horizontal="left"/>
    </xf>
    <xf numFmtId="0" fontId="163" fillId="0" borderId="0" xfId="858" applyNumberFormat="1" applyFont="1" applyBorder="1" applyAlignment="1" applyProtection="1"/>
    <xf numFmtId="0" fontId="147" fillId="0" borderId="0" xfId="858" applyNumberFormat="1" applyAlignment="1" applyProtection="1"/>
    <xf numFmtId="170" fontId="44" fillId="0" borderId="27" xfId="1" applyNumberFormat="1" applyBorder="1"/>
    <xf numFmtId="164" fontId="44" fillId="0" borderId="0" xfId="1933" applyNumberFormat="1" applyFont="1" applyAlignment="1"/>
    <xf numFmtId="164" fontId="51" fillId="0" borderId="45" xfId="1933" applyNumberFormat="1" applyFont="1" applyBorder="1" applyAlignment="1"/>
    <xf numFmtId="174" fontId="44" fillId="0" borderId="14" xfId="1" applyNumberFormat="1" applyBorder="1"/>
    <xf numFmtId="170" fontId="44" fillId="0" borderId="17" xfId="1" applyNumberFormat="1" applyBorder="1"/>
    <xf numFmtId="170" fontId="44" fillId="0" borderId="16" xfId="1" applyNumberFormat="1" applyBorder="1"/>
    <xf numFmtId="170" fontId="44" fillId="0" borderId="14" xfId="1" applyNumberFormat="1" applyBorder="1"/>
    <xf numFmtId="43" fontId="44" fillId="0" borderId="0" xfId="1" applyNumberFormat="1"/>
    <xf numFmtId="170" fontId="44" fillId="0" borderId="14" xfId="1" quotePrefix="1" applyNumberFormat="1" applyBorder="1" applyAlignment="1">
      <alignment horizontal="right"/>
    </xf>
    <xf numFmtId="170" fontId="44" fillId="0" borderId="14" xfId="1" quotePrefix="1" applyNumberFormat="1" applyBorder="1"/>
    <xf numFmtId="0" fontId="44" fillId="0" borderId="0" xfId="1" quotePrefix="1" applyAlignment="1">
      <alignment horizontal="right"/>
    </xf>
    <xf numFmtId="165" fontId="44" fillId="0" borderId="0" xfId="1" applyNumberFormat="1" applyAlignment="1">
      <alignment horizontal="right"/>
    </xf>
    <xf numFmtId="170" fontId="44" fillId="0" borderId="0" xfId="0" applyNumberFormat="1" applyFont="1" applyAlignment="1">
      <alignment horizontal="right"/>
    </xf>
    <xf numFmtId="0" fontId="51" fillId="0" borderId="0" xfId="1" applyFont="1" applyAlignment="1" applyProtection="1">
      <alignment horizontal="center"/>
      <protection locked="0"/>
    </xf>
    <xf numFmtId="164" fontId="44" fillId="0" borderId="45" xfId="0" applyFont="1" applyBorder="1"/>
    <xf numFmtId="164" fontId="44" fillId="0" borderId="45" xfId="1" applyNumberFormat="1" applyBorder="1" applyAlignment="1">
      <alignment horizontal="right"/>
    </xf>
    <xf numFmtId="164" fontId="44" fillId="0" borderId="0" xfId="1" applyNumberFormat="1" applyAlignment="1">
      <alignment horizontal="right"/>
    </xf>
    <xf numFmtId="164" fontId="51" fillId="0" borderId="45" xfId="1" applyNumberFormat="1" applyFont="1" applyBorder="1" applyAlignment="1">
      <alignment horizontal="right"/>
    </xf>
    <xf numFmtId="164" fontId="51" fillId="0" borderId="25" xfId="0" applyFont="1" applyBorder="1"/>
    <xf numFmtId="164" fontId="51" fillId="0" borderId="45" xfId="0" applyFont="1" applyBorder="1"/>
    <xf numFmtId="172" fontId="51" fillId="0" borderId="45" xfId="0" applyNumberFormat="1" applyFont="1" applyBorder="1"/>
    <xf numFmtId="0" fontId="72" fillId="0" borderId="0" xfId="1" quotePrefix="1" applyFont="1" applyAlignment="1">
      <alignment horizontal="left"/>
    </xf>
    <xf numFmtId="41" fontId="44" fillId="0" borderId="0" xfId="736" applyNumberFormat="1"/>
    <xf numFmtId="172" fontId="44" fillId="0" borderId="0" xfId="0" applyNumberFormat="1" applyFont="1"/>
    <xf numFmtId="172" fontId="51" fillId="0" borderId="0" xfId="0" applyNumberFormat="1" applyFont="1"/>
    <xf numFmtId="0" fontId="139" fillId="0" borderId="0" xfId="5" applyFont="1"/>
    <xf numFmtId="0" fontId="44" fillId="0" borderId="0" xfId="5" applyFont="1"/>
    <xf numFmtId="41" fontId="49" fillId="0" borderId="0" xfId="17915" applyNumberFormat="1" applyFont="1" applyFill="1"/>
    <xf numFmtId="172" fontId="44" fillId="0" borderId="0" xfId="1933" applyNumberFormat="1" applyFont="1" applyBorder="1" applyAlignment="1" applyProtection="1"/>
    <xf numFmtId="0" fontId="50" fillId="0" borderId="0" xfId="9958" applyFont="1" applyAlignment="1">
      <alignment horizontal="center"/>
    </xf>
    <xf numFmtId="43" fontId="50" fillId="0" borderId="0" xfId="9958" applyNumberFormat="1" applyFont="1" applyAlignment="1">
      <alignment horizontal="center"/>
    </xf>
    <xf numFmtId="0" fontId="50" fillId="0" borderId="0" xfId="9958" quotePrefix="1" applyFont="1" applyAlignment="1">
      <alignment horizontal="center"/>
    </xf>
    <xf numFmtId="0" fontId="45" fillId="0" borderId="0" xfId="1" quotePrefix="1" applyFont="1" applyAlignment="1">
      <alignment horizontal="left"/>
    </xf>
    <xf numFmtId="0" fontId="44" fillId="0" borderId="0" xfId="5509" applyFont="1"/>
    <xf numFmtId="170" fontId="44" fillId="0" borderId="0" xfId="5509" applyNumberFormat="1" applyFont="1"/>
    <xf numFmtId="185" fontId="50" fillId="0" borderId="47" xfId="857" quotePrefix="1" applyNumberFormat="1" applyFont="1" applyBorder="1" applyAlignment="1">
      <alignment horizontal="centerContinuous"/>
    </xf>
    <xf numFmtId="37" fontId="175" fillId="0" borderId="0" xfId="1" applyNumberFormat="1" applyFont="1"/>
    <xf numFmtId="174" fontId="175" fillId="0" borderId="0" xfId="1" applyNumberFormat="1" applyFont="1"/>
    <xf numFmtId="0" fontId="50" fillId="0" borderId="0" xfId="0" quotePrefix="1" applyNumberFormat="1" applyFont="1" applyAlignment="1">
      <alignment horizontal="left"/>
    </xf>
    <xf numFmtId="0" fontId="64" fillId="0" borderId="0" xfId="1" quotePrefix="1" applyFont="1" applyAlignment="1">
      <alignment horizontal="center"/>
    </xf>
    <xf numFmtId="44" fontId="49" fillId="0" borderId="0" xfId="0" applyNumberFormat="1" applyFont="1"/>
    <xf numFmtId="0" fontId="98" fillId="0" borderId="0" xfId="5"/>
    <xf numFmtId="172" fontId="0" fillId="0" borderId="0" xfId="0" applyNumberFormat="1"/>
    <xf numFmtId="40" fontId="71" fillId="0" borderId="0" xfId="25852" applyNumberFormat="1" applyFont="1"/>
    <xf numFmtId="39" fontId="71" fillId="0" borderId="0" xfId="25852" applyNumberFormat="1" applyFont="1"/>
    <xf numFmtId="165" fontId="84" fillId="0" borderId="0" xfId="837" applyNumberFormat="1" applyFont="1"/>
    <xf numFmtId="0" fontId="84" fillId="0" borderId="0" xfId="837" applyFont="1" applyAlignment="1">
      <alignment horizontal="left"/>
    </xf>
    <xf numFmtId="164" fontId="162" fillId="0" borderId="0" xfId="0" applyFont="1"/>
    <xf numFmtId="0" fontId="72" fillId="0" borderId="0" xfId="17020" quotePrefix="1" applyFont="1" applyAlignment="1">
      <alignment horizontal="left"/>
    </xf>
    <xf numFmtId="0" fontId="50" fillId="0" borderId="0" xfId="0" applyNumberFormat="1" applyFont="1" applyAlignment="1">
      <alignment horizontal="right"/>
    </xf>
    <xf numFmtId="0" fontId="50" fillId="0" borderId="0" xfId="0" quotePrefix="1" applyNumberFormat="1" applyFont="1"/>
    <xf numFmtId="0" fontId="50" fillId="0" borderId="0" xfId="0" applyNumberFormat="1" applyFont="1" applyAlignment="1">
      <alignment horizontal="right" vertical="top"/>
    </xf>
    <xf numFmtId="0" fontId="51" fillId="0" borderId="0" xfId="5500" applyFont="1"/>
    <xf numFmtId="0" fontId="44" fillId="0" borderId="0" xfId="5500" applyFont="1"/>
    <xf numFmtId="172" fontId="51" fillId="0" borderId="45" xfId="1933" applyNumberFormat="1" applyFont="1" applyBorder="1" applyAlignment="1" applyProtection="1"/>
    <xf numFmtId="190" fontId="56" fillId="0" borderId="0" xfId="5" quotePrefix="1" applyNumberFormat="1" applyFont="1" applyAlignment="1">
      <alignment horizontal="right"/>
    </xf>
    <xf numFmtId="166" fontId="56" fillId="0" borderId="0" xfId="5" quotePrefix="1" applyNumberFormat="1" applyFont="1" applyAlignment="1">
      <alignment horizontal="right"/>
    </xf>
    <xf numFmtId="166" fontId="56" fillId="0" borderId="0" xfId="5" applyNumberFormat="1" applyFont="1" applyAlignment="1">
      <alignment horizontal="right" vertical="top"/>
    </xf>
    <xf numFmtId="165" fontId="56" fillId="0" borderId="0" xfId="5" quotePrefix="1" applyNumberFormat="1" applyFont="1" applyAlignment="1">
      <alignment horizontal="right"/>
    </xf>
    <xf numFmtId="0" fontId="56" fillId="0" borderId="0" xfId="5" quotePrefix="1" applyFont="1"/>
    <xf numFmtId="0" fontId="138" fillId="0" borderId="0" xfId="5" applyFont="1" applyAlignment="1">
      <alignment horizontal="left"/>
    </xf>
    <xf numFmtId="0" fontId="147" fillId="0" borderId="0" xfId="858" applyNumberFormat="1" applyBorder="1" applyAlignment="1" applyProtection="1"/>
    <xf numFmtId="0" fontId="51" fillId="0" borderId="0" xfId="1769" applyFont="1" applyAlignment="1">
      <alignment horizontal="center"/>
    </xf>
    <xf numFmtId="0" fontId="44" fillId="0" borderId="45" xfId="1" applyBorder="1" applyAlignment="1">
      <alignment horizontal="center"/>
    </xf>
    <xf numFmtId="37" fontId="51" fillId="0" borderId="45" xfId="1" quotePrefix="1" applyNumberFormat="1" applyFont="1" applyBorder="1" applyAlignment="1">
      <alignment horizontal="center"/>
    </xf>
    <xf numFmtId="41" fontId="49" fillId="0" borderId="0" xfId="0" applyNumberFormat="1" applyFont="1"/>
    <xf numFmtId="167" fontId="44" fillId="0" borderId="0" xfId="1" quotePrefix="1" applyNumberFormat="1" applyAlignment="1">
      <alignment horizontal="center"/>
    </xf>
    <xf numFmtId="192" fontId="44" fillId="0" borderId="0" xfId="1" quotePrefix="1" applyNumberFormat="1" applyAlignment="1">
      <alignment horizontal="center"/>
    </xf>
    <xf numFmtId="169" fontId="56" fillId="0" borderId="0" xfId="5" quotePrefix="1" applyNumberFormat="1" applyFont="1" applyAlignment="1">
      <alignment horizontal="right"/>
    </xf>
    <xf numFmtId="177" fontId="67" fillId="0" borderId="0" xfId="737" applyNumberFormat="1" applyFont="1" applyAlignment="1">
      <alignment horizontal="right"/>
    </xf>
    <xf numFmtId="179" fontId="67" fillId="0" borderId="0" xfId="737" applyNumberFormat="1" applyFont="1" applyAlignment="1">
      <alignment horizontal="center"/>
    </xf>
    <xf numFmtId="177" fontId="67" fillId="0" borderId="0" xfId="737" applyNumberFormat="1" applyFont="1" applyAlignment="1">
      <alignment horizontal="left"/>
    </xf>
    <xf numFmtId="177" fontId="67" fillId="0" borderId="0" xfId="737" applyNumberFormat="1" applyFont="1" applyAlignment="1">
      <alignment horizontal="center"/>
    </xf>
    <xf numFmtId="164" fontId="44" fillId="0" borderId="0" xfId="1933" applyNumberFormat="1" applyFont="1" applyFill="1" applyAlignment="1">
      <alignment horizontal="right"/>
    </xf>
    <xf numFmtId="41" fontId="51" fillId="0" borderId="61" xfId="837" applyNumberFormat="1" applyFont="1" applyBorder="1"/>
    <xf numFmtId="39" fontId="71" fillId="0" borderId="0" xfId="16" applyNumberFormat="1" applyFont="1"/>
    <xf numFmtId="189" fontId="109" fillId="0" borderId="0" xfId="8" applyNumberFormat="1" applyFont="1" applyFill="1" applyAlignment="1">
      <alignment horizontal="right"/>
    </xf>
    <xf numFmtId="189" fontId="157" fillId="0" borderId="0" xfId="8" applyNumberFormat="1" applyFont="1" applyFill="1" applyAlignment="1">
      <alignment horizontal="right"/>
    </xf>
    <xf numFmtId="189" fontId="44" fillId="0" borderId="0" xfId="8" applyNumberFormat="1" applyFont="1" applyFill="1" applyAlignment="1">
      <alignment horizontal="center"/>
    </xf>
    <xf numFmtId="189" fontId="44" fillId="0" borderId="0" xfId="8" applyNumberFormat="1" applyFont="1" applyFill="1" applyAlignment="1"/>
    <xf numFmtId="41" fontId="71" fillId="0" borderId="0" xfId="837" applyNumberFormat="1" applyFont="1"/>
    <xf numFmtId="41" fontId="51" fillId="0" borderId="61" xfId="837" quotePrefix="1" applyNumberFormat="1" applyFont="1" applyBorder="1"/>
    <xf numFmtId="189" fontId="44" fillId="0" borderId="0" xfId="8" applyNumberFormat="1" applyFont="1" applyFill="1" applyBorder="1" applyAlignment="1"/>
    <xf numFmtId="0" fontId="67" fillId="0" borderId="0" xfId="837" quotePrefix="1" applyFont="1" applyAlignment="1">
      <alignment horizontal="left"/>
    </xf>
    <xf numFmtId="189" fontId="49" fillId="0" borderId="0" xfId="8" applyNumberFormat="1" applyFont="1" applyFill="1" applyAlignment="1"/>
    <xf numFmtId="40" fontId="71" fillId="0" borderId="0" xfId="16" applyNumberFormat="1" applyFont="1"/>
    <xf numFmtId="189" fontId="71" fillId="0" borderId="0" xfId="8" applyNumberFormat="1" applyFont="1" applyFill="1" applyAlignment="1"/>
    <xf numFmtId="174" fontId="44" fillId="0" borderId="0" xfId="5509" applyNumberFormat="1" applyFont="1"/>
    <xf numFmtId="172" fontId="44" fillId="0" borderId="0" xfId="1" applyNumberFormat="1"/>
    <xf numFmtId="170" fontId="51" fillId="0" borderId="45" xfId="5509" applyNumberFormat="1" applyFont="1" applyBorder="1"/>
    <xf numFmtId="170" fontId="51" fillId="0" borderId="0" xfId="1043" applyNumberFormat="1" applyFont="1" applyFill="1" applyBorder="1"/>
    <xf numFmtId="170" fontId="160" fillId="0" borderId="0" xfId="1" applyNumberFormat="1" applyFont="1"/>
    <xf numFmtId="172" fontId="51" fillId="0" borderId="45" xfId="1" applyNumberFormat="1" applyFont="1" applyBorder="1"/>
    <xf numFmtId="39" fontId="44" fillId="0" borderId="64" xfId="837" applyNumberFormat="1" applyFont="1" applyBorder="1"/>
    <xf numFmtId="41" fontId="44" fillId="0" borderId="0" xfId="837" quotePrefix="1" applyNumberFormat="1" applyFont="1"/>
    <xf numFmtId="41" fontId="44" fillId="0" borderId="65" xfId="837" quotePrefix="1" applyNumberFormat="1" applyFont="1" applyBorder="1" applyAlignment="1">
      <alignment horizontal="center"/>
    </xf>
    <xf numFmtId="170" fontId="44" fillId="0" borderId="64" xfId="1" applyNumberFormat="1" applyBorder="1"/>
    <xf numFmtId="170" fontId="51" fillId="0" borderId="66" xfId="1" applyNumberFormat="1" applyFont="1" applyBorder="1"/>
    <xf numFmtId="170" fontId="51" fillId="0" borderId="64" xfId="1" applyNumberFormat="1" applyFont="1" applyBorder="1"/>
    <xf numFmtId="192" fontId="51" fillId="0" borderId="0" xfId="1" quotePrefix="1" applyNumberFormat="1" applyFont="1" applyAlignment="1">
      <alignment horizontal="center"/>
    </xf>
    <xf numFmtId="195" fontId="44" fillId="0" borderId="0" xfId="736" applyNumberFormat="1" applyProtection="1">
      <protection locked="0"/>
    </xf>
    <xf numFmtId="195" fontId="44" fillId="0" borderId="0" xfId="736" applyNumberFormat="1"/>
    <xf numFmtId="195" fontId="96" fillId="0" borderId="0" xfId="736" applyNumberFormat="1" applyFont="1"/>
    <xf numFmtId="39" fontId="44" fillId="0" borderId="64" xfId="1769" applyNumberFormat="1" applyBorder="1"/>
    <xf numFmtId="43" fontId="51" fillId="0" borderId="63" xfId="1769" applyNumberFormat="1" applyFont="1" applyBorder="1"/>
    <xf numFmtId="43" fontId="44" fillId="0" borderId="64" xfId="1769" applyNumberFormat="1" applyBorder="1"/>
    <xf numFmtId="43" fontId="51" fillId="0" borderId="64" xfId="1769" applyNumberFormat="1" applyFont="1" applyBorder="1"/>
    <xf numFmtId="43" fontId="51" fillId="0" borderId="61" xfId="1769" applyNumberFormat="1" applyFont="1" applyBorder="1"/>
    <xf numFmtId="0" fontId="51" fillId="0" borderId="64" xfId="14" applyNumberFormat="1" applyFont="1" applyBorder="1"/>
    <xf numFmtId="174" fontId="51" fillId="0" borderId="54" xfId="14" applyNumberFormat="1" applyFont="1" applyBorder="1"/>
    <xf numFmtId="180" fontId="49" fillId="0" borderId="0" xfId="1769" applyNumberFormat="1" applyFont="1"/>
    <xf numFmtId="180" fontId="72" fillId="0" borderId="0" xfId="1769" applyNumberFormat="1" applyFont="1"/>
    <xf numFmtId="180" fontId="67" fillId="0" borderId="0" xfId="1769" applyNumberFormat="1" applyFont="1"/>
    <xf numFmtId="180" fontId="72" fillId="0" borderId="0" xfId="1769" quotePrefix="1" applyNumberFormat="1" applyFont="1" applyAlignment="1">
      <alignment horizontal="left"/>
    </xf>
    <xf numFmtId="180" fontId="72" fillId="0" borderId="0" xfId="1769" applyNumberFormat="1" applyFont="1" applyAlignment="1">
      <alignment horizontal="center"/>
    </xf>
    <xf numFmtId="180" fontId="103" fillId="0" borderId="0" xfId="1769" applyNumberFormat="1" applyFont="1" applyAlignment="1">
      <alignment horizontal="center"/>
    </xf>
    <xf numFmtId="180" fontId="72" fillId="0" borderId="0" xfId="1769" quotePrefix="1" applyNumberFormat="1" applyFont="1" applyAlignment="1">
      <alignment horizontal="center"/>
    </xf>
    <xf numFmtId="180" fontId="72" fillId="0" borderId="64" xfId="1769" applyNumberFormat="1" applyFont="1" applyBorder="1" applyAlignment="1">
      <alignment horizontal="center"/>
    </xf>
    <xf numFmtId="180" fontId="72" fillId="0" borderId="64" xfId="1769" quotePrefix="1" applyNumberFormat="1" applyFont="1" applyBorder="1" applyAlignment="1">
      <alignment horizontal="fill"/>
    </xf>
    <xf numFmtId="180" fontId="103" fillId="0" borderId="0" xfId="1769" applyNumberFormat="1" applyFont="1"/>
    <xf numFmtId="179" fontId="67" fillId="0" borderId="0" xfId="1769" applyNumberFormat="1" applyFont="1" applyAlignment="1">
      <alignment horizontal="right"/>
    </xf>
    <xf numFmtId="180" fontId="67" fillId="0" borderId="0" xfId="1769" quotePrefix="1" applyNumberFormat="1" applyFont="1" applyAlignment="1">
      <alignment horizontal="left"/>
    </xf>
    <xf numFmtId="177" fontId="67" fillId="0" borderId="0" xfId="1769" applyNumberFormat="1" applyFont="1"/>
    <xf numFmtId="177" fontId="67" fillId="0" borderId="0" xfId="1769" applyNumberFormat="1" applyFont="1" applyAlignment="1">
      <alignment horizontal="right"/>
    </xf>
    <xf numFmtId="180" fontId="72" fillId="0" borderId="0" xfId="1769" applyNumberFormat="1" applyFont="1" applyAlignment="1">
      <alignment horizontal="left"/>
    </xf>
    <xf numFmtId="179" fontId="72" fillId="0" borderId="67" xfId="1769" applyNumberFormat="1" applyFont="1" applyBorder="1" applyAlignment="1">
      <alignment horizontal="right"/>
    </xf>
    <xf numFmtId="180" fontId="50" fillId="0" borderId="0" xfId="1769" applyNumberFormat="1" applyFont="1"/>
    <xf numFmtId="180" fontId="49" fillId="0" borderId="0" xfId="1769" quotePrefix="1" applyNumberFormat="1" applyFont="1" applyAlignment="1">
      <alignment horizontal="left" wrapText="1"/>
    </xf>
    <xf numFmtId="180" fontId="49" fillId="0" borderId="0" xfId="1769" applyNumberFormat="1" applyFont="1" applyAlignment="1">
      <alignment horizontal="right"/>
    </xf>
    <xf numFmtId="39" fontId="49" fillId="0" borderId="0" xfId="1769" applyNumberFormat="1" applyFont="1"/>
    <xf numFmtId="180" fontId="49" fillId="0" borderId="0" xfId="1769" quotePrefix="1" applyNumberFormat="1" applyFont="1" applyAlignment="1">
      <alignment horizontal="left"/>
    </xf>
    <xf numFmtId="39" fontId="49" fillId="0" borderId="0" xfId="1769" quotePrefix="1" applyNumberFormat="1" applyFont="1" applyAlignment="1">
      <alignment horizontal="center"/>
    </xf>
    <xf numFmtId="39" fontId="49" fillId="0" borderId="0" xfId="1769" quotePrefix="1" applyNumberFormat="1" applyFont="1" applyAlignment="1">
      <alignment horizontal="right"/>
    </xf>
    <xf numFmtId="180" fontId="50" fillId="0" borderId="0" xfId="1769" quotePrefix="1" applyNumberFormat="1" applyFont="1" applyAlignment="1">
      <alignment horizontal="left"/>
    </xf>
    <xf numFmtId="180" fontId="49" fillId="0" borderId="0" xfId="1769" applyNumberFormat="1" applyFont="1" applyAlignment="1">
      <alignment horizontal="left"/>
    </xf>
    <xf numFmtId="39" fontId="50" fillId="0" borderId="0" xfId="1769" quotePrefix="1" applyNumberFormat="1" applyFont="1" applyAlignment="1">
      <alignment horizontal="center"/>
    </xf>
    <xf numFmtId="39" fontId="50" fillId="0" borderId="0" xfId="1769" applyNumberFormat="1" applyFont="1"/>
    <xf numFmtId="40" fontId="51" fillId="0" borderId="0" xfId="837" quotePrefix="1" applyNumberFormat="1" applyFont="1" applyAlignment="1">
      <alignment horizontal="center"/>
    </xf>
    <xf numFmtId="0" fontId="51" fillId="0" borderId="0" xfId="14" applyNumberFormat="1" applyFont="1" applyAlignment="1">
      <alignment horizontal="left"/>
    </xf>
    <xf numFmtId="0" fontId="44" fillId="0" borderId="0" xfId="14" applyNumberFormat="1" applyAlignment="1" applyProtection="1">
      <alignment horizontal="left"/>
      <protection locked="0"/>
    </xf>
    <xf numFmtId="0" fontId="51" fillId="0" borderId="0" xfId="14" applyNumberFormat="1" applyFont="1" applyAlignment="1" applyProtection="1">
      <alignment horizontal="left"/>
      <protection locked="0"/>
    </xf>
    <xf numFmtId="189" fontId="162" fillId="0" borderId="0" xfId="17915" applyNumberFormat="1" applyFont="1" applyFill="1"/>
    <xf numFmtId="189" fontId="49" fillId="0" borderId="0" xfId="17915" applyNumberFormat="1" applyFont="1" applyFill="1"/>
    <xf numFmtId="0" fontId="72" fillId="0" borderId="0" xfId="1769" quotePrefix="1" applyFont="1" applyAlignment="1">
      <alignment horizontal="left"/>
    </xf>
    <xf numFmtId="0" fontId="72" fillId="0" borderId="0" xfId="1769" quotePrefix="1" applyFont="1" applyAlignment="1">
      <alignment horizontal="center"/>
    </xf>
    <xf numFmtId="0" fontId="51" fillId="0" borderId="0" xfId="1769" quotePrefix="1" applyFont="1" applyAlignment="1">
      <alignment horizontal="center"/>
    </xf>
    <xf numFmtId="170" fontId="44" fillId="0" borderId="0" xfId="1043" applyNumberFormat="1" applyFont="1" applyFill="1" applyProtection="1"/>
    <xf numFmtId="166" fontId="44" fillId="0" borderId="17" xfId="1" applyNumberFormat="1" applyBorder="1"/>
    <xf numFmtId="166" fontId="51" fillId="0" borderId="17" xfId="1" applyNumberFormat="1" applyFont="1" applyBorder="1"/>
    <xf numFmtId="170" fontId="51" fillId="0" borderId="16" xfId="1" applyNumberFormat="1" applyFont="1" applyBorder="1"/>
    <xf numFmtId="170" fontId="51" fillId="0" borderId="0" xfId="4" applyNumberFormat="1" applyFont="1" applyFill="1" applyBorder="1" applyProtection="1"/>
    <xf numFmtId="0" fontId="51" fillId="0" borderId="16" xfId="1" applyFont="1" applyBorder="1"/>
    <xf numFmtId="173" fontId="44" fillId="0" borderId="0" xfId="737" quotePrefix="1" applyNumberFormat="1" applyFont="1" applyAlignment="1">
      <alignment horizontal="left"/>
    </xf>
    <xf numFmtId="170" fontId="51" fillId="0" borderId="69" xfId="1" applyNumberFormat="1" applyFont="1" applyBorder="1"/>
    <xf numFmtId="174" fontId="51" fillId="0" borderId="54" xfId="1" applyNumberFormat="1" applyFont="1" applyBorder="1"/>
    <xf numFmtId="0" fontId="56" fillId="0" borderId="0" xfId="5" applyFont="1" applyAlignment="1">
      <alignment horizontal="left" vertical="top"/>
    </xf>
    <xf numFmtId="172" fontId="51" fillId="0" borderId="45" xfId="1933" applyNumberFormat="1" applyFont="1" applyBorder="1" applyAlignment="1"/>
    <xf numFmtId="172" fontId="51" fillId="0" borderId="0" xfId="1933" applyNumberFormat="1" applyFont="1" applyBorder="1" applyAlignment="1"/>
    <xf numFmtId="0" fontId="44" fillId="0" borderId="0" xfId="0" applyNumberFormat="1" applyFont="1" applyAlignment="1">
      <alignment horizontal="left"/>
    </xf>
    <xf numFmtId="0" fontId="44" fillId="0" borderId="0" xfId="14" applyNumberFormat="1" applyAlignment="1">
      <alignment horizontal="center"/>
    </xf>
    <xf numFmtId="5" fontId="44" fillId="0" borderId="0" xfId="1" applyNumberFormat="1"/>
    <xf numFmtId="43" fontId="44" fillId="0" borderId="0" xfId="17915" applyFont="1" applyFill="1" applyAlignment="1" applyProtection="1">
      <alignment horizontal="right"/>
    </xf>
    <xf numFmtId="170" fontId="65" fillId="0" borderId="0" xfId="1" applyNumberFormat="1" applyFont="1" applyAlignment="1">
      <alignment horizontal="center"/>
    </xf>
    <xf numFmtId="4" fontId="51" fillId="0" borderId="0" xfId="1025" quotePrefix="1" applyNumberFormat="1" applyFont="1" applyAlignment="1">
      <alignment horizontal="left"/>
    </xf>
    <xf numFmtId="180" fontId="51" fillId="0" borderId="0" xfId="1769" quotePrefix="1" applyNumberFormat="1" applyFont="1" applyAlignment="1">
      <alignment horizontal="left"/>
    </xf>
    <xf numFmtId="42" fontId="44" fillId="0" borderId="0" xfId="0" quotePrefix="1" applyNumberFormat="1" applyFont="1"/>
    <xf numFmtId="164" fontId="153" fillId="0" borderId="0" xfId="0" applyFont="1"/>
    <xf numFmtId="190" fontId="56" fillId="0" borderId="0" xfId="5" applyNumberFormat="1" applyFont="1" applyAlignment="1">
      <alignment horizontal="right" vertical="top"/>
    </xf>
    <xf numFmtId="165" fontId="51" fillId="0" borderId="0" xfId="1" applyNumberFormat="1" applyFont="1" applyAlignment="1">
      <alignment horizontal="right"/>
    </xf>
    <xf numFmtId="177" fontId="51" fillId="0" borderId="0" xfId="737" quotePrefix="1" applyNumberFormat="1" applyFont="1" applyAlignment="1">
      <alignment horizontal="center"/>
    </xf>
    <xf numFmtId="0" fontId="81" fillId="0" borderId="0" xfId="833" applyFont="1"/>
    <xf numFmtId="184" fontId="67" fillId="0" borderId="0" xfId="833" applyNumberFormat="1" applyFont="1"/>
    <xf numFmtId="179" fontId="72" fillId="0" borderId="15" xfId="833" applyNumberFormat="1" applyFont="1" applyBorder="1" applyAlignment="1">
      <alignment horizontal="right"/>
    </xf>
    <xf numFmtId="184" fontId="67" fillId="0" borderId="20" xfId="833" applyNumberFormat="1" applyFont="1" applyBorder="1"/>
    <xf numFmtId="165" fontId="81" fillId="0" borderId="0" xfId="833" applyNumberFormat="1" applyFont="1"/>
    <xf numFmtId="165" fontId="69" fillId="0" borderId="45" xfId="1" applyNumberFormat="1" applyFont="1" applyBorder="1" applyAlignment="1" applyProtection="1">
      <alignment horizontal="centerContinuous"/>
      <protection locked="0"/>
    </xf>
    <xf numFmtId="43" fontId="51" fillId="0" borderId="10" xfId="1769" applyNumberFormat="1" applyFont="1" applyBorder="1"/>
    <xf numFmtId="166" fontId="44" fillId="0" borderId="0" xfId="0" applyNumberFormat="1" applyFont="1" applyAlignment="1">
      <alignment horizontal="left"/>
    </xf>
    <xf numFmtId="170" fontId="71" fillId="0" borderId="0" xfId="1" applyNumberFormat="1" applyFont="1"/>
    <xf numFmtId="164" fontId="71" fillId="0" borderId="0" xfId="1" applyNumberFormat="1" applyFont="1"/>
    <xf numFmtId="165" fontId="72" fillId="0" borderId="0" xfId="1" applyNumberFormat="1" applyFont="1" applyAlignment="1">
      <alignment horizontal="right"/>
    </xf>
    <xf numFmtId="1" fontId="51" fillId="0" borderId="0" xfId="1" quotePrefix="1" applyNumberFormat="1" applyFont="1" applyAlignment="1">
      <alignment horizontal="center"/>
    </xf>
    <xf numFmtId="165" fontId="71" fillId="0" borderId="14" xfId="1" applyNumberFormat="1" applyFont="1" applyBorder="1"/>
    <xf numFmtId="169" fontId="51" fillId="0" borderId="17" xfId="1" applyNumberFormat="1" applyFont="1" applyBorder="1"/>
    <xf numFmtId="169" fontId="79" fillId="0" borderId="14" xfId="1" applyNumberFormat="1" applyFont="1" applyBorder="1"/>
    <xf numFmtId="169" fontId="50" fillId="0" borderId="0" xfId="1" applyNumberFormat="1" applyFont="1"/>
    <xf numFmtId="170" fontId="71" fillId="0" borderId="14" xfId="1" applyNumberFormat="1" applyFont="1" applyBorder="1"/>
    <xf numFmtId="170" fontId="79" fillId="0" borderId="14" xfId="1" applyNumberFormat="1" applyFont="1" applyBorder="1"/>
    <xf numFmtId="170" fontId="51" fillId="0" borderId="45" xfId="1043" applyNumberFormat="1" applyFont="1" applyFill="1" applyBorder="1" applyProtection="1"/>
    <xf numFmtId="170" fontId="44" fillId="0" borderId="14" xfId="0" quotePrefix="1" applyNumberFormat="1" applyFont="1" applyBorder="1" applyAlignment="1">
      <alignment horizontal="right"/>
    </xf>
    <xf numFmtId="170" fontId="53" fillId="0" borderId="0" xfId="1" applyNumberFormat="1" applyFont="1" applyAlignment="1">
      <alignment horizontal="right"/>
    </xf>
    <xf numFmtId="170" fontId="71" fillId="0" borderId="14" xfId="1" applyNumberFormat="1" applyFont="1" applyBorder="1" applyAlignment="1">
      <alignment horizontal="center"/>
    </xf>
    <xf numFmtId="170" fontId="50" fillId="0" borderId="0" xfId="1" applyNumberFormat="1" applyFont="1"/>
    <xf numFmtId="169" fontId="51" fillId="0" borderId="16" xfId="1" applyNumberFormat="1" applyFont="1" applyBorder="1"/>
    <xf numFmtId="168" fontId="51" fillId="0" borderId="0" xfId="1" applyNumberFormat="1" applyFont="1"/>
    <xf numFmtId="192" fontId="44" fillId="0" borderId="0" xfId="1" applyNumberFormat="1"/>
    <xf numFmtId="170" fontId="44" fillId="0" borderId="0" xfId="17915" applyNumberFormat="1" applyFont="1" applyFill="1" applyAlignment="1" applyProtection="1">
      <alignment horizontal="right"/>
    </xf>
    <xf numFmtId="170" fontId="44" fillId="0" borderId="14" xfId="17915" applyNumberFormat="1" applyFont="1" applyFill="1" applyBorder="1" applyAlignment="1" applyProtection="1">
      <alignment horizontal="right"/>
    </xf>
    <xf numFmtId="170" fontId="51" fillId="0" borderId="45" xfId="49849" applyNumberFormat="1" applyFont="1" applyFill="1" applyBorder="1" applyAlignment="1" applyProtection="1"/>
    <xf numFmtId="170" fontId="51" fillId="0" borderId="0" xfId="49849" applyNumberFormat="1" applyFont="1" applyFill="1" applyAlignment="1" applyProtection="1"/>
    <xf numFmtId="170" fontId="51" fillId="0" borderId="17" xfId="49849" applyNumberFormat="1" applyFont="1" applyFill="1" applyBorder="1" applyAlignment="1" applyProtection="1"/>
    <xf numFmtId="166" fontId="49" fillId="0" borderId="0" xfId="3" applyNumberFormat="1" applyFont="1"/>
    <xf numFmtId="43" fontId="49" fillId="0" borderId="0" xfId="4" applyFont="1" applyFill="1" applyBorder="1" applyAlignment="1" applyProtection="1">
      <alignment horizontal="right"/>
    </xf>
    <xf numFmtId="0" fontId="72" fillId="0" borderId="0" xfId="3" quotePrefix="1" applyFont="1" applyAlignment="1">
      <alignment horizontal="left"/>
    </xf>
    <xf numFmtId="0" fontId="72" fillId="0" borderId="0" xfId="3" applyFont="1" applyAlignment="1">
      <alignment horizontal="right"/>
    </xf>
    <xf numFmtId="0" fontId="51" fillId="0" borderId="0" xfId="3" applyFont="1" applyAlignment="1">
      <alignment horizontal="center"/>
    </xf>
    <xf numFmtId="166" fontId="51" fillId="0" borderId="0" xfId="3" applyNumberFormat="1" applyFont="1" applyAlignment="1">
      <alignment horizontal="center"/>
    </xf>
    <xf numFmtId="165" fontId="51" fillId="0" borderId="0" xfId="3" applyNumberFormat="1" applyFont="1"/>
    <xf numFmtId="165" fontId="51" fillId="0" borderId="0" xfId="3" applyNumberFormat="1" applyFont="1" applyAlignment="1">
      <alignment horizontal="center"/>
    </xf>
    <xf numFmtId="0" fontId="51" fillId="0" borderId="0" xfId="3" applyFont="1" applyAlignment="1">
      <alignment horizontal="left"/>
    </xf>
    <xf numFmtId="174" fontId="51" fillId="0" borderId="0" xfId="3" quotePrefix="1" applyNumberFormat="1" applyFont="1" applyAlignment="1">
      <alignment horizontal="right"/>
    </xf>
    <xf numFmtId="174" fontId="51" fillId="0" borderId="14" xfId="3" applyNumberFormat="1" applyFont="1" applyBorder="1"/>
    <xf numFmtId="164" fontId="51" fillId="0" borderId="0" xfId="3" applyNumberFormat="1" applyFont="1"/>
    <xf numFmtId="170" fontId="51" fillId="0" borderId="0" xfId="5509" applyNumberFormat="1" applyFont="1"/>
    <xf numFmtId="170" fontId="51" fillId="0" borderId="14" xfId="3" applyNumberFormat="1" applyFont="1" applyBorder="1"/>
    <xf numFmtId="0" fontId="50" fillId="0" borderId="0" xfId="3" applyFont="1"/>
    <xf numFmtId="0" fontId="44" fillId="0" borderId="0" xfId="3" applyFont="1"/>
    <xf numFmtId="170" fontId="51" fillId="0" borderId="0" xfId="5509" applyNumberFormat="1" applyFont="1" applyAlignment="1">
      <alignment horizontal="right"/>
    </xf>
    <xf numFmtId="170" fontId="51" fillId="0" borderId="0" xfId="3" applyNumberFormat="1" applyFont="1" applyAlignment="1">
      <alignment horizontal="right"/>
    </xf>
    <xf numFmtId="0" fontId="51" fillId="0" borderId="0" xfId="3" quotePrefix="1" applyFont="1" applyAlignment="1">
      <alignment horizontal="left"/>
    </xf>
    <xf numFmtId="0" fontId="44" fillId="0" borderId="0" xfId="3" quotePrefix="1" applyFont="1" applyAlignment="1">
      <alignment horizontal="left"/>
    </xf>
    <xf numFmtId="0" fontId="44" fillId="0" borderId="0" xfId="3" applyFont="1" applyAlignment="1">
      <alignment horizontal="left"/>
    </xf>
    <xf numFmtId="170" fontId="44" fillId="0" borderId="0" xfId="5509" applyNumberFormat="1" applyFont="1" applyAlignment="1">
      <alignment horizontal="right"/>
    </xf>
    <xf numFmtId="174" fontId="51" fillId="0" borderId="15" xfId="3" applyNumberFormat="1" applyFont="1" applyBorder="1"/>
    <xf numFmtId="169" fontId="49" fillId="0" borderId="0" xfId="3" applyNumberFormat="1" applyFont="1"/>
    <xf numFmtId="169" fontId="49" fillId="0" borderId="0" xfId="3" quotePrefix="1" applyNumberFormat="1" applyFont="1" applyAlignment="1">
      <alignment horizontal="right"/>
    </xf>
    <xf numFmtId="0" fontId="49" fillId="0" borderId="0" xfId="3" applyFont="1" applyAlignment="1">
      <alignment horizontal="center"/>
    </xf>
    <xf numFmtId="164" fontId="49" fillId="0" borderId="0" xfId="3" applyNumberFormat="1" applyFont="1"/>
    <xf numFmtId="39" fontId="49" fillId="0" borderId="0" xfId="3" applyNumberFormat="1" applyFont="1"/>
    <xf numFmtId="174" fontId="49" fillId="0" borderId="0" xfId="3" applyNumberFormat="1" applyFont="1"/>
    <xf numFmtId="43" fontId="49" fillId="0" borderId="0" xfId="4" applyFont="1" applyFill="1" applyProtection="1"/>
    <xf numFmtId="165" fontId="44" fillId="0" borderId="0" xfId="5450" applyNumberFormat="1"/>
    <xf numFmtId="3" fontId="44" fillId="0" borderId="0" xfId="1" applyNumberFormat="1" applyAlignment="1">
      <alignment vertical="center"/>
    </xf>
    <xf numFmtId="3" fontId="44" fillId="0" borderId="0" xfId="1" applyNumberFormat="1" applyAlignment="1">
      <alignment horizontal="left" vertical="center"/>
    </xf>
    <xf numFmtId="170" fontId="64" fillId="0" borderId="45" xfId="1" applyNumberFormat="1" applyFont="1" applyBorder="1" applyAlignment="1">
      <alignment horizontal="right"/>
    </xf>
    <xf numFmtId="170" fontId="65" fillId="0" borderId="45" xfId="1" applyNumberFormat="1" applyFont="1" applyBorder="1" applyAlignment="1">
      <alignment horizontal="center"/>
    </xf>
    <xf numFmtId="0" fontId="44" fillId="0" borderId="0" xfId="0" quotePrefix="1" applyNumberFormat="1" applyFont="1" applyAlignment="1">
      <alignment horizontal="center"/>
    </xf>
    <xf numFmtId="0" fontId="44" fillId="0" borderId="0" xfId="737" applyFont="1"/>
    <xf numFmtId="0" fontId="21" fillId="0" borderId="0" xfId="838" applyFont="1"/>
    <xf numFmtId="4" fontId="50" fillId="0" borderId="0" xfId="1025" applyNumberFormat="1" applyFont="1"/>
    <xf numFmtId="1" fontId="50" fillId="0" borderId="0" xfId="1025" applyNumberFormat="1" applyFont="1"/>
    <xf numFmtId="0" fontId="50" fillId="0" borderId="0" xfId="1025" applyFont="1" applyAlignment="1">
      <alignment horizontal="left"/>
    </xf>
    <xf numFmtId="4" fontId="72" fillId="0" borderId="0" xfId="1025" applyNumberFormat="1" applyFont="1" applyAlignment="1">
      <alignment horizontal="left" vertical="center"/>
    </xf>
    <xf numFmtId="0" fontId="50" fillId="0" borderId="0" xfId="1025" applyFont="1" applyAlignment="1">
      <alignment horizontal="right"/>
    </xf>
    <xf numFmtId="4" fontId="50" fillId="0" borderId="0" xfId="1025" applyNumberFormat="1" applyFont="1" applyAlignment="1">
      <alignment horizontal="center"/>
    </xf>
    <xf numFmtId="1" fontId="51" fillId="0" borderId="29" xfId="1025" applyNumberFormat="1" applyFont="1" applyBorder="1"/>
    <xf numFmtId="4" fontId="51" fillId="0" borderId="29" xfId="1025" applyNumberFormat="1" applyFont="1" applyBorder="1"/>
    <xf numFmtId="4" fontId="51" fillId="0" borderId="29" xfId="1025" applyNumberFormat="1" applyFont="1" applyBorder="1" applyAlignment="1">
      <alignment horizontal="center"/>
    </xf>
    <xf numFmtId="0" fontId="116" fillId="0" borderId="0" xfId="838" applyFont="1"/>
    <xf numFmtId="0" fontId="0" fillId="0" borderId="0" xfId="0" applyNumberFormat="1"/>
    <xf numFmtId="4" fontId="51" fillId="0" borderId="0" xfId="1025" applyNumberFormat="1" applyFont="1"/>
    <xf numFmtId="4" fontId="51" fillId="35" borderId="62" xfId="1025" applyNumberFormat="1" applyFont="1" applyFill="1" applyBorder="1" applyAlignment="1">
      <alignment horizontal="center"/>
    </xf>
    <xf numFmtId="4" fontId="51" fillId="0" borderId="0" xfId="1025" applyNumberFormat="1" applyFont="1" applyAlignment="1">
      <alignment horizontal="center"/>
    </xf>
    <xf numFmtId="0" fontId="98" fillId="0" borderId="0" xfId="0" applyNumberFormat="1" applyFont="1"/>
    <xf numFmtId="0" fontId="44" fillId="0" borderId="0" xfId="1025" quotePrefix="1" applyAlignment="1">
      <alignment horizontal="center"/>
    </xf>
    <xf numFmtId="4" fontId="44" fillId="0" borderId="0" xfId="1025" applyNumberFormat="1" applyAlignment="1">
      <alignment horizontal="left"/>
    </xf>
    <xf numFmtId="0" fontId="102" fillId="0" borderId="0" xfId="0" applyNumberFormat="1" applyFont="1"/>
    <xf numFmtId="1" fontId="44" fillId="0" borderId="0" xfId="1025" applyNumberFormat="1" applyAlignment="1">
      <alignment horizontal="center"/>
    </xf>
    <xf numFmtId="4" fontId="51" fillId="35" borderId="62" xfId="1025" quotePrefix="1" applyNumberFormat="1" applyFont="1" applyFill="1" applyBorder="1" applyAlignment="1">
      <alignment horizontal="center"/>
    </xf>
    <xf numFmtId="4" fontId="51" fillId="0" borderId="0" xfId="1025" quotePrefix="1" applyNumberFormat="1" applyFont="1" applyAlignment="1">
      <alignment horizontal="center"/>
    </xf>
    <xf numFmtId="4" fontId="44" fillId="0" borderId="0" xfId="1025" quotePrefix="1" applyNumberFormat="1" applyAlignment="1">
      <alignment horizontal="left"/>
    </xf>
    <xf numFmtId="4" fontId="44" fillId="0" borderId="0" xfId="1025" applyNumberFormat="1"/>
    <xf numFmtId="4" fontId="44" fillId="0" borderId="0" xfId="1025" applyNumberFormat="1" applyAlignment="1">
      <alignment horizontal="center"/>
    </xf>
    <xf numFmtId="1" fontId="44" fillId="0" borderId="0" xfId="1025" quotePrefix="1" applyNumberFormat="1"/>
    <xf numFmtId="4" fontId="51" fillId="0" borderId="0" xfId="0" applyNumberFormat="1" applyFont="1"/>
    <xf numFmtId="0" fontId="98" fillId="0" borderId="0" xfId="1025" quotePrefix="1" applyFont="1"/>
    <xf numFmtId="1" fontId="44" fillId="0" borderId="0" xfId="1025" applyNumberFormat="1"/>
    <xf numFmtId="4" fontId="51" fillId="35" borderId="62" xfId="0" applyNumberFormat="1" applyFont="1" applyFill="1" applyBorder="1" applyAlignment="1">
      <alignment horizontal="center"/>
    </xf>
    <xf numFmtId="4" fontId="51" fillId="0" borderId="0" xfId="0" applyNumberFormat="1" applyFont="1" applyAlignment="1">
      <alignment horizontal="center"/>
    </xf>
    <xf numFmtId="4" fontId="44" fillId="0" borderId="0" xfId="0" applyNumberFormat="1" applyFont="1"/>
    <xf numFmtId="4" fontId="44" fillId="0" borderId="0" xfId="0" applyNumberFormat="1" applyFont="1" applyAlignment="1">
      <alignment horizontal="center"/>
    </xf>
    <xf numFmtId="1" fontId="44" fillId="0" borderId="0" xfId="1025" quotePrefix="1" applyNumberFormat="1" applyAlignment="1">
      <alignment horizontal="center"/>
    </xf>
    <xf numFmtId="4" fontId="44" fillId="0" borderId="0" xfId="1025" quotePrefix="1" applyNumberFormat="1" applyAlignment="1">
      <alignment horizontal="right"/>
    </xf>
    <xf numFmtId="4" fontId="44" fillId="0" borderId="0" xfId="1025" quotePrefix="1" applyNumberFormat="1" applyAlignment="1">
      <alignment horizontal="center"/>
    </xf>
    <xf numFmtId="37" fontId="51" fillId="0" borderId="0" xfId="1025" quotePrefix="1" applyNumberFormat="1" applyFont="1" applyAlignment="1">
      <alignment horizontal="center"/>
    </xf>
    <xf numFmtId="43" fontId="51" fillId="0" borderId="0" xfId="17915" applyFont="1" applyFill="1" applyAlignment="1" applyProtection="1">
      <alignment horizontal="right"/>
    </xf>
    <xf numFmtId="4" fontId="44" fillId="33" borderId="0" xfId="1025" applyNumberFormat="1" applyFill="1" applyAlignment="1">
      <alignment horizontal="centerContinuous"/>
    </xf>
    <xf numFmtId="4" fontId="44" fillId="33" borderId="0" xfId="1025" applyNumberFormat="1" applyFill="1" applyAlignment="1">
      <alignment horizontal="center"/>
    </xf>
    <xf numFmtId="4" fontId="44" fillId="0" borderId="0" xfId="1025" applyNumberFormat="1" applyAlignment="1">
      <alignment horizontal="right"/>
    </xf>
    <xf numFmtId="1" fontId="51" fillId="0" borderId="0" xfId="1025" quotePrefix="1" applyNumberFormat="1" applyFont="1"/>
    <xf numFmtId="0" fontId="98" fillId="0" borderId="0" xfId="1025" applyFont="1"/>
    <xf numFmtId="0" fontId="51" fillId="0" borderId="0" xfId="1025" applyFont="1" applyAlignment="1">
      <alignment horizontal="center"/>
    </xf>
    <xf numFmtId="4" fontId="51" fillId="35" borderId="36" xfId="1025" applyNumberFormat="1" applyFont="1" applyFill="1" applyBorder="1" applyAlignment="1">
      <alignment horizontal="left"/>
    </xf>
    <xf numFmtId="164" fontId="44" fillId="0" borderId="0" xfId="1025" applyNumberFormat="1"/>
    <xf numFmtId="4" fontId="51" fillId="0" borderId="0" xfId="0" applyNumberFormat="1" applyFont="1" applyAlignment="1">
      <alignment horizontal="left"/>
    </xf>
    <xf numFmtId="0" fontId="116" fillId="0" borderId="0" xfId="1025" quotePrefix="1" applyFont="1"/>
    <xf numFmtId="164" fontId="44" fillId="0" borderId="0" xfId="1025" quotePrefix="1" applyNumberFormat="1"/>
    <xf numFmtId="7" fontId="51" fillId="0" borderId="0" xfId="0" applyNumberFormat="1" applyFont="1" applyAlignment="1">
      <alignment horizontal="right"/>
    </xf>
    <xf numFmtId="37" fontId="51" fillId="0" borderId="0" xfId="1025" applyNumberFormat="1" applyFont="1" applyAlignment="1">
      <alignment horizontal="right"/>
    </xf>
    <xf numFmtId="4" fontId="51" fillId="0" borderId="0" xfId="0" applyNumberFormat="1" applyFont="1" applyAlignment="1">
      <alignment horizontal="left" vertical="top"/>
    </xf>
    <xf numFmtId="37" fontId="51" fillId="0" borderId="0" xfId="0" applyNumberFormat="1" applyFont="1" applyAlignment="1">
      <alignment horizontal="right" vertical="top"/>
    </xf>
    <xf numFmtId="37" fontId="102" fillId="0" borderId="0" xfId="0" applyNumberFormat="1" applyFont="1" applyAlignment="1">
      <alignment horizontal="right" vertical="top"/>
    </xf>
    <xf numFmtId="37" fontId="51" fillId="0" borderId="0" xfId="838" applyNumberFormat="1" applyFont="1" applyAlignment="1">
      <alignment horizontal="right"/>
    </xf>
    <xf numFmtId="37" fontId="51" fillId="0" borderId="0" xfId="0" applyNumberFormat="1" applyFont="1" applyAlignment="1">
      <alignment horizontal="right"/>
    </xf>
    <xf numFmtId="7" fontId="51" fillId="0" borderId="0" xfId="1025" applyNumberFormat="1" applyFont="1" applyAlignment="1">
      <alignment horizontal="right"/>
    </xf>
    <xf numFmtId="37" fontId="51" fillId="0" borderId="0" xfId="1025" quotePrefix="1" applyNumberFormat="1" applyFont="1" applyAlignment="1">
      <alignment horizontal="right"/>
    </xf>
    <xf numFmtId="0" fontId="136" fillId="0" borderId="0" xfId="838" applyFont="1"/>
    <xf numFmtId="4" fontId="49" fillId="0" borderId="0" xfId="737" applyNumberFormat="1" applyFont="1" applyAlignment="1">
      <alignment horizontal="right"/>
    </xf>
    <xf numFmtId="42" fontId="44" fillId="0" borderId="0" xfId="736" applyNumberFormat="1"/>
    <xf numFmtId="42" fontId="51" fillId="0" borderId="15" xfId="837" applyNumberFormat="1" applyFont="1" applyBorder="1"/>
    <xf numFmtId="165" fontId="44" fillId="0" borderId="0" xfId="737" applyNumberFormat="1" applyFont="1" applyProtection="1">
      <protection locked="0"/>
    </xf>
    <xf numFmtId="177" fontId="44" fillId="0" borderId="0" xfId="737" applyNumberFormat="1" applyFont="1" applyAlignment="1">
      <alignment horizontal="fill"/>
    </xf>
    <xf numFmtId="178" fontId="51" fillId="0" borderId="10" xfId="737" quotePrefix="1" applyNumberFormat="1" applyFont="1" applyBorder="1" applyAlignment="1">
      <alignment horizontal="center"/>
    </xf>
    <xf numFmtId="178" fontId="51" fillId="0" borderId="0" xfId="737" quotePrefix="1" applyNumberFormat="1" applyFont="1" applyAlignment="1">
      <alignment horizontal="center"/>
    </xf>
    <xf numFmtId="173" fontId="44" fillId="0" borderId="0" xfId="737" applyNumberFormat="1" applyFont="1"/>
    <xf numFmtId="181" fontId="98" fillId="0" borderId="0" xfId="737" applyNumberFormat="1" applyFont="1"/>
    <xf numFmtId="177" fontId="51" fillId="0" borderId="0" xfId="737" applyNumberFormat="1" applyFont="1" applyAlignment="1">
      <alignment horizontal="left"/>
    </xf>
    <xf numFmtId="43" fontId="44" fillId="0" borderId="0" xfId="738" applyFont="1" applyFill="1" applyAlignment="1"/>
    <xf numFmtId="180" fontId="44" fillId="0" borderId="0" xfId="737" applyNumberFormat="1" applyFont="1" applyAlignment="1">
      <alignment horizontal="right"/>
    </xf>
    <xf numFmtId="177" fontId="75" fillId="0" borderId="0" xfId="737" applyNumberFormat="1" applyFont="1" applyAlignment="1">
      <alignment horizontal="left"/>
    </xf>
    <xf numFmtId="41" fontId="0" fillId="0" borderId="0" xfId="0" applyNumberFormat="1"/>
    <xf numFmtId="41" fontId="50" fillId="0" borderId="0" xfId="0" applyNumberFormat="1" applyFont="1" applyAlignment="1">
      <alignment horizontal="center" wrapText="1"/>
    </xf>
    <xf numFmtId="196" fontId="0" fillId="0" borderId="0" xfId="0" applyNumberFormat="1"/>
    <xf numFmtId="41" fontId="111" fillId="0" borderId="0" xfId="0" applyNumberFormat="1" applyFont="1"/>
    <xf numFmtId="41" fontId="162" fillId="0" borderId="0" xfId="0" applyNumberFormat="1" applyFont="1" applyAlignment="1">
      <alignment horizontal="center" vertical="top"/>
    </xf>
    <xf numFmtId="170" fontId="44" fillId="0" borderId="45" xfId="1" quotePrefix="1" applyNumberFormat="1" applyBorder="1" applyAlignment="1">
      <alignment horizontal="center"/>
    </xf>
    <xf numFmtId="165" fontId="44" fillId="0" borderId="0" xfId="833" applyNumberFormat="1" applyFont="1" applyProtection="1">
      <protection locked="0"/>
    </xf>
    <xf numFmtId="0" fontId="58" fillId="0" borderId="0" xfId="833" applyFont="1"/>
    <xf numFmtId="0" fontId="46" fillId="0" borderId="0" xfId="833" quotePrefix="1" applyAlignment="1">
      <alignment horizontal="left"/>
    </xf>
    <xf numFmtId="181" fontId="81" fillId="0" borderId="0" xfId="833" applyNumberFormat="1" applyFont="1"/>
    <xf numFmtId="0" fontId="114" fillId="0" borderId="0" xfId="1" applyFont="1"/>
    <xf numFmtId="165" fontId="49" fillId="0" borderId="0" xfId="0" applyNumberFormat="1" applyFont="1" applyProtection="1">
      <protection locked="0"/>
    </xf>
    <xf numFmtId="165" fontId="162" fillId="0" borderId="0" xfId="0" applyNumberFormat="1" applyFont="1" applyProtection="1">
      <protection locked="0"/>
    </xf>
    <xf numFmtId="37" fontId="51" fillId="0" borderId="0" xfId="1025" applyNumberFormat="1" applyFont="1" applyAlignment="1">
      <alignment horizontal="center"/>
    </xf>
    <xf numFmtId="4" fontId="44" fillId="0" borderId="0" xfId="0" applyNumberFormat="1" applyFont="1" applyAlignment="1">
      <alignment horizontal="left"/>
    </xf>
    <xf numFmtId="1" fontId="44" fillId="0" borderId="0" xfId="0" applyNumberFormat="1" applyFont="1" applyAlignment="1">
      <alignment horizontal="center"/>
    </xf>
    <xf numFmtId="188" fontId="0" fillId="0" borderId="0" xfId="14" applyNumberFormat="1" applyFont="1"/>
    <xf numFmtId="179" fontId="44" fillId="0" borderId="0" xfId="14" applyNumberFormat="1"/>
    <xf numFmtId="180" fontId="67" fillId="0" borderId="0" xfId="1769" applyNumberFormat="1" applyFont="1" applyAlignment="1">
      <alignment horizontal="left"/>
    </xf>
    <xf numFmtId="179" fontId="72" fillId="0" borderId="0" xfId="1769" applyNumberFormat="1" applyFont="1" applyAlignment="1">
      <alignment horizontal="right"/>
    </xf>
    <xf numFmtId="0" fontId="44" fillId="0" borderId="0" xfId="1025" quotePrefix="1" applyAlignment="1">
      <alignment horizontal="left"/>
    </xf>
    <xf numFmtId="165" fontId="45" fillId="0" borderId="0" xfId="1" applyNumberFormat="1" applyFont="1" applyAlignment="1">
      <alignment horizontal="right"/>
    </xf>
    <xf numFmtId="171" fontId="64" fillId="0" borderId="0" xfId="1" quotePrefix="1" applyNumberFormat="1" applyFont="1" applyAlignment="1">
      <alignment horizontal="center"/>
    </xf>
    <xf numFmtId="165" fontId="50" fillId="0" borderId="0" xfId="1" applyNumberFormat="1" applyFont="1" applyAlignment="1">
      <alignment horizontal="right"/>
    </xf>
    <xf numFmtId="0" fontId="44" fillId="0" borderId="17" xfId="1" applyBorder="1"/>
    <xf numFmtId="170" fontId="160" fillId="0" borderId="16" xfId="1" applyNumberFormat="1" applyFont="1" applyBorder="1"/>
    <xf numFmtId="166" fontId="64" fillId="0" borderId="0" xfId="1" quotePrefix="1" applyNumberFormat="1" applyFont="1" applyAlignment="1">
      <alignment horizontal="center"/>
    </xf>
    <xf numFmtId="174" fontId="64" fillId="0" borderId="17" xfId="1" applyNumberFormat="1" applyFont="1" applyBorder="1"/>
    <xf numFmtId="166" fontId="65" fillId="0" borderId="17" xfId="1" applyNumberFormat="1" applyFont="1" applyBorder="1"/>
    <xf numFmtId="172" fontId="44" fillId="0" borderId="0" xfId="0" applyNumberFormat="1" applyFont="1" applyProtection="1">
      <protection locked="0"/>
    </xf>
    <xf numFmtId="164" fontId="51" fillId="0" borderId="45" xfId="0" applyFont="1" applyBorder="1" applyProtection="1">
      <protection locked="0"/>
    </xf>
    <xf numFmtId="170" fontId="65" fillId="0" borderId="17" xfId="1" applyNumberFormat="1" applyFont="1" applyBorder="1"/>
    <xf numFmtId="170" fontId="79" fillId="0" borderId="0" xfId="1" applyNumberFormat="1" applyFont="1"/>
    <xf numFmtId="164" fontId="44" fillId="0" borderId="45" xfId="0" applyFont="1" applyBorder="1" applyProtection="1">
      <protection locked="0"/>
    </xf>
    <xf numFmtId="170" fontId="64" fillId="0" borderId="17" xfId="1" applyNumberFormat="1" applyFont="1" applyBorder="1"/>
    <xf numFmtId="172" fontId="51" fillId="0" borderId="45" xfId="0" applyNumberFormat="1" applyFont="1" applyBorder="1" applyProtection="1">
      <protection locked="0"/>
    </xf>
    <xf numFmtId="194" fontId="69" fillId="0" borderId="0" xfId="1" applyNumberFormat="1" applyFont="1"/>
    <xf numFmtId="164" fontId="51" fillId="0" borderId="15" xfId="0" applyFont="1" applyBorder="1" applyProtection="1">
      <protection locked="0"/>
    </xf>
    <xf numFmtId="166" fontId="64" fillId="0" borderId="45" xfId="1" applyNumberFormat="1" applyFont="1" applyBorder="1" applyAlignment="1">
      <alignment horizontal="center"/>
    </xf>
    <xf numFmtId="170" fontId="64" fillId="0" borderId="45" xfId="1" applyNumberFormat="1" applyFont="1" applyBorder="1"/>
    <xf numFmtId="164" fontId="44" fillId="0" borderId="45" xfId="1" applyNumberFormat="1" applyBorder="1"/>
    <xf numFmtId="0" fontId="67" fillId="0" borderId="0" xfId="833" quotePrefix="1" applyFont="1" applyAlignment="1">
      <alignment horizontal="left"/>
    </xf>
    <xf numFmtId="165" fontId="71" fillId="0" borderId="0" xfId="837" quotePrefix="1" applyNumberFormat="1" applyFont="1"/>
    <xf numFmtId="41" fontId="50" fillId="0" borderId="0" xfId="17915" applyNumberFormat="1" applyFont="1" applyFill="1" applyAlignment="1">
      <alignment horizontal="right"/>
    </xf>
    <xf numFmtId="174" fontId="44" fillId="0" borderId="0" xfId="14" applyNumberFormat="1" applyAlignment="1">
      <alignment horizontal="right"/>
    </xf>
    <xf numFmtId="188" fontId="0" fillId="0" borderId="0" xfId="14" applyNumberFormat="1" applyFont="1" applyAlignment="1">
      <alignment horizontal="right"/>
    </xf>
    <xf numFmtId="177" fontId="0" fillId="0" borderId="0" xfId="14" applyNumberFormat="1" applyFont="1"/>
    <xf numFmtId="179" fontId="44" fillId="0" borderId="0" xfId="14" applyNumberFormat="1" applyAlignment="1">
      <alignment horizontal="right"/>
    </xf>
    <xf numFmtId="181" fontId="44" fillId="0" borderId="0" xfId="737" applyNumberFormat="1" applyFont="1"/>
    <xf numFmtId="165" fontId="44" fillId="0" borderId="0" xfId="837" applyNumberFormat="1" applyFont="1" applyProtection="1">
      <protection locked="0"/>
    </xf>
    <xf numFmtId="165" fontId="51" fillId="0" borderId="0" xfId="837" applyNumberFormat="1" applyFont="1" applyAlignment="1">
      <alignment horizontal="right"/>
    </xf>
    <xf numFmtId="165" fontId="51" fillId="0" borderId="0" xfId="837" applyNumberFormat="1" applyFont="1"/>
    <xf numFmtId="170" fontId="55" fillId="0" borderId="0" xfId="1" applyNumberFormat="1" applyFont="1"/>
    <xf numFmtId="170" fontId="55" fillId="0" borderId="17" xfId="1" applyNumberFormat="1" applyFont="1" applyBorder="1"/>
    <xf numFmtId="170" fontId="0" fillId="0" borderId="0" xfId="0" applyNumberFormat="1"/>
    <xf numFmtId="170" fontId="44" fillId="0" borderId="45" xfId="1" applyNumberFormat="1" applyBorder="1" applyAlignment="1">
      <alignment horizontal="center"/>
    </xf>
    <xf numFmtId="169" fontId="0" fillId="0" borderId="0" xfId="1" applyNumberFormat="1" applyFont="1"/>
    <xf numFmtId="174" fontId="44" fillId="0" borderId="27" xfId="1" applyNumberFormat="1" applyBorder="1"/>
    <xf numFmtId="170" fontId="0" fillId="0" borderId="27" xfId="1" applyNumberFormat="1" applyFont="1" applyBorder="1"/>
    <xf numFmtId="165" fontId="135" fillId="0" borderId="0" xfId="1" applyNumberFormat="1" applyFont="1"/>
    <xf numFmtId="170" fontId="51" fillId="0" borderId="61" xfId="1" quotePrefix="1" applyNumberFormat="1" applyFont="1" applyBorder="1"/>
    <xf numFmtId="41" fontId="49" fillId="0" borderId="0" xfId="0" applyNumberFormat="1" applyFont="1" applyAlignment="1">
      <alignment horizontal="right"/>
    </xf>
    <xf numFmtId="42" fontId="50" fillId="0" borderId="54" xfId="0" applyNumberFormat="1" applyFont="1" applyBorder="1" applyAlignment="1">
      <alignment horizontal="right"/>
    </xf>
    <xf numFmtId="43" fontId="174" fillId="0" borderId="0" xfId="9958" applyNumberFormat="1"/>
    <xf numFmtId="43" fontId="49" fillId="0" borderId="0" xfId="0" quotePrefix="1" applyNumberFormat="1" applyFont="1"/>
    <xf numFmtId="43" fontId="49" fillId="0" borderId="0" xfId="0" applyNumberFormat="1" applyFont="1" applyAlignment="1">
      <alignment horizontal="left" vertical="top"/>
    </xf>
    <xf numFmtId="170" fontId="65" fillId="0" borderId="26" xfId="1" applyNumberFormat="1" applyFont="1" applyBorder="1"/>
    <xf numFmtId="164" fontId="44" fillId="0" borderId="26" xfId="1" applyNumberFormat="1" applyBorder="1"/>
    <xf numFmtId="165" fontId="84" fillId="0" borderId="0" xfId="0" applyNumberFormat="1" applyFont="1" applyProtection="1">
      <protection locked="0"/>
    </xf>
    <xf numFmtId="166" fontId="44" fillId="0" borderId="0" xfId="3" applyNumberFormat="1" applyFont="1"/>
    <xf numFmtId="0" fontId="44" fillId="0" borderId="0" xfId="3" applyFont="1" applyAlignment="1">
      <alignment horizontal="center"/>
    </xf>
    <xf numFmtId="166" fontId="44" fillId="0" borderId="14" xfId="3" applyNumberFormat="1" applyFont="1" applyBorder="1"/>
    <xf numFmtId="164" fontId="111" fillId="0" borderId="10" xfId="0" applyFont="1" applyBorder="1" applyAlignment="1">
      <alignment horizontal="center"/>
    </xf>
    <xf numFmtId="43" fontId="162" fillId="0" borderId="0" xfId="0" applyNumberFormat="1" applyFont="1"/>
    <xf numFmtId="49" fontId="111" fillId="0" borderId="0" xfId="0" applyNumberFormat="1" applyFont="1"/>
    <xf numFmtId="0" fontId="162" fillId="0" borderId="0" xfId="0" applyNumberFormat="1" applyFont="1" applyAlignment="1">
      <alignment horizontal="left"/>
    </xf>
    <xf numFmtId="0" fontId="162" fillId="0" borderId="0" xfId="0" applyNumberFormat="1" applyFont="1" applyAlignment="1">
      <alignment vertical="top"/>
    </xf>
    <xf numFmtId="0" fontId="49" fillId="0" borderId="0" xfId="0" applyNumberFormat="1" applyFont="1" applyAlignment="1">
      <alignment horizontal="left"/>
    </xf>
    <xf numFmtId="43" fontId="162" fillId="0" borderId="0" xfId="17915" applyFont="1"/>
    <xf numFmtId="164" fontId="49" fillId="0" borderId="0" xfId="0" applyFont="1" applyAlignment="1">
      <alignment horizontal="left" indent="1"/>
    </xf>
    <xf numFmtId="49" fontId="162" fillId="0" borderId="0" xfId="0" applyNumberFormat="1" applyFont="1" applyAlignment="1">
      <alignment vertical="top" wrapText="1"/>
    </xf>
    <xf numFmtId="43" fontId="160" fillId="0" borderId="0" xfId="25863" applyFont="1" applyFill="1" applyBorder="1"/>
    <xf numFmtId="43" fontId="51" fillId="0" borderId="0" xfId="25860" applyNumberFormat="1" applyFont="1" applyFill="1" applyBorder="1"/>
    <xf numFmtId="164" fontId="111" fillId="0" borderId="0" xfId="0" applyFont="1" applyAlignment="1">
      <alignment horizontal="left"/>
    </xf>
    <xf numFmtId="43" fontId="111" fillId="0" borderId="0" xfId="0" applyNumberFormat="1" applyFont="1"/>
    <xf numFmtId="43" fontId="44" fillId="0" borderId="0" xfId="17915" applyFont="1" applyFill="1" applyBorder="1" applyAlignment="1" applyProtection="1">
      <alignment horizontal="right"/>
    </xf>
    <xf numFmtId="43" fontId="0" fillId="0" borderId="0" xfId="17915" applyFont="1" applyFill="1" applyAlignment="1" applyProtection="1">
      <alignment horizontal="right"/>
    </xf>
    <xf numFmtId="44" fontId="51" fillId="0" borderId="54" xfId="25864" applyFont="1" applyFill="1" applyBorder="1"/>
    <xf numFmtId="44" fontId="111" fillId="0" borderId="0" xfId="0" applyNumberFormat="1" applyFont="1"/>
    <xf numFmtId="0" fontId="148" fillId="0" borderId="0" xfId="1025" quotePrefix="1" applyFont="1" applyAlignment="1">
      <alignment horizontal="right"/>
    </xf>
    <xf numFmtId="170" fontId="51" fillId="0" borderId="0" xfId="49849" applyNumberFormat="1" applyFont="1" applyFill="1" applyBorder="1" applyAlignment="1" applyProtection="1"/>
    <xf numFmtId="165" fontId="0" fillId="0" borderId="0" xfId="1" quotePrefix="1" applyNumberFormat="1" applyFont="1" applyAlignment="1">
      <alignment horizontal="left"/>
    </xf>
    <xf numFmtId="164" fontId="44" fillId="0" borderId="0" xfId="1933" applyNumberFormat="1" applyFont="1" applyBorder="1" applyAlignment="1"/>
    <xf numFmtId="164" fontId="51" fillId="0" borderId="69" xfId="1" applyNumberFormat="1" applyFont="1" applyBorder="1"/>
    <xf numFmtId="165" fontId="158" fillId="0" borderId="0" xfId="1" applyNumberFormat="1" applyFont="1"/>
    <xf numFmtId="165" fontId="44" fillId="0" borderId="0" xfId="1" quotePrefix="1" applyNumberFormat="1" applyAlignment="1">
      <alignment horizontal="left"/>
    </xf>
    <xf numFmtId="44" fontId="44" fillId="0" borderId="0" xfId="25864" applyFont="1" applyFill="1" applyBorder="1"/>
    <xf numFmtId="44" fontId="51" fillId="0" borderId="0" xfId="25864" applyFont="1" applyFill="1" applyBorder="1"/>
    <xf numFmtId="164" fontId="111" fillId="0" borderId="65" xfId="0" applyFont="1" applyBorder="1" applyAlignment="1">
      <alignment horizontal="left"/>
    </xf>
    <xf numFmtId="4" fontId="111" fillId="0" borderId="0" xfId="0" applyNumberFormat="1" applyFont="1"/>
    <xf numFmtId="43" fontId="111" fillId="0" borderId="65" xfId="0" applyNumberFormat="1" applyFont="1" applyBorder="1"/>
    <xf numFmtId="197" fontId="44" fillId="0" borderId="0" xfId="0" applyNumberFormat="1" applyFont="1"/>
    <xf numFmtId="0" fontId="51" fillId="0" borderId="0" xfId="25855" applyFont="1" applyFill="1"/>
    <xf numFmtId="44" fontId="51" fillId="0" borderId="0" xfId="25858" applyFont="1" applyFill="1" applyBorder="1"/>
    <xf numFmtId="0" fontId="51" fillId="0" borderId="0" xfId="25861" applyFill="1"/>
    <xf numFmtId="44" fontId="51" fillId="0" borderId="0" xfId="25858" applyFont="1" applyFill="1" applyBorder="1" applyAlignment="1">
      <alignment horizontal="right"/>
    </xf>
    <xf numFmtId="44" fontId="51" fillId="0" borderId="54" xfId="25858" applyFont="1" applyFill="1" applyBorder="1"/>
    <xf numFmtId="0" fontId="0" fillId="0" borderId="0" xfId="0" applyNumberFormat="1" applyAlignment="1">
      <alignment horizontal="left"/>
    </xf>
    <xf numFmtId="170" fontId="44" fillId="0" borderId="14" xfId="3" applyNumberFormat="1" applyFont="1" applyBorder="1"/>
    <xf numFmtId="170" fontId="44" fillId="0" borderId="0" xfId="3" applyNumberFormat="1" applyFont="1"/>
    <xf numFmtId="44" fontId="162" fillId="0" borderId="0" xfId="0" applyNumberFormat="1" applyFont="1"/>
    <xf numFmtId="49" fontId="49" fillId="0" borderId="0" xfId="0" applyNumberFormat="1" applyFont="1" applyAlignment="1">
      <alignment horizontal="left" vertical="top"/>
    </xf>
    <xf numFmtId="177" fontId="67" fillId="0" borderId="0" xfId="737" applyNumberFormat="1" applyFont="1"/>
    <xf numFmtId="0" fontId="44" fillId="0" borderId="0" xfId="1025" applyAlignment="1">
      <alignment horizontal="left"/>
    </xf>
    <xf numFmtId="164" fontId="56" fillId="0" borderId="0" xfId="0" applyFont="1"/>
    <xf numFmtId="42" fontId="55" fillId="0" borderId="0" xfId="837" applyNumberFormat="1" applyFont="1"/>
    <xf numFmtId="42" fontId="148" fillId="0" borderId="0" xfId="837" applyNumberFormat="1" applyFont="1"/>
    <xf numFmtId="37" fontId="148" fillId="0" borderId="0" xfId="837" applyNumberFormat="1" applyFont="1"/>
    <xf numFmtId="41" fontId="55" fillId="0" borderId="0" xfId="8" applyNumberFormat="1" applyFont="1" applyFill="1" applyAlignment="1"/>
    <xf numFmtId="166" fontId="56" fillId="0" borderId="0" xfId="5" applyNumberFormat="1" applyFont="1" applyAlignment="1">
      <alignment horizontal="right"/>
    </xf>
    <xf numFmtId="169" fontId="98" fillId="0" borderId="0" xfId="5" applyNumberFormat="1"/>
    <xf numFmtId="166" fontId="70" fillId="0" borderId="0" xfId="1" quotePrefix="1" applyNumberFormat="1" applyFont="1" applyAlignment="1">
      <alignment horizontal="left"/>
    </xf>
    <xf numFmtId="4" fontId="44" fillId="0" borderId="0" xfId="1025" applyNumberFormat="1" applyAlignment="1">
      <alignment horizontal="centerContinuous"/>
    </xf>
    <xf numFmtId="43" fontId="44" fillId="0" borderId="0" xfId="25863" applyFont="1" applyFill="1" applyBorder="1" applyAlignment="1">
      <alignment horizontal="left"/>
    </xf>
    <xf numFmtId="44" fontId="44" fillId="0" borderId="0" xfId="25863" applyNumberFormat="1" applyFont="1" applyFill="1" applyBorder="1" applyAlignment="1">
      <alignment horizontal="left"/>
    </xf>
    <xf numFmtId="43" fontId="44" fillId="0" borderId="0" xfId="25863" applyFont="1" applyFill="1" applyBorder="1"/>
    <xf numFmtId="0" fontId="72" fillId="33" borderId="0" xfId="1" applyFont="1" applyFill="1" applyAlignment="1">
      <alignment horizontal="left" vertical="center"/>
    </xf>
    <xf numFmtId="37" fontId="49" fillId="33" borderId="0" xfId="1" applyNumberFormat="1" applyFont="1" applyFill="1" applyAlignment="1">
      <alignment vertical="center"/>
    </xf>
    <xf numFmtId="37" fontId="49" fillId="0" borderId="0" xfId="1" applyNumberFormat="1" applyFont="1" applyAlignment="1">
      <alignment vertical="center"/>
    </xf>
    <xf numFmtId="0" fontId="72" fillId="0" borderId="0" xfId="1" applyFont="1" applyAlignment="1">
      <alignment horizontal="left" vertical="center"/>
    </xf>
    <xf numFmtId="164" fontId="138" fillId="0" borderId="0" xfId="0" applyFont="1"/>
    <xf numFmtId="170" fontId="51" fillId="0" borderId="69" xfId="1" applyNumberFormat="1" applyFont="1" applyBorder="1" applyAlignment="1">
      <alignment horizontal="right"/>
    </xf>
    <xf numFmtId="170" fontId="51" fillId="0" borderId="53" xfId="1" applyNumberFormat="1" applyFont="1" applyBorder="1"/>
    <xf numFmtId="4" fontId="0" fillId="0" borderId="0" xfId="0" applyNumberFormat="1" applyAlignment="1">
      <alignment horizontal="right"/>
    </xf>
    <xf numFmtId="43" fontId="130" fillId="0" borderId="0" xfId="1" applyNumberFormat="1" applyFont="1"/>
    <xf numFmtId="43" fontId="0" fillId="0" borderId="0" xfId="1" applyNumberFormat="1" applyFont="1" applyAlignment="1">
      <alignment horizontal="center" vertical="top"/>
    </xf>
    <xf numFmtId="43" fontId="51" fillId="0" borderId="65" xfId="25864" applyNumberFormat="1" applyFont="1" applyFill="1" applyBorder="1" applyAlignment="1">
      <alignment horizontal="right"/>
    </xf>
    <xf numFmtId="43" fontId="51" fillId="0" borderId="0" xfId="25864" applyNumberFormat="1" applyFont="1" applyFill="1" applyBorder="1" applyAlignment="1">
      <alignment horizontal="right"/>
    </xf>
    <xf numFmtId="43" fontId="51" fillId="0" borderId="65" xfId="25858" applyNumberFormat="1" applyFont="1" applyFill="1" applyBorder="1" applyAlignment="1">
      <alignment horizontal="right"/>
    </xf>
    <xf numFmtId="174" fontId="0" fillId="0" borderId="0" xfId="1" quotePrefix="1" applyNumberFormat="1" applyFont="1"/>
    <xf numFmtId="164" fontId="50" fillId="0" borderId="0" xfId="0" quotePrefix="1" applyFont="1" applyAlignment="1">
      <alignment horizontal="right"/>
    </xf>
    <xf numFmtId="172" fontId="51" fillId="0" borderId="15" xfId="0" applyNumberFormat="1" applyFont="1" applyBorder="1"/>
    <xf numFmtId="170" fontId="56" fillId="0" borderId="0" xfId="5" applyNumberFormat="1" applyFont="1"/>
    <xf numFmtId="169" fontId="56" fillId="0" borderId="0" xfId="5" applyNumberFormat="1" applyFont="1"/>
    <xf numFmtId="166" fontId="98" fillId="0" borderId="0" xfId="5" applyNumberFormat="1"/>
    <xf numFmtId="169" fontId="140" fillId="0" borderId="0" xfId="5" applyNumberFormat="1" applyFont="1"/>
    <xf numFmtId="166" fontId="56" fillId="0" borderId="0" xfId="5" quotePrefix="1" applyNumberFormat="1" applyFont="1"/>
    <xf numFmtId="0" fontId="49" fillId="0" borderId="66" xfId="857" applyFont="1" applyBorder="1"/>
    <xf numFmtId="0" fontId="49" fillId="0" borderId="64" xfId="857" applyFont="1" applyBorder="1"/>
    <xf numFmtId="164" fontId="51" fillId="0" borderId="69" xfId="0" applyFont="1" applyBorder="1"/>
    <xf numFmtId="170" fontId="51" fillId="0" borderId="45" xfId="0" applyNumberFormat="1" applyFont="1" applyBorder="1"/>
    <xf numFmtId="170" fontId="51" fillId="0" borderId="45" xfId="1" applyNumberFormat="1" applyFont="1" applyBorder="1" applyAlignment="1">
      <alignment horizontal="right"/>
    </xf>
    <xf numFmtId="170" fontId="44" fillId="0" borderId="45" xfId="0" applyNumberFormat="1" applyFont="1" applyBorder="1" applyAlignment="1">
      <alignment horizontal="right"/>
    </xf>
    <xf numFmtId="165" fontId="44" fillId="0" borderId="0" xfId="1" applyNumberFormat="1" applyAlignment="1">
      <alignment horizontal="center"/>
    </xf>
    <xf numFmtId="0" fontId="44" fillId="0" borderId="64" xfId="1" applyBorder="1"/>
    <xf numFmtId="165" fontId="44" fillId="0" borderId="64" xfId="1" applyNumberFormat="1" applyBorder="1"/>
    <xf numFmtId="166" fontId="51" fillId="0" borderId="45" xfId="1" quotePrefix="1" applyNumberFormat="1" applyFont="1" applyBorder="1" applyAlignment="1">
      <alignment horizontal="center"/>
    </xf>
    <xf numFmtId="170" fontId="44" fillId="0" borderId="49" xfId="1" applyNumberFormat="1" applyBorder="1"/>
    <xf numFmtId="0" fontId="44" fillId="0" borderId="0" xfId="1" quotePrefix="1"/>
    <xf numFmtId="0" fontId="44" fillId="0" borderId="0" xfId="1" quotePrefix="1" applyAlignment="1">
      <alignment horizontal="center"/>
    </xf>
    <xf numFmtId="164" fontId="51" fillId="0" borderId="61" xfId="1" applyNumberFormat="1" applyFont="1" applyBorder="1"/>
    <xf numFmtId="174" fontId="51" fillId="0" borderId="64" xfId="1" applyNumberFormat="1" applyFont="1" applyBorder="1"/>
    <xf numFmtId="172" fontId="51" fillId="0" borderId="54" xfId="1" applyNumberFormat="1" applyFont="1" applyBorder="1"/>
    <xf numFmtId="174" fontId="44" fillId="0" borderId="45" xfId="1" applyNumberFormat="1" applyBorder="1"/>
    <xf numFmtId="170" fontId="51" fillId="0" borderId="61" xfId="1" applyNumberFormat="1" applyFont="1" applyBorder="1" applyAlignment="1">
      <alignment horizontal="right"/>
    </xf>
    <xf numFmtId="170" fontId="51" fillId="0" borderId="61" xfId="1" applyNumberFormat="1" applyFont="1" applyBorder="1" applyProtection="1">
      <protection locked="0"/>
    </xf>
    <xf numFmtId="164" fontId="51" fillId="0" borderId="61" xfId="1" applyNumberFormat="1" applyFont="1" applyBorder="1" applyProtection="1">
      <protection locked="0"/>
    </xf>
    <xf numFmtId="170" fontId="51" fillId="0" borderId="61" xfId="1" applyNumberFormat="1" applyFont="1" applyBorder="1" applyAlignment="1">
      <alignment horizontal="center"/>
    </xf>
    <xf numFmtId="174" fontId="51" fillId="0" borderId="64" xfId="1" applyNumberFormat="1" applyFont="1" applyBorder="1" applyAlignment="1">
      <alignment horizontal="right"/>
    </xf>
    <xf numFmtId="174" fontId="51" fillId="0" borderId="71" xfId="1" applyNumberFormat="1" applyFont="1" applyBorder="1" applyAlignment="1">
      <alignment horizontal="right"/>
    </xf>
    <xf numFmtId="174" fontId="51" fillId="0" borderId="54" xfId="1" quotePrefix="1" applyNumberFormat="1" applyFont="1" applyBorder="1"/>
    <xf numFmtId="0" fontId="44" fillId="33" borderId="45" xfId="1" applyFill="1" applyBorder="1" applyAlignment="1">
      <alignment horizontal="center"/>
    </xf>
    <xf numFmtId="37" fontId="49" fillId="0" borderId="64" xfId="1" applyNumberFormat="1" applyFont="1" applyBorder="1"/>
    <xf numFmtId="37" fontId="44" fillId="0" borderId="45" xfId="1" applyNumberFormat="1" applyBorder="1"/>
    <xf numFmtId="37" fontId="51" fillId="0" borderId="45" xfId="1" applyNumberFormat="1" applyFont="1" applyBorder="1" applyAlignment="1" applyProtection="1">
      <alignment horizontal="centerContinuous"/>
      <protection locked="0"/>
    </xf>
    <xf numFmtId="37" fontId="130" fillId="0" borderId="45" xfId="1" applyNumberFormat="1" applyFont="1" applyBorder="1"/>
    <xf numFmtId="170" fontId="44" fillId="0" borderId="64" xfId="0" quotePrefix="1" applyNumberFormat="1" applyFont="1" applyBorder="1" applyAlignment="1">
      <alignment horizontal="center"/>
    </xf>
    <xf numFmtId="170" fontId="51" fillId="0" borderId="64" xfId="0" applyNumberFormat="1" applyFont="1" applyBorder="1"/>
    <xf numFmtId="166" fontId="65" fillId="0" borderId="64" xfId="1" applyNumberFormat="1" applyFont="1" applyBorder="1"/>
    <xf numFmtId="170" fontId="51" fillId="0" borderId="66" xfId="0" applyNumberFormat="1" applyFont="1" applyBorder="1"/>
    <xf numFmtId="170" fontId="64" fillId="0" borderId="69" xfId="1" applyNumberFormat="1" applyFont="1" applyBorder="1"/>
    <xf numFmtId="164" fontId="51" fillId="0" borderId="69" xfId="0" applyFont="1" applyBorder="1" applyProtection="1">
      <protection locked="0"/>
    </xf>
    <xf numFmtId="170" fontId="51" fillId="0" borderId="45" xfId="4" applyNumberFormat="1" applyFont="1" applyFill="1" applyBorder="1"/>
    <xf numFmtId="166" fontId="65" fillId="0" borderId="65" xfId="1" applyNumberFormat="1" applyFont="1" applyBorder="1"/>
    <xf numFmtId="166" fontId="44" fillId="0" borderId="0" xfId="1" quotePrefix="1" applyNumberFormat="1" applyAlignment="1">
      <alignment horizontal="left"/>
    </xf>
    <xf numFmtId="170" fontId="51" fillId="0" borderId="45" xfId="4" applyNumberFormat="1" applyFont="1" applyFill="1" applyBorder="1" applyProtection="1"/>
    <xf numFmtId="166" fontId="65" fillId="0" borderId="26" xfId="1" applyNumberFormat="1" applyFont="1" applyBorder="1"/>
    <xf numFmtId="170" fontId="64" fillId="0" borderId="25" xfId="1" applyNumberFormat="1" applyFont="1" applyBorder="1"/>
    <xf numFmtId="170" fontId="65" fillId="0" borderId="64" xfId="1" applyNumberFormat="1" applyFont="1" applyBorder="1"/>
    <xf numFmtId="1" fontId="51" fillId="0" borderId="45" xfId="1" quotePrefix="1" applyNumberFormat="1" applyFont="1" applyBorder="1" applyAlignment="1">
      <alignment horizontal="center"/>
    </xf>
    <xf numFmtId="0" fontId="44" fillId="0" borderId="16" xfId="1" applyBorder="1"/>
    <xf numFmtId="172" fontId="44" fillId="0" borderId="45" xfId="1" applyNumberFormat="1" applyBorder="1"/>
    <xf numFmtId="172" fontId="44" fillId="0" borderId="45" xfId="0" applyNumberFormat="1" applyFont="1" applyBorder="1"/>
    <xf numFmtId="170" fontId="44" fillId="0" borderId="26" xfId="1" applyNumberFormat="1" applyBorder="1"/>
    <xf numFmtId="3" fontId="44" fillId="0" borderId="0" xfId="1" applyNumberFormat="1" applyAlignment="1">
      <alignment horizontal="left"/>
    </xf>
    <xf numFmtId="164" fontId="51" fillId="0" borderId="45" xfId="1" quotePrefix="1" applyNumberFormat="1" applyFont="1" applyBorder="1" applyAlignment="1">
      <alignment horizontal="right"/>
    </xf>
    <xf numFmtId="166" fontId="44" fillId="0" borderId="64" xfId="1" applyNumberFormat="1" applyBorder="1"/>
    <xf numFmtId="164" fontId="44" fillId="0" borderId="64" xfId="1" applyNumberFormat="1" applyBorder="1"/>
    <xf numFmtId="165" fontId="44" fillId="0" borderId="14" xfId="1" applyNumberFormat="1" applyBorder="1"/>
    <xf numFmtId="165" fontId="44" fillId="0" borderId="17" xfId="1" applyNumberFormat="1" applyBorder="1"/>
    <xf numFmtId="165" fontId="44" fillId="0" borderId="27" xfId="1" applyNumberFormat="1" applyBorder="1"/>
    <xf numFmtId="170" fontId="44" fillId="0" borderId="27" xfId="1" applyNumberFormat="1" applyBorder="1" applyAlignment="1">
      <alignment horizontal="center"/>
    </xf>
    <xf numFmtId="165" fontId="44" fillId="0" borderId="0" xfId="1" applyNumberFormat="1" applyAlignment="1">
      <alignment horizontal="left"/>
    </xf>
    <xf numFmtId="170" fontId="44" fillId="0" borderId="65" xfId="1" applyNumberFormat="1" applyBorder="1"/>
    <xf numFmtId="164" fontId="44" fillId="0" borderId="65" xfId="1" applyNumberFormat="1" applyBorder="1"/>
    <xf numFmtId="170" fontId="44" fillId="0" borderId="0" xfId="4" applyNumberFormat="1" applyFont="1" applyFill="1" applyProtection="1"/>
    <xf numFmtId="170" fontId="44" fillId="0" borderId="0" xfId="4" applyNumberFormat="1" applyFont="1" applyFill="1" applyBorder="1" applyProtection="1"/>
    <xf numFmtId="168" fontId="44" fillId="0" borderId="20" xfId="1" applyNumberFormat="1" applyBorder="1"/>
    <xf numFmtId="165" fontId="44" fillId="0" borderId="19" xfId="1" applyNumberFormat="1" applyBorder="1"/>
    <xf numFmtId="170" fontId="51" fillId="0" borderId="45" xfId="1043" applyNumberFormat="1" applyFont="1" applyFill="1" applyBorder="1"/>
    <xf numFmtId="164" fontId="51" fillId="0" borderId="45" xfId="1043" applyNumberFormat="1" applyFont="1" applyFill="1" applyBorder="1"/>
    <xf numFmtId="166" fontId="44" fillId="0" borderId="19" xfId="1" applyNumberFormat="1" applyBorder="1"/>
    <xf numFmtId="164" fontId="51" fillId="0" borderId="45" xfId="1" applyNumberFormat="1" applyFont="1" applyBorder="1" applyAlignment="1">
      <alignment horizontal="center"/>
    </xf>
    <xf numFmtId="165" fontId="44" fillId="0" borderId="16" xfId="1" applyNumberFormat="1" applyBorder="1"/>
    <xf numFmtId="166" fontId="44" fillId="0" borderId="16" xfId="1" applyNumberFormat="1" applyBorder="1"/>
    <xf numFmtId="164" fontId="51" fillId="0" borderId="25" xfId="1" applyNumberFormat="1" applyFont="1" applyBorder="1" applyAlignment="1">
      <alignment horizontal="right"/>
    </xf>
    <xf numFmtId="170" fontId="44" fillId="0" borderId="65" xfId="1" applyNumberFormat="1" applyBorder="1" applyAlignment="1">
      <alignment horizontal="right"/>
    </xf>
    <xf numFmtId="172" fontId="51" fillId="0" borderId="45" xfId="1" applyNumberFormat="1" applyFont="1" applyBorder="1" applyAlignment="1">
      <alignment horizontal="right"/>
    </xf>
    <xf numFmtId="164" fontId="44" fillId="0" borderId="65" xfId="1" applyNumberFormat="1" applyBorder="1" applyAlignment="1">
      <alignment horizontal="right"/>
    </xf>
    <xf numFmtId="172" fontId="51" fillId="0" borderId="15" xfId="1" applyNumberFormat="1" applyFont="1" applyBorder="1"/>
    <xf numFmtId="0" fontId="51" fillId="0" borderId="45" xfId="3" applyFont="1" applyBorder="1" applyAlignment="1">
      <alignment horizontal="center"/>
    </xf>
    <xf numFmtId="166" fontId="51" fillId="0" borderId="45" xfId="3" applyNumberFormat="1" applyFont="1" applyBorder="1" applyAlignment="1">
      <alignment horizontal="center"/>
    </xf>
    <xf numFmtId="166" fontId="44" fillId="0" borderId="0" xfId="3" applyNumberFormat="1" applyFont="1" applyAlignment="1">
      <alignment horizontal="center"/>
    </xf>
    <xf numFmtId="0" fontId="44" fillId="0" borderId="0" xfId="3" quotePrefix="1" applyFont="1" applyAlignment="1">
      <alignment horizontal="center"/>
    </xf>
    <xf numFmtId="169" fontId="44" fillId="0" borderId="0" xfId="3" applyNumberFormat="1" applyFont="1" applyAlignment="1">
      <alignment horizontal="center"/>
    </xf>
    <xf numFmtId="170" fontId="44" fillId="0" borderId="0" xfId="3" applyNumberFormat="1" applyFont="1" applyAlignment="1">
      <alignment horizontal="center"/>
    </xf>
    <xf numFmtId="164" fontId="44" fillId="0" borderId="0" xfId="3" applyNumberFormat="1" applyFont="1"/>
    <xf numFmtId="170" fontId="44" fillId="0" borderId="45" xfId="3" quotePrefix="1" applyNumberFormat="1" applyFont="1" applyBorder="1"/>
    <xf numFmtId="170" fontId="51" fillId="0" borderId="45" xfId="3" applyNumberFormat="1" applyFont="1" applyBorder="1"/>
    <xf numFmtId="170" fontId="44" fillId="0" borderId="45" xfId="3" applyNumberFormat="1" applyFont="1" applyBorder="1"/>
    <xf numFmtId="170" fontId="44" fillId="0" borderId="0" xfId="3" applyNumberFormat="1" applyFont="1" applyAlignment="1">
      <alignment horizontal="right"/>
    </xf>
    <xf numFmtId="170" fontId="0" fillId="0" borderId="45" xfId="1" applyNumberFormat="1" applyFont="1" applyBorder="1"/>
    <xf numFmtId="172" fontId="0" fillId="0" borderId="45" xfId="1" applyNumberFormat="1" applyFont="1" applyBorder="1"/>
    <xf numFmtId="170" fontId="44" fillId="0" borderId="0" xfId="1" applyNumberFormat="1" applyAlignment="1">
      <alignment horizontal="right" vertical="center"/>
    </xf>
    <xf numFmtId="170" fontId="44" fillId="0" borderId="17" xfId="1" applyNumberFormat="1" applyBorder="1" applyAlignment="1">
      <alignment horizontal="right" vertical="center"/>
    </xf>
    <xf numFmtId="170" fontId="51" fillId="0" borderId="45" xfId="17915" applyNumberFormat="1" applyFont="1" applyBorder="1" applyAlignment="1"/>
    <xf numFmtId="170" fontId="51" fillId="0" borderId="45" xfId="17915" applyNumberFormat="1" applyFont="1" applyFill="1" applyBorder="1" applyAlignment="1"/>
    <xf numFmtId="169" fontId="44" fillId="0" borderId="17" xfId="1" applyNumberFormat="1" applyBorder="1"/>
    <xf numFmtId="172" fontId="44" fillId="0" borderId="0" xfId="1933" applyNumberFormat="1" applyFont="1" applyFill="1" applyBorder="1" applyAlignment="1" applyProtection="1"/>
    <xf numFmtId="169" fontId="44" fillId="0" borderId="0" xfId="49849" applyNumberFormat="1" applyFont="1" applyFill="1" applyBorder="1" applyAlignment="1" applyProtection="1"/>
    <xf numFmtId="164" fontId="51" fillId="0" borderId="25" xfId="0" applyFont="1" applyBorder="1" applyProtection="1">
      <protection locked="0"/>
    </xf>
    <xf numFmtId="170" fontId="44" fillId="0" borderId="0" xfId="1" quotePrefix="1" applyNumberFormat="1" applyAlignment="1">
      <alignment horizontal="left"/>
    </xf>
    <xf numFmtId="170" fontId="44" fillId="0" borderId="45" xfId="17915" applyNumberFormat="1" applyFont="1" applyFill="1" applyBorder="1" applyAlignment="1">
      <alignment horizontal="center"/>
    </xf>
    <xf numFmtId="170" fontId="44" fillId="0" borderId="0" xfId="17915" applyNumberFormat="1" applyFont="1" applyFill="1" applyBorder="1" applyAlignment="1">
      <alignment horizontal="center"/>
    </xf>
    <xf numFmtId="0" fontId="67" fillId="0" borderId="64" xfId="833" applyFont="1" applyBorder="1"/>
    <xf numFmtId="177" fontId="72" fillId="0" borderId="61" xfId="833" applyNumberFormat="1" applyFont="1" applyBorder="1" applyAlignment="1">
      <alignment horizontal="right"/>
    </xf>
    <xf numFmtId="177" fontId="67" fillId="0" borderId="64" xfId="833" applyNumberFormat="1" applyFont="1" applyBorder="1"/>
    <xf numFmtId="184" fontId="67" fillId="0" borderId="64" xfId="833" applyNumberFormat="1" applyFont="1" applyBorder="1"/>
    <xf numFmtId="0" fontId="72" fillId="0" borderId="64" xfId="833" applyFont="1" applyBorder="1"/>
    <xf numFmtId="0" fontId="50" fillId="0" borderId="10" xfId="0" applyNumberFormat="1" applyFont="1" applyBorder="1" applyAlignment="1">
      <alignment horizontal="center"/>
    </xf>
    <xf numFmtId="43" fontId="50" fillId="0" borderId="10" xfId="9958" quotePrefix="1" applyNumberFormat="1" applyFont="1" applyBorder="1" applyAlignment="1">
      <alignment horizontal="center"/>
    </xf>
    <xf numFmtId="189" fontId="44" fillId="0" borderId="64" xfId="8" applyNumberFormat="1" applyFont="1" applyFill="1" applyBorder="1" applyAlignment="1"/>
    <xf numFmtId="41" fontId="44" fillId="0" borderId="65" xfId="8" applyNumberFormat="1" applyFont="1" applyFill="1" applyBorder="1" applyAlignment="1"/>
    <xf numFmtId="41" fontId="51" fillId="0" borderId="10" xfId="837" applyNumberFormat="1" applyFont="1" applyBorder="1"/>
    <xf numFmtId="43" fontId="51" fillId="0" borderId="10" xfId="1769" applyNumberFormat="1" applyFont="1" applyBorder="1" applyAlignment="1">
      <alignment horizontal="right"/>
    </xf>
    <xf numFmtId="44" fontId="51" fillId="0" borderId="15" xfId="1769" applyNumberFormat="1" applyFont="1" applyBorder="1" applyAlignment="1">
      <alignment horizontal="right"/>
    </xf>
    <xf numFmtId="164" fontId="72" fillId="0" borderId="10" xfId="0" applyFont="1" applyBorder="1" applyAlignment="1">
      <alignment horizontal="center"/>
    </xf>
    <xf numFmtId="41" fontId="51" fillId="0" borderId="61" xfId="736" applyNumberFormat="1" applyFont="1" applyBorder="1"/>
    <xf numFmtId="42" fontId="97" fillId="0" borderId="15" xfId="736" applyNumberFormat="1" applyFont="1" applyBorder="1"/>
    <xf numFmtId="0" fontId="5" fillId="0" borderId="0" xfId="838" applyFont="1"/>
    <xf numFmtId="41" fontId="44" fillId="0" borderId="65" xfId="8" applyNumberFormat="1" applyFont="1" applyBorder="1" applyAlignment="1"/>
    <xf numFmtId="0" fontId="49" fillId="0" borderId="61" xfId="857" applyFont="1" applyBorder="1"/>
    <xf numFmtId="0" fontId="141" fillId="0" borderId="61" xfId="857" applyFont="1" applyBorder="1"/>
    <xf numFmtId="0" fontId="49" fillId="0" borderId="61" xfId="857" applyFont="1" applyBorder="1" applyAlignment="1">
      <alignment horizontal="left"/>
    </xf>
    <xf numFmtId="170" fontId="51" fillId="0" borderId="25" xfId="3" applyNumberFormat="1" applyFont="1" applyBorder="1"/>
    <xf numFmtId="170" fontId="51" fillId="0" borderId="26" xfId="1" applyNumberFormat="1" applyFont="1" applyBorder="1"/>
    <xf numFmtId="172" fontId="51" fillId="0" borderId="25" xfId="0" applyNumberFormat="1" applyFont="1" applyBorder="1"/>
    <xf numFmtId="170" fontId="44" fillId="0" borderId="26" xfId="5509" applyNumberFormat="1" applyFont="1" applyBorder="1"/>
    <xf numFmtId="170" fontId="44" fillId="0" borderId="26" xfId="3" applyNumberFormat="1" applyFont="1" applyBorder="1"/>
    <xf numFmtId="170" fontId="44" fillId="0" borderId="26" xfId="3" applyNumberFormat="1" applyFont="1" applyBorder="1" applyAlignment="1">
      <alignment horizontal="center"/>
    </xf>
    <xf numFmtId="166" fontId="44" fillId="0" borderId="26" xfId="3" applyNumberFormat="1" applyFont="1" applyBorder="1"/>
    <xf numFmtId="166" fontId="44" fillId="0" borderId="26" xfId="3" applyNumberFormat="1" applyFont="1" applyBorder="1" applyAlignment="1">
      <alignment horizontal="right"/>
    </xf>
    <xf numFmtId="170" fontId="64" fillId="0" borderId="19" xfId="1" applyNumberFormat="1" applyFont="1" applyBorder="1"/>
    <xf numFmtId="170" fontId="205" fillId="0" borderId="0" xfId="0" quotePrefix="1" applyNumberFormat="1" applyFont="1" applyAlignment="1">
      <alignment horizontal="right"/>
    </xf>
    <xf numFmtId="174" fontId="44" fillId="0" borderId="16" xfId="1" applyNumberFormat="1" applyBorder="1"/>
    <xf numFmtId="174" fontId="51" fillId="0" borderId="16" xfId="1" applyNumberFormat="1" applyFont="1" applyBorder="1"/>
    <xf numFmtId="170" fontId="0" fillId="0" borderId="0" xfId="0" applyNumberFormat="1" applyAlignment="1" applyProtection="1">
      <alignment horizontal="right"/>
      <protection locked="0"/>
    </xf>
    <xf numFmtId="0" fontId="206" fillId="0" borderId="0" xfId="1" quotePrefix="1" applyFont="1" applyAlignment="1">
      <alignment horizontal="center"/>
    </xf>
    <xf numFmtId="3" fontId="51" fillId="0" borderId="0" xfId="1" applyNumberFormat="1" applyFont="1" applyAlignment="1">
      <alignment horizontal="center"/>
    </xf>
    <xf numFmtId="3" fontId="44" fillId="0" borderId="64" xfId="1" applyNumberFormat="1" applyBorder="1"/>
    <xf numFmtId="170" fontId="84" fillId="0" borderId="0" xfId="1" applyNumberFormat="1" applyFont="1"/>
    <xf numFmtId="0" fontId="208" fillId="0" borderId="0" xfId="1" applyFont="1"/>
    <xf numFmtId="170" fontId="160" fillId="0" borderId="0" xfId="5509" applyNumberFormat="1" applyFont="1"/>
    <xf numFmtId="165" fontId="160" fillId="0" borderId="0" xfId="1" applyNumberFormat="1" applyFont="1"/>
    <xf numFmtId="165" fontId="209" fillId="0" borderId="0" xfId="1" applyNumberFormat="1" applyFont="1"/>
    <xf numFmtId="164" fontId="160" fillId="0" borderId="0" xfId="0" applyFont="1"/>
    <xf numFmtId="170" fontId="160" fillId="0" borderId="0" xfId="4" applyNumberFormat="1" applyFont="1" applyFill="1" applyProtection="1"/>
    <xf numFmtId="170" fontId="160" fillId="0" borderId="0" xfId="4" applyNumberFormat="1" applyFont="1" applyFill="1" applyBorder="1" applyProtection="1"/>
    <xf numFmtId="170" fontId="160" fillId="0" borderId="0" xfId="1" quotePrefix="1" applyNumberFormat="1" applyFont="1" applyAlignment="1">
      <alignment horizontal="right"/>
    </xf>
    <xf numFmtId="170" fontId="160" fillId="0" borderId="17" xfId="1" applyNumberFormat="1" applyFont="1" applyBorder="1"/>
    <xf numFmtId="170" fontId="160" fillId="0" borderId="0" xfId="1" applyNumberFormat="1" applyFont="1" applyAlignment="1">
      <alignment horizontal="right"/>
    </xf>
    <xf numFmtId="170" fontId="160" fillId="0" borderId="27" xfId="1" applyNumberFormat="1" applyFont="1" applyBorder="1"/>
    <xf numFmtId="170" fontId="210" fillId="0" borderId="0" xfId="1" applyNumberFormat="1" applyFont="1"/>
    <xf numFmtId="165" fontId="86" fillId="0" borderId="0" xfId="1" applyNumberFormat="1" applyFont="1"/>
    <xf numFmtId="170" fontId="205" fillId="0" borderId="0" xfId="1" applyNumberFormat="1" applyFont="1" applyAlignment="1">
      <alignment horizontal="center"/>
    </xf>
    <xf numFmtId="166" fontId="51" fillId="0" borderId="0" xfId="3" applyNumberFormat="1" applyFont="1"/>
    <xf numFmtId="170" fontId="44" fillId="0" borderId="0" xfId="5509" quotePrefix="1" applyNumberFormat="1" applyFont="1" applyAlignment="1">
      <alignment horizontal="right"/>
    </xf>
    <xf numFmtId="166" fontId="160" fillId="0" borderId="0" xfId="1" applyNumberFormat="1" applyFont="1"/>
    <xf numFmtId="165" fontId="89" fillId="0" borderId="0" xfId="1" applyNumberFormat="1" applyFont="1"/>
    <xf numFmtId="169" fontId="44" fillId="0" borderId="0" xfId="1" quotePrefix="1" applyNumberFormat="1" applyAlignment="1">
      <alignment horizontal="right"/>
    </xf>
    <xf numFmtId="170" fontId="89" fillId="0" borderId="0" xfId="1" applyNumberFormat="1" applyFont="1"/>
    <xf numFmtId="170" fontId="51" fillId="0" borderId="23" xfId="1" applyNumberFormat="1" applyFont="1" applyBorder="1"/>
    <xf numFmtId="165" fontId="91" fillId="0" borderId="0" xfId="1" applyNumberFormat="1" applyFont="1" applyAlignment="1">
      <alignment horizontal="left"/>
    </xf>
    <xf numFmtId="177" fontId="51" fillId="0" borderId="23" xfId="737" applyNumberFormat="1" applyFont="1" applyBorder="1" applyAlignment="1">
      <alignment horizontal="center"/>
    </xf>
    <xf numFmtId="177" fontId="51" fillId="0" borderId="10" xfId="737" applyNumberFormat="1" applyFont="1" applyBorder="1" applyAlignment="1">
      <alignment horizontal="center"/>
    </xf>
    <xf numFmtId="180" fontId="44" fillId="0" borderId="0" xfId="737" applyNumberFormat="1" applyFont="1"/>
    <xf numFmtId="177" fontId="44" fillId="0" borderId="0" xfId="737" quotePrefix="1" applyNumberFormat="1" applyFont="1"/>
    <xf numFmtId="180" fontId="98" fillId="0" borderId="0" xfId="737" applyNumberFormat="1" applyFont="1"/>
    <xf numFmtId="0" fontId="59" fillId="0" borderId="0" xfId="833" applyFont="1"/>
    <xf numFmtId="183" fontId="72" fillId="0" borderId="0" xfId="833" quotePrefix="1" applyNumberFormat="1" applyFont="1" applyAlignment="1">
      <alignment horizontal="center"/>
    </xf>
    <xf numFmtId="0" fontId="68" fillId="0" borderId="64" xfId="833" applyFont="1" applyBorder="1"/>
    <xf numFmtId="184" fontId="67" fillId="0" borderId="0" xfId="833" applyNumberFormat="1" applyFont="1" applyAlignment="1">
      <alignment horizontal="right"/>
    </xf>
    <xf numFmtId="39" fontId="81" fillId="0" borderId="0" xfId="833" applyNumberFormat="1" applyFont="1"/>
    <xf numFmtId="180" fontId="81" fillId="0" borderId="0" xfId="833" applyNumberFormat="1" applyFont="1"/>
    <xf numFmtId="180" fontId="81" fillId="0" borderId="0" xfId="833" applyNumberFormat="1" applyFont="1" applyAlignment="1">
      <alignment horizontal="left"/>
    </xf>
    <xf numFmtId="184" fontId="67" fillId="0" borderId="0" xfId="833" quotePrefix="1" applyNumberFormat="1" applyFont="1" applyAlignment="1">
      <alignment horizontal="center"/>
    </xf>
    <xf numFmtId="176" fontId="81" fillId="0" borderId="0" xfId="833" applyNumberFormat="1" applyFont="1"/>
    <xf numFmtId="173" fontId="67" fillId="0" borderId="0" xfId="833" applyNumberFormat="1" applyFont="1" applyProtection="1">
      <protection locked="0"/>
    </xf>
    <xf numFmtId="176" fontId="67" fillId="0" borderId="0" xfId="833" applyNumberFormat="1" applyFont="1" applyProtection="1">
      <protection locked="0"/>
    </xf>
    <xf numFmtId="176" fontId="67" fillId="0" borderId="0" xfId="833" applyNumberFormat="1" applyFont="1" applyAlignment="1" applyProtection="1">
      <alignment horizontal="right"/>
      <protection locked="0"/>
    </xf>
    <xf numFmtId="176" fontId="67" fillId="0" borderId="0" xfId="833" applyNumberFormat="1" applyFont="1" applyAlignment="1">
      <alignment horizontal="center"/>
    </xf>
    <xf numFmtId="0" fontId="49" fillId="0" borderId="0" xfId="9958" applyFont="1" applyAlignment="1">
      <alignment horizontal="center"/>
    </xf>
    <xf numFmtId="0" fontId="50" fillId="0" borderId="10" xfId="9958" applyFont="1" applyBorder="1" applyAlignment="1">
      <alignment horizontal="centerContinuous"/>
    </xf>
    <xf numFmtId="0" fontId="174" fillId="0" borderId="0" xfId="9958"/>
    <xf numFmtId="0" fontId="49" fillId="0" borderId="59" xfId="9958" applyFont="1" applyBorder="1"/>
    <xf numFmtId="0" fontId="50" fillId="0" borderId="0" xfId="9958" applyFont="1" applyAlignment="1">
      <alignment horizontal="centerContinuous" vertical="top"/>
    </xf>
    <xf numFmtId="0" fontId="50" fillId="0" borderId="0" xfId="9958" applyFont="1" applyAlignment="1">
      <alignment horizontal="centerContinuous"/>
    </xf>
    <xf numFmtId="0" fontId="49" fillId="0" borderId="13" xfId="9958" applyFont="1" applyBorder="1"/>
    <xf numFmtId="0" fontId="49" fillId="0" borderId="0" xfId="9958" applyFont="1"/>
    <xf numFmtId="185" fontId="50" fillId="0" borderId="10" xfId="9958" applyNumberFormat="1" applyFont="1" applyBorder="1" applyAlignment="1">
      <alignment horizontal="center"/>
    </xf>
    <xf numFmtId="4" fontId="49" fillId="0" borderId="0" xfId="0" applyNumberFormat="1" applyFont="1" applyAlignment="1">
      <alignment horizontal="right"/>
    </xf>
    <xf numFmtId="0" fontId="49" fillId="0" borderId="13" xfId="0" applyNumberFormat="1" applyFont="1" applyBorder="1"/>
    <xf numFmtId="42" fontId="49" fillId="0" borderId="0" xfId="0" applyNumberFormat="1" applyFont="1"/>
    <xf numFmtId="41" fontId="49" fillId="0" borderId="0" xfId="0" quotePrefix="1" applyNumberFormat="1" applyFont="1" applyAlignment="1">
      <alignment horizontal="right"/>
    </xf>
    <xf numFmtId="186" fontId="49" fillId="0" borderId="0" xfId="0" applyNumberFormat="1" applyFont="1"/>
    <xf numFmtId="0" fontId="49" fillId="0" borderId="0" xfId="0" applyNumberFormat="1" applyFont="1" applyAlignment="1">
      <alignment horizontal="center"/>
    </xf>
    <xf numFmtId="0" fontId="49" fillId="0" borderId="0" xfId="0" applyNumberFormat="1" applyFont="1" applyAlignment="1">
      <alignment horizontal="center" vertical="top"/>
    </xf>
    <xf numFmtId="186" fontId="49" fillId="0" borderId="0" xfId="0" applyNumberFormat="1" applyFont="1" applyAlignment="1">
      <alignment horizontal="right" vertical="top"/>
    </xf>
    <xf numFmtId="41" fontId="44" fillId="0" borderId="65" xfId="837" quotePrefix="1" applyNumberFormat="1" applyFont="1" applyBorder="1" applyAlignment="1">
      <alignment horizontal="right"/>
    </xf>
    <xf numFmtId="39" fontId="51" fillId="0" borderId="0" xfId="0" applyNumberFormat="1" applyFont="1" applyAlignment="1">
      <alignment horizontal="center"/>
    </xf>
    <xf numFmtId="43" fontId="51" fillId="0" borderId="54" xfId="17915" applyFont="1" applyFill="1" applyBorder="1" applyAlignment="1" applyProtection="1">
      <alignment horizontal="right"/>
    </xf>
    <xf numFmtId="164" fontId="44" fillId="0" borderId="0" xfId="737" applyNumberFormat="1" applyFont="1"/>
    <xf numFmtId="164" fontId="99" fillId="0" borderId="0" xfId="737" applyNumberFormat="1"/>
    <xf numFmtId="7" fontId="51" fillId="0" borderId="0" xfId="737" applyNumberFormat="1" applyFont="1" applyAlignment="1">
      <alignment horizontal="right"/>
    </xf>
    <xf numFmtId="4" fontId="102" fillId="0" borderId="0" xfId="0" applyNumberFormat="1" applyFont="1" applyAlignment="1">
      <alignment horizontal="left"/>
    </xf>
    <xf numFmtId="0" fontId="8" fillId="0" borderId="0" xfId="838" applyFont="1"/>
    <xf numFmtId="4" fontId="115" fillId="0" borderId="0" xfId="1025" applyNumberFormat="1" applyFont="1" applyAlignment="1">
      <alignment horizontal="right"/>
    </xf>
    <xf numFmtId="39" fontId="50" fillId="0" borderId="0" xfId="1025" applyNumberFormat="1" applyFont="1"/>
    <xf numFmtId="4" fontId="115" fillId="0" borderId="0" xfId="1025" applyNumberFormat="1" applyFont="1"/>
    <xf numFmtId="39" fontId="115" fillId="0" borderId="0" xfId="1025" applyNumberFormat="1" applyFont="1" applyAlignment="1">
      <alignment horizontal="right"/>
    </xf>
    <xf numFmtId="4" fontId="88" fillId="0" borderId="0" xfId="1025" applyNumberFormat="1" applyFont="1"/>
    <xf numFmtId="39" fontId="115" fillId="0" borderId="0" xfId="1025" applyNumberFormat="1" applyFont="1"/>
    <xf numFmtId="4" fontId="115" fillId="0" borderId="0" xfId="1025" quotePrefix="1" applyNumberFormat="1" applyFont="1" applyAlignment="1">
      <alignment horizontal="left"/>
    </xf>
    <xf numFmtId="39" fontId="115" fillId="0" borderId="0" xfId="1025" quotePrefix="1" applyNumberFormat="1" applyFont="1" applyAlignment="1">
      <alignment horizontal="left"/>
    </xf>
    <xf numFmtId="4" fontId="49" fillId="0" borderId="0" xfId="1025" applyNumberFormat="1" applyFont="1" applyAlignment="1">
      <alignment horizontal="right"/>
    </xf>
    <xf numFmtId="1" fontId="51" fillId="0" borderId="0" xfId="1025" applyNumberFormat="1" applyFont="1"/>
    <xf numFmtId="44" fontId="116" fillId="0" borderId="0" xfId="838" applyNumberFormat="1" applyFont="1"/>
    <xf numFmtId="164" fontId="205" fillId="0" borderId="0" xfId="0" applyFont="1"/>
    <xf numFmtId="170" fontId="205" fillId="0" borderId="0" xfId="0" applyNumberFormat="1" applyFont="1" applyAlignment="1">
      <alignment horizontal="right"/>
    </xf>
    <xf numFmtId="170" fontId="205" fillId="0" borderId="0" xfId="1" applyNumberFormat="1" applyFont="1"/>
    <xf numFmtId="164" fontId="51" fillId="0" borderId="69" xfId="1" quotePrefix="1" applyNumberFormat="1" applyFont="1" applyBorder="1"/>
    <xf numFmtId="170" fontId="205" fillId="0" borderId="0" xfId="1" applyNumberFormat="1" applyFont="1" applyAlignment="1">
      <alignment horizontal="right"/>
    </xf>
    <xf numFmtId="165" fontId="154" fillId="0" borderId="0" xfId="1" applyNumberFormat="1" applyFont="1"/>
    <xf numFmtId="170" fontId="44" fillId="0" borderId="0" xfId="17915" applyNumberFormat="1" applyFont="1" applyFill="1" applyAlignment="1"/>
    <xf numFmtId="41" fontId="206" fillId="0" borderId="61" xfId="837" applyNumberFormat="1" applyFont="1" applyBorder="1"/>
    <xf numFmtId="0" fontId="211" fillId="0" borderId="0" xfId="1" applyFont="1"/>
    <xf numFmtId="165" fontId="205" fillId="0" borderId="0" xfId="0" applyNumberFormat="1" applyFont="1" applyAlignment="1">
      <alignment horizontal="left"/>
    </xf>
    <xf numFmtId="0" fontId="205" fillId="0" borderId="0" xfId="1" applyFont="1"/>
    <xf numFmtId="170" fontId="205" fillId="0" borderId="0" xfId="5509" applyNumberFormat="1" applyFont="1"/>
    <xf numFmtId="170" fontId="205" fillId="0" borderId="0" xfId="1" quotePrefix="1" applyNumberFormat="1" applyFont="1"/>
    <xf numFmtId="170" fontId="205" fillId="0" borderId="16" xfId="1" applyNumberFormat="1" applyFont="1" applyBorder="1"/>
    <xf numFmtId="165" fontId="205" fillId="0" borderId="0" xfId="1" applyNumberFormat="1" applyFont="1"/>
    <xf numFmtId="165" fontId="221" fillId="0" borderId="14" xfId="1" applyNumberFormat="1" applyFont="1" applyBorder="1"/>
    <xf numFmtId="165" fontId="207" fillId="0" borderId="0" xfId="1" applyNumberFormat="1" applyFont="1"/>
    <xf numFmtId="165" fontId="221" fillId="0" borderId="0" xfId="1" applyNumberFormat="1" applyFont="1"/>
    <xf numFmtId="170" fontId="205" fillId="0" borderId="0" xfId="4" applyNumberFormat="1" applyFont="1" applyFill="1" applyProtection="1"/>
    <xf numFmtId="170" fontId="205" fillId="0" borderId="0" xfId="0" applyNumberFormat="1" applyFont="1" applyAlignment="1" applyProtection="1">
      <alignment horizontal="right"/>
      <protection locked="0"/>
    </xf>
    <xf numFmtId="170" fontId="205" fillId="0" borderId="27" xfId="1" applyNumberFormat="1" applyFont="1" applyBorder="1"/>
    <xf numFmtId="166" fontId="51" fillId="0" borderId="74" xfId="1" applyNumberFormat="1" applyFont="1" applyBorder="1"/>
    <xf numFmtId="170" fontId="65" fillId="0" borderId="74" xfId="1" applyNumberFormat="1" applyFont="1" applyBorder="1"/>
    <xf numFmtId="164" fontId="44" fillId="0" borderId="0" xfId="0" applyFont="1" applyAlignment="1">
      <alignment horizontal="center"/>
    </xf>
    <xf numFmtId="0" fontId="51" fillId="0" borderId="0" xfId="1" applyFont="1" applyAlignment="1">
      <alignment horizontal="right"/>
    </xf>
    <xf numFmtId="0" fontId="51" fillId="0" borderId="0" xfId="1" applyFont="1" applyAlignment="1">
      <alignment horizontal="left"/>
    </xf>
    <xf numFmtId="0" fontId="51" fillId="0" borderId="45" xfId="1" applyFont="1" applyBorder="1" applyAlignment="1">
      <alignment horizontal="center"/>
    </xf>
    <xf numFmtId="0" fontId="51" fillId="0" borderId="45" xfId="1" applyFont="1" applyBorder="1" applyAlignment="1" applyProtection="1">
      <alignment horizontal="center"/>
      <protection locked="0"/>
    </xf>
    <xf numFmtId="166" fontId="51" fillId="0" borderId="45" xfId="1" applyNumberFormat="1" applyFont="1" applyBorder="1" applyAlignment="1">
      <alignment horizontal="center"/>
    </xf>
    <xf numFmtId="0" fontId="51" fillId="0" borderId="45" xfId="1" quotePrefix="1" applyFont="1" applyBorder="1" applyAlignment="1">
      <alignment horizontal="center"/>
    </xf>
    <xf numFmtId="0" fontId="87" fillId="0" borderId="0" xfId="3"/>
    <xf numFmtId="0" fontId="51" fillId="0" borderId="45" xfId="3" quotePrefix="1" applyFont="1" applyBorder="1" applyAlignment="1">
      <alignment horizontal="center"/>
    </xf>
    <xf numFmtId="0" fontId="0" fillId="0" borderId="45" xfId="1" applyFont="1" applyBorder="1"/>
    <xf numFmtId="180" fontId="49" fillId="0" borderId="0" xfId="1769" applyNumberFormat="1" applyFont="1" applyAlignment="1">
      <alignment horizontal="left" vertical="top" wrapText="1"/>
    </xf>
    <xf numFmtId="3" fontId="205" fillId="0" borderId="0" xfId="1" applyNumberFormat="1" applyFont="1"/>
    <xf numFmtId="166" fontId="205" fillId="0" borderId="0" xfId="1" applyNumberFormat="1" applyFont="1"/>
    <xf numFmtId="166" fontId="44" fillId="0" borderId="27" xfId="1" applyNumberFormat="1" applyBorder="1" applyAlignment="1">
      <alignment horizontal="center"/>
    </xf>
    <xf numFmtId="166" fontId="44" fillId="0" borderId="27" xfId="1" applyNumberFormat="1" applyBorder="1"/>
    <xf numFmtId="170" fontId="65" fillId="0" borderId="75" xfId="1" applyNumberFormat="1" applyFont="1" applyBorder="1"/>
    <xf numFmtId="170" fontId="64" fillId="0" borderId="75" xfId="1" applyNumberFormat="1" applyFont="1" applyBorder="1"/>
    <xf numFmtId="170" fontId="44" fillId="0" borderId="76" xfId="1" quotePrefix="1" applyNumberFormat="1" applyBorder="1"/>
    <xf numFmtId="170" fontId="44" fillId="0" borderId="76" xfId="1" applyNumberFormat="1" applyBorder="1"/>
    <xf numFmtId="170" fontId="44" fillId="0" borderId="76" xfId="1" applyNumberFormat="1" applyBorder="1" applyAlignment="1">
      <alignment horizontal="right"/>
    </xf>
    <xf numFmtId="170" fontId="51" fillId="0" borderId="76" xfId="1" applyNumberFormat="1" applyFont="1" applyBorder="1"/>
    <xf numFmtId="165" fontId="44" fillId="0" borderId="76" xfId="1" applyNumberFormat="1" applyBorder="1"/>
    <xf numFmtId="174" fontId="51" fillId="0" borderId="76" xfId="3" applyNumberFormat="1" applyFont="1" applyBorder="1"/>
    <xf numFmtId="0" fontId="44" fillId="0" borderId="76" xfId="3" applyFont="1" applyBorder="1"/>
    <xf numFmtId="166" fontId="44" fillId="0" borderId="76" xfId="3" applyNumberFormat="1" applyFont="1" applyBorder="1"/>
    <xf numFmtId="170" fontId="44" fillId="0" borderId="76" xfId="3" applyNumberFormat="1" applyFont="1" applyBorder="1"/>
    <xf numFmtId="170" fontId="51" fillId="0" borderId="76" xfId="3" applyNumberFormat="1" applyFont="1" applyBorder="1"/>
    <xf numFmtId="174" fontId="51" fillId="0" borderId="76" xfId="1" applyNumberFormat="1" applyFont="1" applyBorder="1"/>
    <xf numFmtId="166" fontId="44" fillId="0" borderId="76" xfId="1" applyNumberFormat="1" applyBorder="1"/>
    <xf numFmtId="170" fontId="44" fillId="0" borderId="76" xfId="1" applyNumberFormat="1" applyBorder="1" applyAlignment="1">
      <alignment horizontal="center"/>
    </xf>
    <xf numFmtId="170" fontId="51" fillId="0" borderId="76" xfId="49849" applyNumberFormat="1" applyFont="1" applyFill="1" applyBorder="1" applyAlignment="1" applyProtection="1"/>
    <xf numFmtId="49" fontId="51" fillId="0" borderId="29" xfId="737" quotePrefix="1" applyNumberFormat="1" applyFont="1" applyBorder="1" applyAlignment="1">
      <alignment horizontal="center"/>
    </xf>
    <xf numFmtId="185" fontId="51" fillId="0" borderId="29" xfId="0" applyNumberFormat="1" applyFont="1" applyBorder="1" applyAlignment="1">
      <alignment horizontal="center"/>
    </xf>
    <xf numFmtId="39" fontId="51" fillId="0" borderId="29" xfId="0" applyNumberFormat="1" applyFont="1" applyBorder="1" applyAlignment="1">
      <alignment horizontal="center"/>
    </xf>
    <xf numFmtId="39" fontId="51" fillId="0" borderId="45" xfId="1769" applyNumberFormat="1" applyFont="1" applyBorder="1" applyAlignment="1">
      <alignment horizontal="center"/>
    </xf>
    <xf numFmtId="43" fontId="51" fillId="0" borderId="45" xfId="1769" applyNumberFormat="1" applyFont="1" applyBorder="1"/>
    <xf numFmtId="44" fontId="51" fillId="0" borderId="51" xfId="1769" applyNumberFormat="1" applyFont="1" applyBorder="1"/>
    <xf numFmtId="43" fontId="44" fillId="0" borderId="45" xfId="1769" applyNumberFormat="1" applyBorder="1"/>
    <xf numFmtId="43" fontId="51" fillId="0" borderId="45" xfId="1769" applyNumberFormat="1" applyFont="1" applyBorder="1" applyAlignment="1">
      <alignment horizontal="right"/>
    </xf>
    <xf numFmtId="44" fontId="51" fillId="0" borderId="51" xfId="1769" applyNumberFormat="1" applyFont="1" applyBorder="1" applyAlignment="1">
      <alignment horizontal="right"/>
    </xf>
    <xf numFmtId="41" fontId="44" fillId="0" borderId="45" xfId="837" applyNumberFormat="1" applyFont="1" applyBorder="1"/>
    <xf numFmtId="41" fontId="44" fillId="0" borderId="61" xfId="837" applyNumberFormat="1" applyFont="1" applyBorder="1"/>
    <xf numFmtId="0" fontId="44" fillId="0" borderId="45" xfId="14" applyNumberFormat="1" applyBorder="1" applyAlignment="1">
      <alignment horizontal="center"/>
    </xf>
    <xf numFmtId="44" fontId="44" fillId="0" borderId="0" xfId="25858" applyFont="1" applyFill="1" applyBorder="1"/>
    <xf numFmtId="43" fontId="44" fillId="0" borderId="0" xfId="25859" applyFont="1" applyFill="1" applyBorder="1"/>
    <xf numFmtId="43" fontId="160" fillId="0" borderId="0" xfId="737" applyNumberFormat="1" applyFont="1"/>
    <xf numFmtId="43" fontId="161" fillId="0" borderId="0" xfId="737" applyNumberFormat="1" applyFont="1" applyAlignment="1">
      <alignment horizontal="center"/>
    </xf>
    <xf numFmtId="43" fontId="161" fillId="0" borderId="0" xfId="737" quotePrefix="1" applyNumberFormat="1" applyFont="1" applyAlignment="1">
      <alignment horizontal="center"/>
    </xf>
    <xf numFmtId="43" fontId="160" fillId="0" borderId="0" xfId="737" applyNumberFormat="1" applyFont="1" applyAlignment="1">
      <alignment horizontal="left"/>
    </xf>
    <xf numFmtId="43" fontId="160" fillId="0" borderId="0" xfId="737" quotePrefix="1" applyNumberFormat="1" applyFont="1" applyAlignment="1">
      <alignment horizontal="center"/>
    </xf>
    <xf numFmtId="43" fontId="160" fillId="0" borderId="0" xfId="737" applyNumberFormat="1" applyFont="1" applyAlignment="1">
      <alignment horizontal="center"/>
    </xf>
    <xf numFmtId="43" fontId="161" fillId="0" borderId="0" xfId="737" applyNumberFormat="1" applyFont="1" applyAlignment="1">
      <alignment horizontal="right"/>
    </xf>
    <xf numFmtId="43" fontId="160" fillId="0" borderId="0" xfId="737" applyNumberFormat="1" applyFont="1" applyAlignment="1">
      <alignment horizontal="right"/>
    </xf>
    <xf numFmtId="181" fontId="209" fillId="0" borderId="0" xfId="0" applyNumberFormat="1" applyFont="1"/>
    <xf numFmtId="44" fontId="111" fillId="0" borderId="54" xfId="49849" applyFont="1" applyBorder="1"/>
    <xf numFmtId="164" fontId="111" fillId="0" borderId="45" xfId="0" applyFont="1" applyBorder="1" applyAlignment="1">
      <alignment horizontal="center" wrapText="1"/>
    </xf>
    <xf numFmtId="43" fontId="50" fillId="0" borderId="0" xfId="9958" quotePrefix="1" applyNumberFormat="1" applyFont="1" applyAlignment="1">
      <alignment horizontal="center"/>
    </xf>
    <xf numFmtId="42" fontId="50" fillId="0" borderId="0" xfId="0" applyNumberFormat="1" applyFont="1" applyAlignment="1">
      <alignment horizontal="right"/>
    </xf>
    <xf numFmtId="165" fontId="49" fillId="0" borderId="0" xfId="1" applyNumberFormat="1" applyFont="1" applyAlignment="1">
      <alignment horizontal="centerContinuous"/>
    </xf>
    <xf numFmtId="170" fontId="69" fillId="0" borderId="0" xfId="1" applyNumberFormat="1" applyFont="1" applyAlignment="1">
      <alignment horizontal="right"/>
    </xf>
    <xf numFmtId="43" fontId="44" fillId="0" borderId="0" xfId="17915" applyFont="1" applyFill="1" applyAlignment="1" applyProtection="1">
      <alignment horizontal="center"/>
    </xf>
    <xf numFmtId="189" fontId="4" fillId="0" borderId="64" xfId="8" applyNumberFormat="1" applyFont="1" applyFill="1" applyBorder="1" applyAlignment="1"/>
    <xf numFmtId="0" fontId="177" fillId="0" borderId="0" xfId="25853"/>
    <xf numFmtId="0" fontId="42" fillId="0" borderId="0" xfId="25853" applyFont="1" applyAlignment="1">
      <alignment horizontal="left"/>
    </xf>
    <xf numFmtId="43" fontId="177" fillId="0" borderId="0" xfId="25853" applyNumberFormat="1"/>
    <xf numFmtId="0" fontId="178" fillId="0" borderId="0" xfId="25853" applyFont="1" applyAlignment="1">
      <alignment horizontal="left"/>
    </xf>
    <xf numFmtId="0" fontId="72" fillId="0" borderId="0" xfId="25853" quotePrefix="1" applyFont="1" applyAlignment="1">
      <alignment horizontal="left"/>
    </xf>
    <xf numFmtId="0" fontId="45" fillId="0" borderId="0" xfId="25853" quotePrefix="1" applyFont="1" applyAlignment="1">
      <alignment horizontal="left"/>
    </xf>
    <xf numFmtId="0" fontId="148" fillId="0" borderId="0" xfId="25853" applyFont="1" applyAlignment="1">
      <alignment horizontal="left"/>
    </xf>
    <xf numFmtId="0" fontId="44" fillId="0" borderId="0" xfId="25853" applyFont="1"/>
    <xf numFmtId="0" fontId="183" fillId="0" borderId="0" xfId="25853" applyFont="1" applyAlignment="1">
      <alignment horizontal="center"/>
    </xf>
    <xf numFmtId="0" fontId="49" fillId="0" borderId="0" xfId="25853" applyFont="1"/>
    <xf numFmtId="0" fontId="44" fillId="0" borderId="0" xfId="25854" applyFont="1" applyBorder="1">
      <alignment horizontal="right"/>
    </xf>
    <xf numFmtId="0" fontId="0" fillId="0" borderId="0" xfId="25854" applyFont="1" applyBorder="1">
      <alignment horizontal="right"/>
    </xf>
    <xf numFmtId="0" fontId="55" fillId="0" borderId="0" xfId="25856" applyFont="1" applyBorder="1" applyAlignment="1">
      <alignment horizontal="left"/>
    </xf>
    <xf numFmtId="0" fontId="44" fillId="0" borderId="0" xfId="25856" applyFont="1"/>
    <xf numFmtId="0" fontId="0" fillId="0" borderId="0" xfId="25856" applyFont="1"/>
    <xf numFmtId="0" fontId="44" fillId="0" borderId="0" xfId="25856" applyFont="1" applyBorder="1" applyAlignment="1">
      <alignment horizontal="left"/>
    </xf>
    <xf numFmtId="0" fontId="160" fillId="0" borderId="0" xfId="25856" applyFont="1"/>
    <xf numFmtId="0" fontId="162" fillId="0" borderId="0" xfId="25862" applyFont="1" applyAlignment="1">
      <alignment horizontal="left" wrapText="1"/>
    </xf>
    <xf numFmtId="0" fontId="148" fillId="0" borderId="0" xfId="25862" applyFont="1"/>
    <xf numFmtId="0" fontId="111" fillId="0" borderId="0" xfId="25853" applyFont="1" applyAlignment="1">
      <alignment horizontal="left"/>
    </xf>
    <xf numFmtId="0" fontId="189" fillId="0" borderId="0" xfId="25853" applyFont="1" applyAlignment="1">
      <alignment horizontal="left" vertical="top"/>
    </xf>
    <xf numFmtId="0" fontId="162" fillId="0" borderId="0" xfId="25853" applyFont="1" applyAlignment="1">
      <alignment horizontal="left" vertical="top"/>
    </xf>
    <xf numFmtId="0" fontId="180" fillId="0" borderId="0" xfId="25853" quotePrefix="1" applyFont="1" applyAlignment="1">
      <alignment horizontal="left"/>
    </xf>
    <xf numFmtId="0" fontId="55" fillId="0" borderId="0" xfId="25853" applyFont="1" applyAlignment="1">
      <alignment horizontal="left"/>
    </xf>
    <xf numFmtId="0" fontId="186" fillId="0" borderId="0" xfId="25853" applyFont="1" applyAlignment="1">
      <alignment horizontal="center"/>
    </xf>
    <xf numFmtId="0" fontId="185" fillId="0" borderId="0" xfId="25853" applyFont="1"/>
    <xf numFmtId="0" fontId="162" fillId="0" borderId="0" xfId="25853" applyFont="1" applyAlignment="1">
      <alignment horizontal="left"/>
    </xf>
    <xf numFmtId="0" fontId="162" fillId="0" borderId="0" xfId="25853" applyFont="1" applyAlignment="1">
      <alignment horizontal="left" vertical="top" wrapText="1"/>
    </xf>
    <xf numFmtId="166" fontId="44" fillId="0" borderId="0" xfId="0" applyNumberFormat="1" applyFont="1"/>
    <xf numFmtId="166" fontId="51" fillId="0" borderId="0" xfId="0" applyNumberFormat="1" applyFont="1"/>
    <xf numFmtId="166" fontId="44" fillId="0" borderId="0" xfId="0" applyNumberFormat="1" applyFont="1" applyAlignment="1">
      <alignment horizontal="center"/>
    </xf>
    <xf numFmtId="174" fontId="51" fillId="0" borderId="51" xfId="0" applyNumberFormat="1" applyFont="1" applyBorder="1"/>
    <xf numFmtId="166" fontId="51" fillId="0" borderId="0" xfId="0" quotePrefix="1" applyNumberFormat="1" applyFont="1" applyAlignment="1">
      <alignment horizontal="center"/>
    </xf>
    <xf numFmtId="166" fontId="44" fillId="0" borderId="0" xfId="0" quotePrefix="1" applyNumberFormat="1" applyFont="1" applyAlignment="1">
      <alignment horizontal="center"/>
    </xf>
    <xf numFmtId="166" fontId="44" fillId="0" borderId="0" xfId="0" quotePrefix="1" applyNumberFormat="1" applyFont="1"/>
    <xf numFmtId="174" fontId="51" fillId="0" borderId="0" xfId="0" applyNumberFormat="1" applyFont="1"/>
    <xf numFmtId="0" fontId="71" fillId="0" borderId="0" xfId="1769" applyFont="1"/>
    <xf numFmtId="165" fontId="49" fillId="0" borderId="0" xfId="0" applyNumberFormat="1" applyFont="1" applyAlignment="1">
      <alignment horizontal="left"/>
    </xf>
    <xf numFmtId="165" fontId="49" fillId="0" borderId="0" xfId="0" applyNumberFormat="1" applyFont="1" applyAlignment="1">
      <alignment horizontal="centerContinuous"/>
    </xf>
    <xf numFmtId="0" fontId="71" fillId="0" borderId="0" xfId="0" applyNumberFormat="1" applyFont="1"/>
    <xf numFmtId="165" fontId="72" fillId="0" borderId="0" xfId="0" quotePrefix="1" applyNumberFormat="1" applyFont="1" applyAlignment="1">
      <alignment horizontal="left"/>
    </xf>
    <xf numFmtId="165" fontId="44" fillId="0" borderId="0" xfId="0" applyNumberFormat="1" applyFont="1" applyAlignment="1">
      <alignment horizontal="centerContinuous"/>
    </xf>
    <xf numFmtId="165" fontId="71" fillId="0" borderId="0" xfId="0" applyNumberFormat="1" applyFont="1"/>
    <xf numFmtId="165" fontId="72" fillId="0" borderId="0" xfId="0" applyNumberFormat="1" applyFont="1" applyAlignment="1">
      <alignment horizontal="left"/>
    </xf>
    <xf numFmtId="165" fontId="51" fillId="0" borderId="0" xfId="0" quotePrefix="1" applyNumberFormat="1" applyFont="1" applyAlignment="1">
      <alignment horizontal="centerContinuous"/>
    </xf>
    <xf numFmtId="0" fontId="51" fillId="0" borderId="45" xfId="0" quotePrefix="1" applyNumberFormat="1" applyFont="1" applyBorder="1" applyAlignment="1">
      <alignment horizontal="center"/>
    </xf>
    <xf numFmtId="0" fontId="51" fillId="0" borderId="0" xfId="0" applyNumberFormat="1" applyFont="1"/>
    <xf numFmtId="0" fontId="44" fillId="0" borderId="0" xfId="0" applyNumberFormat="1" applyFont="1"/>
    <xf numFmtId="0" fontId="44" fillId="0" borderId="0" xfId="0" quotePrefix="1" applyNumberFormat="1" applyFont="1" applyAlignment="1">
      <alignment horizontal="left"/>
    </xf>
    <xf numFmtId="165" fontId="79" fillId="0" borderId="0" xfId="0" applyNumberFormat="1" applyFont="1"/>
    <xf numFmtId="0" fontId="51" fillId="0" borderId="0" xfId="0" quotePrefix="1" applyNumberFormat="1" applyFont="1" applyAlignment="1">
      <alignment horizontal="left"/>
    </xf>
    <xf numFmtId="37" fontId="51" fillId="0" borderId="0" xfId="1" quotePrefix="1" applyNumberFormat="1" applyFont="1"/>
    <xf numFmtId="170" fontId="44" fillId="0" borderId="19" xfId="0" applyNumberFormat="1" applyFont="1" applyBorder="1" applyAlignment="1">
      <alignment horizontal="right"/>
    </xf>
    <xf numFmtId="169" fontId="44" fillId="0" borderId="0" xfId="5" applyNumberFormat="1" applyFont="1"/>
    <xf numFmtId="44" fontId="51" fillId="0" borderId="0" xfId="1769" applyNumberFormat="1" applyFont="1" applyAlignment="1">
      <alignment horizontal="right"/>
    </xf>
    <xf numFmtId="43" fontId="44" fillId="0" borderId="76" xfId="1769" applyNumberFormat="1" applyBorder="1"/>
    <xf numFmtId="0" fontId="71" fillId="0" borderId="0" xfId="1" applyFont="1" applyAlignment="1">
      <alignment horizontal="left"/>
    </xf>
    <xf numFmtId="0" fontId="49" fillId="0" borderId="0" xfId="1" applyFont="1" applyAlignment="1">
      <alignment horizontal="left"/>
    </xf>
    <xf numFmtId="170" fontId="205" fillId="0" borderId="0" xfId="0" applyNumberFormat="1" applyFont="1"/>
    <xf numFmtId="165" fontId="51" fillId="0" borderId="64" xfId="0" applyNumberFormat="1" applyFont="1" applyBorder="1" applyAlignment="1">
      <alignment horizontal="center"/>
    </xf>
    <xf numFmtId="174" fontId="44" fillId="0" borderId="0" xfId="0" applyNumberFormat="1" applyFont="1"/>
    <xf numFmtId="170" fontId="44" fillId="0" borderId="64" xfId="0" applyNumberFormat="1" applyFont="1" applyBorder="1"/>
    <xf numFmtId="166" fontId="51" fillId="0" borderId="64" xfId="0" applyNumberFormat="1" applyFont="1" applyBorder="1"/>
    <xf numFmtId="165" fontId="205" fillId="0" borderId="0" xfId="0" applyNumberFormat="1" applyFont="1"/>
    <xf numFmtId="165" fontId="211" fillId="0" borderId="0" xfId="0" applyNumberFormat="1" applyFont="1"/>
    <xf numFmtId="165" fontId="212" fillId="0" borderId="0" xfId="0" applyNumberFormat="1" applyFont="1"/>
    <xf numFmtId="165" fontId="47" fillId="0" borderId="0" xfId="0" applyNumberFormat="1" applyFont="1"/>
    <xf numFmtId="39" fontId="213" fillId="0" borderId="0" xfId="0" applyNumberFormat="1" applyFont="1" applyAlignment="1">
      <alignment horizontal="left"/>
    </xf>
    <xf numFmtId="164" fontId="205" fillId="0" borderId="0" xfId="0" applyFont="1" applyAlignment="1">
      <alignment horizontal="left"/>
    </xf>
    <xf numFmtId="166" fontId="213" fillId="0" borderId="0" xfId="0" applyNumberFormat="1" applyFont="1" applyAlignment="1">
      <alignment horizontal="right"/>
    </xf>
    <xf numFmtId="166" fontId="207" fillId="0" borderId="0" xfId="0" applyNumberFormat="1" applyFont="1"/>
    <xf numFmtId="166" fontId="215" fillId="0" borderId="0" xfId="0" applyNumberFormat="1" applyFont="1"/>
    <xf numFmtId="166" fontId="206" fillId="0" borderId="0" xfId="0" applyNumberFormat="1" applyFont="1" applyAlignment="1">
      <alignment horizontal="right"/>
    </xf>
    <xf numFmtId="166" fontId="206" fillId="0" borderId="0" xfId="0" quotePrefix="1" applyNumberFormat="1" applyFont="1" applyAlignment="1">
      <alignment horizontal="right"/>
    </xf>
    <xf numFmtId="166" fontId="206" fillId="0" borderId="0" xfId="0" applyNumberFormat="1" applyFont="1" applyAlignment="1">
      <alignment horizontal="center"/>
    </xf>
    <xf numFmtId="166" fontId="206" fillId="0" borderId="0" xfId="0" applyNumberFormat="1" applyFont="1"/>
    <xf numFmtId="166" fontId="205" fillId="0" borderId="0" xfId="0" applyNumberFormat="1" applyFont="1"/>
    <xf numFmtId="166" fontId="206" fillId="0" borderId="45" xfId="0" applyNumberFormat="1" applyFont="1" applyBorder="1" applyAlignment="1">
      <alignment horizontal="centerContinuous"/>
    </xf>
    <xf numFmtId="166" fontId="206" fillId="0" borderId="0" xfId="0" quotePrefix="1" applyNumberFormat="1" applyFont="1" applyAlignment="1">
      <alignment horizontal="center"/>
    </xf>
    <xf numFmtId="166" fontId="205" fillId="0" borderId="0" xfId="0" applyNumberFormat="1" applyFont="1" applyAlignment="1">
      <alignment horizontal="center"/>
    </xf>
    <xf numFmtId="166" fontId="206" fillId="0" borderId="45" xfId="0" quotePrefix="1" applyNumberFormat="1" applyFont="1" applyBorder="1" applyAlignment="1">
      <alignment horizontal="center"/>
    </xf>
    <xf numFmtId="166" fontId="206" fillId="0" borderId="45" xfId="0" applyNumberFormat="1" applyFont="1" applyBorder="1" applyAlignment="1">
      <alignment horizontal="center"/>
    </xf>
    <xf numFmtId="166" fontId="205" fillId="0" borderId="74" xfId="0" applyNumberFormat="1" applyFont="1" applyBorder="1"/>
    <xf numFmtId="166" fontId="205" fillId="0" borderId="49" xfId="0" applyNumberFormat="1" applyFont="1" applyBorder="1"/>
    <xf numFmtId="166" fontId="205" fillId="0" borderId="14" xfId="0" applyNumberFormat="1" applyFont="1" applyBorder="1"/>
    <xf numFmtId="37" fontId="205" fillId="0" borderId="0" xfId="0" quotePrefix="1" applyNumberFormat="1" applyFont="1" applyAlignment="1">
      <alignment horizontal="left"/>
    </xf>
    <xf numFmtId="167" fontId="205" fillId="0" borderId="0" xfId="0" applyNumberFormat="1" applyFont="1"/>
    <xf numFmtId="167" fontId="205" fillId="0" borderId="74" xfId="0" applyNumberFormat="1" applyFont="1" applyBorder="1"/>
    <xf numFmtId="167" fontId="205" fillId="0" borderId="49" xfId="0" applyNumberFormat="1" applyFont="1" applyBorder="1"/>
    <xf numFmtId="167" fontId="205" fillId="0" borderId="14" xfId="0" applyNumberFormat="1" applyFont="1" applyBorder="1"/>
    <xf numFmtId="168" fontId="211" fillId="0" borderId="0" xfId="0" applyNumberFormat="1" applyFont="1"/>
    <xf numFmtId="37" fontId="205" fillId="0" borderId="0" xfId="0" applyNumberFormat="1" applyFont="1" applyAlignment="1">
      <alignment horizontal="left"/>
    </xf>
    <xf numFmtId="170" fontId="205" fillId="0" borderId="74" xfId="0" applyNumberFormat="1" applyFont="1" applyBorder="1"/>
    <xf numFmtId="170" fontId="205" fillId="0" borderId="49" xfId="0" applyNumberFormat="1" applyFont="1" applyBorder="1"/>
    <xf numFmtId="170" fontId="205" fillId="0" borderId="14" xfId="0" applyNumberFormat="1" applyFont="1" applyBorder="1"/>
    <xf numFmtId="165" fontId="205" fillId="0" borderId="0" xfId="0" quotePrefix="1" applyNumberFormat="1" applyFont="1" applyAlignment="1">
      <alignment horizontal="left"/>
    </xf>
    <xf numFmtId="170" fontId="206" fillId="0" borderId="61" xfId="0" applyNumberFormat="1" applyFont="1" applyBorder="1" applyAlignment="1">
      <alignment horizontal="right"/>
    </xf>
    <xf numFmtId="170" fontId="206" fillId="0" borderId="0" xfId="0" applyNumberFormat="1" applyFont="1"/>
    <xf numFmtId="170" fontId="206" fillId="0" borderId="61" xfId="0" applyNumberFormat="1" applyFont="1" applyBorder="1"/>
    <xf numFmtId="170" fontId="206" fillId="0" borderId="74" xfId="0" applyNumberFormat="1" applyFont="1" applyBorder="1"/>
    <xf numFmtId="170" fontId="206" fillId="0" borderId="49" xfId="0" applyNumberFormat="1" applyFont="1" applyBorder="1"/>
    <xf numFmtId="170" fontId="206" fillId="0" borderId="14" xfId="0" applyNumberFormat="1" applyFont="1" applyBorder="1"/>
    <xf numFmtId="165" fontId="216" fillId="0" borderId="0" xfId="0" applyNumberFormat="1" applyFont="1"/>
    <xf numFmtId="164" fontId="206" fillId="0" borderId="61" xfId="0" applyFont="1" applyBorder="1"/>
    <xf numFmtId="170" fontId="205" fillId="0" borderId="0" xfId="0" applyNumberFormat="1" applyFont="1" applyAlignment="1">
      <alignment horizontal="center"/>
    </xf>
    <xf numFmtId="170" fontId="205" fillId="0" borderId="0" xfId="0" quotePrefix="1" applyNumberFormat="1" applyFont="1" applyAlignment="1">
      <alignment horizontal="center"/>
    </xf>
    <xf numFmtId="166" fontId="205" fillId="0" borderId="0" xfId="0" quotePrefix="1" applyNumberFormat="1" applyFont="1" applyAlignment="1">
      <alignment horizontal="center"/>
    </xf>
    <xf numFmtId="3" fontId="205" fillId="0" borderId="0" xfId="0" applyNumberFormat="1" applyFont="1"/>
    <xf numFmtId="170" fontId="205" fillId="0" borderId="14" xfId="0" quotePrefix="1" applyNumberFormat="1" applyFont="1" applyBorder="1" applyAlignment="1">
      <alignment horizontal="right"/>
    </xf>
    <xf numFmtId="166" fontId="205" fillId="0" borderId="0" xfId="0" quotePrefix="1" applyNumberFormat="1" applyFont="1" applyAlignment="1">
      <alignment horizontal="left"/>
    </xf>
    <xf numFmtId="172" fontId="205" fillId="0" borderId="0" xfId="0" applyNumberFormat="1" applyFont="1"/>
    <xf numFmtId="166" fontId="205" fillId="0" borderId="0" xfId="0" quotePrefix="1" applyNumberFormat="1" applyFont="1"/>
    <xf numFmtId="3" fontId="205" fillId="0" borderId="0" xfId="0" applyNumberFormat="1" applyFont="1" applyAlignment="1">
      <alignment horizontal="left"/>
    </xf>
    <xf numFmtId="173" fontId="44" fillId="0" borderId="0" xfId="0" applyNumberFormat="1" applyFont="1"/>
    <xf numFmtId="170" fontId="205" fillId="0" borderId="45" xfId="0" applyNumberFormat="1" applyFont="1" applyBorder="1"/>
    <xf numFmtId="170" fontId="206" fillId="0" borderId="45" xfId="0" applyNumberFormat="1" applyFont="1" applyBorder="1"/>
    <xf numFmtId="172" fontId="206" fillId="0" borderId="45" xfId="0" applyNumberFormat="1" applyFont="1" applyBorder="1"/>
    <xf numFmtId="170" fontId="160" fillId="0" borderId="49" xfId="0" applyNumberFormat="1" applyFont="1" applyBorder="1"/>
    <xf numFmtId="170" fontId="160" fillId="0" borderId="0" xfId="0" applyNumberFormat="1" applyFont="1"/>
    <xf numFmtId="170" fontId="205" fillId="0" borderId="14" xfId="0" applyNumberFormat="1" applyFont="1" applyBorder="1" applyAlignment="1">
      <alignment horizontal="center"/>
    </xf>
    <xf numFmtId="164" fontId="205" fillId="0" borderId="45" xfId="0" applyFont="1" applyBorder="1"/>
    <xf numFmtId="170" fontId="206" fillId="0" borderId="61" xfId="0" quotePrefix="1" applyNumberFormat="1" applyFont="1" applyBorder="1" applyAlignment="1">
      <alignment horizontal="right"/>
    </xf>
    <xf numFmtId="170" fontId="161" fillId="0" borderId="49" xfId="0" applyNumberFormat="1" applyFont="1" applyBorder="1"/>
    <xf numFmtId="170" fontId="161" fillId="0" borderId="0" xfId="0" applyNumberFormat="1" applyFont="1"/>
    <xf numFmtId="170" fontId="206" fillId="0" borderId="0" xfId="0" quotePrefix="1" applyNumberFormat="1" applyFont="1" applyAlignment="1">
      <alignment horizontal="right"/>
    </xf>
    <xf numFmtId="173" fontId="205" fillId="0" borderId="0" xfId="0" applyNumberFormat="1" applyFont="1"/>
    <xf numFmtId="170" fontId="161" fillId="0" borderId="14" xfId="0" applyNumberFormat="1" applyFont="1" applyBorder="1"/>
    <xf numFmtId="172" fontId="206" fillId="0" borderId="0" xfId="0" applyNumberFormat="1" applyFont="1"/>
    <xf numFmtId="170" fontId="160" fillId="0" borderId="14" xfId="0" applyNumberFormat="1" applyFont="1" applyBorder="1"/>
    <xf numFmtId="166" fontId="206" fillId="0" borderId="0" xfId="0" applyNumberFormat="1" applyFont="1" applyAlignment="1">
      <alignment horizontal="left"/>
    </xf>
    <xf numFmtId="164" fontId="206" fillId="0" borderId="45" xfId="0" applyFont="1" applyBorder="1"/>
    <xf numFmtId="174" fontId="206" fillId="0" borderId="51" xfId="0" applyNumberFormat="1" applyFont="1" applyBorder="1"/>
    <xf numFmtId="174" fontId="206" fillId="0" borderId="0" xfId="0" applyNumberFormat="1" applyFont="1"/>
    <xf numFmtId="174" fontId="161" fillId="0" borderId="49" xfId="0" applyNumberFormat="1" applyFont="1" applyBorder="1"/>
    <xf numFmtId="174" fontId="161" fillId="0" borderId="0" xfId="0" applyNumberFormat="1" applyFont="1"/>
    <xf numFmtId="174" fontId="161" fillId="0" borderId="14" xfId="0" applyNumberFormat="1" applyFont="1" applyBorder="1"/>
    <xf numFmtId="164" fontId="206" fillId="0" borderId="51" xfId="0" applyFont="1" applyBorder="1"/>
    <xf numFmtId="169" fontId="51" fillId="0" borderId="0" xfId="0" applyNumberFormat="1" applyFont="1"/>
    <xf numFmtId="165" fontId="54" fillId="0" borderId="0" xfId="0" applyNumberFormat="1" applyFont="1"/>
    <xf numFmtId="166" fontId="216" fillId="0" borderId="0" xfId="0" applyNumberFormat="1" applyFont="1"/>
    <xf numFmtId="166" fontId="211" fillId="0" borderId="0" xfId="0" applyNumberFormat="1" applyFont="1"/>
    <xf numFmtId="165" fontId="218" fillId="0" borderId="0" xfId="0" applyNumberFormat="1" applyFont="1"/>
    <xf numFmtId="165" fontId="206" fillId="0" borderId="0" xfId="0" applyNumberFormat="1" applyFont="1"/>
    <xf numFmtId="166" fontId="219" fillId="0" borderId="0" xfId="0" quotePrefix="1" applyNumberFormat="1" applyFont="1" applyAlignment="1">
      <alignment horizontal="left"/>
    </xf>
    <xf numFmtId="166" fontId="219" fillId="0" borderId="0" xfId="0" applyNumberFormat="1" applyFont="1" applyAlignment="1">
      <alignment horizontal="left"/>
    </xf>
    <xf numFmtId="165" fontId="219" fillId="0" borderId="0" xfId="0" applyNumberFormat="1" applyFont="1"/>
    <xf numFmtId="165" fontId="220" fillId="0" borderId="0" xfId="0" applyNumberFormat="1" applyFont="1"/>
    <xf numFmtId="165" fontId="143" fillId="0" borderId="0" xfId="0" applyNumberFormat="1" applyFont="1"/>
    <xf numFmtId="164" fontId="48" fillId="0" borderId="0" xfId="0" applyFont="1" applyAlignment="1">
      <alignment horizontal="left"/>
    </xf>
    <xf numFmtId="166" fontId="45" fillId="0" borderId="0" xfId="0" applyNumberFormat="1" applyFont="1" applyAlignment="1">
      <alignment horizontal="right"/>
    </xf>
    <xf numFmtId="166" fontId="45" fillId="0" borderId="0" xfId="0" applyNumberFormat="1" applyFont="1" applyAlignment="1">
      <alignment horizontal="left"/>
    </xf>
    <xf numFmtId="166" fontId="49" fillId="0" borderId="0" xfId="0" applyNumberFormat="1" applyFont="1"/>
    <xf numFmtId="166" fontId="144" fillId="0" borderId="0" xfId="0" applyNumberFormat="1" applyFont="1"/>
    <xf numFmtId="166" fontId="50" fillId="0" borderId="0" xfId="0" applyNumberFormat="1" applyFont="1"/>
    <xf numFmtId="165" fontId="60" fillId="0" borderId="0" xfId="0" applyNumberFormat="1" applyFont="1"/>
    <xf numFmtId="166" fontId="61" fillId="0" borderId="0" xfId="0" applyNumberFormat="1" applyFont="1" applyAlignment="1">
      <alignment horizontal="right"/>
    </xf>
    <xf numFmtId="166" fontId="51" fillId="0" borderId="0" xfId="0" applyNumberFormat="1" applyFont="1" applyAlignment="1">
      <alignment horizontal="center"/>
    </xf>
    <xf numFmtId="166" fontId="63" fillId="0" borderId="0" xfId="0" applyNumberFormat="1" applyFont="1"/>
    <xf numFmtId="166" fontId="62" fillId="0" borderId="0" xfId="0" applyNumberFormat="1" applyFont="1"/>
    <xf numFmtId="166" fontId="51" fillId="0" borderId="45" xfId="0" applyNumberFormat="1" applyFont="1" applyBorder="1" applyAlignment="1">
      <alignment horizontal="centerContinuous"/>
    </xf>
    <xf numFmtId="166" fontId="148" fillId="0" borderId="45" xfId="0" applyNumberFormat="1" applyFont="1" applyBorder="1" applyAlignment="1">
      <alignment horizontal="centerContinuous"/>
    </xf>
    <xf numFmtId="166" fontId="51" fillId="0" borderId="45" xfId="0" applyNumberFormat="1" applyFont="1" applyBorder="1" applyAlignment="1">
      <alignment horizontal="center"/>
    </xf>
    <xf numFmtId="166" fontId="62" fillId="0" borderId="45" xfId="0" applyNumberFormat="1" applyFont="1" applyBorder="1"/>
    <xf numFmtId="165" fontId="47" fillId="0" borderId="45" xfId="0" applyNumberFormat="1" applyFont="1" applyBorder="1"/>
    <xf numFmtId="166" fontId="64" fillId="0" borderId="0" xfId="0" applyNumberFormat="1" applyFont="1" applyAlignment="1">
      <alignment horizontal="center"/>
    </xf>
    <xf numFmtId="166" fontId="52" fillId="0" borderId="0" xfId="0" applyNumberFormat="1" applyFont="1" applyAlignment="1">
      <alignment horizontal="center"/>
    </xf>
    <xf numFmtId="166" fontId="51" fillId="0" borderId="45" xfId="0" quotePrefix="1" applyNumberFormat="1" applyFont="1" applyBorder="1" applyAlignment="1">
      <alignment horizontal="center"/>
    </xf>
    <xf numFmtId="166" fontId="44" fillId="0" borderId="0" xfId="0" quotePrefix="1" applyNumberFormat="1" applyFont="1" applyAlignment="1">
      <alignment horizontal="left"/>
    </xf>
    <xf numFmtId="166" fontId="44" fillId="0" borderId="19" xfId="0" applyNumberFormat="1" applyFont="1" applyBorder="1"/>
    <xf numFmtId="166" fontId="44" fillId="0" borderId="49" xfId="0" applyNumberFormat="1" applyFont="1" applyBorder="1"/>
    <xf numFmtId="166" fontId="53" fillId="0" borderId="14" xfId="0" applyNumberFormat="1" applyFont="1" applyBorder="1"/>
    <xf numFmtId="37" fontId="44" fillId="0" borderId="0" xfId="0" quotePrefix="1" applyNumberFormat="1" applyFont="1" applyAlignment="1">
      <alignment horizontal="left"/>
    </xf>
    <xf numFmtId="174" fontId="44" fillId="0" borderId="49" xfId="0" applyNumberFormat="1" applyFont="1" applyBorder="1"/>
    <xf numFmtId="169" fontId="44" fillId="0" borderId="0" xfId="0" applyNumberFormat="1" applyFont="1"/>
    <xf numFmtId="169" fontId="53" fillId="0" borderId="14" xfId="0" applyNumberFormat="1" applyFont="1" applyBorder="1"/>
    <xf numFmtId="168" fontId="47" fillId="0" borderId="0" xfId="0" applyNumberFormat="1" applyFont="1"/>
    <xf numFmtId="37" fontId="44" fillId="0" borderId="0" xfId="0" applyNumberFormat="1" applyFont="1" applyAlignment="1">
      <alignment horizontal="left"/>
    </xf>
    <xf numFmtId="170" fontId="44" fillId="0" borderId="49" xfId="0" applyNumberFormat="1" applyFont="1" applyBorder="1"/>
    <xf numFmtId="165" fontId="44" fillId="0" borderId="0" xfId="0" quotePrefix="1" applyNumberFormat="1" applyFont="1" applyAlignment="1">
      <alignment horizontal="left"/>
    </xf>
    <xf numFmtId="170" fontId="44" fillId="0" borderId="0" xfId="0" applyNumberFormat="1" applyFont="1" applyAlignment="1">
      <alignment horizontal="center"/>
    </xf>
    <xf numFmtId="170" fontId="44" fillId="0" borderId="49" xfId="0" applyNumberFormat="1" applyFont="1" applyBorder="1" applyAlignment="1">
      <alignment horizontal="center"/>
    </xf>
    <xf numFmtId="170" fontId="51" fillId="0" borderId="61" xfId="0" applyNumberFormat="1" applyFont="1" applyBorder="1"/>
    <xf numFmtId="170" fontId="64" fillId="0" borderId="0" xfId="0" applyNumberFormat="1" applyFont="1"/>
    <xf numFmtId="170" fontId="51" fillId="0" borderId="49" xfId="0" applyNumberFormat="1" applyFont="1" applyBorder="1"/>
    <xf numFmtId="166" fontId="52" fillId="0" borderId="14" xfId="0" applyNumberFormat="1" applyFont="1" applyBorder="1"/>
    <xf numFmtId="164" fontId="51" fillId="0" borderId="61" xfId="0" applyFont="1" applyBorder="1"/>
    <xf numFmtId="3" fontId="44" fillId="0" borderId="0" xfId="0" applyNumberFormat="1" applyFont="1"/>
    <xf numFmtId="3" fontId="44" fillId="0" borderId="0" xfId="0" applyNumberFormat="1" applyFont="1" applyAlignment="1">
      <alignment horizontal="left"/>
    </xf>
    <xf numFmtId="170" fontId="51" fillId="0" borderId="61" xfId="0" quotePrefix="1" applyNumberFormat="1" applyFont="1" applyBorder="1" applyAlignment="1">
      <alignment horizontal="center"/>
    </xf>
    <xf numFmtId="170" fontId="51" fillId="0" borderId="0" xfId="0" applyNumberFormat="1" applyFont="1" applyAlignment="1">
      <alignment horizontal="center"/>
    </xf>
    <xf numFmtId="170" fontId="51" fillId="0" borderId="49" xfId="0" applyNumberFormat="1" applyFont="1" applyBorder="1" applyAlignment="1">
      <alignment horizontal="center"/>
    </xf>
    <xf numFmtId="170" fontId="51" fillId="0" borderId="61" xfId="0" quotePrefix="1" applyNumberFormat="1" applyFont="1" applyBorder="1" applyAlignment="1">
      <alignment horizontal="right"/>
    </xf>
    <xf numFmtId="170" fontId="64" fillId="0" borderId="49" xfId="0" applyNumberFormat="1" applyFont="1" applyBorder="1"/>
    <xf numFmtId="166" fontId="51" fillId="0" borderId="0" xfId="0" quotePrefix="1" applyNumberFormat="1" applyFont="1" applyAlignment="1">
      <alignment horizontal="left"/>
    </xf>
    <xf numFmtId="174" fontId="64" fillId="0" borderId="0" xfId="0" applyNumberFormat="1" applyFont="1"/>
    <xf numFmtId="174" fontId="64" fillId="0" borderId="49" xfId="0" applyNumberFormat="1" applyFont="1" applyBorder="1"/>
    <xf numFmtId="169" fontId="52" fillId="0" borderId="14" xfId="0" applyNumberFormat="1" applyFont="1" applyBorder="1"/>
    <xf numFmtId="164" fontId="51" fillId="0" borderId="51" xfId="0" applyFont="1" applyBorder="1"/>
    <xf numFmtId="166" fontId="54" fillId="0" borderId="0" xfId="0" applyNumberFormat="1" applyFont="1"/>
    <xf numFmtId="166" fontId="47" fillId="0" borderId="0" xfId="0" applyNumberFormat="1" applyFont="1"/>
    <xf numFmtId="165" fontId="57" fillId="0" borderId="0" xfId="0" applyNumberFormat="1" applyFont="1"/>
    <xf numFmtId="166" fontId="52" fillId="0" borderId="0" xfId="0" applyNumberFormat="1" applyFont="1" applyAlignment="1">
      <alignment horizontal="left"/>
    </xf>
    <xf numFmtId="165" fontId="52" fillId="0" borderId="0" xfId="0" applyNumberFormat="1" applyFont="1"/>
    <xf numFmtId="165" fontId="53" fillId="0" borderId="0" xfId="0" applyNumberFormat="1" applyFont="1"/>
    <xf numFmtId="165" fontId="130" fillId="0" borderId="0" xfId="0" applyNumberFormat="1" applyFont="1"/>
    <xf numFmtId="165" fontId="225" fillId="0" borderId="0" xfId="0" applyNumberFormat="1" applyFont="1"/>
    <xf numFmtId="165" fontId="49" fillId="0" borderId="0" xfId="0" applyNumberFormat="1" applyFont="1"/>
    <xf numFmtId="0" fontId="209" fillId="0" borderId="0" xfId="857" applyFont="1"/>
    <xf numFmtId="0" fontId="160" fillId="0" borderId="0" xfId="5" applyFont="1" applyAlignment="1">
      <alignment horizontal="right"/>
    </xf>
    <xf numFmtId="192" fontId="210" fillId="0" borderId="0" xfId="17915" applyNumberFormat="1" applyFont="1"/>
    <xf numFmtId="192" fontId="226" fillId="0" borderId="0" xfId="17915" applyNumberFormat="1" applyFont="1"/>
    <xf numFmtId="165" fontId="160" fillId="0" borderId="0" xfId="1" applyNumberFormat="1" applyFont="1" applyProtection="1">
      <protection locked="0"/>
    </xf>
    <xf numFmtId="192" fontId="160" fillId="0" borderId="0" xfId="17915" applyNumberFormat="1" applyFont="1" applyProtection="1">
      <protection locked="0"/>
    </xf>
    <xf numFmtId="168" fontId="160" fillId="0" borderId="0" xfId="1" applyNumberFormat="1" applyFont="1" applyProtection="1">
      <protection locked="0"/>
    </xf>
    <xf numFmtId="165" fontId="161" fillId="0" borderId="0" xfId="1" applyNumberFormat="1" applyFont="1" applyProtection="1">
      <protection locked="0"/>
    </xf>
    <xf numFmtId="192" fontId="160" fillId="0" borderId="0" xfId="17915" applyNumberFormat="1" applyFont="1"/>
    <xf numFmtId="192" fontId="161" fillId="0" borderId="0" xfId="17915" applyNumberFormat="1" applyFont="1" applyProtection="1">
      <protection locked="0"/>
    </xf>
    <xf numFmtId="166" fontId="65" fillId="0" borderId="49" xfId="0" applyNumberFormat="1" applyFont="1" applyBorder="1"/>
    <xf numFmtId="165" fontId="44" fillId="0" borderId="49" xfId="1" applyNumberFormat="1" applyBorder="1"/>
    <xf numFmtId="0" fontId="44" fillId="0" borderId="49" xfId="1" applyBorder="1"/>
    <xf numFmtId="174" fontId="44" fillId="0" borderId="49" xfId="1" applyNumberFormat="1" applyBorder="1"/>
    <xf numFmtId="170" fontId="44" fillId="0" borderId="49" xfId="1" quotePrefix="1" applyNumberFormat="1" applyBorder="1" applyAlignment="1">
      <alignment horizontal="center"/>
    </xf>
    <xf numFmtId="170" fontId="51" fillId="0" borderId="49" xfId="1" applyNumberFormat="1" applyFont="1" applyBorder="1"/>
    <xf numFmtId="170" fontId="44" fillId="0" borderId="49" xfId="1" quotePrefix="1" applyNumberFormat="1" applyBorder="1" applyAlignment="1">
      <alignment horizontal="right"/>
    </xf>
    <xf numFmtId="170" fontId="51" fillId="0" borderId="49" xfId="1" quotePrefix="1" applyNumberFormat="1" applyFont="1" applyBorder="1" applyAlignment="1">
      <alignment horizontal="right"/>
    </xf>
    <xf numFmtId="170" fontId="51" fillId="0" borderId="49" xfId="1" applyNumberFormat="1" applyFont="1" applyBorder="1" applyAlignment="1">
      <alignment vertical="center"/>
    </xf>
    <xf numFmtId="170" fontId="44" fillId="0" borderId="45" xfId="1" quotePrefix="1" applyNumberFormat="1" applyBorder="1"/>
    <xf numFmtId="174" fontId="44" fillId="0" borderId="49" xfId="1" applyNumberFormat="1" applyBorder="1" applyAlignment="1">
      <alignment horizontal="right"/>
    </xf>
    <xf numFmtId="170" fontId="51" fillId="0" borderId="49" xfId="1" applyNumberFormat="1" applyFont="1" applyBorder="1" applyAlignment="1">
      <alignment horizontal="right"/>
    </xf>
    <xf numFmtId="170" fontId="44" fillId="0" borderId="49" xfId="1" quotePrefix="1" applyNumberFormat="1" applyBorder="1"/>
    <xf numFmtId="170" fontId="51" fillId="0" borderId="49" xfId="1" applyNumberFormat="1" applyFont="1" applyBorder="1" applyAlignment="1">
      <alignment horizontal="center"/>
    </xf>
    <xf numFmtId="174" fontId="51" fillId="0" borderId="49" xfId="1" applyNumberFormat="1" applyFont="1" applyBorder="1" applyAlignment="1">
      <alignment horizontal="right"/>
    </xf>
    <xf numFmtId="170" fontId="44" fillId="0" borderId="49" xfId="1" applyNumberFormat="1" applyBorder="1" applyAlignment="1">
      <alignment horizontal="right"/>
    </xf>
    <xf numFmtId="43" fontId="160" fillId="0" borderId="0" xfId="17915" applyFont="1"/>
    <xf numFmtId="43" fontId="161" fillId="0" borderId="0" xfId="17915" applyFont="1"/>
    <xf numFmtId="192" fontId="160" fillId="0" borderId="0" xfId="17915" applyNumberFormat="1" applyFont="1" applyAlignment="1">
      <alignment horizontal="right"/>
    </xf>
    <xf numFmtId="192" fontId="160" fillId="0" borderId="0" xfId="17915" applyNumberFormat="1" applyFont="1" applyBorder="1" applyAlignment="1"/>
    <xf numFmtId="192" fontId="160" fillId="0" borderId="0" xfId="17915" quotePrefix="1" applyNumberFormat="1" applyFont="1" applyBorder="1" applyAlignment="1">
      <alignment horizontal="right"/>
    </xf>
    <xf numFmtId="192" fontId="160" fillId="0" borderId="0" xfId="17915" quotePrefix="1" applyNumberFormat="1" applyFont="1" applyAlignment="1">
      <alignment horizontal="center"/>
    </xf>
    <xf numFmtId="192" fontId="160" fillId="0" borderId="0" xfId="17915" quotePrefix="1" applyNumberFormat="1" applyFont="1" applyAlignment="1">
      <alignment horizontal="right"/>
    </xf>
    <xf numFmtId="192" fontId="161" fillId="0" borderId="0" xfId="17915" applyNumberFormat="1" applyFont="1"/>
    <xf numFmtId="192" fontId="161" fillId="0" borderId="0" xfId="17915" applyNumberFormat="1" applyFont="1" applyAlignment="1">
      <alignment horizontal="right"/>
    </xf>
    <xf numFmtId="189" fontId="160" fillId="0" borderId="0" xfId="17915" applyNumberFormat="1" applyFont="1"/>
    <xf numFmtId="0" fontId="51" fillId="0" borderId="49" xfId="1" applyFont="1" applyBorder="1" applyAlignment="1">
      <alignment horizontal="center"/>
    </xf>
    <xf numFmtId="37" fontId="51" fillId="0" borderId="49" xfId="1" applyNumberFormat="1" applyFont="1" applyBorder="1" applyAlignment="1">
      <alignment horizontal="center"/>
    </xf>
    <xf numFmtId="37" fontId="49" fillId="0" borderId="49" xfId="1" applyNumberFormat="1" applyFont="1" applyBorder="1"/>
    <xf numFmtId="37" fontId="44" fillId="0" borderId="49" xfId="1" applyNumberFormat="1" applyBorder="1"/>
    <xf numFmtId="170" fontId="44" fillId="0" borderId="0" xfId="17915" applyNumberFormat="1" applyFont="1" applyFill="1" applyBorder="1" applyAlignment="1"/>
    <xf numFmtId="37" fontId="51" fillId="0" borderId="49" xfId="1" quotePrefix="1" applyNumberFormat="1" applyFont="1" applyBorder="1" applyAlignment="1">
      <alignment horizontal="center"/>
    </xf>
    <xf numFmtId="192" fontId="209" fillId="0" borderId="0" xfId="17915" applyNumberFormat="1" applyFont="1"/>
    <xf numFmtId="165" fontId="227" fillId="0" borderId="0" xfId="1" applyNumberFormat="1" applyFont="1"/>
    <xf numFmtId="192" fontId="49" fillId="0" borderId="0" xfId="17915" applyNumberFormat="1" applyFont="1"/>
    <xf numFmtId="192" fontId="50" fillId="0" borderId="0" xfId="17915" applyNumberFormat="1" applyFont="1"/>
    <xf numFmtId="165" fontId="209" fillId="0" borderId="0" xfId="1" applyNumberFormat="1" applyFont="1" applyAlignment="1">
      <alignment horizontal="right"/>
    </xf>
    <xf numFmtId="174" fontId="51" fillId="0" borderId="51" xfId="1" applyNumberFormat="1" applyFont="1" applyBorder="1"/>
    <xf numFmtId="170" fontId="44" fillId="0" borderId="75" xfId="1" applyNumberFormat="1" applyBorder="1"/>
    <xf numFmtId="170" fontId="51" fillId="0" borderId="75" xfId="1" applyNumberFormat="1" applyFont="1" applyBorder="1"/>
    <xf numFmtId="165" fontId="44" fillId="0" borderId="75" xfId="1" applyNumberFormat="1" applyBorder="1"/>
    <xf numFmtId="174" fontId="51" fillId="0" borderId="75" xfId="1" applyNumberFormat="1" applyFont="1" applyBorder="1"/>
    <xf numFmtId="166" fontId="65" fillId="0" borderId="14" xfId="1" applyNumberFormat="1" applyFont="1" applyBorder="1"/>
    <xf numFmtId="174" fontId="64" fillId="0" borderId="14" xfId="1" applyNumberFormat="1" applyFont="1" applyBorder="1"/>
    <xf numFmtId="170" fontId="65" fillId="0" borderId="14" xfId="1" applyNumberFormat="1" applyFont="1" applyBorder="1"/>
    <xf numFmtId="170" fontId="64" fillId="0" borderId="14" xfId="1" applyNumberFormat="1" applyFont="1" applyBorder="1"/>
    <xf numFmtId="170" fontId="69" fillId="0" borderId="14" xfId="1" applyNumberFormat="1" applyFont="1" applyBorder="1"/>
    <xf numFmtId="166" fontId="69" fillId="0" borderId="14" xfId="1" applyNumberFormat="1" applyFont="1" applyBorder="1"/>
    <xf numFmtId="174" fontId="70" fillId="0" borderId="14" xfId="1" applyNumberFormat="1" applyFont="1" applyBorder="1"/>
    <xf numFmtId="166" fontId="65" fillId="0" borderId="27" xfId="1" applyNumberFormat="1" applyFont="1" applyBorder="1"/>
    <xf numFmtId="174" fontId="64" fillId="0" borderId="27" xfId="1" applyNumberFormat="1" applyFont="1" applyBorder="1"/>
    <xf numFmtId="170" fontId="65" fillId="0" borderId="27" xfId="1" applyNumberFormat="1" applyFont="1" applyBorder="1"/>
    <xf numFmtId="170" fontId="64" fillId="0" borderId="27" xfId="1" applyNumberFormat="1" applyFont="1" applyBorder="1"/>
    <xf numFmtId="170" fontId="69" fillId="0" borderId="27" xfId="1" applyNumberFormat="1" applyFont="1" applyBorder="1"/>
    <xf numFmtId="170" fontId="70" fillId="0" borderId="27" xfId="1" applyNumberFormat="1" applyFont="1" applyBorder="1"/>
    <xf numFmtId="0" fontId="209" fillId="0" borderId="0" xfId="3" applyFont="1"/>
    <xf numFmtId="192" fontId="209" fillId="0" borderId="0" xfId="17915" applyNumberFormat="1" applyFont="1" applyFill="1" applyBorder="1" applyAlignment="1" applyProtection="1">
      <alignment horizontal="right"/>
    </xf>
    <xf numFmtId="192" fontId="209" fillId="0" borderId="0" xfId="17915" applyNumberFormat="1" applyFont="1" applyAlignment="1">
      <alignment horizontal="right"/>
    </xf>
    <xf numFmtId="174" fontId="51" fillId="0" borderId="0" xfId="1" quotePrefix="1" applyNumberFormat="1" applyFont="1" applyAlignment="1">
      <alignment horizontal="right"/>
    </xf>
    <xf numFmtId="169" fontId="51" fillId="0" borderId="0" xfId="1" applyNumberFormat="1" applyFont="1" applyAlignment="1" applyProtection="1">
      <alignment horizontal="right"/>
      <protection locked="0"/>
    </xf>
    <xf numFmtId="0" fontId="44" fillId="0" borderId="0" xfId="1" applyProtection="1">
      <protection locked="0"/>
    </xf>
    <xf numFmtId="174" fontId="64" fillId="0" borderId="0" xfId="1" applyNumberFormat="1" applyFont="1" applyAlignment="1">
      <alignment horizontal="right"/>
    </xf>
    <xf numFmtId="172" fontId="51" fillId="0" borderId="0" xfId="1933" applyNumberFormat="1" applyFont="1" applyAlignment="1"/>
    <xf numFmtId="170" fontId="65" fillId="0" borderId="64" xfId="1" applyNumberFormat="1" applyFont="1" applyBorder="1" applyAlignment="1">
      <alignment horizontal="right"/>
    </xf>
    <xf numFmtId="170" fontId="65" fillId="0" borderId="65" xfId="1" applyNumberFormat="1" applyFont="1" applyBorder="1" applyAlignment="1">
      <alignment horizontal="right"/>
    </xf>
    <xf numFmtId="0" fontId="44" fillId="0" borderId="0" xfId="1" applyAlignment="1">
      <alignment horizontal="center"/>
    </xf>
    <xf numFmtId="170" fontId="65" fillId="0" borderId="0" xfId="1" quotePrefix="1" applyNumberFormat="1" applyFont="1" applyAlignment="1">
      <alignment horizontal="right"/>
    </xf>
    <xf numFmtId="10" fontId="44" fillId="0" borderId="0" xfId="1933" applyNumberFormat="1" applyFont="1" applyFill="1" applyBorder="1" applyAlignment="1"/>
    <xf numFmtId="164" fontId="44" fillId="0" borderId="0" xfId="1933" applyNumberFormat="1" applyFont="1" applyFill="1" applyBorder="1" applyAlignment="1"/>
    <xf numFmtId="164" fontId="44" fillId="0" borderId="45" xfId="1933" applyNumberFormat="1" applyFont="1" applyBorder="1" applyAlignment="1"/>
    <xf numFmtId="170" fontId="64" fillId="0" borderId="0" xfId="1" applyNumberFormat="1" applyFont="1" applyAlignment="1">
      <alignment horizontal="center"/>
    </xf>
    <xf numFmtId="164" fontId="51" fillId="0" borderId="45" xfId="1933" applyNumberFormat="1" applyFont="1" applyFill="1" applyBorder="1" applyAlignment="1"/>
    <xf numFmtId="166" fontId="64" fillId="0" borderId="64" xfId="1" applyNumberFormat="1" applyFont="1" applyBorder="1"/>
    <xf numFmtId="166" fontId="64" fillId="0" borderId="64" xfId="1" applyNumberFormat="1" applyFont="1" applyBorder="1" applyAlignment="1">
      <alignment horizontal="right"/>
    </xf>
    <xf numFmtId="166" fontId="64" fillId="0" borderId="0" xfId="1" applyNumberFormat="1" applyFont="1" applyAlignment="1">
      <alignment horizontal="right"/>
    </xf>
    <xf numFmtId="166" fontId="70" fillId="0" borderId="0" xfId="1" applyNumberFormat="1" applyFont="1" applyAlignment="1">
      <alignment horizontal="right"/>
    </xf>
    <xf numFmtId="166" fontId="64" fillId="0" borderId="17" xfId="1" applyNumberFormat="1" applyFont="1" applyBorder="1"/>
    <xf numFmtId="174" fontId="64" fillId="0" borderId="73" xfId="1" applyNumberFormat="1" applyFont="1" applyBorder="1"/>
    <xf numFmtId="164" fontId="51" fillId="0" borderId="15" xfId="1933" applyNumberFormat="1" applyFont="1" applyBorder="1" applyAlignment="1"/>
    <xf numFmtId="166" fontId="69" fillId="0" borderId="20" xfId="1" applyNumberFormat="1" applyFont="1" applyBorder="1"/>
    <xf numFmtId="0" fontId="64" fillId="0" borderId="0" xfId="1" applyFont="1"/>
    <xf numFmtId="0" fontId="70" fillId="0" borderId="0" xfId="1" applyFont="1"/>
    <xf numFmtId="0" fontId="64" fillId="0" borderId="0" xfId="1" quotePrefix="1" applyFont="1" applyAlignment="1">
      <alignment horizontal="left"/>
    </xf>
    <xf numFmtId="165" fontId="228" fillId="0" borderId="0" xfId="1" applyNumberFormat="1" applyFont="1"/>
    <xf numFmtId="164" fontId="44" fillId="0" borderId="45" xfId="1933" applyNumberFormat="1" applyFont="1" applyFill="1" applyBorder="1" applyAlignment="1"/>
    <xf numFmtId="165" fontId="44" fillId="0" borderId="0" xfId="1" quotePrefix="1" applyNumberFormat="1"/>
    <xf numFmtId="164" fontId="44" fillId="0" borderId="0" xfId="1933" applyNumberFormat="1" applyFont="1" applyFill="1" applyAlignment="1"/>
    <xf numFmtId="0" fontId="51" fillId="0" borderId="10" xfId="1" applyFont="1" applyBorder="1" applyAlignment="1">
      <alignment horizontal="center"/>
    </xf>
    <xf numFmtId="0" fontId="51" fillId="0" borderId="10" xfId="1" quotePrefix="1" applyFont="1" applyBorder="1" applyAlignment="1">
      <alignment horizontal="center"/>
    </xf>
    <xf numFmtId="165" fontId="51" fillId="0" borderId="10" xfId="1" applyNumberFormat="1" applyFont="1" applyBorder="1" applyAlignment="1">
      <alignment horizontal="center"/>
    </xf>
    <xf numFmtId="164" fontId="51" fillId="0" borderId="0" xfId="1933" applyNumberFormat="1" applyFont="1" applyFill="1" applyAlignment="1"/>
    <xf numFmtId="172" fontId="44" fillId="0" borderId="0" xfId="1933" applyNumberFormat="1" applyFont="1" applyFill="1" applyAlignment="1"/>
    <xf numFmtId="189" fontId="44" fillId="0" borderId="0" xfId="5450" applyNumberFormat="1"/>
    <xf numFmtId="0" fontId="44" fillId="0" borderId="0" xfId="5450" applyNumberFormat="1"/>
    <xf numFmtId="0" fontId="51" fillId="0" borderId="0" xfId="5450" applyNumberFormat="1" applyFont="1"/>
    <xf numFmtId="0" fontId="51" fillId="0" borderId="0" xfId="5450" applyNumberFormat="1" applyFont="1" applyAlignment="1">
      <alignment horizontal="right" vertical="top"/>
    </xf>
    <xf numFmtId="0" fontId="51" fillId="0" borderId="0" xfId="5450" applyNumberFormat="1" applyFont="1" applyAlignment="1">
      <alignment horizontal="right"/>
    </xf>
    <xf numFmtId="0" fontId="51" fillId="0" borderId="0" xfId="5450" applyNumberFormat="1" applyFont="1" applyAlignment="1">
      <alignment horizontal="left" vertical="top"/>
    </xf>
    <xf numFmtId="0" fontId="51" fillId="0" borderId="0" xfId="5450" applyNumberFormat="1" applyFont="1" applyAlignment="1">
      <alignment horizontal="left"/>
    </xf>
    <xf numFmtId="0" fontId="44" fillId="0" borderId="0" xfId="5450" quotePrefix="1" applyNumberFormat="1"/>
    <xf numFmtId="0" fontId="51" fillId="0" borderId="0" xfId="5450" applyNumberFormat="1" applyFont="1" applyAlignment="1">
      <alignment horizontal="center" vertical="top"/>
    </xf>
    <xf numFmtId="0" fontId="51" fillId="0" borderId="0" xfId="5450" applyNumberFormat="1" applyFont="1" applyAlignment="1">
      <alignment horizontal="center"/>
    </xf>
    <xf numFmtId="0" fontId="51" fillId="0" borderId="0" xfId="5450" quotePrefix="1" applyNumberFormat="1" applyFont="1" applyAlignment="1">
      <alignment horizontal="center"/>
    </xf>
    <xf numFmtId="0" fontId="51" fillId="0" borderId="0" xfId="5450" applyNumberFormat="1" applyFont="1" applyAlignment="1">
      <alignment horizontal="centerContinuous"/>
    </xf>
    <xf numFmtId="0" fontId="51" fillId="0" borderId="10" xfId="5450" applyNumberFormat="1" applyFont="1" applyBorder="1" applyAlignment="1">
      <alignment horizontal="centerContinuous"/>
    </xf>
    <xf numFmtId="0" fontId="51" fillId="0" borderId="10" xfId="5450" applyNumberFormat="1" applyFont="1" applyBorder="1"/>
    <xf numFmtId="0" fontId="51" fillId="0" borderId="10" xfId="5450" quotePrefix="1" applyNumberFormat="1" applyFont="1" applyBorder="1" applyAlignment="1">
      <alignment horizontal="center"/>
    </xf>
    <xf numFmtId="49" fontId="51" fillId="0" borderId="10" xfId="5450" applyNumberFormat="1" applyFont="1" applyBorder="1" applyAlignment="1">
      <alignment horizontal="center"/>
    </xf>
    <xf numFmtId="49" fontId="51" fillId="0" borderId="10" xfId="5450" quotePrefix="1" applyNumberFormat="1" applyFont="1" applyBorder="1" applyAlignment="1">
      <alignment horizontal="center"/>
    </xf>
    <xf numFmtId="0" fontId="51" fillId="0" borderId="61" xfId="5450" applyNumberFormat="1" applyFont="1" applyBorder="1" applyAlignment="1">
      <alignment horizontal="center"/>
    </xf>
    <xf numFmtId="0" fontId="51" fillId="0" borderId="10" xfId="5450" applyNumberFormat="1" applyFont="1" applyBorder="1" applyAlignment="1">
      <alignment horizontal="center"/>
    </xf>
    <xf numFmtId="39" fontId="44" fillId="0" borderId="0" xfId="5450" quotePrefix="1" applyNumberFormat="1"/>
    <xf numFmtId="39" fontId="65" fillId="0" borderId="0" xfId="5450" quotePrefix="1" applyNumberFormat="1" applyFont="1"/>
    <xf numFmtId="39" fontId="44" fillId="0" borderId="0" xfId="5450" applyNumberFormat="1"/>
    <xf numFmtId="0" fontId="65" fillId="0" borderId="0" xfId="5450" applyNumberFormat="1" applyFont="1"/>
    <xf numFmtId="0" fontId="44" fillId="0" borderId="0" xfId="5500" applyFont="1" applyAlignment="1">
      <alignment horizontal="center"/>
    </xf>
    <xf numFmtId="42" fontId="65" fillId="0" borderId="0" xfId="5450" applyNumberFormat="1" applyFont="1" applyAlignment="1">
      <alignment horizontal="right"/>
    </xf>
    <xf numFmtId="42" fontId="65" fillId="0" borderId="0" xfId="5450" applyNumberFormat="1" applyFont="1" applyAlignment="1">
      <alignment horizontal="right" vertical="top"/>
    </xf>
    <xf numFmtId="41" fontId="65" fillId="0" borderId="0" xfId="5450" applyNumberFormat="1" applyFont="1" applyAlignment="1">
      <alignment horizontal="right"/>
    </xf>
    <xf numFmtId="0" fontId="65" fillId="0" borderId="0" xfId="5450" applyNumberFormat="1" applyFont="1" applyAlignment="1">
      <alignment horizontal="right"/>
    </xf>
    <xf numFmtId="41" fontId="44" fillId="0" borderId="0" xfId="5450" applyNumberFormat="1" applyAlignment="1">
      <alignment horizontal="right"/>
    </xf>
    <xf numFmtId="0" fontId="44" fillId="0" borderId="0" xfId="5450" quotePrefix="1" applyNumberFormat="1" applyAlignment="1">
      <alignment horizontal="left" vertical="top"/>
    </xf>
    <xf numFmtId="0" fontId="44" fillId="0" borderId="0" xfId="5450" applyNumberFormat="1" applyAlignment="1">
      <alignment horizontal="left" vertical="top"/>
    </xf>
    <xf numFmtId="37" fontId="44" fillId="0" borderId="0" xfId="5500" applyNumberFormat="1" applyFont="1"/>
    <xf numFmtId="0" fontId="51" fillId="0" borderId="0" xfId="5450" quotePrefix="1" applyNumberFormat="1" applyFont="1" applyAlignment="1">
      <alignment horizontal="left" vertical="top"/>
    </xf>
    <xf numFmtId="42" fontId="51" fillId="0" borderId="54" xfId="5450" applyNumberFormat="1" applyFont="1" applyBorder="1" applyAlignment="1">
      <alignment horizontal="right" vertical="top"/>
    </xf>
    <xf numFmtId="42" fontId="51" fillId="0" borderId="0" xfId="5450" applyNumberFormat="1" applyFont="1" applyAlignment="1">
      <alignment horizontal="right" vertical="top"/>
    </xf>
    <xf numFmtId="37" fontId="44" fillId="0" borderId="0" xfId="5450" applyNumberFormat="1"/>
    <xf numFmtId="42" fontId="44" fillId="0" borderId="0" xfId="5450" applyNumberFormat="1"/>
    <xf numFmtId="44" fontId="44" fillId="0" borderId="0" xfId="5450" applyNumberFormat="1"/>
    <xf numFmtId="44" fontId="44" fillId="0" borderId="0" xfId="5500" applyNumberFormat="1" applyFont="1"/>
    <xf numFmtId="165" fontId="210" fillId="0" borderId="0" xfId="1" applyNumberFormat="1" applyFont="1"/>
    <xf numFmtId="172" fontId="44" fillId="0" borderId="65" xfId="1933" applyNumberFormat="1" applyFont="1" applyFill="1" applyBorder="1" applyAlignment="1"/>
    <xf numFmtId="192" fontId="160" fillId="0" borderId="0" xfId="17915" applyNumberFormat="1" applyFont="1" applyFill="1"/>
    <xf numFmtId="192" fontId="210" fillId="0" borderId="0" xfId="17915" applyNumberFormat="1" applyFont="1" applyFill="1"/>
    <xf numFmtId="192" fontId="160" fillId="0" borderId="0" xfId="17915" applyNumberFormat="1" applyFont="1" applyBorder="1"/>
    <xf numFmtId="185" fontId="51" fillId="0" borderId="10" xfId="737" quotePrefix="1" applyNumberFormat="1" applyFont="1" applyBorder="1" applyAlignment="1">
      <alignment horizontal="center"/>
    </xf>
    <xf numFmtId="43" fontId="161" fillId="0" borderId="0" xfId="737" quotePrefix="1" applyNumberFormat="1" applyFont="1" applyAlignment="1">
      <alignment horizontal="left"/>
    </xf>
    <xf numFmtId="177" fontId="72" fillId="0" borderId="0" xfId="737" applyNumberFormat="1" applyFont="1" applyAlignment="1">
      <alignment vertical="center"/>
    </xf>
    <xf numFmtId="177" fontId="49" fillId="0" borderId="0" xfId="737" applyNumberFormat="1" applyFont="1" applyAlignment="1">
      <alignment vertical="center"/>
    </xf>
    <xf numFmtId="177" fontId="72" fillId="0" borderId="0" xfId="737" quotePrefix="1" applyNumberFormat="1" applyFont="1" applyAlignment="1">
      <alignment horizontal="right" vertical="center"/>
    </xf>
    <xf numFmtId="43" fontId="209" fillId="0" borderId="0" xfId="737" applyNumberFormat="1" applyFont="1" applyAlignment="1">
      <alignment vertical="center"/>
    </xf>
    <xf numFmtId="0" fontId="98" fillId="0" borderId="0" xfId="737" applyFont="1" applyAlignment="1">
      <alignment vertical="center"/>
    </xf>
    <xf numFmtId="43" fontId="161" fillId="0" borderId="0" xfId="737" quotePrefix="1" applyNumberFormat="1" applyFont="1" applyAlignment="1">
      <alignment horizontal="right" vertical="center"/>
    </xf>
    <xf numFmtId="0" fontId="86" fillId="0" borderId="0" xfId="737" applyFont="1" applyAlignment="1">
      <alignment horizontal="right" vertical="center"/>
    </xf>
    <xf numFmtId="43" fontId="222" fillId="0" borderId="0" xfId="737" applyNumberFormat="1" applyFont="1" applyAlignment="1">
      <alignment horizontal="right" vertical="center"/>
    </xf>
    <xf numFmtId="177" fontId="72" fillId="0" borderId="0" xfId="737" quotePrefix="1" applyNumberFormat="1" applyFont="1" applyAlignment="1">
      <alignment horizontal="left" vertical="center"/>
    </xf>
    <xf numFmtId="177" fontId="202" fillId="0" borderId="0" xfId="737" applyNumberFormat="1" applyFont="1" applyAlignment="1">
      <alignment vertical="center"/>
    </xf>
    <xf numFmtId="165" fontId="100" fillId="0" borderId="0" xfId="737" applyNumberFormat="1" applyFont="1" applyAlignment="1">
      <alignment vertical="center"/>
    </xf>
    <xf numFmtId="177" fontId="44" fillId="0" borderId="0" xfId="737" applyNumberFormat="1" applyFont="1" applyAlignment="1">
      <alignment horizontal="fill" vertical="center"/>
    </xf>
    <xf numFmtId="177" fontId="44" fillId="0" borderId="0" xfId="737" applyNumberFormat="1" applyFont="1" applyAlignment="1">
      <alignment vertical="center"/>
    </xf>
    <xf numFmtId="43" fontId="160" fillId="0" borderId="0" xfId="737" applyNumberFormat="1" applyFont="1" applyAlignment="1">
      <alignment vertical="center"/>
    </xf>
    <xf numFmtId="179" fontId="67" fillId="0" borderId="0" xfId="737" applyNumberFormat="1" applyFont="1" applyAlignment="1">
      <alignment horizontal="right"/>
    </xf>
    <xf numFmtId="0" fontId="50" fillId="0" borderId="10" xfId="9958" applyFont="1" applyBorder="1" applyAlignment="1">
      <alignment horizontal="center"/>
    </xf>
    <xf numFmtId="49" fontId="0" fillId="0" borderId="0" xfId="14" applyNumberFormat="1" applyFont="1"/>
    <xf numFmtId="189" fontId="209" fillId="0" borderId="0" xfId="17915" applyNumberFormat="1" applyFont="1"/>
    <xf numFmtId="189" fontId="209" fillId="0" borderId="0" xfId="17915" applyNumberFormat="1" applyFont="1" applyFill="1" applyAlignment="1"/>
    <xf numFmtId="164" fontId="98" fillId="0" borderId="0" xfId="1025" applyNumberFormat="1" applyFont="1"/>
    <xf numFmtId="165" fontId="227" fillId="0" borderId="0" xfId="837" applyNumberFormat="1" applyFont="1"/>
    <xf numFmtId="164" fontId="111" fillId="0" borderId="45" xfId="0" applyFont="1" applyBorder="1" applyAlignment="1">
      <alignment horizontal="center"/>
    </xf>
    <xf numFmtId="44" fontId="44" fillId="0" borderId="0" xfId="737" applyNumberFormat="1" applyFont="1" applyAlignment="1">
      <alignment horizontal="right"/>
    </xf>
    <xf numFmtId="43" fontId="51" fillId="0" borderId="54" xfId="1025" applyNumberFormat="1" applyFont="1" applyBorder="1" applyAlignment="1">
      <alignment horizontal="right"/>
    </xf>
    <xf numFmtId="43" fontId="51" fillId="0" borderId="0" xfId="1025" applyNumberFormat="1" applyFont="1" applyAlignment="1">
      <alignment horizontal="right"/>
    </xf>
    <xf numFmtId="164" fontId="51" fillId="0" borderId="0" xfId="0" applyFont="1" applyAlignment="1">
      <alignment horizontal="right"/>
    </xf>
    <xf numFmtId="43" fontId="51" fillId="0" borderId="54" xfId="737" applyNumberFormat="1" applyFont="1" applyBorder="1" applyAlignment="1">
      <alignment horizontal="right"/>
    </xf>
    <xf numFmtId="43" fontId="51" fillId="0" borderId="0" xfId="0" applyNumberFormat="1" applyFont="1" applyAlignment="1">
      <alignment horizontal="right"/>
    </xf>
    <xf numFmtId="43" fontId="44" fillId="0" borderId="0" xfId="1025" applyNumberFormat="1" applyAlignment="1">
      <alignment horizontal="right"/>
    </xf>
    <xf numFmtId="43" fontId="0" fillId="0" borderId="0" xfId="0" applyNumberFormat="1" applyAlignment="1">
      <alignment horizontal="right"/>
    </xf>
    <xf numFmtId="43" fontId="51" fillId="0" borderId="0" xfId="737" applyNumberFormat="1" applyFont="1" applyAlignment="1">
      <alignment horizontal="right"/>
    </xf>
    <xf numFmtId="43" fontId="44" fillId="0" borderId="0" xfId="737" applyNumberFormat="1" applyFont="1"/>
    <xf numFmtId="43" fontId="0" fillId="0" borderId="0" xfId="0" applyNumberFormat="1"/>
    <xf numFmtId="43" fontId="51" fillId="0" borderId="54" xfId="0" applyNumberFormat="1" applyFont="1" applyBorder="1" applyAlignment="1">
      <alignment horizontal="right"/>
    </xf>
    <xf numFmtId="43" fontId="44" fillId="0" borderId="0" xfId="0" applyNumberFormat="1" applyFont="1" applyAlignment="1">
      <alignment horizontal="right"/>
    </xf>
    <xf numFmtId="44" fontId="51" fillId="0" borderId="54" xfId="737" applyNumberFormat="1" applyFont="1" applyBorder="1" applyAlignment="1">
      <alignment horizontal="right"/>
    </xf>
    <xf numFmtId="40" fontId="160" fillId="0" borderId="0" xfId="837" quotePrefix="1" applyNumberFormat="1" applyFont="1" applyAlignment="1">
      <alignment horizontal="left"/>
    </xf>
    <xf numFmtId="41" fontId="205" fillId="0" borderId="0" xfId="837" applyNumberFormat="1" applyFont="1"/>
    <xf numFmtId="41" fontId="65" fillId="0" borderId="0" xfId="5450" applyNumberFormat="1" applyFont="1" applyAlignment="1">
      <alignment horizontal="center"/>
    </xf>
    <xf numFmtId="39" fontId="49" fillId="0" borderId="0" xfId="0" applyNumberFormat="1" applyFont="1"/>
    <xf numFmtId="39" fontId="49" fillId="0" borderId="0" xfId="0" applyNumberFormat="1" applyFont="1" applyAlignment="1">
      <alignment horizontal="right"/>
    </xf>
    <xf numFmtId="43" fontId="49" fillId="0" borderId="0" xfId="0" applyNumberFormat="1" applyFont="1" applyAlignment="1">
      <alignment horizontal="right"/>
    </xf>
    <xf numFmtId="43" fontId="49" fillId="0" borderId="0" xfId="0" quotePrefix="1" applyNumberFormat="1" applyFont="1" applyAlignment="1">
      <alignment horizontal="right"/>
    </xf>
    <xf numFmtId="44" fontId="50" fillId="0" borderId="0" xfId="0" applyNumberFormat="1" applyFont="1" applyAlignment="1">
      <alignment horizontal="right"/>
    </xf>
    <xf numFmtId="0" fontId="50" fillId="0" borderId="28" xfId="0" applyNumberFormat="1" applyFont="1" applyBorder="1"/>
    <xf numFmtId="7" fontId="50" fillId="0" borderId="0" xfId="0" applyNumberFormat="1" applyFont="1"/>
    <xf numFmtId="39" fontId="50" fillId="0" borderId="0" xfId="0" applyNumberFormat="1" applyFont="1" applyAlignment="1">
      <alignment horizontal="center" vertical="top"/>
    </xf>
    <xf numFmtId="7" fontId="50" fillId="0" borderId="0" xfId="0" applyNumberFormat="1" applyFont="1" applyAlignment="1">
      <alignment horizontal="right" vertical="top"/>
    </xf>
    <xf numFmtId="42" fontId="50" fillId="0" borderId="0" xfId="0" applyNumberFormat="1" applyFont="1" applyAlignment="1">
      <alignment horizontal="right" vertical="top"/>
    </xf>
    <xf numFmtId="39" fontId="49" fillId="0" borderId="0" xfId="0" applyNumberFormat="1" applyFont="1" applyAlignment="1">
      <alignment horizontal="right" vertical="top"/>
    </xf>
    <xf numFmtId="186" fontId="49" fillId="0" borderId="0" xfId="0" applyNumberFormat="1" applyFont="1" applyAlignment="1">
      <alignment horizontal="center" vertical="top"/>
    </xf>
    <xf numFmtId="42" fontId="49" fillId="0" borderId="0" xfId="0" applyNumberFormat="1" applyFont="1" applyAlignment="1">
      <alignment horizontal="right"/>
    </xf>
    <xf numFmtId="39" fontId="49" fillId="0" borderId="0" xfId="0" applyNumberFormat="1" applyFont="1" applyAlignment="1">
      <alignment horizontal="center"/>
    </xf>
    <xf numFmtId="43" fontId="49" fillId="0" borderId="0" xfId="0" applyNumberFormat="1" applyFont="1" applyAlignment="1">
      <alignment horizontal="center"/>
    </xf>
    <xf numFmtId="39" fontId="49" fillId="0" borderId="0" xfId="0" quotePrefix="1" applyNumberFormat="1" applyFont="1" applyAlignment="1">
      <alignment horizontal="center"/>
    </xf>
    <xf numFmtId="43" fontId="49" fillId="0" borderId="0" xfId="0" applyNumberFormat="1" applyFont="1" applyAlignment="1">
      <alignment horizontal="center" vertical="top"/>
    </xf>
    <xf numFmtId="39" fontId="49" fillId="0" borderId="0" xfId="0" quotePrefix="1" applyNumberFormat="1" applyFont="1"/>
    <xf numFmtId="39" fontId="50" fillId="0" borderId="0" xfId="0" applyNumberFormat="1" applyFont="1" applyAlignment="1">
      <alignment horizontal="right"/>
    </xf>
    <xf numFmtId="43" fontId="50" fillId="0" borderId="0" xfId="0" applyNumberFormat="1" applyFont="1" applyAlignment="1">
      <alignment horizontal="center" vertical="top"/>
    </xf>
    <xf numFmtId="179" fontId="67" fillId="0" borderId="0" xfId="737" applyNumberFormat="1" applyFont="1" applyAlignment="1">
      <alignment horizontal="left"/>
    </xf>
    <xf numFmtId="177" fontId="67" fillId="0" borderId="10" xfId="737" applyNumberFormat="1" applyFont="1" applyBorder="1" applyAlignment="1">
      <alignment horizontal="left"/>
    </xf>
    <xf numFmtId="177" fontId="67" fillId="0" borderId="10" xfId="737" applyNumberFormat="1" applyFont="1" applyBorder="1" applyAlignment="1">
      <alignment horizontal="center"/>
    </xf>
    <xf numFmtId="177" fontId="72" fillId="0" borderId="10" xfId="833" applyNumberFormat="1" applyFont="1" applyBorder="1" applyAlignment="1">
      <alignment horizontal="right"/>
    </xf>
    <xf numFmtId="177" fontId="72" fillId="0" borderId="10" xfId="833" applyNumberFormat="1" applyFont="1" applyBorder="1"/>
    <xf numFmtId="177" fontId="72" fillId="0" borderId="53" xfId="833" applyNumberFormat="1" applyFont="1" applyBorder="1" applyAlignment="1">
      <alignment horizontal="right"/>
    </xf>
    <xf numFmtId="179" fontId="72" fillId="0" borderId="15" xfId="833" applyNumberFormat="1" applyFont="1" applyBorder="1"/>
    <xf numFmtId="179" fontId="72" fillId="0" borderId="0" xfId="833" applyNumberFormat="1" applyFont="1"/>
    <xf numFmtId="180" fontId="67" fillId="0" borderId="20" xfId="833" applyNumberFormat="1" applyFont="1" applyBorder="1"/>
    <xf numFmtId="181" fontId="227" fillId="0" borderId="0" xfId="833" applyNumberFormat="1" applyFont="1"/>
    <xf numFmtId="177" fontId="67" fillId="0" borderId="0" xfId="833" applyNumberFormat="1" applyFont="1" applyAlignment="1">
      <alignment horizontal="fill"/>
    </xf>
    <xf numFmtId="179" fontId="44" fillId="0" borderId="0" xfId="737" applyNumberFormat="1" applyFont="1" applyAlignment="1">
      <alignment horizontal="left"/>
    </xf>
    <xf numFmtId="179" fontId="44" fillId="0" borderId="0" xfId="737" applyNumberFormat="1" applyFont="1" applyAlignment="1">
      <alignment horizontal="center"/>
    </xf>
    <xf numFmtId="177" fontId="44" fillId="0" borderId="0" xfId="737" applyNumberFormat="1" applyFont="1" applyAlignment="1">
      <alignment horizontal="left"/>
    </xf>
    <xf numFmtId="177" fontId="44" fillId="0" borderId="0" xfId="737" applyNumberFormat="1" applyFont="1" applyAlignment="1">
      <alignment horizontal="center"/>
    </xf>
    <xf numFmtId="177" fontId="51" fillId="0" borderId="61" xfId="737" applyNumberFormat="1" applyFont="1" applyBorder="1" applyAlignment="1">
      <alignment horizontal="right"/>
    </xf>
    <xf numFmtId="177" fontId="101" fillId="0" borderId="0" xfId="737" applyNumberFormat="1" applyFont="1"/>
    <xf numFmtId="177" fontId="173" fillId="0" borderId="0" xfId="737" applyNumberFormat="1" applyFont="1"/>
    <xf numFmtId="177" fontId="44" fillId="0" borderId="0" xfId="737" quotePrefix="1" applyNumberFormat="1" applyFont="1" applyAlignment="1">
      <alignment horizontal="center"/>
    </xf>
    <xf numFmtId="177" fontId="51" fillId="0" borderId="61" xfId="737" applyNumberFormat="1" applyFont="1" applyBorder="1"/>
    <xf numFmtId="177" fontId="51" fillId="0" borderId="10" xfId="737" applyNumberFormat="1" applyFont="1" applyBorder="1"/>
    <xf numFmtId="177" fontId="55" fillId="0" borderId="0" xfId="737" applyNumberFormat="1" applyFont="1" applyAlignment="1">
      <alignment horizontal="center"/>
    </xf>
    <xf numFmtId="179" fontId="51" fillId="0" borderId="15" xfId="737" applyNumberFormat="1" applyFont="1" applyBorder="1"/>
    <xf numFmtId="180" fontId="51" fillId="0" borderId="0" xfId="737" applyNumberFormat="1" applyFont="1" applyAlignment="1">
      <alignment horizontal="right"/>
    </xf>
    <xf numFmtId="192" fontId="160" fillId="0" borderId="0" xfId="17915" applyNumberFormat="1" applyFont="1" applyFill="1" applyBorder="1"/>
    <xf numFmtId="192" fontId="161" fillId="0" borderId="0" xfId="17915" applyNumberFormat="1" applyFont="1" applyFill="1"/>
    <xf numFmtId="174" fontId="51" fillId="0" borderId="0" xfId="1" applyNumberFormat="1" applyFont="1" applyProtection="1">
      <protection locked="0"/>
    </xf>
    <xf numFmtId="174" fontId="51" fillId="0" borderId="75" xfId="1" applyNumberFormat="1" applyFont="1" applyBorder="1" applyProtection="1">
      <protection locked="0"/>
    </xf>
    <xf numFmtId="174" fontId="51" fillId="0" borderId="17" xfId="1" applyNumberFormat="1" applyFont="1" applyBorder="1" applyProtection="1">
      <protection locked="0"/>
    </xf>
    <xf numFmtId="169" fontId="51" fillId="0" borderId="14" xfId="1" applyNumberFormat="1" applyFont="1" applyBorder="1" applyAlignment="1" applyProtection="1">
      <alignment horizontal="right"/>
      <protection locked="0"/>
    </xf>
    <xf numFmtId="0" fontId="44" fillId="0" borderId="75" xfId="1" applyBorder="1" applyProtection="1">
      <protection locked="0"/>
    </xf>
    <xf numFmtId="0" fontId="44" fillId="0" borderId="17" xfId="1" applyBorder="1" applyProtection="1">
      <protection locked="0"/>
    </xf>
    <xf numFmtId="0" fontId="44" fillId="0" borderId="14" xfId="1" applyBorder="1" applyProtection="1">
      <protection locked="0"/>
    </xf>
    <xf numFmtId="170" fontId="44" fillId="0" borderId="10" xfId="1" applyNumberFormat="1" applyBorder="1" applyAlignment="1">
      <alignment horizontal="right"/>
    </xf>
    <xf numFmtId="170" fontId="44" fillId="0" borderId="10" xfId="1" quotePrefix="1" applyNumberFormat="1" applyBorder="1" applyAlignment="1">
      <alignment horizontal="right"/>
    </xf>
    <xf numFmtId="170" fontId="44" fillId="0" borderId="75" xfId="1" applyNumberFormat="1" applyBorder="1" applyProtection="1">
      <protection locked="0"/>
    </xf>
    <xf numFmtId="170" fontId="44" fillId="0" borderId="17" xfId="1" applyNumberFormat="1" applyBorder="1" applyProtection="1">
      <protection locked="0"/>
    </xf>
    <xf numFmtId="166" fontId="44" fillId="0" borderId="14" xfId="1" applyNumberFormat="1" applyBorder="1" applyProtection="1">
      <protection locked="0"/>
    </xf>
    <xf numFmtId="170" fontId="51" fillId="0" borderId="23" xfId="1" quotePrefix="1" applyNumberFormat="1" applyFont="1" applyBorder="1" applyAlignment="1">
      <alignment horizontal="right"/>
    </xf>
    <xf numFmtId="170" fontId="51" fillId="0" borderId="0" xfId="1" applyNumberFormat="1" applyFont="1" applyProtection="1">
      <protection locked="0"/>
    </xf>
    <xf numFmtId="170" fontId="51" fillId="0" borderId="75" xfId="1" applyNumberFormat="1" applyFont="1" applyBorder="1" applyProtection="1">
      <protection locked="0"/>
    </xf>
    <xf numFmtId="170" fontId="51" fillId="0" borderId="17" xfId="1" applyNumberFormat="1" applyFont="1" applyBorder="1" applyProtection="1">
      <protection locked="0"/>
    </xf>
    <xf numFmtId="172" fontId="51" fillId="0" borderId="45" xfId="1933" applyNumberFormat="1" applyFont="1" applyFill="1" applyBorder="1" applyAlignment="1"/>
    <xf numFmtId="170" fontId="44" fillId="0" borderId="64" xfId="1" applyNumberFormat="1" applyBorder="1" applyProtection="1">
      <protection locked="0"/>
    </xf>
    <xf numFmtId="170" fontId="44" fillId="0" borderId="75" xfId="1" applyNumberFormat="1" applyBorder="1" applyAlignment="1" applyProtection="1">
      <alignment horizontal="center"/>
      <protection locked="0"/>
    </xf>
    <xf numFmtId="170" fontId="44" fillId="0" borderId="0" xfId="1" applyNumberFormat="1" applyAlignment="1" applyProtection="1">
      <alignment horizontal="center"/>
      <protection locked="0"/>
    </xf>
    <xf numFmtId="166" fontId="44" fillId="0" borderId="14" xfId="1" applyNumberFormat="1" applyBorder="1" applyAlignment="1" applyProtection="1">
      <alignment horizontal="center"/>
      <protection locked="0"/>
    </xf>
    <xf numFmtId="170" fontId="51" fillId="0" borderId="10" xfId="1" quotePrefix="1" applyNumberFormat="1" applyFont="1" applyBorder="1" applyAlignment="1">
      <alignment horizontal="right"/>
    </xf>
    <xf numFmtId="170" fontId="51" fillId="0" borderId="0" xfId="1" applyNumberFormat="1" applyFont="1" applyAlignment="1" applyProtection="1">
      <alignment horizontal="center"/>
      <protection locked="0"/>
    </xf>
    <xf numFmtId="170" fontId="51" fillId="0" borderId="10" xfId="1" applyNumberFormat="1" applyFont="1" applyBorder="1"/>
    <xf numFmtId="172" fontId="51" fillId="0" borderId="10" xfId="1" applyNumberFormat="1" applyFont="1" applyBorder="1"/>
    <xf numFmtId="166" fontId="44" fillId="0" borderId="14" xfId="1" quotePrefix="1" applyNumberFormat="1" applyBorder="1" applyAlignment="1" applyProtection="1">
      <alignment horizontal="right"/>
      <protection locked="0"/>
    </xf>
    <xf numFmtId="170" fontId="44" fillId="0" borderId="10" xfId="1" applyNumberFormat="1" applyBorder="1"/>
    <xf numFmtId="170" fontId="44" fillId="0" borderId="64" xfId="1" applyNumberFormat="1" applyBorder="1" applyAlignment="1">
      <alignment horizontal="center"/>
    </xf>
    <xf numFmtId="170" fontId="51" fillId="0" borderId="0" xfId="1" applyNumberFormat="1" applyFont="1" applyAlignment="1" applyProtection="1">
      <alignment horizontal="right"/>
      <protection locked="0"/>
    </xf>
    <xf numFmtId="172" fontId="51" fillId="0" borderId="10" xfId="0" applyNumberFormat="1" applyFont="1" applyBorder="1"/>
    <xf numFmtId="174" fontId="51" fillId="0" borderId="51" xfId="3" applyNumberFormat="1" applyFont="1" applyBorder="1"/>
    <xf numFmtId="172" fontId="51" fillId="0" borderId="51" xfId="1933" applyNumberFormat="1" applyFont="1" applyFill="1" applyBorder="1" applyAlignment="1"/>
    <xf numFmtId="166" fontId="44" fillId="0" borderId="20" xfId="1" applyNumberFormat="1" applyBorder="1"/>
    <xf numFmtId="170" fontId="44" fillId="0" borderId="20" xfId="1" applyNumberFormat="1" applyBorder="1"/>
    <xf numFmtId="170" fontId="51" fillId="0" borderId="10" xfId="1" quotePrefix="1" applyNumberFormat="1" applyFont="1" applyBorder="1"/>
    <xf numFmtId="0" fontId="44" fillId="0" borderId="76" xfId="1" applyBorder="1"/>
    <xf numFmtId="192" fontId="44" fillId="0" borderId="45" xfId="1" applyNumberFormat="1" applyBorder="1"/>
    <xf numFmtId="0" fontId="44" fillId="0" borderId="20" xfId="1" applyBorder="1"/>
    <xf numFmtId="172" fontId="51" fillId="0" borderId="0" xfId="1933" applyNumberFormat="1" applyFont="1" applyFill="1" applyAlignment="1"/>
    <xf numFmtId="10" fontId="44" fillId="0" borderId="0" xfId="1" applyNumberFormat="1"/>
    <xf numFmtId="170" fontId="64" fillId="0" borderId="76" xfId="1" applyNumberFormat="1" applyFont="1" applyBorder="1"/>
    <xf numFmtId="164" fontId="51" fillId="0" borderId="15" xfId="1933" applyNumberFormat="1" applyFont="1" applyFill="1" applyBorder="1" applyAlignment="1"/>
    <xf numFmtId="167" fontId="51" fillId="0" borderId="0" xfId="1" applyNumberFormat="1" applyFont="1"/>
    <xf numFmtId="170" fontId="44" fillId="0" borderId="14" xfId="1" applyNumberFormat="1" applyBorder="1" applyAlignment="1">
      <alignment horizontal="right"/>
    </xf>
    <xf numFmtId="172" fontId="44" fillId="0" borderId="45" xfId="0" applyNumberFormat="1" applyFont="1" applyBorder="1" applyProtection="1">
      <protection locked="0"/>
    </xf>
    <xf numFmtId="164" fontId="0" fillId="0" borderId="45" xfId="1" applyNumberFormat="1" applyFont="1" applyBorder="1"/>
    <xf numFmtId="170" fontId="44" fillId="0" borderId="16" xfId="1" applyNumberFormat="1" applyBorder="1" applyAlignment="1">
      <alignment horizontal="right"/>
    </xf>
    <xf numFmtId="170" fontId="0" fillId="0" borderId="65" xfId="1" applyNumberFormat="1" applyFont="1" applyBorder="1" applyAlignment="1">
      <alignment horizontal="center"/>
    </xf>
    <xf numFmtId="0" fontId="0" fillId="0" borderId="0" xfId="1" applyFont="1" applyAlignment="1">
      <alignment horizontal="center"/>
    </xf>
    <xf numFmtId="164" fontId="0" fillId="0" borderId="65" xfId="1" applyNumberFormat="1" applyFont="1" applyBorder="1" applyAlignment="1">
      <alignment horizontal="center"/>
    </xf>
    <xf numFmtId="170" fontId="160" fillId="0" borderId="76" xfId="1" applyNumberFormat="1" applyFont="1" applyBorder="1"/>
    <xf numFmtId="170" fontId="161" fillId="0" borderId="14" xfId="1" applyNumberFormat="1" applyFont="1" applyBorder="1"/>
    <xf numFmtId="174" fontId="160" fillId="0" borderId="0" xfId="1" applyNumberFormat="1" applyFont="1"/>
    <xf numFmtId="174" fontId="160" fillId="0" borderId="16" xfId="1" applyNumberFormat="1" applyFont="1" applyBorder="1"/>
    <xf numFmtId="174" fontId="161" fillId="0" borderId="14" xfId="1" applyNumberFormat="1" applyFont="1" applyBorder="1"/>
    <xf numFmtId="164" fontId="0" fillId="0" borderId="22" xfId="1" applyNumberFormat="1" applyFont="1" applyBorder="1"/>
    <xf numFmtId="164" fontId="44" fillId="0" borderId="26" xfId="0" applyFont="1" applyBorder="1"/>
    <xf numFmtId="170" fontId="51" fillId="0" borderId="76" xfId="1" applyNumberFormat="1" applyFont="1" applyBorder="1" applyAlignment="1">
      <alignment horizontal="center"/>
    </xf>
    <xf numFmtId="0" fontId="0" fillId="0" borderId="19" xfId="1" applyFont="1" applyBorder="1"/>
    <xf numFmtId="0" fontId="0" fillId="0" borderId="14" xfId="1" applyFont="1" applyBorder="1"/>
    <xf numFmtId="174" fontId="44" fillId="0" borderId="16" xfId="1" applyNumberFormat="1" applyBorder="1" applyAlignment="1">
      <alignment horizontal="right"/>
    </xf>
    <xf numFmtId="166" fontId="44" fillId="0" borderId="0" xfId="1" applyNumberFormat="1" applyAlignment="1">
      <alignment horizontal="center"/>
    </xf>
    <xf numFmtId="170" fontId="0" fillId="0" borderId="16" xfId="1" applyNumberFormat="1" applyFont="1" applyBorder="1"/>
    <xf numFmtId="170" fontId="44" fillId="0" borderId="11" xfId="1" applyNumberFormat="1" applyBorder="1"/>
    <xf numFmtId="174" fontId="44" fillId="0" borderId="27" xfId="1" applyNumberFormat="1" applyBorder="1" applyAlignment="1">
      <alignment horizontal="center"/>
    </xf>
    <xf numFmtId="164" fontId="51" fillId="0" borderId="0" xfId="1" applyNumberFormat="1" applyFont="1" applyProtection="1">
      <protection locked="0"/>
    </xf>
    <xf numFmtId="164" fontId="51" fillId="0" borderId="69" xfId="1" applyNumberFormat="1" applyFont="1" applyBorder="1" applyProtection="1">
      <protection locked="0"/>
    </xf>
    <xf numFmtId="164" fontId="44" fillId="0" borderId="0" xfId="1" applyNumberFormat="1" applyProtection="1">
      <protection locked="0"/>
    </xf>
    <xf numFmtId="172" fontId="205" fillId="0" borderId="0" xfId="1" applyNumberFormat="1" applyFont="1"/>
    <xf numFmtId="170" fontId="205" fillId="0" borderId="75" xfId="0" applyNumberFormat="1" applyFont="1" applyBorder="1" applyAlignment="1">
      <alignment horizontal="right"/>
    </xf>
    <xf numFmtId="170" fontId="44" fillId="0" borderId="75" xfId="0" applyNumberFormat="1" applyFont="1" applyBorder="1" applyAlignment="1">
      <alignment horizontal="right"/>
    </xf>
    <xf numFmtId="170" fontId="44" fillId="0" borderId="76" xfId="0" quotePrefix="1" applyNumberFormat="1" applyFont="1" applyBorder="1" applyAlignment="1">
      <alignment horizontal="right"/>
    </xf>
    <xf numFmtId="192" fontId="227" fillId="0" borderId="0" xfId="1" applyNumberFormat="1" applyFont="1"/>
    <xf numFmtId="170" fontId="44" fillId="0" borderId="0" xfId="1" applyNumberFormat="1" applyAlignment="1">
      <alignment horizontal="center" vertical="top"/>
    </xf>
    <xf numFmtId="164" fontId="0" fillId="0" borderId="0" xfId="0" applyAlignment="1">
      <alignment horizontal="center"/>
    </xf>
    <xf numFmtId="192" fontId="44" fillId="0" borderId="0" xfId="17915" applyNumberFormat="1" applyFont="1" applyFill="1"/>
    <xf numFmtId="39" fontId="44" fillId="0" borderId="0" xfId="1" applyNumberFormat="1"/>
    <xf numFmtId="170" fontId="51" fillId="0" borderId="49" xfId="1" quotePrefix="1" applyNumberFormat="1" applyFont="1" applyBorder="1" applyAlignment="1">
      <alignment horizontal="center"/>
    </xf>
    <xf numFmtId="170" fontId="65" fillId="0" borderId="0" xfId="1" quotePrefix="1" applyNumberFormat="1" applyFont="1"/>
    <xf numFmtId="17" fontId="51" fillId="0" borderId="0" xfId="1" quotePrefix="1" applyNumberFormat="1" applyFont="1" applyAlignment="1">
      <alignment horizontal="center"/>
    </xf>
    <xf numFmtId="170" fontId="51" fillId="0" borderId="61" xfId="1" applyNumberFormat="1" applyFont="1" applyBorder="1"/>
    <xf numFmtId="170" fontId="51" fillId="0" borderId="45" xfId="1" quotePrefix="1" applyNumberFormat="1" applyFont="1" applyBorder="1" applyAlignment="1">
      <alignment horizontal="center"/>
    </xf>
    <xf numFmtId="15" fontId="51" fillId="0" borderId="0" xfId="1" quotePrefix="1" applyNumberFormat="1" applyFont="1" applyAlignment="1">
      <alignment horizontal="center"/>
    </xf>
    <xf numFmtId="170" fontId="51" fillId="0" borderId="61" xfId="1" quotePrefix="1" applyNumberFormat="1" applyFont="1" applyBorder="1" applyAlignment="1">
      <alignment horizontal="right"/>
    </xf>
    <xf numFmtId="174" fontId="51" fillId="0" borderId="71" xfId="1" applyNumberFormat="1" applyFont="1" applyBorder="1"/>
    <xf numFmtId="174" fontId="69" fillId="0" borderId="0" xfId="1" applyNumberFormat="1" applyFont="1"/>
    <xf numFmtId="0" fontId="70" fillId="0" borderId="45" xfId="1" applyFont="1" applyBorder="1" applyAlignment="1">
      <alignment horizontal="centerContinuous"/>
    </xf>
    <xf numFmtId="192" fontId="44" fillId="0" borderId="45" xfId="0" applyNumberFormat="1" applyFont="1" applyBorder="1"/>
    <xf numFmtId="172" fontId="51" fillId="0" borderId="61" xfId="1" applyNumberFormat="1" applyFont="1" applyBorder="1"/>
    <xf numFmtId="172" fontId="51" fillId="0" borderId="45" xfId="1933" applyNumberFormat="1" applyFont="1" applyFill="1" applyBorder="1" applyAlignment="1" applyProtection="1"/>
    <xf numFmtId="172" fontId="51" fillId="0" borderId="0" xfId="1" applyNumberFormat="1" applyFont="1"/>
    <xf numFmtId="172" fontId="51" fillId="0" borderId="0" xfId="1933" applyNumberFormat="1" applyFont="1" applyFill="1" applyBorder="1" applyAlignment="1" applyProtection="1"/>
    <xf numFmtId="49" fontId="206" fillId="0" borderId="45" xfId="0" quotePrefix="1" applyNumberFormat="1" applyFont="1" applyBorder="1" applyAlignment="1">
      <alignment horizontal="center"/>
    </xf>
    <xf numFmtId="41" fontId="51" fillId="0" borderId="45" xfId="837" applyNumberFormat="1" applyFont="1" applyBorder="1"/>
    <xf numFmtId="42" fontId="51" fillId="0" borderId="51" xfId="837" applyNumberFormat="1" applyFont="1" applyBorder="1"/>
    <xf numFmtId="199" fontId="206" fillId="0" borderId="45" xfId="0" quotePrefix="1" applyNumberFormat="1" applyFont="1" applyBorder="1" applyAlignment="1">
      <alignment horizontal="center"/>
    </xf>
    <xf numFmtId="172" fontId="44" fillId="0" borderId="45" xfId="1933" applyNumberFormat="1" applyFont="1" applyFill="1" applyBorder="1" applyAlignment="1"/>
    <xf numFmtId="14" fontId="49" fillId="0" borderId="0" xfId="737" applyNumberFormat="1" applyFont="1" applyAlignment="1">
      <alignment vertical="center"/>
    </xf>
    <xf numFmtId="192" fontId="44" fillId="0" borderId="0" xfId="1" applyNumberFormat="1" applyAlignment="1">
      <alignment horizontal="right"/>
    </xf>
    <xf numFmtId="44" fontId="177" fillId="0" borderId="0" xfId="25853" applyNumberFormat="1"/>
    <xf numFmtId="174" fontId="51" fillId="0" borderId="0" xfId="3" applyNumberFormat="1" applyFont="1" applyAlignment="1">
      <alignment horizontal="center"/>
    </xf>
    <xf numFmtId="170" fontId="51" fillId="0" borderId="0" xfId="3" applyNumberFormat="1" applyFont="1" applyAlignment="1">
      <alignment horizontal="center"/>
    </xf>
    <xf numFmtId="174" fontId="51" fillId="0" borderId="27" xfId="3" applyNumberFormat="1" applyFont="1" applyBorder="1" applyAlignment="1">
      <alignment horizontal="center"/>
    </xf>
    <xf numFmtId="43" fontId="0" fillId="0" borderId="0" xfId="25854" applyNumberFormat="1" applyFont="1" applyBorder="1">
      <alignment horizontal="right"/>
    </xf>
    <xf numFmtId="43" fontId="0" fillId="0" borderId="0" xfId="25856" applyNumberFormat="1" applyFont="1"/>
    <xf numFmtId="44" fontId="0" fillId="0" borderId="0" xfId="25856" applyNumberFormat="1" applyFont="1"/>
    <xf numFmtId="165" fontId="51" fillId="0" borderId="0" xfId="0" applyNumberFormat="1" applyFont="1" applyAlignment="1">
      <alignment horizontal="centerContinuous"/>
    </xf>
    <xf numFmtId="165" fontId="69" fillId="0" borderId="0" xfId="0" applyNumberFormat="1" applyFont="1"/>
    <xf numFmtId="165" fontId="51" fillId="0" borderId="0" xfId="0" applyNumberFormat="1" applyFont="1" applyAlignment="1">
      <alignment horizontal="right"/>
    </xf>
    <xf numFmtId="165" fontId="72" fillId="0" borderId="0" xfId="0" quotePrefix="1" applyNumberFormat="1" applyFont="1" applyAlignment="1">
      <alignment horizontal="right"/>
    </xf>
    <xf numFmtId="165" fontId="69" fillId="0" borderId="0" xfId="0" applyNumberFormat="1" applyFont="1" applyAlignment="1">
      <alignment horizontal="centerContinuous"/>
    </xf>
    <xf numFmtId="165" fontId="51" fillId="0" borderId="45" xfId="0" applyNumberFormat="1" applyFont="1" applyBorder="1" applyAlignment="1">
      <alignment horizontal="centerContinuous"/>
    </xf>
    <xf numFmtId="165" fontId="44" fillId="0" borderId="45" xfId="0" applyNumberFormat="1" applyFont="1" applyBorder="1" applyAlignment="1">
      <alignment horizontal="centerContinuous"/>
    </xf>
    <xf numFmtId="165" fontId="51" fillId="0" borderId="45" xfId="0" quotePrefix="1" applyNumberFormat="1" applyFont="1" applyBorder="1"/>
    <xf numFmtId="165" fontId="44" fillId="0" borderId="45" xfId="0" applyNumberFormat="1" applyFont="1" applyBorder="1"/>
    <xf numFmtId="165" fontId="51" fillId="0" borderId="64" xfId="0" quotePrefix="1" applyNumberFormat="1" applyFont="1" applyBorder="1" applyAlignment="1">
      <alignment horizontal="center"/>
    </xf>
    <xf numFmtId="0" fontId="51" fillId="0" borderId="64" xfId="0" applyNumberFormat="1" applyFont="1" applyBorder="1" applyAlignment="1">
      <alignment horizontal="center"/>
    </xf>
    <xf numFmtId="165" fontId="51" fillId="0" borderId="0" xfId="0" applyNumberFormat="1" applyFont="1" applyAlignment="1">
      <alignment horizontal="center"/>
    </xf>
    <xf numFmtId="165" fontId="51" fillId="0" borderId="65" xfId="0" applyNumberFormat="1" applyFont="1" applyBorder="1" applyAlignment="1">
      <alignment horizontal="center"/>
    </xf>
    <xf numFmtId="165" fontId="69" fillId="0" borderId="0" xfId="0" quotePrefix="1" applyNumberFormat="1" applyFont="1" applyAlignment="1">
      <alignment horizontal="center"/>
    </xf>
    <xf numFmtId="0" fontId="51" fillId="0" borderId="0" xfId="0" quotePrefix="1" applyNumberFormat="1" applyFont="1" applyAlignment="1">
      <alignment horizontal="center"/>
    </xf>
    <xf numFmtId="0" fontId="51" fillId="0" borderId="0" xfId="0" applyNumberFormat="1" applyFont="1" applyAlignment="1">
      <alignment horizontal="center"/>
    </xf>
    <xf numFmtId="165" fontId="44" fillId="0" borderId="17" xfId="0" applyNumberFormat="1" applyFont="1" applyBorder="1"/>
    <xf numFmtId="165" fontId="44" fillId="0" borderId="64" xfId="0" applyNumberFormat="1" applyFont="1" applyBorder="1"/>
    <xf numFmtId="165" fontId="44" fillId="0" borderId="13" xfId="0" applyNumberFormat="1" applyFont="1" applyBorder="1"/>
    <xf numFmtId="174" fontId="44" fillId="0" borderId="0" xfId="0" quotePrefix="1" applyNumberFormat="1" applyFont="1" applyAlignment="1">
      <alignment horizontal="left"/>
    </xf>
    <xf numFmtId="174" fontId="44" fillId="0" borderId="0" xfId="0" quotePrefix="1" applyNumberFormat="1" applyFont="1"/>
    <xf numFmtId="174" fontId="44" fillId="0" borderId="13" xfId="0" applyNumberFormat="1" applyFont="1" applyBorder="1"/>
    <xf numFmtId="164" fontId="44" fillId="0" borderId="0" xfId="0" quotePrefix="1" applyFont="1"/>
    <xf numFmtId="164" fontId="69" fillId="0" borderId="0" xfId="0" applyFont="1"/>
    <xf numFmtId="192" fontId="209" fillId="0" borderId="0" xfId="17915" applyNumberFormat="1" applyFont="1" applyFill="1"/>
    <xf numFmtId="170" fontId="44" fillId="0" borderId="0" xfId="0" quotePrefix="1" applyNumberFormat="1" applyFont="1"/>
    <xf numFmtId="170" fontId="44" fillId="0" borderId="0" xfId="0" quotePrefix="1" applyNumberFormat="1" applyFont="1" applyAlignment="1">
      <alignment horizontal="left"/>
    </xf>
    <xf numFmtId="170" fontId="44" fillId="0" borderId="13" xfId="0" applyNumberFormat="1" applyFont="1" applyBorder="1"/>
    <xf numFmtId="164" fontId="69" fillId="0" borderId="0" xfId="0" quotePrefix="1" applyFont="1"/>
    <xf numFmtId="170" fontId="51" fillId="0" borderId="0" xfId="0" quotePrefix="1" applyNumberFormat="1" applyFont="1"/>
    <xf numFmtId="170" fontId="51" fillId="0" borderId="64" xfId="0" quotePrefix="1" applyNumberFormat="1" applyFont="1" applyBorder="1"/>
    <xf numFmtId="170" fontId="51" fillId="0" borderId="0" xfId="0" quotePrefix="1" applyNumberFormat="1" applyFont="1" applyAlignment="1">
      <alignment horizontal="left"/>
    </xf>
    <xf numFmtId="170" fontId="51" fillId="0" borderId="13" xfId="0" applyNumberFormat="1" applyFont="1" applyBorder="1"/>
    <xf numFmtId="170" fontId="51" fillId="0" borderId="25" xfId="0" quotePrefix="1" applyNumberFormat="1" applyFont="1" applyBorder="1"/>
    <xf numFmtId="164" fontId="70" fillId="0" borderId="25" xfId="0" applyFont="1" applyBorder="1"/>
    <xf numFmtId="164" fontId="70" fillId="0" borderId="0" xfId="0" applyFont="1"/>
    <xf numFmtId="165" fontId="70" fillId="0" borderId="0" xfId="0" applyNumberFormat="1" applyFont="1"/>
    <xf numFmtId="192" fontId="223" fillId="0" borderId="0" xfId="17915" applyNumberFormat="1" applyFont="1" applyFill="1"/>
    <xf numFmtId="166" fontId="69" fillId="0" borderId="0" xfId="0" applyNumberFormat="1" applyFont="1"/>
    <xf numFmtId="164" fontId="69" fillId="0" borderId="45" xfId="0" applyFont="1" applyBorder="1"/>
    <xf numFmtId="170" fontId="51" fillId="0" borderId="74" xfId="0" quotePrefix="1" applyNumberFormat="1" applyFont="1" applyBorder="1" applyAlignment="1">
      <alignment horizontal="left"/>
    </xf>
    <xf numFmtId="170" fontId="51" fillId="0" borderId="69" xfId="0" applyNumberFormat="1" applyFont="1" applyBorder="1"/>
    <xf numFmtId="164" fontId="70" fillId="0" borderId="69" xfId="0" applyFont="1" applyBorder="1"/>
    <xf numFmtId="164" fontId="71" fillId="0" borderId="0" xfId="0" applyFont="1"/>
    <xf numFmtId="170" fontId="51" fillId="0" borderId="74" xfId="0" applyNumberFormat="1" applyFont="1" applyBorder="1"/>
    <xf numFmtId="172" fontId="69" fillId="0" borderId="0" xfId="0" applyNumberFormat="1" applyFont="1"/>
    <xf numFmtId="170" fontId="51" fillId="0" borderId="69" xfId="0" quotePrefix="1" applyNumberFormat="1" applyFont="1" applyBorder="1"/>
    <xf numFmtId="166" fontId="44" fillId="0" borderId="0" xfId="0" quotePrefix="1" applyNumberFormat="1" applyFont="1" applyAlignment="1">
      <alignment horizontal="right"/>
    </xf>
    <xf numFmtId="165" fontId="51" fillId="0" borderId="13" xfId="0" applyNumberFormat="1" applyFont="1" applyBorder="1"/>
    <xf numFmtId="166" fontId="51" fillId="0" borderId="65" xfId="0" applyNumberFormat="1" applyFont="1" applyBorder="1"/>
    <xf numFmtId="164" fontId="70" fillId="0" borderId="65" xfId="0" applyFont="1" applyBorder="1"/>
    <xf numFmtId="174" fontId="51" fillId="0" borderId="21" xfId="0" applyNumberFormat="1" applyFont="1" applyBorder="1"/>
    <xf numFmtId="174" fontId="51" fillId="0" borderId="74" xfId="0" applyNumberFormat="1" applyFont="1" applyBorder="1"/>
    <xf numFmtId="174" fontId="51" fillId="0" borderId="13" xfId="0" applyNumberFormat="1" applyFont="1" applyBorder="1"/>
    <xf numFmtId="164" fontId="70" fillId="0" borderId="51" xfId="0" applyFont="1" applyBorder="1"/>
    <xf numFmtId="7" fontId="177" fillId="0" borderId="0" xfId="25853" applyNumberFormat="1"/>
    <xf numFmtId="0" fontId="179" fillId="0" borderId="0" xfId="25853" applyFont="1" applyAlignment="1">
      <alignment horizontal="left"/>
    </xf>
    <xf numFmtId="0" fontId="72" fillId="0" borderId="0" xfId="25853" applyFont="1"/>
    <xf numFmtId="0" fontId="72" fillId="0" borderId="0" xfId="25853" applyFont="1" applyAlignment="1">
      <alignment horizontal="right"/>
    </xf>
    <xf numFmtId="7" fontId="51" fillId="0" borderId="0" xfId="25853" applyNumberFormat="1" applyFont="1" applyAlignment="1">
      <alignment horizontal="center"/>
    </xf>
    <xf numFmtId="7" fontId="44" fillId="0" borderId="0" xfId="25853" applyNumberFormat="1" applyFont="1"/>
    <xf numFmtId="0" fontId="183" fillId="0" borderId="0" xfId="25853" applyFont="1" applyAlignment="1">
      <alignment horizontal="center" wrapText="1"/>
    </xf>
    <xf numFmtId="37" fontId="148" fillId="0" borderId="0" xfId="25854" applyNumberFormat="1" applyFont="1" applyBorder="1">
      <alignment horizontal="right"/>
    </xf>
    <xf numFmtId="43" fontId="44" fillId="0" borderId="0" xfId="0" applyNumberFormat="1" applyFont="1" applyAlignment="1">
      <alignment horizontal="right" wrapText="1"/>
    </xf>
    <xf numFmtId="43" fontId="44" fillId="0" borderId="0" xfId="25862" applyNumberFormat="1" applyFont="1"/>
    <xf numFmtId="44" fontId="44" fillId="0" borderId="0" xfId="25862" applyNumberFormat="1" applyFont="1"/>
    <xf numFmtId="171" fontId="111" fillId="0" borderId="0" xfId="25853" applyNumberFormat="1" applyFont="1" applyAlignment="1">
      <alignment horizontal="left"/>
    </xf>
    <xf numFmtId="43" fontId="44" fillId="0" borderId="0" xfId="25853" applyNumberFormat="1" applyFont="1" applyAlignment="1">
      <alignment horizontal="right" wrapText="1"/>
    </xf>
    <xf numFmtId="43" fontId="44" fillId="0" borderId="0" xfId="25853" applyNumberFormat="1" applyFont="1"/>
    <xf numFmtId="43" fontId="44" fillId="0" borderId="0" xfId="25853" applyNumberFormat="1" applyFont="1" applyAlignment="1">
      <alignment horizontal="left"/>
    </xf>
    <xf numFmtId="44" fontId="44" fillId="0" borderId="0" xfId="0" applyNumberFormat="1" applyFont="1"/>
    <xf numFmtId="44" fontId="44" fillId="0" borderId="0" xfId="25853" applyNumberFormat="1" applyFont="1" applyAlignment="1">
      <alignment horizontal="left"/>
    </xf>
    <xf numFmtId="43" fontId="42" fillId="0" borderId="0" xfId="25853" applyNumberFormat="1" applyFont="1" applyAlignment="1">
      <alignment horizontal="left"/>
    </xf>
    <xf numFmtId="43" fontId="49" fillId="0" borderId="0" xfId="25853" applyNumberFormat="1" applyFont="1"/>
    <xf numFmtId="44" fontId="49" fillId="0" borderId="0" xfId="25853" applyNumberFormat="1" applyFont="1"/>
    <xf numFmtId="0" fontId="185" fillId="0" borderId="0" xfId="25853" applyFont="1" applyAlignment="1">
      <alignment horizontal="left"/>
    </xf>
    <xf numFmtId="0" fontId="148" fillId="0" borderId="0" xfId="25854" applyFont="1" applyBorder="1">
      <alignment horizontal="right"/>
    </xf>
    <xf numFmtId="7" fontId="44" fillId="0" borderId="0" xfId="25854" applyNumberFormat="1" applyFont="1" applyBorder="1">
      <alignment horizontal="right"/>
    </xf>
    <xf numFmtId="43" fontId="55" fillId="0" borderId="0" xfId="0" applyNumberFormat="1" applyFont="1" applyAlignment="1">
      <alignment horizontal="right" wrapText="1"/>
    </xf>
    <xf numFmtId="43" fontId="55" fillId="0" borderId="0" xfId="25862" applyNumberFormat="1" applyFont="1" applyAlignment="1">
      <alignment horizontal="left"/>
    </xf>
    <xf numFmtId="43" fontId="55" fillId="0" borderId="0" xfId="25866" applyNumberFormat="1" applyFont="1"/>
    <xf numFmtId="43" fontId="55" fillId="0" borderId="0" xfId="25862" applyNumberFormat="1" applyFont="1"/>
    <xf numFmtId="43" fontId="55" fillId="0" borderId="0" xfId="4571" applyNumberFormat="1" applyFont="1" applyAlignment="1">
      <alignment wrapText="1"/>
    </xf>
    <xf numFmtId="0" fontId="204" fillId="0" borderId="0" xfId="25853" applyFont="1" applyAlignment="1">
      <alignment horizontal="left"/>
    </xf>
    <xf numFmtId="7" fontId="49" fillId="0" borderId="0" xfId="25853" applyNumberFormat="1" applyFont="1"/>
    <xf numFmtId="43" fontId="204" fillId="0" borderId="0" xfId="25853" applyNumberFormat="1" applyFont="1" applyAlignment="1">
      <alignment horizontal="left"/>
    </xf>
    <xf numFmtId="44" fontId="204" fillId="0" borderId="0" xfId="25853" applyNumberFormat="1" applyFont="1" applyAlignment="1">
      <alignment horizontal="left"/>
    </xf>
    <xf numFmtId="43" fontId="44" fillId="0" borderId="0" xfId="25862" applyNumberFormat="1" applyFont="1" applyAlignment="1">
      <alignment horizontal="left"/>
    </xf>
    <xf numFmtId="43" fontId="44" fillId="0" borderId="0" xfId="25866" applyNumberFormat="1" applyFont="1" applyAlignment="1">
      <alignment horizontal="right"/>
    </xf>
    <xf numFmtId="43" fontId="44" fillId="0" borderId="0" xfId="25866" applyNumberFormat="1" applyFont="1"/>
    <xf numFmtId="43" fontId="44" fillId="0" borderId="0" xfId="4571" applyNumberFormat="1" applyAlignment="1">
      <alignment wrapText="1"/>
    </xf>
    <xf numFmtId="43" fontId="44" fillId="0" borderId="0" xfId="25853" applyNumberFormat="1" applyFont="1" applyAlignment="1">
      <alignment horizontal="right"/>
    </xf>
    <xf numFmtId="43" fontId="44" fillId="0" borderId="0" xfId="25853" applyNumberFormat="1" applyFont="1" applyAlignment="1">
      <alignment wrapText="1"/>
    </xf>
    <xf numFmtId="43" fontId="55" fillId="0" borderId="0" xfId="25866" applyNumberFormat="1" applyFont="1" applyAlignment="1">
      <alignment horizontal="right"/>
    </xf>
    <xf numFmtId="165" fontId="44" fillId="58" borderId="0" xfId="0" applyNumberFormat="1" applyFont="1" applyFill="1"/>
    <xf numFmtId="170" fontId="44" fillId="58" borderId="0" xfId="0" applyNumberFormat="1" applyFont="1" applyFill="1"/>
    <xf numFmtId="170" fontId="51" fillId="58" borderId="0" xfId="0" applyNumberFormat="1" applyFont="1" applyFill="1"/>
    <xf numFmtId="165" fontId="51" fillId="58" borderId="0" xfId="0" applyNumberFormat="1" applyFont="1" applyFill="1"/>
    <xf numFmtId="174" fontId="51" fillId="58" borderId="0" xfId="0" applyNumberFormat="1" applyFont="1" applyFill="1"/>
    <xf numFmtId="174" fontId="44" fillId="0" borderId="0" xfId="17915" applyNumberFormat="1" applyFont="1" applyFill="1" applyAlignment="1" applyProtection="1"/>
    <xf numFmtId="44" fontId="44" fillId="0" borderId="0" xfId="25856" applyNumberFormat="1" applyFont="1"/>
    <xf numFmtId="43" fontId="98" fillId="0" borderId="0" xfId="737" applyNumberFormat="1" applyFont="1"/>
    <xf numFmtId="170" fontId="55" fillId="0" borderId="0" xfId="1" applyNumberFormat="1" applyFont="1" applyAlignment="1">
      <alignment horizontal="right"/>
    </xf>
    <xf numFmtId="170" fontId="148" fillId="0" borderId="0" xfId="1" applyNumberFormat="1" applyFont="1"/>
    <xf numFmtId="177" fontId="44" fillId="0" borderId="0" xfId="0" applyNumberFormat="1" applyFont="1" applyAlignment="1">
      <alignment horizontal="center"/>
    </xf>
    <xf numFmtId="177" fontId="0" fillId="0" borderId="0" xfId="0" applyNumberFormat="1"/>
    <xf numFmtId="184" fontId="67" fillId="0" borderId="64" xfId="833" applyNumberFormat="1" applyFont="1" applyBorder="1" applyAlignment="1">
      <alignment horizontal="right"/>
    </xf>
    <xf numFmtId="177" fontId="67" fillId="0" borderId="10" xfId="737" applyNumberFormat="1" applyFont="1" applyBorder="1" applyAlignment="1">
      <alignment horizontal="right"/>
    </xf>
    <xf numFmtId="42" fontId="44" fillId="0" borderId="0" xfId="5450" applyNumberFormat="1" applyAlignment="1">
      <alignment horizontal="right"/>
    </xf>
    <xf numFmtId="41" fontId="65" fillId="0" borderId="0" xfId="5480" applyNumberFormat="1" applyFont="1" applyAlignment="1">
      <alignment horizontal="right"/>
    </xf>
    <xf numFmtId="192" fontId="51" fillId="0" borderId="0" xfId="1" applyNumberFormat="1" applyFont="1"/>
    <xf numFmtId="170" fontId="44" fillId="0" borderId="45" xfId="1" quotePrefix="1" applyNumberFormat="1" applyBorder="1" applyAlignment="1">
      <alignment horizontal="right"/>
    </xf>
    <xf numFmtId="170" fontId="51" fillId="0" borderId="45" xfId="1" quotePrefix="1" applyNumberFormat="1" applyFont="1" applyBorder="1" applyAlignment="1">
      <alignment horizontal="right"/>
    </xf>
    <xf numFmtId="192" fontId="44" fillId="0" borderId="0" xfId="17915" applyNumberFormat="1" applyFont="1" applyFill="1" applyAlignment="1">
      <alignment horizontal="right"/>
    </xf>
    <xf numFmtId="192" fontId="51" fillId="0" borderId="61" xfId="17915" applyNumberFormat="1" applyFont="1" applyFill="1" applyBorder="1" applyAlignment="1">
      <alignment horizontal="right"/>
    </xf>
    <xf numFmtId="192" fontId="51" fillId="0" borderId="45" xfId="17915" applyNumberFormat="1" applyFont="1" applyFill="1" applyBorder="1" applyAlignment="1">
      <alignment horizontal="right"/>
    </xf>
    <xf numFmtId="174" fontId="44" fillId="0" borderId="0" xfId="0" quotePrefix="1" applyNumberFormat="1" applyFont="1" applyAlignment="1">
      <alignment horizontal="right"/>
    </xf>
    <xf numFmtId="170" fontId="51" fillId="0" borderId="63" xfId="0" quotePrefix="1" applyNumberFormat="1" applyFont="1" applyBorder="1"/>
    <xf numFmtId="192" fontId="44" fillId="0" borderId="0" xfId="17915" quotePrefix="1" applyNumberFormat="1" applyFont="1" applyFill="1" applyAlignment="1">
      <alignment horizontal="right"/>
    </xf>
    <xf numFmtId="174" fontId="148" fillId="0" borderId="0" xfId="5509" applyNumberFormat="1" applyFont="1"/>
    <xf numFmtId="174" fontId="51" fillId="0" borderId="0" xfId="1" quotePrefix="1" applyNumberFormat="1" applyFont="1" applyAlignment="1">
      <alignment horizontal="center"/>
    </xf>
    <xf numFmtId="0" fontId="51" fillId="0" borderId="16" xfId="1" applyFont="1" applyBorder="1" applyAlignment="1">
      <alignment horizontal="center"/>
    </xf>
    <xf numFmtId="170" fontId="205" fillId="0" borderId="16" xfId="1" applyNumberFormat="1" applyFont="1" applyBorder="1" applyAlignment="1">
      <alignment horizontal="right"/>
    </xf>
    <xf numFmtId="166" fontId="44" fillId="0" borderId="0" xfId="5509" applyNumberFormat="1" applyFont="1"/>
    <xf numFmtId="174" fontId="51" fillId="0" borderId="0" xfId="5509" applyNumberFormat="1" applyFont="1"/>
    <xf numFmtId="170" fontId="44" fillId="0" borderId="0" xfId="17915" quotePrefix="1" applyNumberFormat="1" applyFont="1" applyFill="1" applyAlignment="1"/>
    <xf numFmtId="170" fontId="44" fillId="0" borderId="72" xfId="1" applyNumberFormat="1" applyBorder="1"/>
    <xf numFmtId="0" fontId="229" fillId="0" borderId="0" xfId="25853" applyFont="1" applyAlignment="1">
      <alignment horizontal="left"/>
    </xf>
    <xf numFmtId="0" fontId="230" fillId="0" borderId="0" xfId="25853" applyFont="1" applyAlignment="1">
      <alignment horizontal="left"/>
    </xf>
    <xf numFmtId="43" fontId="51" fillId="0" borderId="0" xfId="0" applyNumberFormat="1" applyFont="1" applyAlignment="1">
      <alignment vertical="top" wrapText="1"/>
    </xf>
    <xf numFmtId="43" fontId="55" fillId="0" borderId="0" xfId="737" applyNumberFormat="1" applyFont="1" applyAlignment="1">
      <alignment horizontal="right"/>
    </xf>
    <xf numFmtId="192" fontId="47" fillId="0" borderId="0" xfId="0" applyNumberFormat="1" applyFont="1"/>
    <xf numFmtId="192" fontId="44" fillId="0" borderId="0" xfId="0" applyNumberFormat="1" applyFont="1"/>
    <xf numFmtId="192" fontId="160" fillId="0" borderId="0" xfId="0" applyNumberFormat="1" applyFont="1"/>
    <xf numFmtId="192" fontId="161" fillId="0" borderId="0" xfId="0" applyNumberFormat="1" applyFont="1" applyAlignment="1">
      <alignment horizontal="right"/>
    </xf>
    <xf numFmtId="192" fontId="161" fillId="0" borderId="0" xfId="0" applyNumberFormat="1" applyFont="1"/>
    <xf numFmtId="192" fontId="160" fillId="0" borderId="0" xfId="0" applyNumberFormat="1" applyFont="1" applyAlignment="1">
      <alignment horizontal="center"/>
    </xf>
    <xf numFmtId="41" fontId="49" fillId="0" borderId="13" xfId="0" applyNumberFormat="1" applyFont="1" applyBorder="1"/>
    <xf numFmtId="170" fontId="160" fillId="0" borderId="0" xfId="1" applyNumberFormat="1" applyFont="1" applyAlignment="1">
      <alignment horizontal="center"/>
    </xf>
    <xf numFmtId="170" fontId="226" fillId="0" borderId="0" xfId="1" applyNumberFormat="1" applyFont="1"/>
    <xf numFmtId="177" fontId="55" fillId="0" borderId="0" xfId="737" applyNumberFormat="1" applyFont="1" applyAlignment="1">
      <alignment horizontal="right"/>
    </xf>
    <xf numFmtId="0" fontId="72" fillId="0" borderId="0" xfId="1" applyFont="1" applyAlignment="1" applyProtection="1">
      <alignment horizontal="left" vertical="center"/>
      <protection locked="0"/>
    </xf>
    <xf numFmtId="170" fontId="65" fillId="0" borderId="49" xfId="0" applyNumberFormat="1" applyFont="1" applyBorder="1"/>
    <xf numFmtId="170" fontId="44" fillId="0" borderId="19" xfId="0" applyNumberFormat="1" applyFont="1" applyBorder="1"/>
    <xf numFmtId="170" fontId="65" fillId="0" borderId="49" xfId="0" applyNumberFormat="1" applyFont="1" applyBorder="1" applyAlignment="1">
      <alignment horizontal="center"/>
    </xf>
    <xf numFmtId="170" fontId="44" fillId="0" borderId="19" xfId="0" applyNumberFormat="1" applyFont="1" applyBorder="1" applyAlignment="1">
      <alignment horizontal="center"/>
    </xf>
    <xf numFmtId="170" fontId="51" fillId="0" borderId="61" xfId="0" applyNumberFormat="1" applyFont="1" applyBorder="1" applyAlignment="1">
      <alignment horizontal="right"/>
    </xf>
    <xf numFmtId="170" fontId="51" fillId="0" borderId="19" xfId="0" applyNumberFormat="1" applyFont="1" applyBorder="1"/>
    <xf numFmtId="170" fontId="64" fillId="0" borderId="19" xfId="0" applyNumberFormat="1" applyFont="1" applyBorder="1"/>
    <xf numFmtId="170" fontId="51" fillId="0" borderId="45" xfId="0" applyNumberFormat="1" applyFont="1" applyBorder="1" applyAlignment="1">
      <alignment horizontal="center"/>
    </xf>
    <xf numFmtId="174" fontId="64" fillId="0" borderId="51" xfId="0" applyNumberFormat="1" applyFont="1" applyBorder="1"/>
    <xf numFmtId="174" fontId="64" fillId="0" borderId="19" xfId="0" applyNumberFormat="1" applyFont="1" applyBorder="1"/>
    <xf numFmtId="166" fontId="143" fillId="0" borderId="0" xfId="0" applyNumberFormat="1" applyFont="1"/>
    <xf numFmtId="166" fontId="66" fillId="0" borderId="0" xfId="0" applyNumberFormat="1" applyFont="1"/>
    <xf numFmtId="165" fontId="145" fillId="0" borderId="0" xfId="0" applyNumberFormat="1" applyFont="1"/>
    <xf numFmtId="0" fontId="86" fillId="0" borderId="0" xfId="838" applyFont="1" applyAlignment="1">
      <alignment horizontal="right"/>
    </xf>
    <xf numFmtId="0" fontId="84" fillId="0" borderId="0" xfId="1025" applyFont="1" applyAlignment="1">
      <alignment horizontal="right"/>
    </xf>
    <xf numFmtId="172" fontId="231" fillId="0" borderId="0" xfId="0" applyNumberFormat="1" applyFont="1"/>
    <xf numFmtId="43" fontId="44" fillId="0" borderId="0" xfId="49836" applyNumberFormat="1" applyFont="1" applyFill="1" applyBorder="1"/>
    <xf numFmtId="43" fontId="51" fillId="0" borderId="0" xfId="49836" applyNumberFormat="1" applyFont="1" applyFill="1" applyBorder="1"/>
    <xf numFmtId="43" fontId="44" fillId="0" borderId="0" xfId="5500" applyNumberFormat="1" applyFont="1"/>
    <xf numFmtId="172" fontId="51" fillId="0" borderId="25" xfId="0" applyNumberFormat="1" applyFont="1" applyBorder="1" applyProtection="1">
      <protection locked="0"/>
    </xf>
    <xf numFmtId="0" fontId="72" fillId="0" borderId="0" xfId="1" applyFont="1" applyAlignment="1" applyProtection="1">
      <alignment vertical="center"/>
      <protection locked="0"/>
    </xf>
    <xf numFmtId="0" fontId="0" fillId="0" borderId="0" xfId="1" applyFont="1" applyAlignment="1">
      <alignment vertical="center"/>
    </xf>
    <xf numFmtId="181" fontId="49" fillId="0" borderId="0" xfId="0" applyNumberFormat="1" applyFont="1"/>
    <xf numFmtId="44" fontId="44" fillId="0" borderId="0" xfId="25862" applyNumberFormat="1" applyFont="1" applyAlignment="1">
      <alignment horizontal="left"/>
    </xf>
    <xf numFmtId="43" fontId="50" fillId="0" borderId="0" xfId="25853" applyNumberFormat="1" applyFont="1" applyAlignment="1">
      <alignment horizontal="left"/>
    </xf>
    <xf numFmtId="0" fontId="86" fillId="0" borderId="0" xfId="25853" applyFont="1" applyAlignment="1">
      <alignment horizontal="left"/>
    </xf>
    <xf numFmtId="166" fontId="213" fillId="0" borderId="0" xfId="0" applyNumberFormat="1" applyFont="1"/>
    <xf numFmtId="164" fontId="214" fillId="0" borderId="0" xfId="0" applyFont="1"/>
    <xf numFmtId="166" fontId="45" fillId="0" borderId="0" xfId="0" applyNumberFormat="1" applyFont="1"/>
    <xf numFmtId="164" fontId="48" fillId="0" borderId="0" xfId="0" applyFont="1"/>
    <xf numFmtId="0" fontId="72" fillId="0" borderId="0" xfId="1" applyFont="1" applyProtection="1">
      <protection locked="0"/>
    </xf>
    <xf numFmtId="0" fontId="51" fillId="0" borderId="45" xfId="1" quotePrefix="1" applyFont="1" applyBorder="1" applyAlignment="1">
      <alignment horizontal="centerContinuous"/>
    </xf>
    <xf numFmtId="170" fontId="51" fillId="0" borderId="0" xfId="0" quotePrefix="1" applyNumberFormat="1" applyFont="1" applyAlignment="1">
      <alignment horizontal="right"/>
    </xf>
    <xf numFmtId="42" fontId="148" fillId="0" borderId="15" xfId="837" applyNumberFormat="1" applyFont="1" applyBorder="1"/>
    <xf numFmtId="174" fontId="205" fillId="0" borderId="0" xfId="1" applyNumberFormat="1" applyFont="1"/>
    <xf numFmtId="170" fontId="206" fillId="0" borderId="45" xfId="1" applyNumberFormat="1" applyFont="1" applyBorder="1" applyAlignment="1">
      <alignment horizontal="right"/>
    </xf>
    <xf numFmtId="165" fontId="207" fillId="0" borderId="0" xfId="0" applyNumberFormat="1" applyFont="1"/>
    <xf numFmtId="37" fontId="44" fillId="0" borderId="0" xfId="25862" applyNumberFormat="1" applyFont="1" applyAlignment="1">
      <alignment horizontal="left"/>
    </xf>
    <xf numFmtId="37" fontId="44" fillId="0" borderId="0" xfId="25862" applyNumberFormat="1" applyFont="1"/>
    <xf numFmtId="174" fontId="205" fillId="0" borderId="0" xfId="0" applyNumberFormat="1" applyFont="1"/>
    <xf numFmtId="170" fontId="206" fillId="0" borderId="0" xfId="0" applyNumberFormat="1" applyFont="1" applyAlignment="1">
      <alignment horizontal="right"/>
    </xf>
    <xf numFmtId="170" fontId="205" fillId="0" borderId="0" xfId="0" quotePrefix="1" applyNumberFormat="1" applyFont="1"/>
    <xf numFmtId="174" fontId="0" fillId="0" borderId="0" xfId="0" applyNumberFormat="1"/>
    <xf numFmtId="174" fontId="44" fillId="0" borderId="0" xfId="0" applyNumberFormat="1" applyFont="1" applyAlignment="1">
      <alignment horizontal="right"/>
    </xf>
    <xf numFmtId="174" fontId="65" fillId="0" borderId="49" xfId="0" applyNumberFormat="1" applyFont="1" applyBorder="1"/>
    <xf numFmtId="174" fontId="44" fillId="0" borderId="19" xfId="0" applyNumberFormat="1" applyFont="1" applyBorder="1"/>
    <xf numFmtId="170" fontId="0" fillId="0" borderId="0" xfId="0" applyNumberFormat="1" applyAlignment="1">
      <alignment horizontal="right"/>
    </xf>
    <xf numFmtId="197" fontId="44" fillId="0" borderId="0" xfId="0" applyNumberFormat="1" applyFont="1" applyProtection="1">
      <protection locked="0"/>
    </xf>
    <xf numFmtId="174" fontId="44" fillId="0" borderId="17" xfId="0" applyNumberFormat="1" applyFont="1" applyBorder="1"/>
    <xf numFmtId="174" fontId="44" fillId="0" borderId="16" xfId="0" applyNumberFormat="1" applyFont="1" applyBorder="1"/>
    <xf numFmtId="170" fontId="44" fillId="0" borderId="17" xfId="0" applyNumberFormat="1" applyFont="1" applyBorder="1"/>
    <xf numFmtId="170" fontId="51" fillId="0" borderId="53" xfId="0" applyNumberFormat="1" applyFont="1" applyBorder="1"/>
    <xf numFmtId="170" fontId="51" fillId="0" borderId="17" xfId="0" applyNumberFormat="1" applyFont="1" applyBorder="1"/>
    <xf numFmtId="170" fontId="44" fillId="0" borderId="65" xfId="0" quotePrefix="1" applyNumberFormat="1" applyFont="1" applyBorder="1"/>
    <xf numFmtId="170" fontId="206" fillId="0" borderId="64" xfId="0" applyNumberFormat="1" applyFont="1" applyBorder="1"/>
    <xf numFmtId="44" fontId="148" fillId="0" borderId="0" xfId="25853" applyNumberFormat="1" applyFont="1" applyAlignment="1">
      <alignment horizontal="left"/>
    </xf>
    <xf numFmtId="43" fontId="148" fillId="0" borderId="0" xfId="25853" applyNumberFormat="1" applyFont="1" applyAlignment="1">
      <alignment horizontal="left"/>
    </xf>
    <xf numFmtId="43" fontId="44" fillId="0" borderId="0" xfId="25860" applyNumberFormat="1" applyFont="1" applyFill="1" applyBorder="1"/>
    <xf numFmtId="170" fontId="160" fillId="0" borderId="0" xfId="0" quotePrefix="1" applyNumberFormat="1" applyFont="1" applyAlignment="1">
      <alignment horizontal="right"/>
    </xf>
    <xf numFmtId="170" fontId="160" fillId="0" borderId="74" xfId="0" applyNumberFormat="1" applyFont="1" applyBorder="1"/>
    <xf numFmtId="170" fontId="161" fillId="0" borderId="74" xfId="0" applyNumberFormat="1" applyFont="1" applyBorder="1"/>
    <xf numFmtId="174" fontId="161" fillId="0" borderId="74" xfId="0" applyNumberFormat="1" applyFont="1" applyBorder="1"/>
    <xf numFmtId="0" fontId="2" fillId="0" borderId="0" xfId="25862" applyFont="1" applyAlignment="1">
      <alignment horizontal="left" wrapText="1"/>
    </xf>
    <xf numFmtId="185" fontId="206" fillId="0" borderId="45" xfId="0" quotePrefix="1" applyNumberFormat="1" applyFont="1" applyBorder="1" applyAlignment="1">
      <alignment horizontal="center"/>
    </xf>
    <xf numFmtId="170" fontId="206" fillId="0" borderId="45" xfId="0" applyNumberFormat="1" applyFont="1" applyBorder="1" applyAlignment="1">
      <alignment horizontal="right"/>
    </xf>
    <xf numFmtId="170" fontId="205" fillId="0" borderId="76" xfId="0" applyNumberFormat="1" applyFont="1" applyBorder="1"/>
    <xf numFmtId="174" fontId="206" fillId="0" borderId="74" xfId="0" applyNumberFormat="1" applyFont="1" applyBorder="1"/>
    <xf numFmtId="198" fontId="44" fillId="0" borderId="0" xfId="0" applyNumberFormat="1" applyFont="1"/>
    <xf numFmtId="170" fontId="51" fillId="0" borderId="64" xfId="0" quotePrefix="1" applyNumberFormat="1" applyFont="1" applyBorder="1" applyAlignment="1">
      <alignment horizontal="center"/>
    </xf>
    <xf numFmtId="165" fontId="51" fillId="0" borderId="17" xfId="0" applyNumberFormat="1" applyFont="1" applyBorder="1"/>
    <xf numFmtId="174" fontId="51" fillId="0" borderId="0" xfId="0" applyNumberFormat="1" applyFont="1" applyAlignment="1">
      <alignment horizontal="center"/>
    </xf>
    <xf numFmtId="174" fontId="51" fillId="0" borderId="18" xfId="0" applyNumberFormat="1" applyFont="1" applyBorder="1"/>
    <xf numFmtId="44" fontId="55" fillId="0" borderId="0" xfId="25862" applyNumberFormat="1" applyFont="1" applyAlignment="1">
      <alignment horizontal="left"/>
    </xf>
    <xf numFmtId="170" fontId="51" fillId="0" borderId="61" xfId="0" applyNumberFormat="1" applyFont="1" applyBorder="1" applyAlignment="1">
      <alignment horizontal="center"/>
    </xf>
    <xf numFmtId="170" fontId="64" fillId="0" borderId="49" xfId="0" applyNumberFormat="1" applyFont="1" applyBorder="1" applyAlignment="1">
      <alignment horizontal="center"/>
    </xf>
    <xf numFmtId="170" fontId="51" fillId="0" borderId="19" xfId="0" applyNumberFormat="1" applyFont="1" applyBorder="1" applyAlignment="1">
      <alignment horizontal="center"/>
    </xf>
    <xf numFmtId="167" fontId="205" fillId="0" borderId="0" xfId="0" applyNumberFormat="1" applyFont="1" applyAlignment="1">
      <alignment horizontal="center"/>
    </xf>
    <xf numFmtId="174" fontId="205" fillId="0" borderId="0" xfId="0" applyNumberFormat="1" applyFont="1" applyAlignment="1">
      <alignment horizontal="right"/>
    </xf>
    <xf numFmtId="174" fontId="205" fillId="0" borderId="0" xfId="0" quotePrefix="1" applyNumberFormat="1" applyFont="1" applyAlignment="1">
      <alignment horizontal="left"/>
    </xf>
    <xf numFmtId="174" fontId="205" fillId="0" borderId="74" xfId="0" applyNumberFormat="1" applyFont="1" applyBorder="1"/>
    <xf numFmtId="170" fontId="206" fillId="0" borderId="61" xfId="0" applyNumberFormat="1" applyFont="1" applyBorder="1" applyAlignment="1">
      <alignment horizontal="center"/>
    </xf>
    <xf numFmtId="170" fontId="217" fillId="0" borderId="0" xfId="0" applyNumberFormat="1" applyFont="1"/>
    <xf numFmtId="170" fontId="211" fillId="0" borderId="0" xfId="0" applyNumberFormat="1" applyFont="1"/>
    <xf numFmtId="39" fontId="205" fillId="0" borderId="0" xfId="0" applyNumberFormat="1" applyFont="1"/>
    <xf numFmtId="39" fontId="205" fillId="0" borderId="0" xfId="1769" applyNumberFormat="1" applyFont="1"/>
    <xf numFmtId="39" fontId="205" fillId="0" borderId="45" xfId="1769" applyNumberFormat="1" applyFont="1" applyBorder="1" applyAlignment="1">
      <alignment horizontal="right"/>
    </xf>
    <xf numFmtId="37" fontId="44" fillId="0" borderId="0" xfId="25854" applyNumberFormat="1" applyFont="1" applyBorder="1">
      <alignment horizontal="right"/>
    </xf>
    <xf numFmtId="44" fontId="44" fillId="0" borderId="0" xfId="25853" applyNumberFormat="1" applyFont="1"/>
    <xf numFmtId="171" fontId="49" fillId="0" borderId="0" xfId="25853" applyNumberFormat="1" applyFont="1"/>
    <xf numFmtId="43" fontId="51" fillId="0" borderId="25" xfId="1769" applyNumberFormat="1" applyFont="1" applyBorder="1"/>
    <xf numFmtId="166" fontId="206" fillId="0" borderId="45" xfId="0" applyNumberFormat="1" applyFont="1" applyBorder="1" applyAlignment="1">
      <alignment horizontal="left"/>
    </xf>
    <xf numFmtId="164" fontId="205" fillId="0" borderId="45" xfId="0" applyFont="1" applyBorder="1" applyAlignment="1">
      <alignment horizontal="left"/>
    </xf>
    <xf numFmtId="166" fontId="51" fillId="0" borderId="0" xfId="0" applyNumberFormat="1" applyFont="1" applyAlignment="1">
      <alignment horizontal="center"/>
    </xf>
    <xf numFmtId="164" fontId="44" fillId="0" borderId="0" xfId="0" applyFont="1" applyAlignment="1">
      <alignment horizontal="center"/>
    </xf>
    <xf numFmtId="166" fontId="51" fillId="0" borderId="45" xfId="0" applyNumberFormat="1" applyFont="1" applyBorder="1" applyAlignment="1">
      <alignment horizontal="center"/>
    </xf>
    <xf numFmtId="39" fontId="45" fillId="0" borderId="0" xfId="0" applyNumberFormat="1" applyFont="1" applyAlignment="1">
      <alignment horizontal="left"/>
    </xf>
    <xf numFmtId="164" fontId="48" fillId="0" borderId="0" xfId="0" applyFont="1" applyAlignment="1">
      <alignment horizontal="left"/>
    </xf>
    <xf numFmtId="166" fontId="45" fillId="0" borderId="0" xfId="0" applyNumberFormat="1" applyFont="1" applyAlignment="1">
      <alignment horizontal="left"/>
    </xf>
    <xf numFmtId="0" fontId="51" fillId="0" borderId="0" xfId="1" applyFont="1" applyAlignment="1">
      <alignment horizontal="right"/>
    </xf>
    <xf numFmtId="0" fontId="51" fillId="0" borderId="0" xfId="1" applyFont="1" applyAlignment="1">
      <alignment horizontal="left"/>
    </xf>
    <xf numFmtId="0" fontId="51" fillId="0" borderId="45" xfId="1" applyFont="1" applyBorder="1" applyAlignment="1">
      <alignment horizontal="center"/>
    </xf>
    <xf numFmtId="0" fontId="51" fillId="33" borderId="45" xfId="1" applyFont="1" applyFill="1" applyBorder="1" applyAlignment="1">
      <alignment horizontal="center"/>
    </xf>
    <xf numFmtId="166" fontId="78" fillId="0" borderId="0" xfId="1" applyNumberFormat="1" applyFont="1" applyAlignment="1">
      <alignment horizontal="right"/>
    </xf>
    <xf numFmtId="0" fontId="44" fillId="0" borderId="0" xfId="1"/>
    <xf numFmtId="0" fontId="51" fillId="0" borderId="45" xfId="1" quotePrefix="1" applyFont="1" applyBorder="1" applyAlignment="1">
      <alignment horizontal="center"/>
    </xf>
    <xf numFmtId="166" fontId="51" fillId="0" borderId="45" xfId="1" applyNumberFormat="1" applyFont="1" applyBorder="1" applyAlignment="1">
      <alignment horizontal="center"/>
    </xf>
    <xf numFmtId="49" fontId="51" fillId="0" borderId="45" xfId="1" quotePrefix="1" applyNumberFormat="1" applyFont="1" applyBorder="1" applyAlignment="1">
      <alignment horizontal="center"/>
    </xf>
    <xf numFmtId="0" fontId="50" fillId="0" borderId="0" xfId="3" quotePrefix="1" applyFont="1" applyAlignment="1">
      <alignment horizontal="right"/>
    </xf>
    <xf numFmtId="0" fontId="87" fillId="0" borderId="0" xfId="3"/>
    <xf numFmtId="0" fontId="51" fillId="0" borderId="0" xfId="1" quotePrefix="1" applyFont="1" applyAlignment="1">
      <alignment horizontal="center"/>
    </xf>
    <xf numFmtId="180" fontId="84" fillId="0" borderId="0" xfId="1769" quotePrefix="1" applyNumberFormat="1" applyFont="1" applyAlignment="1">
      <alignment horizontal="justify" vertical="top"/>
    </xf>
    <xf numFmtId="180" fontId="84" fillId="0" borderId="0" xfId="1769" quotePrefix="1" applyNumberFormat="1" applyFont="1" applyAlignment="1">
      <alignment horizontal="justify" vertical="top" wrapText="1"/>
    </xf>
    <xf numFmtId="180" fontId="51" fillId="0" borderId="0" xfId="1769" quotePrefix="1" applyNumberFormat="1" applyFont="1" applyAlignment="1">
      <alignment horizontal="left" vertical="distributed" wrapText="1"/>
    </xf>
    <xf numFmtId="0" fontId="50" fillId="0" borderId="45" xfId="9958" applyFont="1" applyBorder="1" applyAlignment="1">
      <alignment horizontal="center"/>
    </xf>
    <xf numFmtId="0" fontId="44" fillId="0" borderId="0" xfId="14" applyNumberFormat="1" applyAlignment="1">
      <alignment horizontal="left" wrapText="1"/>
    </xf>
    <xf numFmtId="0" fontId="67" fillId="0" borderId="30" xfId="736" applyFont="1" applyBorder="1" applyAlignment="1">
      <alignment horizontal="justify" vertical="center" wrapText="1"/>
    </xf>
    <xf numFmtId="0" fontId="67" fillId="0" borderId="31" xfId="736" applyFont="1" applyBorder="1" applyAlignment="1">
      <alignment horizontal="justify" vertical="center" wrapText="1"/>
    </xf>
    <xf numFmtId="0" fontId="67" fillId="0" borderId="32" xfId="736" applyFont="1" applyBorder="1" applyAlignment="1">
      <alignment horizontal="justify" vertical="center" wrapText="1"/>
    </xf>
    <xf numFmtId="0" fontId="67" fillId="0" borderId="33" xfId="736" applyFont="1" applyBorder="1" applyAlignment="1">
      <alignment horizontal="justify" vertical="center" wrapText="1"/>
    </xf>
    <xf numFmtId="0" fontId="67" fillId="0" borderId="0" xfId="736" applyFont="1" applyAlignment="1">
      <alignment horizontal="justify" vertical="center" wrapText="1"/>
    </xf>
    <xf numFmtId="0" fontId="67" fillId="0" borderId="24" xfId="736" applyFont="1" applyBorder="1" applyAlignment="1">
      <alignment horizontal="justify" vertical="center" wrapText="1"/>
    </xf>
    <xf numFmtId="0" fontId="67" fillId="0" borderId="34" xfId="736" applyFont="1" applyBorder="1" applyAlignment="1">
      <alignment horizontal="justify" vertical="center" wrapText="1"/>
    </xf>
    <xf numFmtId="0" fontId="67" fillId="0" borderId="29" xfId="736" applyFont="1" applyBorder="1" applyAlignment="1">
      <alignment horizontal="justify" vertical="center" wrapText="1"/>
    </xf>
    <xf numFmtId="0" fontId="67" fillId="0" borderId="35" xfId="736" applyFont="1" applyBorder="1" applyAlignment="1">
      <alignment horizontal="justify" vertical="center" wrapText="1"/>
    </xf>
    <xf numFmtId="17" fontId="51" fillId="0" borderId="45" xfId="25853" quotePrefix="1" applyNumberFormat="1" applyFont="1" applyBorder="1" applyAlignment="1">
      <alignment horizontal="center"/>
    </xf>
    <xf numFmtId="7" fontId="51" fillId="0" borderId="45" xfId="25853" applyNumberFormat="1" applyFont="1" applyBorder="1" applyAlignment="1">
      <alignment horizontal="center"/>
    </xf>
    <xf numFmtId="17" fontId="51" fillId="0" borderId="10" xfId="25853" quotePrefix="1" applyNumberFormat="1" applyFont="1" applyBorder="1" applyAlignment="1">
      <alignment horizontal="center"/>
    </xf>
    <xf numFmtId="7" fontId="51" fillId="0" borderId="10" xfId="25853" applyNumberFormat="1" applyFont="1" applyBorder="1" applyAlignment="1">
      <alignment horizontal="center"/>
    </xf>
  </cellXfs>
  <cellStyles count="49850">
    <cellStyle name="20% - Accent1" xfId="49685" builtinId="30" customBuiltin="1"/>
    <cellStyle name="20% - Accent1 10" xfId="22" xr:uid="{00000000-0005-0000-0000-000000000000}"/>
    <cellStyle name="20% - Accent1 10 10" xfId="17919" xr:uid="{00000000-0005-0000-0000-000001000000}"/>
    <cellStyle name="20% - Accent1 10 10 2" xfId="41751" xr:uid="{D54AD429-DF24-4D06-A487-245C7A4D476F}"/>
    <cellStyle name="20% - Accent1 10 11" xfId="25871" xr:uid="{B5BD093D-2241-4BFC-809C-B952D4D79907}"/>
    <cellStyle name="20% - Accent1 10 2" xfId="23" xr:uid="{00000000-0005-0000-0000-000002000000}"/>
    <cellStyle name="20% - Accent1 10 2 2" xfId="24" xr:uid="{00000000-0005-0000-0000-000003000000}"/>
    <cellStyle name="20% - Accent1 10 2 2 2" xfId="1050" xr:uid="{00000000-0005-0000-0000-000004000000}"/>
    <cellStyle name="20% - Accent1 10 2 2 2 2" xfId="4577" xr:uid="{00000000-0005-0000-0000-000005000000}"/>
    <cellStyle name="20% - Accent1 10 2 2 2 2 2" xfId="8168" xr:uid="{00000000-0005-0000-0000-000006000000}"/>
    <cellStyle name="20% - Accent1 10 2 2 2 2 2 2" xfId="16138" xr:uid="{00000000-0005-0000-0000-000007000000}"/>
    <cellStyle name="20% - Accent1 10 2 2 2 2 2 2 2" xfId="39980" xr:uid="{3B40D96F-92AA-4A4C-A528-48CD10E2B5CE}"/>
    <cellStyle name="20% - Accent1 10 2 2 2 2 2 3" xfId="24084" xr:uid="{00000000-0005-0000-0000-000008000000}"/>
    <cellStyle name="20% - Accent1 10 2 2 2 2 2 3 2" xfId="47916" xr:uid="{7CEB6BE4-6805-47F9-AD0F-B51186C3951A}"/>
    <cellStyle name="20% - Accent1 10 2 2 2 2 2 4" xfId="32039" xr:uid="{22535533-ED80-473A-A630-BAF68FC28F89}"/>
    <cellStyle name="20% - Accent1 10 2 2 2 2 3" xfId="12600" xr:uid="{00000000-0005-0000-0000-000009000000}"/>
    <cellStyle name="20% - Accent1 10 2 2 2 2 3 2" xfId="36449" xr:uid="{0AC6E630-351F-4D31-9CCA-C3D899124F05}"/>
    <cellStyle name="20% - Accent1 10 2 2 2 2 4" xfId="20555" xr:uid="{00000000-0005-0000-0000-00000A000000}"/>
    <cellStyle name="20% - Accent1 10 2 2 2 2 4 2" xfId="44387" xr:uid="{93072CEE-D451-4091-AEBA-3AB8CFFB8376}"/>
    <cellStyle name="20% - Accent1 10 2 2 2 2 5" xfId="28508" xr:uid="{53000ADD-C283-4963-940A-EEE73EA5A7D5}"/>
    <cellStyle name="20% - Accent1 10 2 2 2 3" xfId="6409" xr:uid="{00000000-0005-0000-0000-00000B000000}"/>
    <cellStyle name="20% - Accent1 10 2 2 2 3 2" xfId="14380" xr:uid="{00000000-0005-0000-0000-00000C000000}"/>
    <cellStyle name="20% - Accent1 10 2 2 2 3 2 2" xfId="38222" xr:uid="{A957E603-81C3-4664-8EA4-5C21060456EF}"/>
    <cellStyle name="20% - Accent1 10 2 2 2 3 3" xfId="22327" xr:uid="{00000000-0005-0000-0000-00000D000000}"/>
    <cellStyle name="20% - Accent1 10 2 2 2 3 3 2" xfId="46159" xr:uid="{6428B369-D4CD-4E9F-91D4-BA6BAFA9BE3F}"/>
    <cellStyle name="20% - Accent1 10 2 2 2 3 4" xfId="30281" xr:uid="{757E17B2-4F2C-4BEA-8068-DC6794200163}"/>
    <cellStyle name="20% - Accent1 10 2 2 2 4" xfId="10844" xr:uid="{00000000-0005-0000-0000-00000E000000}"/>
    <cellStyle name="20% - Accent1 10 2 2 2 4 2" xfId="34693" xr:uid="{DDD12B88-54F7-4FD1-B629-26A2859320B8}"/>
    <cellStyle name="20% - Accent1 10 2 2 2 5" xfId="18799" xr:uid="{00000000-0005-0000-0000-00000F000000}"/>
    <cellStyle name="20% - Accent1 10 2 2 2 5 2" xfId="42631" xr:uid="{ADA83C4F-4476-4E17-B2DE-60BC797F8EA6}"/>
    <cellStyle name="20% - Accent1 10 2 2 2 6" xfId="26751" xr:uid="{BBA91749-A146-478C-9D0F-D12C712EE809}"/>
    <cellStyle name="20% - Accent1 10 2 2 2_Exh G" xfId="1937" xr:uid="{00000000-0005-0000-0000-000010000000}"/>
    <cellStyle name="20% - Accent1 10 2 2 3" xfId="3698" xr:uid="{00000000-0005-0000-0000-000011000000}"/>
    <cellStyle name="20% - Accent1 10 2 2 3 2" xfId="7290" xr:uid="{00000000-0005-0000-0000-000012000000}"/>
    <cellStyle name="20% - Accent1 10 2 2 3 2 2" xfId="15260" xr:uid="{00000000-0005-0000-0000-000013000000}"/>
    <cellStyle name="20% - Accent1 10 2 2 3 2 2 2" xfId="39102" xr:uid="{50EDE723-5D51-4DC9-B42F-C2C6FDC9DE54}"/>
    <cellStyle name="20% - Accent1 10 2 2 3 2 3" xfId="23206" xr:uid="{00000000-0005-0000-0000-000014000000}"/>
    <cellStyle name="20% - Accent1 10 2 2 3 2 3 2" xfId="47038" xr:uid="{A88D0D10-B92C-4F16-9FD1-7B77DA0DDFF2}"/>
    <cellStyle name="20% - Accent1 10 2 2 3 2 4" xfId="31161" xr:uid="{BC22CC1F-CB8C-4355-8F3E-051C63E30232}"/>
    <cellStyle name="20% - Accent1 10 2 2 3 3" xfId="11722" xr:uid="{00000000-0005-0000-0000-000015000000}"/>
    <cellStyle name="20% - Accent1 10 2 2 3 3 2" xfId="35571" xr:uid="{1CFF968D-4AF4-4CCD-8628-E7E9C7CD7EEB}"/>
    <cellStyle name="20% - Accent1 10 2 2 3 4" xfId="19677" xr:uid="{00000000-0005-0000-0000-000016000000}"/>
    <cellStyle name="20% - Accent1 10 2 2 3 4 2" xfId="43509" xr:uid="{32C941E4-0333-457F-871B-D7CF5C8D14B1}"/>
    <cellStyle name="20% - Accent1 10 2 2 3 5" xfId="27630" xr:uid="{1C5ED38D-D56A-4018-98EE-FD965DD90612}"/>
    <cellStyle name="20% - Accent1 10 2 2 4" xfId="5518" xr:uid="{00000000-0005-0000-0000-000017000000}"/>
    <cellStyle name="20% - Accent1 10 2 2 4 2" xfId="13501" xr:uid="{00000000-0005-0000-0000-000018000000}"/>
    <cellStyle name="20% - Accent1 10 2 2 4 2 2" xfId="37344" xr:uid="{91284129-5D02-4B07-8D93-2109066E635C}"/>
    <cellStyle name="20% - Accent1 10 2 2 4 3" xfId="21449" xr:uid="{00000000-0005-0000-0000-000019000000}"/>
    <cellStyle name="20% - Accent1 10 2 2 4 3 2" xfId="45281" xr:uid="{7C5CD11D-A327-484E-86D9-B38C9B510E59}"/>
    <cellStyle name="20% - Accent1 10 2 2 4 4" xfId="29403" xr:uid="{CD1DE642-F2EA-4AA0-B0E4-1B41D860A1BB}"/>
    <cellStyle name="20% - Accent1 10 2 2 5" xfId="9070" xr:uid="{00000000-0005-0000-0000-00001A000000}"/>
    <cellStyle name="20% - Accent1 10 2 2 5 2" xfId="17028" xr:uid="{00000000-0005-0000-0000-00001B000000}"/>
    <cellStyle name="20% - Accent1 10 2 2 5 2 2" xfId="40868" xr:uid="{41AF5449-CF7A-4F03-8043-8C6E890167E0}"/>
    <cellStyle name="20% - Accent1 10 2 2 5 3" xfId="24972" xr:uid="{00000000-0005-0000-0000-00001C000000}"/>
    <cellStyle name="20% - Accent1 10 2 2 5 3 2" xfId="48804" xr:uid="{E4CA491E-0674-4C47-A4F0-399941A0ACD6}"/>
    <cellStyle name="20% - Accent1 10 2 2 5 4" xfId="32927" xr:uid="{297085F4-6AE4-4D11-A335-76517CFB6282}"/>
    <cellStyle name="20% - Accent1 10 2 2 6" xfId="9966" xr:uid="{00000000-0005-0000-0000-00001D000000}"/>
    <cellStyle name="20% - Accent1 10 2 2 6 2" xfId="33815" xr:uid="{3BE356BE-1E12-4E81-906E-77D4D94A6041}"/>
    <cellStyle name="20% - Accent1 10 2 2 7" xfId="17921" xr:uid="{00000000-0005-0000-0000-00001E000000}"/>
    <cellStyle name="20% - Accent1 10 2 2 7 2" xfId="41753" xr:uid="{188EBB27-5B11-4E49-9C78-CB06A81A02A4}"/>
    <cellStyle name="20% - Accent1 10 2 2 8" xfId="25873" xr:uid="{AC6FE465-004E-48CD-AC72-02C478475425}"/>
    <cellStyle name="20% - Accent1 10 2 2_Exh G" xfId="1936" xr:uid="{00000000-0005-0000-0000-00001F000000}"/>
    <cellStyle name="20% - Accent1 10 2 3" xfId="1049" xr:uid="{00000000-0005-0000-0000-000020000000}"/>
    <cellStyle name="20% - Accent1 10 2 3 2" xfId="4576" xr:uid="{00000000-0005-0000-0000-000021000000}"/>
    <cellStyle name="20% - Accent1 10 2 3 2 2" xfId="8167" xr:uid="{00000000-0005-0000-0000-000022000000}"/>
    <cellStyle name="20% - Accent1 10 2 3 2 2 2" xfId="16137" xr:uid="{00000000-0005-0000-0000-000023000000}"/>
    <cellStyle name="20% - Accent1 10 2 3 2 2 2 2" xfId="39979" xr:uid="{E98D46D6-B81B-4F38-91F2-51929E25C46F}"/>
    <cellStyle name="20% - Accent1 10 2 3 2 2 3" xfId="24083" xr:uid="{00000000-0005-0000-0000-000024000000}"/>
    <cellStyle name="20% - Accent1 10 2 3 2 2 3 2" xfId="47915" xr:uid="{D02C99D6-7A77-4581-8C6C-D3EE3177A586}"/>
    <cellStyle name="20% - Accent1 10 2 3 2 2 4" xfId="32038" xr:uid="{80E264E7-5596-4EE8-AEF0-79240CC04E42}"/>
    <cellStyle name="20% - Accent1 10 2 3 2 3" xfId="12599" xr:uid="{00000000-0005-0000-0000-000025000000}"/>
    <cellStyle name="20% - Accent1 10 2 3 2 3 2" xfId="36448" xr:uid="{0B9FC142-B46E-4493-856F-907B07C459C0}"/>
    <cellStyle name="20% - Accent1 10 2 3 2 4" xfId="20554" xr:uid="{00000000-0005-0000-0000-000026000000}"/>
    <cellStyle name="20% - Accent1 10 2 3 2 4 2" xfId="44386" xr:uid="{34F90425-8481-4D5B-A6C6-D3A7E5B39FAE}"/>
    <cellStyle name="20% - Accent1 10 2 3 2 5" xfId="28507" xr:uid="{2EB436C3-C39D-40F7-A3BF-A582CE001CC7}"/>
    <cellStyle name="20% - Accent1 10 2 3 3" xfId="6408" xr:uid="{00000000-0005-0000-0000-000027000000}"/>
    <cellStyle name="20% - Accent1 10 2 3 3 2" xfId="14379" xr:uid="{00000000-0005-0000-0000-000028000000}"/>
    <cellStyle name="20% - Accent1 10 2 3 3 2 2" xfId="38221" xr:uid="{933788A2-587E-458A-97C7-7976A71E555F}"/>
    <cellStyle name="20% - Accent1 10 2 3 3 3" xfId="22326" xr:uid="{00000000-0005-0000-0000-000029000000}"/>
    <cellStyle name="20% - Accent1 10 2 3 3 3 2" xfId="46158" xr:uid="{63C2CAF7-5131-4D3A-8C09-F5C4B7DB27B6}"/>
    <cellStyle name="20% - Accent1 10 2 3 3 4" xfId="30280" xr:uid="{87DB6417-73CE-4573-8A00-1074279BC534}"/>
    <cellStyle name="20% - Accent1 10 2 3 4" xfId="10843" xr:uid="{00000000-0005-0000-0000-00002A000000}"/>
    <cellStyle name="20% - Accent1 10 2 3 4 2" xfId="34692" xr:uid="{C1AE6BBB-87B0-48AF-8BC3-12CB2A91E988}"/>
    <cellStyle name="20% - Accent1 10 2 3 5" xfId="18798" xr:uid="{00000000-0005-0000-0000-00002B000000}"/>
    <cellStyle name="20% - Accent1 10 2 3 5 2" xfId="42630" xr:uid="{1F902941-D8C9-4C1B-9301-BB17F95ACCEE}"/>
    <cellStyle name="20% - Accent1 10 2 3 6" xfId="26750" xr:uid="{73011931-A146-434D-95C5-E9965CBF2D45}"/>
    <cellStyle name="20% - Accent1 10 2 3_Exh G" xfId="1938" xr:uid="{00000000-0005-0000-0000-00002C000000}"/>
    <cellStyle name="20% - Accent1 10 2 4" xfId="3697" xr:uid="{00000000-0005-0000-0000-00002D000000}"/>
    <cellStyle name="20% - Accent1 10 2 4 2" xfId="7289" xr:uid="{00000000-0005-0000-0000-00002E000000}"/>
    <cellStyle name="20% - Accent1 10 2 4 2 2" xfId="15259" xr:uid="{00000000-0005-0000-0000-00002F000000}"/>
    <cellStyle name="20% - Accent1 10 2 4 2 2 2" xfId="39101" xr:uid="{19551634-F9CF-4470-A8EB-7A0DF9AB0A35}"/>
    <cellStyle name="20% - Accent1 10 2 4 2 3" xfId="23205" xr:uid="{00000000-0005-0000-0000-000030000000}"/>
    <cellStyle name="20% - Accent1 10 2 4 2 3 2" xfId="47037" xr:uid="{AC4174CE-53DE-477F-87E8-D5D9295874A1}"/>
    <cellStyle name="20% - Accent1 10 2 4 2 4" xfId="31160" xr:uid="{9E4E3200-F64A-428F-8026-C15774117FE6}"/>
    <cellStyle name="20% - Accent1 10 2 4 3" xfId="11721" xr:uid="{00000000-0005-0000-0000-000031000000}"/>
    <cellStyle name="20% - Accent1 10 2 4 3 2" xfId="35570" xr:uid="{D586C06A-90A5-4CF3-892A-5A3481E46FE6}"/>
    <cellStyle name="20% - Accent1 10 2 4 4" xfId="19676" xr:uid="{00000000-0005-0000-0000-000032000000}"/>
    <cellStyle name="20% - Accent1 10 2 4 4 2" xfId="43508" xr:uid="{5ADABEC2-A0D5-424F-8D3F-E807BD3B52D7}"/>
    <cellStyle name="20% - Accent1 10 2 4 5" xfId="27629" xr:uid="{EEE8D0DF-71BB-42A8-9FD4-015A57239FCE}"/>
    <cellStyle name="20% - Accent1 10 2 5" xfId="5517" xr:uid="{00000000-0005-0000-0000-000033000000}"/>
    <cellStyle name="20% - Accent1 10 2 5 2" xfId="13500" xr:uid="{00000000-0005-0000-0000-000034000000}"/>
    <cellStyle name="20% - Accent1 10 2 5 2 2" xfId="37343" xr:uid="{47B69594-AA43-413E-8195-AD95DC129744}"/>
    <cellStyle name="20% - Accent1 10 2 5 3" xfId="21448" xr:uid="{00000000-0005-0000-0000-000035000000}"/>
    <cellStyle name="20% - Accent1 10 2 5 3 2" xfId="45280" xr:uid="{96CC88C9-5D5B-494E-8587-A571036F4221}"/>
    <cellStyle name="20% - Accent1 10 2 5 4" xfId="29402" xr:uid="{151CABA6-CF3B-49B1-88CE-E275A785EC88}"/>
    <cellStyle name="20% - Accent1 10 2 6" xfId="9069" xr:uid="{00000000-0005-0000-0000-000036000000}"/>
    <cellStyle name="20% - Accent1 10 2 6 2" xfId="17027" xr:uid="{00000000-0005-0000-0000-000037000000}"/>
    <cellStyle name="20% - Accent1 10 2 6 2 2" xfId="40867" xr:uid="{23E2CF90-3E26-4363-8AB8-F626CF916648}"/>
    <cellStyle name="20% - Accent1 10 2 6 3" xfId="24971" xr:uid="{00000000-0005-0000-0000-000038000000}"/>
    <cellStyle name="20% - Accent1 10 2 6 3 2" xfId="48803" xr:uid="{A1C76EC4-1815-45D9-84F3-6ED115D87AD3}"/>
    <cellStyle name="20% - Accent1 10 2 6 4" xfId="32926" xr:uid="{54FFD23E-708F-44B2-90FE-BFF9B301D02D}"/>
    <cellStyle name="20% - Accent1 10 2 7" xfId="9965" xr:uid="{00000000-0005-0000-0000-000039000000}"/>
    <cellStyle name="20% - Accent1 10 2 7 2" xfId="33814" xr:uid="{1CB24C0B-34F2-43BD-A349-DEA314D19A0A}"/>
    <cellStyle name="20% - Accent1 10 2 8" xfId="17920" xr:uid="{00000000-0005-0000-0000-00003A000000}"/>
    <cellStyle name="20% - Accent1 10 2 8 2" xfId="41752" xr:uid="{4580FA3E-32D5-4C7E-AE29-D0044B3E9E37}"/>
    <cellStyle name="20% - Accent1 10 2 9" xfId="25872" xr:uid="{A1A94017-4D7A-413B-8E45-2AA965855EC8}"/>
    <cellStyle name="20% - Accent1 10 2_Exh G" xfId="1935" xr:uid="{00000000-0005-0000-0000-00003B000000}"/>
    <cellStyle name="20% - Accent1 10 3" xfId="25" xr:uid="{00000000-0005-0000-0000-00003C000000}"/>
    <cellStyle name="20% - Accent1 10 3 2" xfId="1051" xr:uid="{00000000-0005-0000-0000-00003D000000}"/>
    <cellStyle name="20% - Accent1 10 3 2 2" xfId="4578" xr:uid="{00000000-0005-0000-0000-00003E000000}"/>
    <cellStyle name="20% - Accent1 10 3 2 2 2" xfId="8169" xr:uid="{00000000-0005-0000-0000-00003F000000}"/>
    <cellStyle name="20% - Accent1 10 3 2 2 2 2" xfId="16139" xr:uid="{00000000-0005-0000-0000-000040000000}"/>
    <cellStyle name="20% - Accent1 10 3 2 2 2 2 2" xfId="39981" xr:uid="{92467DB1-9756-4C44-ADEC-E59C5E3F9F21}"/>
    <cellStyle name="20% - Accent1 10 3 2 2 2 3" xfId="24085" xr:uid="{00000000-0005-0000-0000-000041000000}"/>
    <cellStyle name="20% - Accent1 10 3 2 2 2 3 2" xfId="47917" xr:uid="{200FC925-5749-47D8-B858-B6F7538187F6}"/>
    <cellStyle name="20% - Accent1 10 3 2 2 2 4" xfId="32040" xr:uid="{904DAC14-A69B-4C81-94CA-AF50F8895895}"/>
    <cellStyle name="20% - Accent1 10 3 2 2 3" xfId="12601" xr:uid="{00000000-0005-0000-0000-000042000000}"/>
    <cellStyle name="20% - Accent1 10 3 2 2 3 2" xfId="36450" xr:uid="{F7C61370-615F-4D74-9A2A-8F8561A02FAF}"/>
    <cellStyle name="20% - Accent1 10 3 2 2 4" xfId="20556" xr:uid="{00000000-0005-0000-0000-000043000000}"/>
    <cellStyle name="20% - Accent1 10 3 2 2 4 2" xfId="44388" xr:uid="{B5783020-A021-40A7-81BA-7E7AA9288DF6}"/>
    <cellStyle name="20% - Accent1 10 3 2 2 5" xfId="28509" xr:uid="{82EF0E60-43FD-468F-BDE4-3056375C7D63}"/>
    <cellStyle name="20% - Accent1 10 3 2 3" xfId="6410" xr:uid="{00000000-0005-0000-0000-000044000000}"/>
    <cellStyle name="20% - Accent1 10 3 2 3 2" xfId="14381" xr:uid="{00000000-0005-0000-0000-000045000000}"/>
    <cellStyle name="20% - Accent1 10 3 2 3 2 2" xfId="38223" xr:uid="{1E87A4A6-BCC5-476C-81C0-B9E1E5BB0CB7}"/>
    <cellStyle name="20% - Accent1 10 3 2 3 3" xfId="22328" xr:uid="{00000000-0005-0000-0000-000046000000}"/>
    <cellStyle name="20% - Accent1 10 3 2 3 3 2" xfId="46160" xr:uid="{3973CC81-76FF-4FF4-A2A9-BEDC96CBAEDE}"/>
    <cellStyle name="20% - Accent1 10 3 2 3 4" xfId="30282" xr:uid="{57FB4785-F932-4FFF-BE89-A4F291D13BEC}"/>
    <cellStyle name="20% - Accent1 10 3 2 4" xfId="10845" xr:uid="{00000000-0005-0000-0000-000047000000}"/>
    <cellStyle name="20% - Accent1 10 3 2 4 2" xfId="34694" xr:uid="{6647EDF7-2C15-45B2-B98B-3889C96959AE}"/>
    <cellStyle name="20% - Accent1 10 3 2 5" xfId="18800" xr:uid="{00000000-0005-0000-0000-000048000000}"/>
    <cellStyle name="20% - Accent1 10 3 2 5 2" xfId="42632" xr:uid="{BFE87766-51B7-4C5A-90E1-A6A0732E2F70}"/>
    <cellStyle name="20% - Accent1 10 3 2 6" xfId="26752" xr:uid="{834EA2EA-10E8-411B-9640-7630901F05E0}"/>
    <cellStyle name="20% - Accent1 10 3 2_Exh G" xfId="1940" xr:uid="{00000000-0005-0000-0000-000049000000}"/>
    <cellStyle name="20% - Accent1 10 3 3" xfId="3699" xr:uid="{00000000-0005-0000-0000-00004A000000}"/>
    <cellStyle name="20% - Accent1 10 3 3 2" xfId="7291" xr:uid="{00000000-0005-0000-0000-00004B000000}"/>
    <cellStyle name="20% - Accent1 10 3 3 2 2" xfId="15261" xr:uid="{00000000-0005-0000-0000-00004C000000}"/>
    <cellStyle name="20% - Accent1 10 3 3 2 2 2" xfId="39103" xr:uid="{429B466A-7E67-4705-957E-5677B53290B0}"/>
    <cellStyle name="20% - Accent1 10 3 3 2 3" xfId="23207" xr:uid="{00000000-0005-0000-0000-00004D000000}"/>
    <cellStyle name="20% - Accent1 10 3 3 2 3 2" xfId="47039" xr:uid="{55B41D9F-4892-4994-A4E3-A24D8F3609B0}"/>
    <cellStyle name="20% - Accent1 10 3 3 2 4" xfId="31162" xr:uid="{F25E22E5-AD62-40D8-A3D9-9D103C99EC74}"/>
    <cellStyle name="20% - Accent1 10 3 3 3" xfId="11723" xr:uid="{00000000-0005-0000-0000-00004E000000}"/>
    <cellStyle name="20% - Accent1 10 3 3 3 2" xfId="35572" xr:uid="{D00778BD-799A-4E2B-A1F7-34562B0832D7}"/>
    <cellStyle name="20% - Accent1 10 3 3 4" xfId="19678" xr:uid="{00000000-0005-0000-0000-00004F000000}"/>
    <cellStyle name="20% - Accent1 10 3 3 4 2" xfId="43510" xr:uid="{B30527F2-5841-4F93-BFAB-A716F8CDADB9}"/>
    <cellStyle name="20% - Accent1 10 3 3 5" xfId="27631" xr:uid="{27E38583-DFD0-4D9A-B16F-038531A94A76}"/>
    <cellStyle name="20% - Accent1 10 3 4" xfId="5519" xr:uid="{00000000-0005-0000-0000-000050000000}"/>
    <cellStyle name="20% - Accent1 10 3 4 2" xfId="13502" xr:uid="{00000000-0005-0000-0000-000051000000}"/>
    <cellStyle name="20% - Accent1 10 3 4 2 2" xfId="37345" xr:uid="{5D0E5100-730B-4B88-BE4B-48C4C3291FDE}"/>
    <cellStyle name="20% - Accent1 10 3 4 3" xfId="21450" xr:uid="{00000000-0005-0000-0000-000052000000}"/>
    <cellStyle name="20% - Accent1 10 3 4 3 2" xfId="45282" xr:uid="{B5B362B1-3FF3-49AB-A22D-BA2E80399FDF}"/>
    <cellStyle name="20% - Accent1 10 3 4 4" xfId="29404" xr:uid="{C7BF6480-2FA2-469C-8991-EA94BF71DC82}"/>
    <cellStyle name="20% - Accent1 10 3 5" xfId="9071" xr:uid="{00000000-0005-0000-0000-000053000000}"/>
    <cellStyle name="20% - Accent1 10 3 5 2" xfId="17029" xr:uid="{00000000-0005-0000-0000-000054000000}"/>
    <cellStyle name="20% - Accent1 10 3 5 2 2" xfId="40869" xr:uid="{634083AE-E26E-42E5-850A-C7470663C561}"/>
    <cellStyle name="20% - Accent1 10 3 5 3" xfId="24973" xr:uid="{00000000-0005-0000-0000-000055000000}"/>
    <cellStyle name="20% - Accent1 10 3 5 3 2" xfId="48805" xr:uid="{A81009B6-940B-4DE2-8ABF-9A51A40D1DD0}"/>
    <cellStyle name="20% - Accent1 10 3 5 4" xfId="32928" xr:uid="{180564AC-D675-42D1-8277-587B97A689B3}"/>
    <cellStyle name="20% - Accent1 10 3 6" xfId="9967" xr:uid="{00000000-0005-0000-0000-000056000000}"/>
    <cellStyle name="20% - Accent1 10 3 6 2" xfId="33816" xr:uid="{929EE666-6048-4C87-BE61-8EBFFA54D55D}"/>
    <cellStyle name="20% - Accent1 10 3 7" xfId="17922" xr:uid="{00000000-0005-0000-0000-000057000000}"/>
    <cellStyle name="20% - Accent1 10 3 7 2" xfId="41754" xr:uid="{72A0551D-CFBD-4FF1-A3CF-EB71984227AB}"/>
    <cellStyle name="20% - Accent1 10 3 8" xfId="25874" xr:uid="{7A5BBFD1-5CD2-4816-9809-A1BBA9BF7682}"/>
    <cellStyle name="20% - Accent1 10 3_Exh G" xfId="1939" xr:uid="{00000000-0005-0000-0000-000058000000}"/>
    <cellStyle name="20% - Accent1 10 4" xfId="859" xr:uid="{00000000-0005-0000-0000-000059000000}"/>
    <cellStyle name="20% - Accent1 10 5" xfId="1048" xr:uid="{00000000-0005-0000-0000-00005A000000}"/>
    <cellStyle name="20% - Accent1 10 5 2" xfId="4575" xr:uid="{00000000-0005-0000-0000-00005B000000}"/>
    <cellStyle name="20% - Accent1 10 5 2 2" xfId="8166" xr:uid="{00000000-0005-0000-0000-00005C000000}"/>
    <cellStyle name="20% - Accent1 10 5 2 2 2" xfId="16136" xr:uid="{00000000-0005-0000-0000-00005D000000}"/>
    <cellStyle name="20% - Accent1 10 5 2 2 2 2" xfId="39978" xr:uid="{15A046AD-1820-45E3-9719-FD550E46A474}"/>
    <cellStyle name="20% - Accent1 10 5 2 2 3" xfId="24082" xr:uid="{00000000-0005-0000-0000-00005E000000}"/>
    <cellStyle name="20% - Accent1 10 5 2 2 3 2" xfId="47914" xr:uid="{577F970C-E84F-4573-AFC7-90EFC3CD720E}"/>
    <cellStyle name="20% - Accent1 10 5 2 2 4" xfId="32037" xr:uid="{58ADC68D-96A3-4B9D-9BC1-70210808AE5B}"/>
    <cellStyle name="20% - Accent1 10 5 2 3" xfId="12598" xr:uid="{00000000-0005-0000-0000-00005F000000}"/>
    <cellStyle name="20% - Accent1 10 5 2 3 2" xfId="36447" xr:uid="{4FC65317-95F2-4D3E-BCC6-CF330BD57FFF}"/>
    <cellStyle name="20% - Accent1 10 5 2 4" xfId="20553" xr:uid="{00000000-0005-0000-0000-000060000000}"/>
    <cellStyle name="20% - Accent1 10 5 2 4 2" xfId="44385" xr:uid="{CFC7C107-8F80-4B37-ADF8-1AE2497611D6}"/>
    <cellStyle name="20% - Accent1 10 5 2 5" xfId="28506" xr:uid="{E9402D05-675A-466B-A6D0-95FB2FD6DD54}"/>
    <cellStyle name="20% - Accent1 10 5 3" xfId="6407" xr:uid="{00000000-0005-0000-0000-000061000000}"/>
    <cellStyle name="20% - Accent1 10 5 3 2" xfId="14378" xr:uid="{00000000-0005-0000-0000-000062000000}"/>
    <cellStyle name="20% - Accent1 10 5 3 2 2" xfId="38220" xr:uid="{57FC7362-2CB2-40EA-9A65-DFA8347F44DB}"/>
    <cellStyle name="20% - Accent1 10 5 3 3" xfId="22325" xr:uid="{00000000-0005-0000-0000-000063000000}"/>
    <cellStyle name="20% - Accent1 10 5 3 3 2" xfId="46157" xr:uid="{6ED6C06A-927E-4D74-B53B-9898BDA71C41}"/>
    <cellStyle name="20% - Accent1 10 5 3 4" xfId="30279" xr:uid="{6029595D-00D4-4615-A57D-0DE0A0E6F260}"/>
    <cellStyle name="20% - Accent1 10 5 4" xfId="10842" xr:uid="{00000000-0005-0000-0000-000064000000}"/>
    <cellStyle name="20% - Accent1 10 5 4 2" xfId="34691" xr:uid="{5E1A0A02-D725-40A6-894E-6C9969F5639F}"/>
    <cellStyle name="20% - Accent1 10 5 5" xfId="18797" xr:uid="{00000000-0005-0000-0000-000065000000}"/>
    <cellStyle name="20% - Accent1 10 5 5 2" xfId="42629" xr:uid="{6C9B17F8-D3F5-4F10-9DF5-B80DF397FF59}"/>
    <cellStyle name="20% - Accent1 10 5 6" xfId="26749" xr:uid="{BA8A1039-2EB1-4C29-91BA-2D7205E7BC8A}"/>
    <cellStyle name="20% - Accent1 10 5_Exh G" xfId="1941" xr:uid="{00000000-0005-0000-0000-000066000000}"/>
    <cellStyle name="20% - Accent1 10 6" xfId="3696" xr:uid="{00000000-0005-0000-0000-000067000000}"/>
    <cellStyle name="20% - Accent1 10 6 2" xfId="7288" xr:uid="{00000000-0005-0000-0000-000068000000}"/>
    <cellStyle name="20% - Accent1 10 6 2 2" xfId="15258" xr:uid="{00000000-0005-0000-0000-000069000000}"/>
    <cellStyle name="20% - Accent1 10 6 2 2 2" xfId="39100" xr:uid="{3E8C4DF4-4277-4830-A78E-B665B40B7936}"/>
    <cellStyle name="20% - Accent1 10 6 2 3" xfId="23204" xr:uid="{00000000-0005-0000-0000-00006A000000}"/>
    <cellStyle name="20% - Accent1 10 6 2 3 2" xfId="47036" xr:uid="{F1E78C19-4C23-4C86-AFCA-A8E2C69BE2B6}"/>
    <cellStyle name="20% - Accent1 10 6 2 4" xfId="31159" xr:uid="{AA6BB194-D26D-44CC-AF5D-DF0D983AF546}"/>
    <cellStyle name="20% - Accent1 10 6 3" xfId="11720" xr:uid="{00000000-0005-0000-0000-00006B000000}"/>
    <cellStyle name="20% - Accent1 10 6 3 2" xfId="35569" xr:uid="{5A987C18-EDDA-4363-8B2F-86002A315042}"/>
    <cellStyle name="20% - Accent1 10 6 4" xfId="19675" xr:uid="{00000000-0005-0000-0000-00006C000000}"/>
    <cellStyle name="20% - Accent1 10 6 4 2" xfId="43507" xr:uid="{889A82EC-63C4-48EC-9954-485AC8B0658D}"/>
    <cellStyle name="20% - Accent1 10 6 5" xfId="27628" xr:uid="{5C7526BB-291A-47C5-8350-47B23410B8D2}"/>
    <cellStyle name="20% - Accent1 10 7" xfId="5516" xr:uid="{00000000-0005-0000-0000-00006D000000}"/>
    <cellStyle name="20% - Accent1 10 7 2" xfId="13499" xr:uid="{00000000-0005-0000-0000-00006E000000}"/>
    <cellStyle name="20% - Accent1 10 7 2 2" xfId="37342" xr:uid="{8470E940-7C25-4991-BDA9-F61D92670199}"/>
    <cellStyle name="20% - Accent1 10 7 3" xfId="21447" xr:uid="{00000000-0005-0000-0000-00006F000000}"/>
    <cellStyle name="20% - Accent1 10 7 3 2" xfId="45279" xr:uid="{F5374DE5-7118-46B0-9D3A-5E174F880E1D}"/>
    <cellStyle name="20% - Accent1 10 7 4" xfId="29401" xr:uid="{EF6C6441-5A24-42E7-9415-0C872C54704D}"/>
    <cellStyle name="20% - Accent1 10 8" xfId="9068" xr:uid="{00000000-0005-0000-0000-000070000000}"/>
    <cellStyle name="20% - Accent1 10 8 2" xfId="17026" xr:uid="{00000000-0005-0000-0000-000071000000}"/>
    <cellStyle name="20% - Accent1 10 8 2 2" xfId="40866" xr:uid="{1EAD7DE4-D365-4F06-8797-6B933420CA99}"/>
    <cellStyle name="20% - Accent1 10 8 3" xfId="24970" xr:uid="{00000000-0005-0000-0000-000072000000}"/>
    <cellStyle name="20% - Accent1 10 8 3 2" xfId="48802" xr:uid="{E657A98C-0819-4491-8D67-65B0908816CA}"/>
    <cellStyle name="20% - Accent1 10 8 4" xfId="32925" xr:uid="{361D478C-E597-43D8-B6BD-FFD0B8E527AE}"/>
    <cellStyle name="20% - Accent1 10 9" xfId="9964" xr:uid="{00000000-0005-0000-0000-000073000000}"/>
    <cellStyle name="20% - Accent1 10 9 2" xfId="33813" xr:uid="{13A462B9-8FDF-46FB-8057-74438E9989DC}"/>
    <cellStyle name="20% - Accent1 10_Exh G" xfId="1934" xr:uid="{00000000-0005-0000-0000-000074000000}"/>
    <cellStyle name="20% - Accent1 11" xfId="26" xr:uid="{00000000-0005-0000-0000-000075000000}"/>
    <cellStyle name="20% - Accent1 11 10" xfId="25875" xr:uid="{9D016E12-0214-45A3-BA52-DC0716F9DB5D}"/>
    <cellStyle name="20% - Accent1 11 2" xfId="27" xr:uid="{00000000-0005-0000-0000-000076000000}"/>
    <cellStyle name="20% - Accent1 11 2 2" xfId="28" xr:uid="{00000000-0005-0000-0000-000077000000}"/>
    <cellStyle name="20% - Accent1 11 2 2 2" xfId="1054" xr:uid="{00000000-0005-0000-0000-000078000000}"/>
    <cellStyle name="20% - Accent1 11 2 2 2 2" xfId="4581" xr:uid="{00000000-0005-0000-0000-000079000000}"/>
    <cellStyle name="20% - Accent1 11 2 2 2 2 2" xfId="8172" xr:uid="{00000000-0005-0000-0000-00007A000000}"/>
    <cellStyle name="20% - Accent1 11 2 2 2 2 2 2" xfId="16142" xr:uid="{00000000-0005-0000-0000-00007B000000}"/>
    <cellStyle name="20% - Accent1 11 2 2 2 2 2 2 2" xfId="39984" xr:uid="{7D5F7F14-627A-4764-B00D-B1DA3B70A53B}"/>
    <cellStyle name="20% - Accent1 11 2 2 2 2 2 3" xfId="24088" xr:uid="{00000000-0005-0000-0000-00007C000000}"/>
    <cellStyle name="20% - Accent1 11 2 2 2 2 2 3 2" xfId="47920" xr:uid="{3FC9D4EC-5C6C-4AAA-850D-03E612F8B0FF}"/>
    <cellStyle name="20% - Accent1 11 2 2 2 2 2 4" xfId="32043" xr:uid="{72029543-0E44-445D-87B4-6EC9BF78212D}"/>
    <cellStyle name="20% - Accent1 11 2 2 2 2 3" xfId="12604" xr:uid="{00000000-0005-0000-0000-00007D000000}"/>
    <cellStyle name="20% - Accent1 11 2 2 2 2 3 2" xfId="36453" xr:uid="{0C277474-6D1F-40A9-85CB-DDF3EB214C5E}"/>
    <cellStyle name="20% - Accent1 11 2 2 2 2 4" xfId="20559" xr:uid="{00000000-0005-0000-0000-00007E000000}"/>
    <cellStyle name="20% - Accent1 11 2 2 2 2 4 2" xfId="44391" xr:uid="{8A237A89-C2E7-445C-97AC-2E195B0F544B}"/>
    <cellStyle name="20% - Accent1 11 2 2 2 2 5" xfId="28512" xr:uid="{0AFFA4B5-899B-436B-B642-9FFAFE836D28}"/>
    <cellStyle name="20% - Accent1 11 2 2 2 3" xfId="6413" xr:uid="{00000000-0005-0000-0000-00007F000000}"/>
    <cellStyle name="20% - Accent1 11 2 2 2 3 2" xfId="14384" xr:uid="{00000000-0005-0000-0000-000080000000}"/>
    <cellStyle name="20% - Accent1 11 2 2 2 3 2 2" xfId="38226" xr:uid="{544A32E2-6404-4D6B-8D78-07F08E3532AD}"/>
    <cellStyle name="20% - Accent1 11 2 2 2 3 3" xfId="22331" xr:uid="{00000000-0005-0000-0000-000081000000}"/>
    <cellStyle name="20% - Accent1 11 2 2 2 3 3 2" xfId="46163" xr:uid="{083A4737-CF3E-4CE6-BC3E-820B1DEE895F}"/>
    <cellStyle name="20% - Accent1 11 2 2 2 3 4" xfId="30285" xr:uid="{D02643CF-E598-4B01-9C5E-F1581C0815C9}"/>
    <cellStyle name="20% - Accent1 11 2 2 2 4" xfId="10848" xr:uid="{00000000-0005-0000-0000-000082000000}"/>
    <cellStyle name="20% - Accent1 11 2 2 2 4 2" xfId="34697" xr:uid="{D48A96CF-BF44-4721-8BBD-BD1BEF1BAB1C}"/>
    <cellStyle name="20% - Accent1 11 2 2 2 5" xfId="18803" xr:uid="{00000000-0005-0000-0000-000083000000}"/>
    <cellStyle name="20% - Accent1 11 2 2 2 5 2" xfId="42635" xr:uid="{D548B25C-0DE7-4225-8F55-0AFCEE3553E9}"/>
    <cellStyle name="20% - Accent1 11 2 2 2 6" xfId="26755" xr:uid="{964F29F0-368A-41B9-BD1E-B97BD530C40D}"/>
    <cellStyle name="20% - Accent1 11 2 2 2_Exh G" xfId="1945" xr:uid="{00000000-0005-0000-0000-000084000000}"/>
    <cellStyle name="20% - Accent1 11 2 2 3" xfId="3702" xr:uid="{00000000-0005-0000-0000-000085000000}"/>
    <cellStyle name="20% - Accent1 11 2 2 3 2" xfId="7294" xr:uid="{00000000-0005-0000-0000-000086000000}"/>
    <cellStyle name="20% - Accent1 11 2 2 3 2 2" xfId="15264" xr:uid="{00000000-0005-0000-0000-000087000000}"/>
    <cellStyle name="20% - Accent1 11 2 2 3 2 2 2" xfId="39106" xr:uid="{01F8B3DB-A22D-4ACC-93DA-9AD9FCB7D394}"/>
    <cellStyle name="20% - Accent1 11 2 2 3 2 3" xfId="23210" xr:uid="{00000000-0005-0000-0000-000088000000}"/>
    <cellStyle name="20% - Accent1 11 2 2 3 2 3 2" xfId="47042" xr:uid="{650F60EE-ECCA-4523-B569-55D50733B0F4}"/>
    <cellStyle name="20% - Accent1 11 2 2 3 2 4" xfId="31165" xr:uid="{20266C6B-C6A7-41AD-A750-3E64011C1EAA}"/>
    <cellStyle name="20% - Accent1 11 2 2 3 3" xfId="11726" xr:uid="{00000000-0005-0000-0000-000089000000}"/>
    <cellStyle name="20% - Accent1 11 2 2 3 3 2" xfId="35575" xr:uid="{1B886F49-151C-4514-8615-090CE2D1F2B9}"/>
    <cellStyle name="20% - Accent1 11 2 2 3 4" xfId="19681" xr:uid="{00000000-0005-0000-0000-00008A000000}"/>
    <cellStyle name="20% - Accent1 11 2 2 3 4 2" xfId="43513" xr:uid="{B807B7A0-3F3D-4C07-A24B-FBC3FCC7373A}"/>
    <cellStyle name="20% - Accent1 11 2 2 3 5" xfId="27634" xr:uid="{10A321C6-0ECF-44B1-8CBE-7171828EE9D0}"/>
    <cellStyle name="20% - Accent1 11 2 2 4" xfId="5522" xr:uid="{00000000-0005-0000-0000-00008B000000}"/>
    <cellStyle name="20% - Accent1 11 2 2 4 2" xfId="13505" xr:uid="{00000000-0005-0000-0000-00008C000000}"/>
    <cellStyle name="20% - Accent1 11 2 2 4 2 2" xfId="37348" xr:uid="{FB1B32BB-5A2B-4A95-89A0-E81F363F6A95}"/>
    <cellStyle name="20% - Accent1 11 2 2 4 3" xfId="21453" xr:uid="{00000000-0005-0000-0000-00008D000000}"/>
    <cellStyle name="20% - Accent1 11 2 2 4 3 2" xfId="45285" xr:uid="{808186A3-A3FE-494C-85A1-011B821D2FBB}"/>
    <cellStyle name="20% - Accent1 11 2 2 4 4" xfId="29407" xr:uid="{503419DF-55B7-46AE-8F20-7CCD217EF253}"/>
    <cellStyle name="20% - Accent1 11 2 2 5" xfId="9074" xr:uid="{00000000-0005-0000-0000-00008E000000}"/>
    <cellStyle name="20% - Accent1 11 2 2 5 2" xfId="17032" xr:uid="{00000000-0005-0000-0000-00008F000000}"/>
    <cellStyle name="20% - Accent1 11 2 2 5 2 2" xfId="40872" xr:uid="{F4AFBAEE-357C-4FCE-BF0B-840F491C4DEA}"/>
    <cellStyle name="20% - Accent1 11 2 2 5 3" xfId="24976" xr:uid="{00000000-0005-0000-0000-000090000000}"/>
    <cellStyle name="20% - Accent1 11 2 2 5 3 2" xfId="48808" xr:uid="{5BACCE1A-01CE-4368-B5A4-F54DA2DF78C2}"/>
    <cellStyle name="20% - Accent1 11 2 2 5 4" xfId="32931" xr:uid="{A1D38150-C391-4EDB-A14E-73C6CFA12E42}"/>
    <cellStyle name="20% - Accent1 11 2 2 6" xfId="9970" xr:uid="{00000000-0005-0000-0000-000091000000}"/>
    <cellStyle name="20% - Accent1 11 2 2 6 2" xfId="33819" xr:uid="{CCFD0929-7C3A-4B8D-9526-D822F33AD1E0}"/>
    <cellStyle name="20% - Accent1 11 2 2 7" xfId="17925" xr:uid="{00000000-0005-0000-0000-000092000000}"/>
    <cellStyle name="20% - Accent1 11 2 2 7 2" xfId="41757" xr:uid="{A1F0A6FA-E96E-461E-A055-34119CD1C587}"/>
    <cellStyle name="20% - Accent1 11 2 2 8" xfId="25877" xr:uid="{88027599-2788-4D43-99CF-4CA8FD1F0E46}"/>
    <cellStyle name="20% - Accent1 11 2 2_Exh G" xfId="1944" xr:uid="{00000000-0005-0000-0000-000093000000}"/>
    <cellStyle name="20% - Accent1 11 2 3" xfId="1053" xr:uid="{00000000-0005-0000-0000-000094000000}"/>
    <cellStyle name="20% - Accent1 11 2 3 2" xfId="4580" xr:uid="{00000000-0005-0000-0000-000095000000}"/>
    <cellStyle name="20% - Accent1 11 2 3 2 2" xfId="8171" xr:uid="{00000000-0005-0000-0000-000096000000}"/>
    <cellStyle name="20% - Accent1 11 2 3 2 2 2" xfId="16141" xr:uid="{00000000-0005-0000-0000-000097000000}"/>
    <cellStyle name="20% - Accent1 11 2 3 2 2 2 2" xfId="39983" xr:uid="{61385533-D6B4-4114-93CA-103F34EBE538}"/>
    <cellStyle name="20% - Accent1 11 2 3 2 2 3" xfId="24087" xr:uid="{00000000-0005-0000-0000-000098000000}"/>
    <cellStyle name="20% - Accent1 11 2 3 2 2 3 2" xfId="47919" xr:uid="{350139C7-4249-43AA-8C79-EF009565B4EB}"/>
    <cellStyle name="20% - Accent1 11 2 3 2 2 4" xfId="32042" xr:uid="{E05A2BCA-0594-41B6-83C5-B53A54F4CB89}"/>
    <cellStyle name="20% - Accent1 11 2 3 2 3" xfId="12603" xr:uid="{00000000-0005-0000-0000-000099000000}"/>
    <cellStyle name="20% - Accent1 11 2 3 2 3 2" xfId="36452" xr:uid="{B7D65091-F356-436D-85D5-B91F27986052}"/>
    <cellStyle name="20% - Accent1 11 2 3 2 4" xfId="20558" xr:uid="{00000000-0005-0000-0000-00009A000000}"/>
    <cellStyle name="20% - Accent1 11 2 3 2 4 2" xfId="44390" xr:uid="{75892CFF-6E28-48C4-AB8B-6388ABC8A94F}"/>
    <cellStyle name="20% - Accent1 11 2 3 2 5" xfId="28511" xr:uid="{7C289BF1-3F55-4210-9811-05837FAA6628}"/>
    <cellStyle name="20% - Accent1 11 2 3 3" xfId="6412" xr:uid="{00000000-0005-0000-0000-00009B000000}"/>
    <cellStyle name="20% - Accent1 11 2 3 3 2" xfId="14383" xr:uid="{00000000-0005-0000-0000-00009C000000}"/>
    <cellStyle name="20% - Accent1 11 2 3 3 2 2" xfId="38225" xr:uid="{A76ABB9C-9283-49ED-AFD9-BADA7E2B390D}"/>
    <cellStyle name="20% - Accent1 11 2 3 3 3" xfId="22330" xr:uid="{00000000-0005-0000-0000-00009D000000}"/>
    <cellStyle name="20% - Accent1 11 2 3 3 3 2" xfId="46162" xr:uid="{EE4A4C8A-2600-4965-8D5A-5FF20E715EDE}"/>
    <cellStyle name="20% - Accent1 11 2 3 3 4" xfId="30284" xr:uid="{3B6A7999-ADFA-4AC9-B6B1-790CCC36D26C}"/>
    <cellStyle name="20% - Accent1 11 2 3 4" xfId="10847" xr:uid="{00000000-0005-0000-0000-00009E000000}"/>
    <cellStyle name="20% - Accent1 11 2 3 4 2" xfId="34696" xr:uid="{2628480D-22AF-435C-9326-BEB9FAE6D1FE}"/>
    <cellStyle name="20% - Accent1 11 2 3 5" xfId="18802" xr:uid="{00000000-0005-0000-0000-00009F000000}"/>
    <cellStyle name="20% - Accent1 11 2 3 5 2" xfId="42634" xr:uid="{F2BBCD79-D257-4514-BF97-59736BDDD1EA}"/>
    <cellStyle name="20% - Accent1 11 2 3 6" xfId="26754" xr:uid="{73B3B3C0-A321-4025-8724-486FBF3D73E3}"/>
    <cellStyle name="20% - Accent1 11 2 3_Exh G" xfId="1946" xr:uid="{00000000-0005-0000-0000-0000A0000000}"/>
    <cellStyle name="20% - Accent1 11 2 4" xfId="3701" xr:uid="{00000000-0005-0000-0000-0000A1000000}"/>
    <cellStyle name="20% - Accent1 11 2 4 2" xfId="7293" xr:uid="{00000000-0005-0000-0000-0000A2000000}"/>
    <cellStyle name="20% - Accent1 11 2 4 2 2" xfId="15263" xr:uid="{00000000-0005-0000-0000-0000A3000000}"/>
    <cellStyle name="20% - Accent1 11 2 4 2 2 2" xfId="39105" xr:uid="{8EB240E2-EAAB-4AA4-AD2D-BFCF4FF8E182}"/>
    <cellStyle name="20% - Accent1 11 2 4 2 3" xfId="23209" xr:uid="{00000000-0005-0000-0000-0000A4000000}"/>
    <cellStyle name="20% - Accent1 11 2 4 2 3 2" xfId="47041" xr:uid="{586639B0-C75A-4616-A8A4-5ECC072B50C7}"/>
    <cellStyle name="20% - Accent1 11 2 4 2 4" xfId="31164" xr:uid="{9DEDB03A-030D-4D13-B319-E7DC902630BF}"/>
    <cellStyle name="20% - Accent1 11 2 4 3" xfId="11725" xr:uid="{00000000-0005-0000-0000-0000A5000000}"/>
    <cellStyle name="20% - Accent1 11 2 4 3 2" xfId="35574" xr:uid="{EB82E3F1-26FB-4B28-B52D-24BA9A057ED1}"/>
    <cellStyle name="20% - Accent1 11 2 4 4" xfId="19680" xr:uid="{00000000-0005-0000-0000-0000A6000000}"/>
    <cellStyle name="20% - Accent1 11 2 4 4 2" xfId="43512" xr:uid="{6411BE3C-3336-45F9-B369-4DB900FD04DD}"/>
    <cellStyle name="20% - Accent1 11 2 4 5" xfId="27633" xr:uid="{C21CCF24-C8DC-4918-AD37-654C00F93FC2}"/>
    <cellStyle name="20% - Accent1 11 2 5" xfId="5521" xr:uid="{00000000-0005-0000-0000-0000A7000000}"/>
    <cellStyle name="20% - Accent1 11 2 5 2" xfId="13504" xr:uid="{00000000-0005-0000-0000-0000A8000000}"/>
    <cellStyle name="20% - Accent1 11 2 5 2 2" xfId="37347" xr:uid="{85D6C4B0-F3D1-48BF-A493-1BDF1C593F50}"/>
    <cellStyle name="20% - Accent1 11 2 5 3" xfId="21452" xr:uid="{00000000-0005-0000-0000-0000A9000000}"/>
    <cellStyle name="20% - Accent1 11 2 5 3 2" xfId="45284" xr:uid="{7F9DF758-ED0D-4F13-89D5-4D08805A5738}"/>
    <cellStyle name="20% - Accent1 11 2 5 4" xfId="29406" xr:uid="{2F9CF1C0-1FA0-4FD8-A558-349BEF425E9B}"/>
    <cellStyle name="20% - Accent1 11 2 6" xfId="9073" xr:uid="{00000000-0005-0000-0000-0000AA000000}"/>
    <cellStyle name="20% - Accent1 11 2 6 2" xfId="17031" xr:uid="{00000000-0005-0000-0000-0000AB000000}"/>
    <cellStyle name="20% - Accent1 11 2 6 2 2" xfId="40871" xr:uid="{BCFED2C9-48CB-47AA-B2A9-6A5DC225C92D}"/>
    <cellStyle name="20% - Accent1 11 2 6 3" xfId="24975" xr:uid="{00000000-0005-0000-0000-0000AC000000}"/>
    <cellStyle name="20% - Accent1 11 2 6 3 2" xfId="48807" xr:uid="{F3794D1E-B3AF-49AB-8A80-A2ED5FF4562F}"/>
    <cellStyle name="20% - Accent1 11 2 6 4" xfId="32930" xr:uid="{0C14DFC0-5806-401C-9DFA-E1C7B535A924}"/>
    <cellStyle name="20% - Accent1 11 2 7" xfId="9969" xr:uid="{00000000-0005-0000-0000-0000AD000000}"/>
    <cellStyle name="20% - Accent1 11 2 7 2" xfId="33818" xr:uid="{D376191B-4778-4F76-84AE-24ED3675BB71}"/>
    <cellStyle name="20% - Accent1 11 2 8" xfId="17924" xr:uid="{00000000-0005-0000-0000-0000AE000000}"/>
    <cellStyle name="20% - Accent1 11 2 8 2" xfId="41756" xr:uid="{9DEDF6D3-F8C3-4507-9DB4-4221F897DEF4}"/>
    <cellStyle name="20% - Accent1 11 2 9" xfId="25876" xr:uid="{AE45FDA3-81BF-445C-8613-4E7E219857EC}"/>
    <cellStyle name="20% - Accent1 11 2_Exh G" xfId="1943" xr:uid="{00000000-0005-0000-0000-0000AF000000}"/>
    <cellStyle name="20% - Accent1 11 3" xfId="29" xr:uid="{00000000-0005-0000-0000-0000B0000000}"/>
    <cellStyle name="20% - Accent1 11 3 2" xfId="1055" xr:uid="{00000000-0005-0000-0000-0000B1000000}"/>
    <cellStyle name="20% - Accent1 11 3 2 2" xfId="4582" xr:uid="{00000000-0005-0000-0000-0000B2000000}"/>
    <cellStyle name="20% - Accent1 11 3 2 2 2" xfId="8173" xr:uid="{00000000-0005-0000-0000-0000B3000000}"/>
    <cellStyle name="20% - Accent1 11 3 2 2 2 2" xfId="16143" xr:uid="{00000000-0005-0000-0000-0000B4000000}"/>
    <cellStyle name="20% - Accent1 11 3 2 2 2 2 2" xfId="39985" xr:uid="{BD4817E8-4484-4768-BB2E-008739D9DA29}"/>
    <cellStyle name="20% - Accent1 11 3 2 2 2 3" xfId="24089" xr:uid="{00000000-0005-0000-0000-0000B5000000}"/>
    <cellStyle name="20% - Accent1 11 3 2 2 2 3 2" xfId="47921" xr:uid="{665153B9-19D9-488F-9ACF-8C7D1392B68D}"/>
    <cellStyle name="20% - Accent1 11 3 2 2 2 4" xfId="32044" xr:uid="{880E1339-35EF-4DE2-8DBA-BA5609D93862}"/>
    <cellStyle name="20% - Accent1 11 3 2 2 3" xfId="12605" xr:uid="{00000000-0005-0000-0000-0000B6000000}"/>
    <cellStyle name="20% - Accent1 11 3 2 2 3 2" xfId="36454" xr:uid="{E5B9DC25-0D79-4264-A2AC-0F7F3DDEC210}"/>
    <cellStyle name="20% - Accent1 11 3 2 2 4" xfId="20560" xr:uid="{00000000-0005-0000-0000-0000B7000000}"/>
    <cellStyle name="20% - Accent1 11 3 2 2 4 2" xfId="44392" xr:uid="{36955A7A-C196-47C4-BC16-0F9442419DB0}"/>
    <cellStyle name="20% - Accent1 11 3 2 2 5" xfId="28513" xr:uid="{F00C90F9-51CC-4DAB-8C64-869D87B1E9B4}"/>
    <cellStyle name="20% - Accent1 11 3 2 3" xfId="6414" xr:uid="{00000000-0005-0000-0000-0000B8000000}"/>
    <cellStyle name="20% - Accent1 11 3 2 3 2" xfId="14385" xr:uid="{00000000-0005-0000-0000-0000B9000000}"/>
    <cellStyle name="20% - Accent1 11 3 2 3 2 2" xfId="38227" xr:uid="{BE8C9416-AB9D-4DC7-AFFF-E1CF88DF1B92}"/>
    <cellStyle name="20% - Accent1 11 3 2 3 3" xfId="22332" xr:uid="{00000000-0005-0000-0000-0000BA000000}"/>
    <cellStyle name="20% - Accent1 11 3 2 3 3 2" xfId="46164" xr:uid="{505F3B1C-8EA9-4A3E-AE1F-494E69B07CAF}"/>
    <cellStyle name="20% - Accent1 11 3 2 3 4" xfId="30286" xr:uid="{A982D095-15F4-45BD-9532-19246E39B849}"/>
    <cellStyle name="20% - Accent1 11 3 2 4" xfId="10849" xr:uid="{00000000-0005-0000-0000-0000BB000000}"/>
    <cellStyle name="20% - Accent1 11 3 2 4 2" xfId="34698" xr:uid="{1E0698A4-B3B8-43A5-BBDC-E4DD91D80A52}"/>
    <cellStyle name="20% - Accent1 11 3 2 5" xfId="18804" xr:uid="{00000000-0005-0000-0000-0000BC000000}"/>
    <cellStyle name="20% - Accent1 11 3 2 5 2" xfId="42636" xr:uid="{FD9AF2AA-5A47-47AA-B1FD-2A7D946DDA63}"/>
    <cellStyle name="20% - Accent1 11 3 2 6" xfId="26756" xr:uid="{7BA671AE-3C4D-483C-A68C-E9C03863C60A}"/>
    <cellStyle name="20% - Accent1 11 3 2_Exh G" xfId="1948" xr:uid="{00000000-0005-0000-0000-0000BD000000}"/>
    <cellStyle name="20% - Accent1 11 3 3" xfId="3703" xr:uid="{00000000-0005-0000-0000-0000BE000000}"/>
    <cellStyle name="20% - Accent1 11 3 3 2" xfId="7295" xr:uid="{00000000-0005-0000-0000-0000BF000000}"/>
    <cellStyle name="20% - Accent1 11 3 3 2 2" xfId="15265" xr:uid="{00000000-0005-0000-0000-0000C0000000}"/>
    <cellStyle name="20% - Accent1 11 3 3 2 2 2" xfId="39107" xr:uid="{540419EC-737C-46B8-925D-EFC596503579}"/>
    <cellStyle name="20% - Accent1 11 3 3 2 3" xfId="23211" xr:uid="{00000000-0005-0000-0000-0000C1000000}"/>
    <cellStyle name="20% - Accent1 11 3 3 2 3 2" xfId="47043" xr:uid="{9B0B8263-D578-4503-8D10-07C4D99C621E}"/>
    <cellStyle name="20% - Accent1 11 3 3 2 4" xfId="31166" xr:uid="{867051FB-1E15-450D-A74A-0DE91DF6ADC8}"/>
    <cellStyle name="20% - Accent1 11 3 3 3" xfId="11727" xr:uid="{00000000-0005-0000-0000-0000C2000000}"/>
    <cellStyle name="20% - Accent1 11 3 3 3 2" xfId="35576" xr:uid="{5140F261-D019-454B-B2A1-66A226991E56}"/>
    <cellStyle name="20% - Accent1 11 3 3 4" xfId="19682" xr:uid="{00000000-0005-0000-0000-0000C3000000}"/>
    <cellStyle name="20% - Accent1 11 3 3 4 2" xfId="43514" xr:uid="{611BBEB2-2D22-4694-909A-9FA1D3DB4FCD}"/>
    <cellStyle name="20% - Accent1 11 3 3 5" xfId="27635" xr:uid="{B3061921-57FE-4934-9908-DF61209A3E30}"/>
    <cellStyle name="20% - Accent1 11 3 4" xfId="5523" xr:uid="{00000000-0005-0000-0000-0000C4000000}"/>
    <cellStyle name="20% - Accent1 11 3 4 2" xfId="13506" xr:uid="{00000000-0005-0000-0000-0000C5000000}"/>
    <cellStyle name="20% - Accent1 11 3 4 2 2" xfId="37349" xr:uid="{05D47188-0D9C-4EE6-8556-9C57EE671E14}"/>
    <cellStyle name="20% - Accent1 11 3 4 3" xfId="21454" xr:uid="{00000000-0005-0000-0000-0000C6000000}"/>
    <cellStyle name="20% - Accent1 11 3 4 3 2" xfId="45286" xr:uid="{94897D2F-4526-4395-AD8B-006321987695}"/>
    <cellStyle name="20% - Accent1 11 3 4 4" xfId="29408" xr:uid="{3D7BA088-0747-4B58-884F-D6A36E5D964C}"/>
    <cellStyle name="20% - Accent1 11 3 5" xfId="9075" xr:uid="{00000000-0005-0000-0000-0000C7000000}"/>
    <cellStyle name="20% - Accent1 11 3 5 2" xfId="17033" xr:uid="{00000000-0005-0000-0000-0000C8000000}"/>
    <cellStyle name="20% - Accent1 11 3 5 2 2" xfId="40873" xr:uid="{AF8F702B-7024-4D66-B17F-28B9D6FA79F1}"/>
    <cellStyle name="20% - Accent1 11 3 5 3" xfId="24977" xr:uid="{00000000-0005-0000-0000-0000C9000000}"/>
    <cellStyle name="20% - Accent1 11 3 5 3 2" xfId="48809" xr:uid="{9798F560-85DF-4323-B716-A0D722A09184}"/>
    <cellStyle name="20% - Accent1 11 3 5 4" xfId="32932" xr:uid="{4C3A8EA2-4AA0-420A-A608-4B475F26FF99}"/>
    <cellStyle name="20% - Accent1 11 3 6" xfId="9971" xr:uid="{00000000-0005-0000-0000-0000CA000000}"/>
    <cellStyle name="20% - Accent1 11 3 6 2" xfId="33820" xr:uid="{99CC59F9-0122-4D5D-85E0-7BA09CD5CD47}"/>
    <cellStyle name="20% - Accent1 11 3 7" xfId="17926" xr:uid="{00000000-0005-0000-0000-0000CB000000}"/>
    <cellStyle name="20% - Accent1 11 3 7 2" xfId="41758" xr:uid="{3CD32E5B-036F-48F6-B0F4-ED98B9DA21D2}"/>
    <cellStyle name="20% - Accent1 11 3 8" xfId="25878" xr:uid="{D07C72AC-6972-4795-83B1-56C1395B170C}"/>
    <cellStyle name="20% - Accent1 11 3_Exh G" xfId="1947" xr:uid="{00000000-0005-0000-0000-0000CC000000}"/>
    <cellStyle name="20% - Accent1 11 4" xfId="1052" xr:uid="{00000000-0005-0000-0000-0000CD000000}"/>
    <cellStyle name="20% - Accent1 11 4 2" xfId="4579" xr:uid="{00000000-0005-0000-0000-0000CE000000}"/>
    <cellStyle name="20% - Accent1 11 4 2 2" xfId="8170" xr:uid="{00000000-0005-0000-0000-0000CF000000}"/>
    <cellStyle name="20% - Accent1 11 4 2 2 2" xfId="16140" xr:uid="{00000000-0005-0000-0000-0000D0000000}"/>
    <cellStyle name="20% - Accent1 11 4 2 2 2 2" xfId="39982" xr:uid="{8AD99FBC-EC62-4C20-B6D0-EB988DD9F03D}"/>
    <cellStyle name="20% - Accent1 11 4 2 2 3" xfId="24086" xr:uid="{00000000-0005-0000-0000-0000D1000000}"/>
    <cellStyle name="20% - Accent1 11 4 2 2 3 2" xfId="47918" xr:uid="{4E447B79-C646-47CC-9148-21AE02DAE3BC}"/>
    <cellStyle name="20% - Accent1 11 4 2 2 4" xfId="32041" xr:uid="{95AB6CDA-197C-4397-A3AC-18AC6DA18AE4}"/>
    <cellStyle name="20% - Accent1 11 4 2 3" xfId="12602" xr:uid="{00000000-0005-0000-0000-0000D2000000}"/>
    <cellStyle name="20% - Accent1 11 4 2 3 2" xfId="36451" xr:uid="{A037AC63-9C60-4F04-953B-D7ECB4158E89}"/>
    <cellStyle name="20% - Accent1 11 4 2 4" xfId="20557" xr:uid="{00000000-0005-0000-0000-0000D3000000}"/>
    <cellStyle name="20% - Accent1 11 4 2 4 2" xfId="44389" xr:uid="{CF0FC6EC-20F6-417F-B83A-78998ED7FFAD}"/>
    <cellStyle name="20% - Accent1 11 4 2 5" xfId="28510" xr:uid="{F522EA8A-0A0F-4E04-91D0-5F80E12A25D9}"/>
    <cellStyle name="20% - Accent1 11 4 3" xfId="6411" xr:uid="{00000000-0005-0000-0000-0000D4000000}"/>
    <cellStyle name="20% - Accent1 11 4 3 2" xfId="14382" xr:uid="{00000000-0005-0000-0000-0000D5000000}"/>
    <cellStyle name="20% - Accent1 11 4 3 2 2" xfId="38224" xr:uid="{7BD5B17A-3325-4E0E-AAC0-3E8ABDB6F7DD}"/>
    <cellStyle name="20% - Accent1 11 4 3 3" xfId="22329" xr:uid="{00000000-0005-0000-0000-0000D6000000}"/>
    <cellStyle name="20% - Accent1 11 4 3 3 2" xfId="46161" xr:uid="{BD24290F-523B-476D-8E1B-DCDF1573673C}"/>
    <cellStyle name="20% - Accent1 11 4 3 4" xfId="30283" xr:uid="{3F641833-3C42-45F0-B302-8AFC1C28B6BA}"/>
    <cellStyle name="20% - Accent1 11 4 4" xfId="10846" xr:uid="{00000000-0005-0000-0000-0000D7000000}"/>
    <cellStyle name="20% - Accent1 11 4 4 2" xfId="34695" xr:uid="{BE1ACBB9-F284-4E47-9781-1B545DDD78E3}"/>
    <cellStyle name="20% - Accent1 11 4 5" xfId="18801" xr:uid="{00000000-0005-0000-0000-0000D8000000}"/>
    <cellStyle name="20% - Accent1 11 4 5 2" xfId="42633" xr:uid="{710B58FA-3519-4BCB-8DA3-47B82B10DA11}"/>
    <cellStyle name="20% - Accent1 11 4 6" xfId="26753" xr:uid="{87DBA921-6A46-4AD5-A32A-251FDA7313D2}"/>
    <cellStyle name="20% - Accent1 11 4_Exh G" xfId="1949" xr:uid="{00000000-0005-0000-0000-0000D9000000}"/>
    <cellStyle name="20% - Accent1 11 5" xfId="3700" xr:uid="{00000000-0005-0000-0000-0000DA000000}"/>
    <cellStyle name="20% - Accent1 11 5 2" xfId="7292" xr:uid="{00000000-0005-0000-0000-0000DB000000}"/>
    <cellStyle name="20% - Accent1 11 5 2 2" xfId="15262" xr:uid="{00000000-0005-0000-0000-0000DC000000}"/>
    <cellStyle name="20% - Accent1 11 5 2 2 2" xfId="39104" xr:uid="{98656AE4-76C8-4978-A72D-648F6527F227}"/>
    <cellStyle name="20% - Accent1 11 5 2 3" xfId="23208" xr:uid="{00000000-0005-0000-0000-0000DD000000}"/>
    <cellStyle name="20% - Accent1 11 5 2 3 2" xfId="47040" xr:uid="{7EF4E9E8-A4D3-44E8-8AAE-1C3EB97D0192}"/>
    <cellStyle name="20% - Accent1 11 5 2 4" xfId="31163" xr:uid="{8C0B7F2C-8C3F-4545-9B35-2E1F4744E1E9}"/>
    <cellStyle name="20% - Accent1 11 5 3" xfId="11724" xr:uid="{00000000-0005-0000-0000-0000DE000000}"/>
    <cellStyle name="20% - Accent1 11 5 3 2" xfId="35573" xr:uid="{F6AF4C64-C182-41B4-A967-D82EE6A234FE}"/>
    <cellStyle name="20% - Accent1 11 5 4" xfId="19679" xr:uid="{00000000-0005-0000-0000-0000DF000000}"/>
    <cellStyle name="20% - Accent1 11 5 4 2" xfId="43511" xr:uid="{E9760052-1E98-4239-9953-353C3157D1FF}"/>
    <cellStyle name="20% - Accent1 11 5 5" xfId="27632" xr:uid="{5E748CBD-3AB9-4741-909A-FEA379D24CD1}"/>
    <cellStyle name="20% - Accent1 11 6" xfId="5520" xr:uid="{00000000-0005-0000-0000-0000E0000000}"/>
    <cellStyle name="20% - Accent1 11 6 2" xfId="13503" xr:uid="{00000000-0005-0000-0000-0000E1000000}"/>
    <cellStyle name="20% - Accent1 11 6 2 2" xfId="37346" xr:uid="{51A9C1D4-68D5-40CF-BDF0-23BAE29AC24A}"/>
    <cellStyle name="20% - Accent1 11 6 3" xfId="21451" xr:uid="{00000000-0005-0000-0000-0000E2000000}"/>
    <cellStyle name="20% - Accent1 11 6 3 2" xfId="45283" xr:uid="{C3E20080-9754-4048-B3C7-2F643A08D7AF}"/>
    <cellStyle name="20% - Accent1 11 6 4" xfId="29405" xr:uid="{0883506A-BAE1-4EB0-BD92-4CF8125CEA97}"/>
    <cellStyle name="20% - Accent1 11 7" xfId="9072" xr:uid="{00000000-0005-0000-0000-0000E3000000}"/>
    <cellStyle name="20% - Accent1 11 7 2" xfId="17030" xr:uid="{00000000-0005-0000-0000-0000E4000000}"/>
    <cellStyle name="20% - Accent1 11 7 2 2" xfId="40870" xr:uid="{C3B11A23-F6A1-411D-AA43-0202BB2C7DA5}"/>
    <cellStyle name="20% - Accent1 11 7 3" xfId="24974" xr:uid="{00000000-0005-0000-0000-0000E5000000}"/>
    <cellStyle name="20% - Accent1 11 7 3 2" xfId="48806" xr:uid="{42800AEA-016F-400E-A23A-A0400B9B0AF6}"/>
    <cellStyle name="20% - Accent1 11 7 4" xfId="32929" xr:uid="{5508975B-B46C-4AD1-AFE6-AB80B5BE0EFD}"/>
    <cellStyle name="20% - Accent1 11 8" xfId="9968" xr:uid="{00000000-0005-0000-0000-0000E6000000}"/>
    <cellStyle name="20% - Accent1 11 8 2" xfId="33817" xr:uid="{084BFD42-888F-42A7-9CA4-9110983BFCA1}"/>
    <cellStyle name="20% - Accent1 11 9" xfId="17923" xr:uid="{00000000-0005-0000-0000-0000E7000000}"/>
    <cellStyle name="20% - Accent1 11 9 2" xfId="41755" xr:uid="{FA9C14DC-D8EB-46B1-A759-843F86D19D08}"/>
    <cellStyle name="20% - Accent1 11_Exh G" xfId="1942" xr:uid="{00000000-0005-0000-0000-0000E8000000}"/>
    <cellStyle name="20% - Accent1 12" xfId="30" xr:uid="{00000000-0005-0000-0000-0000E9000000}"/>
    <cellStyle name="20% - Accent1 12 10" xfId="25879" xr:uid="{29852C98-1C95-42FE-8122-4D6793EEBE0B}"/>
    <cellStyle name="20% - Accent1 12 2" xfId="31" xr:uid="{00000000-0005-0000-0000-0000EA000000}"/>
    <cellStyle name="20% - Accent1 12 2 2" xfId="32" xr:uid="{00000000-0005-0000-0000-0000EB000000}"/>
    <cellStyle name="20% - Accent1 12 2 2 2" xfId="1058" xr:uid="{00000000-0005-0000-0000-0000EC000000}"/>
    <cellStyle name="20% - Accent1 12 2 2 2 2" xfId="4585" xr:uid="{00000000-0005-0000-0000-0000ED000000}"/>
    <cellStyle name="20% - Accent1 12 2 2 2 2 2" xfId="8176" xr:uid="{00000000-0005-0000-0000-0000EE000000}"/>
    <cellStyle name="20% - Accent1 12 2 2 2 2 2 2" xfId="16146" xr:uid="{00000000-0005-0000-0000-0000EF000000}"/>
    <cellStyle name="20% - Accent1 12 2 2 2 2 2 2 2" xfId="39988" xr:uid="{336790F4-F0CA-46DE-B031-D953E37F2452}"/>
    <cellStyle name="20% - Accent1 12 2 2 2 2 2 3" xfId="24092" xr:uid="{00000000-0005-0000-0000-0000F0000000}"/>
    <cellStyle name="20% - Accent1 12 2 2 2 2 2 3 2" xfId="47924" xr:uid="{4FC2B80D-4F7F-453E-8F39-26BD0849F231}"/>
    <cellStyle name="20% - Accent1 12 2 2 2 2 2 4" xfId="32047" xr:uid="{53D2F3A1-1162-4433-8389-B91C45E889EE}"/>
    <cellStyle name="20% - Accent1 12 2 2 2 2 3" xfId="12608" xr:uid="{00000000-0005-0000-0000-0000F1000000}"/>
    <cellStyle name="20% - Accent1 12 2 2 2 2 3 2" xfId="36457" xr:uid="{18716E5A-C4A1-47A8-9CEC-D0CBCA281B1D}"/>
    <cellStyle name="20% - Accent1 12 2 2 2 2 4" xfId="20563" xr:uid="{00000000-0005-0000-0000-0000F2000000}"/>
    <cellStyle name="20% - Accent1 12 2 2 2 2 4 2" xfId="44395" xr:uid="{EA2FFFDF-D542-47CA-85F7-27E717AB40E8}"/>
    <cellStyle name="20% - Accent1 12 2 2 2 2 5" xfId="28516" xr:uid="{995FE494-4C97-4CB3-9009-D78B0EF2FAA2}"/>
    <cellStyle name="20% - Accent1 12 2 2 2 3" xfId="6417" xr:uid="{00000000-0005-0000-0000-0000F3000000}"/>
    <cellStyle name="20% - Accent1 12 2 2 2 3 2" xfId="14388" xr:uid="{00000000-0005-0000-0000-0000F4000000}"/>
    <cellStyle name="20% - Accent1 12 2 2 2 3 2 2" xfId="38230" xr:uid="{610D6AE4-7C46-4F37-B7E1-46BBB64BE79E}"/>
    <cellStyle name="20% - Accent1 12 2 2 2 3 3" xfId="22335" xr:uid="{00000000-0005-0000-0000-0000F5000000}"/>
    <cellStyle name="20% - Accent1 12 2 2 2 3 3 2" xfId="46167" xr:uid="{BE1F11A2-B026-4489-8A07-2B7B1A776433}"/>
    <cellStyle name="20% - Accent1 12 2 2 2 3 4" xfId="30289" xr:uid="{6602DCFC-4672-4454-B365-C046AE65DAE8}"/>
    <cellStyle name="20% - Accent1 12 2 2 2 4" xfId="10852" xr:uid="{00000000-0005-0000-0000-0000F6000000}"/>
    <cellStyle name="20% - Accent1 12 2 2 2 4 2" xfId="34701" xr:uid="{FB98596C-A7DF-4935-9FCA-BC5AF6ABBC72}"/>
    <cellStyle name="20% - Accent1 12 2 2 2 5" xfId="18807" xr:uid="{00000000-0005-0000-0000-0000F7000000}"/>
    <cellStyle name="20% - Accent1 12 2 2 2 5 2" xfId="42639" xr:uid="{A9D55ACB-EA93-4A2D-B90B-245F7CECBE27}"/>
    <cellStyle name="20% - Accent1 12 2 2 2 6" xfId="26759" xr:uid="{E57A9EC9-4616-4376-9D32-630F80CB37F9}"/>
    <cellStyle name="20% - Accent1 12 2 2 2_Exh G" xfId="1953" xr:uid="{00000000-0005-0000-0000-0000F8000000}"/>
    <cellStyle name="20% - Accent1 12 2 2 3" xfId="3706" xr:uid="{00000000-0005-0000-0000-0000F9000000}"/>
    <cellStyle name="20% - Accent1 12 2 2 3 2" xfId="7298" xr:uid="{00000000-0005-0000-0000-0000FA000000}"/>
    <cellStyle name="20% - Accent1 12 2 2 3 2 2" xfId="15268" xr:uid="{00000000-0005-0000-0000-0000FB000000}"/>
    <cellStyle name="20% - Accent1 12 2 2 3 2 2 2" xfId="39110" xr:uid="{1B6ACDBE-6065-4125-8A5E-1898393E6B28}"/>
    <cellStyle name="20% - Accent1 12 2 2 3 2 3" xfId="23214" xr:uid="{00000000-0005-0000-0000-0000FC000000}"/>
    <cellStyle name="20% - Accent1 12 2 2 3 2 3 2" xfId="47046" xr:uid="{CA4EFAE2-2CA3-4F98-99A9-DB2EE4C148C1}"/>
    <cellStyle name="20% - Accent1 12 2 2 3 2 4" xfId="31169" xr:uid="{CFA7D174-2847-459C-A9AC-8DD34A87F7E6}"/>
    <cellStyle name="20% - Accent1 12 2 2 3 3" xfId="11730" xr:uid="{00000000-0005-0000-0000-0000FD000000}"/>
    <cellStyle name="20% - Accent1 12 2 2 3 3 2" xfId="35579" xr:uid="{D350C77B-2F29-42F4-8D30-D07D694ADBCA}"/>
    <cellStyle name="20% - Accent1 12 2 2 3 4" xfId="19685" xr:uid="{00000000-0005-0000-0000-0000FE000000}"/>
    <cellStyle name="20% - Accent1 12 2 2 3 4 2" xfId="43517" xr:uid="{367AF1CC-6DE5-44F8-B3CE-1DBA7D580D1F}"/>
    <cellStyle name="20% - Accent1 12 2 2 3 5" xfId="27638" xr:uid="{06E322ED-DCC0-4A8C-B37B-E830011EC382}"/>
    <cellStyle name="20% - Accent1 12 2 2 4" xfId="5526" xr:uid="{00000000-0005-0000-0000-0000FF000000}"/>
    <cellStyle name="20% - Accent1 12 2 2 4 2" xfId="13509" xr:uid="{00000000-0005-0000-0000-000000010000}"/>
    <cellStyle name="20% - Accent1 12 2 2 4 2 2" xfId="37352" xr:uid="{6F7937D2-797D-4EDC-9E5A-EA7E5368E358}"/>
    <cellStyle name="20% - Accent1 12 2 2 4 3" xfId="21457" xr:uid="{00000000-0005-0000-0000-000001010000}"/>
    <cellStyle name="20% - Accent1 12 2 2 4 3 2" xfId="45289" xr:uid="{A58912DF-DF44-476A-BFFE-6623B0077646}"/>
    <cellStyle name="20% - Accent1 12 2 2 4 4" xfId="29411" xr:uid="{4F0C71AD-9C5B-410A-B499-30E0BD70FB02}"/>
    <cellStyle name="20% - Accent1 12 2 2 5" xfId="9078" xr:uid="{00000000-0005-0000-0000-000002010000}"/>
    <cellStyle name="20% - Accent1 12 2 2 5 2" xfId="17036" xr:uid="{00000000-0005-0000-0000-000003010000}"/>
    <cellStyle name="20% - Accent1 12 2 2 5 2 2" xfId="40876" xr:uid="{6F68F345-DA2B-4648-8551-137358269877}"/>
    <cellStyle name="20% - Accent1 12 2 2 5 3" xfId="24980" xr:uid="{00000000-0005-0000-0000-000004010000}"/>
    <cellStyle name="20% - Accent1 12 2 2 5 3 2" xfId="48812" xr:uid="{6A423494-B06F-4B31-8B0C-6DA556448933}"/>
    <cellStyle name="20% - Accent1 12 2 2 5 4" xfId="32935" xr:uid="{975622CD-F0B3-4870-94D5-E758B8E5BCEB}"/>
    <cellStyle name="20% - Accent1 12 2 2 6" xfId="9974" xr:uid="{00000000-0005-0000-0000-000005010000}"/>
    <cellStyle name="20% - Accent1 12 2 2 6 2" xfId="33823" xr:uid="{017DD113-1547-4E37-A506-512E9C0503E7}"/>
    <cellStyle name="20% - Accent1 12 2 2 7" xfId="17929" xr:uid="{00000000-0005-0000-0000-000006010000}"/>
    <cellStyle name="20% - Accent1 12 2 2 7 2" xfId="41761" xr:uid="{F6C7B7EA-D80D-4F98-8BF7-BA8BEA7693E5}"/>
    <cellStyle name="20% - Accent1 12 2 2 8" xfId="25881" xr:uid="{EE694A3A-AD27-40F7-9B3E-978441050ACC}"/>
    <cellStyle name="20% - Accent1 12 2 2_Exh G" xfId="1952" xr:uid="{00000000-0005-0000-0000-000007010000}"/>
    <cellStyle name="20% - Accent1 12 2 3" xfId="1057" xr:uid="{00000000-0005-0000-0000-000008010000}"/>
    <cellStyle name="20% - Accent1 12 2 3 2" xfId="4584" xr:uid="{00000000-0005-0000-0000-000009010000}"/>
    <cellStyle name="20% - Accent1 12 2 3 2 2" xfId="8175" xr:uid="{00000000-0005-0000-0000-00000A010000}"/>
    <cellStyle name="20% - Accent1 12 2 3 2 2 2" xfId="16145" xr:uid="{00000000-0005-0000-0000-00000B010000}"/>
    <cellStyle name="20% - Accent1 12 2 3 2 2 2 2" xfId="39987" xr:uid="{C6E0F24E-5152-4DFC-B88A-E5C3D972F697}"/>
    <cellStyle name="20% - Accent1 12 2 3 2 2 3" xfId="24091" xr:uid="{00000000-0005-0000-0000-00000C010000}"/>
    <cellStyle name="20% - Accent1 12 2 3 2 2 3 2" xfId="47923" xr:uid="{B991E387-DFD1-4C8F-B55A-41A74D86E292}"/>
    <cellStyle name="20% - Accent1 12 2 3 2 2 4" xfId="32046" xr:uid="{7ADAD8A0-1C06-4B6F-92C5-650D3133D2B1}"/>
    <cellStyle name="20% - Accent1 12 2 3 2 3" xfId="12607" xr:uid="{00000000-0005-0000-0000-00000D010000}"/>
    <cellStyle name="20% - Accent1 12 2 3 2 3 2" xfId="36456" xr:uid="{CA3B03D0-DBBE-40C0-AB1F-D5E1F5D38DB1}"/>
    <cellStyle name="20% - Accent1 12 2 3 2 4" xfId="20562" xr:uid="{00000000-0005-0000-0000-00000E010000}"/>
    <cellStyle name="20% - Accent1 12 2 3 2 4 2" xfId="44394" xr:uid="{5ACACAC5-9EA8-4348-87EC-C8EB8A8EBFFA}"/>
    <cellStyle name="20% - Accent1 12 2 3 2 5" xfId="28515" xr:uid="{45EA3ACF-DF2B-4A40-951D-F7ABEDBC17AE}"/>
    <cellStyle name="20% - Accent1 12 2 3 3" xfId="6416" xr:uid="{00000000-0005-0000-0000-00000F010000}"/>
    <cellStyle name="20% - Accent1 12 2 3 3 2" xfId="14387" xr:uid="{00000000-0005-0000-0000-000010010000}"/>
    <cellStyle name="20% - Accent1 12 2 3 3 2 2" xfId="38229" xr:uid="{EA03851A-6F08-441B-8F33-D0C24D83C499}"/>
    <cellStyle name="20% - Accent1 12 2 3 3 3" xfId="22334" xr:uid="{00000000-0005-0000-0000-000011010000}"/>
    <cellStyle name="20% - Accent1 12 2 3 3 3 2" xfId="46166" xr:uid="{1A4B3B16-BB84-4B12-BAF8-9DBFA8492A22}"/>
    <cellStyle name="20% - Accent1 12 2 3 3 4" xfId="30288" xr:uid="{9612D94A-51C9-4ECD-A4DA-045D2031CF7B}"/>
    <cellStyle name="20% - Accent1 12 2 3 4" xfId="10851" xr:uid="{00000000-0005-0000-0000-000012010000}"/>
    <cellStyle name="20% - Accent1 12 2 3 4 2" xfId="34700" xr:uid="{1FD0DF3F-1B6D-4437-8039-ED50DDD1BBDA}"/>
    <cellStyle name="20% - Accent1 12 2 3 5" xfId="18806" xr:uid="{00000000-0005-0000-0000-000013010000}"/>
    <cellStyle name="20% - Accent1 12 2 3 5 2" xfId="42638" xr:uid="{D52DCF90-2911-41FD-A2EC-FE284C340875}"/>
    <cellStyle name="20% - Accent1 12 2 3 6" xfId="26758" xr:uid="{0142C96B-B1FB-433F-AAAB-2BBB0B463926}"/>
    <cellStyle name="20% - Accent1 12 2 3_Exh G" xfId="1954" xr:uid="{00000000-0005-0000-0000-000014010000}"/>
    <cellStyle name="20% - Accent1 12 2 4" xfId="3705" xr:uid="{00000000-0005-0000-0000-000015010000}"/>
    <cellStyle name="20% - Accent1 12 2 4 2" xfId="7297" xr:uid="{00000000-0005-0000-0000-000016010000}"/>
    <cellStyle name="20% - Accent1 12 2 4 2 2" xfId="15267" xr:uid="{00000000-0005-0000-0000-000017010000}"/>
    <cellStyle name="20% - Accent1 12 2 4 2 2 2" xfId="39109" xr:uid="{F1E2F159-A368-40A5-9D4D-74AC49B67F8C}"/>
    <cellStyle name="20% - Accent1 12 2 4 2 3" xfId="23213" xr:uid="{00000000-0005-0000-0000-000018010000}"/>
    <cellStyle name="20% - Accent1 12 2 4 2 3 2" xfId="47045" xr:uid="{DE62C06A-A841-4E53-B9D1-6F03A6FF9DB8}"/>
    <cellStyle name="20% - Accent1 12 2 4 2 4" xfId="31168" xr:uid="{54F1E031-257A-4491-B33E-7C43CE0969CE}"/>
    <cellStyle name="20% - Accent1 12 2 4 3" xfId="11729" xr:uid="{00000000-0005-0000-0000-000019010000}"/>
    <cellStyle name="20% - Accent1 12 2 4 3 2" xfId="35578" xr:uid="{D548C1E9-353E-46A1-9108-B4D8D4BB517F}"/>
    <cellStyle name="20% - Accent1 12 2 4 4" xfId="19684" xr:uid="{00000000-0005-0000-0000-00001A010000}"/>
    <cellStyle name="20% - Accent1 12 2 4 4 2" xfId="43516" xr:uid="{943F2636-7B71-45FF-8D6E-902241826BA1}"/>
    <cellStyle name="20% - Accent1 12 2 4 5" xfId="27637" xr:uid="{3EE24360-C107-4094-A39F-9088963D4FC2}"/>
    <cellStyle name="20% - Accent1 12 2 5" xfId="5525" xr:uid="{00000000-0005-0000-0000-00001B010000}"/>
    <cellStyle name="20% - Accent1 12 2 5 2" xfId="13508" xr:uid="{00000000-0005-0000-0000-00001C010000}"/>
    <cellStyle name="20% - Accent1 12 2 5 2 2" xfId="37351" xr:uid="{DF2C83AA-8174-4AAB-BDDB-4FCF56F07C4F}"/>
    <cellStyle name="20% - Accent1 12 2 5 3" xfId="21456" xr:uid="{00000000-0005-0000-0000-00001D010000}"/>
    <cellStyle name="20% - Accent1 12 2 5 3 2" xfId="45288" xr:uid="{5D188469-B712-43CA-B79C-4A654893F1D8}"/>
    <cellStyle name="20% - Accent1 12 2 5 4" xfId="29410" xr:uid="{9FAB63A6-AE1A-4C9A-86B2-CD07BD394D9A}"/>
    <cellStyle name="20% - Accent1 12 2 6" xfId="9077" xr:uid="{00000000-0005-0000-0000-00001E010000}"/>
    <cellStyle name="20% - Accent1 12 2 6 2" xfId="17035" xr:uid="{00000000-0005-0000-0000-00001F010000}"/>
    <cellStyle name="20% - Accent1 12 2 6 2 2" xfId="40875" xr:uid="{9AAA874B-4EB8-4A6A-A4FB-164E5698577F}"/>
    <cellStyle name="20% - Accent1 12 2 6 3" xfId="24979" xr:uid="{00000000-0005-0000-0000-000020010000}"/>
    <cellStyle name="20% - Accent1 12 2 6 3 2" xfId="48811" xr:uid="{15F658CD-ACAD-4135-A057-10EA01DD4253}"/>
    <cellStyle name="20% - Accent1 12 2 6 4" xfId="32934" xr:uid="{3978589E-A335-467E-BA1D-57818ADF2F1D}"/>
    <cellStyle name="20% - Accent1 12 2 7" xfId="9973" xr:uid="{00000000-0005-0000-0000-000021010000}"/>
    <cellStyle name="20% - Accent1 12 2 7 2" xfId="33822" xr:uid="{98377D6A-8451-4E3A-B259-1418877A8896}"/>
    <cellStyle name="20% - Accent1 12 2 8" xfId="17928" xr:uid="{00000000-0005-0000-0000-000022010000}"/>
    <cellStyle name="20% - Accent1 12 2 8 2" xfId="41760" xr:uid="{9E9F4174-A3D2-4C56-AEAF-044327A9B0ED}"/>
    <cellStyle name="20% - Accent1 12 2 9" xfId="25880" xr:uid="{C2684D3F-36EE-4B04-BEF2-60EB132DDF43}"/>
    <cellStyle name="20% - Accent1 12 2_Exh G" xfId="1951" xr:uid="{00000000-0005-0000-0000-000023010000}"/>
    <cellStyle name="20% - Accent1 12 3" xfId="33" xr:uid="{00000000-0005-0000-0000-000024010000}"/>
    <cellStyle name="20% - Accent1 12 3 2" xfId="1059" xr:uid="{00000000-0005-0000-0000-000025010000}"/>
    <cellStyle name="20% - Accent1 12 3 2 2" xfId="4586" xr:uid="{00000000-0005-0000-0000-000026010000}"/>
    <cellStyle name="20% - Accent1 12 3 2 2 2" xfId="8177" xr:uid="{00000000-0005-0000-0000-000027010000}"/>
    <cellStyle name="20% - Accent1 12 3 2 2 2 2" xfId="16147" xr:uid="{00000000-0005-0000-0000-000028010000}"/>
    <cellStyle name="20% - Accent1 12 3 2 2 2 2 2" xfId="39989" xr:uid="{3DD1967E-40D2-4DEB-9475-B0EA0BCDC196}"/>
    <cellStyle name="20% - Accent1 12 3 2 2 2 3" xfId="24093" xr:uid="{00000000-0005-0000-0000-000029010000}"/>
    <cellStyle name="20% - Accent1 12 3 2 2 2 3 2" xfId="47925" xr:uid="{0A57EE38-354A-422D-A90C-128F9B44781A}"/>
    <cellStyle name="20% - Accent1 12 3 2 2 2 4" xfId="32048" xr:uid="{90D57A72-E38A-43B7-A28B-09267189AC40}"/>
    <cellStyle name="20% - Accent1 12 3 2 2 3" xfId="12609" xr:uid="{00000000-0005-0000-0000-00002A010000}"/>
    <cellStyle name="20% - Accent1 12 3 2 2 3 2" xfId="36458" xr:uid="{7BA863A8-28C8-4280-BEEF-EE4528F31ECF}"/>
    <cellStyle name="20% - Accent1 12 3 2 2 4" xfId="20564" xr:uid="{00000000-0005-0000-0000-00002B010000}"/>
    <cellStyle name="20% - Accent1 12 3 2 2 4 2" xfId="44396" xr:uid="{90946ED2-7D8F-4444-B1A8-BD991F951F71}"/>
    <cellStyle name="20% - Accent1 12 3 2 2 5" xfId="28517" xr:uid="{9C090719-E104-4742-9D74-5C6DC0DCD0C9}"/>
    <cellStyle name="20% - Accent1 12 3 2 3" xfId="6418" xr:uid="{00000000-0005-0000-0000-00002C010000}"/>
    <cellStyle name="20% - Accent1 12 3 2 3 2" xfId="14389" xr:uid="{00000000-0005-0000-0000-00002D010000}"/>
    <cellStyle name="20% - Accent1 12 3 2 3 2 2" xfId="38231" xr:uid="{0D8576D7-032E-4278-828B-C3C9A904F1F6}"/>
    <cellStyle name="20% - Accent1 12 3 2 3 3" xfId="22336" xr:uid="{00000000-0005-0000-0000-00002E010000}"/>
    <cellStyle name="20% - Accent1 12 3 2 3 3 2" xfId="46168" xr:uid="{CF0F46ED-1675-4C48-B3FA-42042F3EF195}"/>
    <cellStyle name="20% - Accent1 12 3 2 3 4" xfId="30290" xr:uid="{26B09D1D-C820-43ED-82C1-76ADDFD83685}"/>
    <cellStyle name="20% - Accent1 12 3 2 4" xfId="10853" xr:uid="{00000000-0005-0000-0000-00002F010000}"/>
    <cellStyle name="20% - Accent1 12 3 2 4 2" xfId="34702" xr:uid="{3CDB5BDF-B49A-45A6-B646-4C2DA7032B8D}"/>
    <cellStyle name="20% - Accent1 12 3 2 5" xfId="18808" xr:uid="{00000000-0005-0000-0000-000030010000}"/>
    <cellStyle name="20% - Accent1 12 3 2 5 2" xfId="42640" xr:uid="{90BCDCD2-33C0-42D4-AB3D-DEF85F3E0CAA}"/>
    <cellStyle name="20% - Accent1 12 3 2 6" xfId="26760" xr:uid="{450D67D6-4AFE-40DD-AB09-B48B1B6E2CBD}"/>
    <cellStyle name="20% - Accent1 12 3 2_Exh G" xfId="1956" xr:uid="{00000000-0005-0000-0000-000031010000}"/>
    <cellStyle name="20% - Accent1 12 3 3" xfId="3707" xr:uid="{00000000-0005-0000-0000-000032010000}"/>
    <cellStyle name="20% - Accent1 12 3 3 2" xfId="7299" xr:uid="{00000000-0005-0000-0000-000033010000}"/>
    <cellStyle name="20% - Accent1 12 3 3 2 2" xfId="15269" xr:uid="{00000000-0005-0000-0000-000034010000}"/>
    <cellStyle name="20% - Accent1 12 3 3 2 2 2" xfId="39111" xr:uid="{649989BA-6BEE-4C4B-8D67-B88C61563B0E}"/>
    <cellStyle name="20% - Accent1 12 3 3 2 3" xfId="23215" xr:uid="{00000000-0005-0000-0000-000035010000}"/>
    <cellStyle name="20% - Accent1 12 3 3 2 3 2" xfId="47047" xr:uid="{1C00F14B-7422-4FE2-BDFB-3A86C0355ACC}"/>
    <cellStyle name="20% - Accent1 12 3 3 2 4" xfId="31170" xr:uid="{0ED338D8-C371-4506-968C-99FF7ECA6076}"/>
    <cellStyle name="20% - Accent1 12 3 3 3" xfId="11731" xr:uid="{00000000-0005-0000-0000-000036010000}"/>
    <cellStyle name="20% - Accent1 12 3 3 3 2" xfId="35580" xr:uid="{3C41810B-D682-4AD2-88D1-75F958E1E08C}"/>
    <cellStyle name="20% - Accent1 12 3 3 4" xfId="19686" xr:uid="{00000000-0005-0000-0000-000037010000}"/>
    <cellStyle name="20% - Accent1 12 3 3 4 2" xfId="43518" xr:uid="{9D5CE3B4-0257-4467-8C41-911D60161523}"/>
    <cellStyle name="20% - Accent1 12 3 3 5" xfId="27639" xr:uid="{603FD1CE-7BDD-4A66-BF9C-1B9855717B4D}"/>
    <cellStyle name="20% - Accent1 12 3 4" xfId="5527" xr:uid="{00000000-0005-0000-0000-000038010000}"/>
    <cellStyle name="20% - Accent1 12 3 4 2" xfId="13510" xr:uid="{00000000-0005-0000-0000-000039010000}"/>
    <cellStyle name="20% - Accent1 12 3 4 2 2" xfId="37353" xr:uid="{CFEF37C5-7A74-4D38-BB80-1F99BDEF4646}"/>
    <cellStyle name="20% - Accent1 12 3 4 3" xfId="21458" xr:uid="{00000000-0005-0000-0000-00003A010000}"/>
    <cellStyle name="20% - Accent1 12 3 4 3 2" xfId="45290" xr:uid="{642B1BC7-43F9-4F1E-9EC5-527285BA2C09}"/>
    <cellStyle name="20% - Accent1 12 3 4 4" xfId="29412" xr:uid="{3C64C0A4-71C7-4995-B018-728C3609222F}"/>
    <cellStyle name="20% - Accent1 12 3 5" xfId="9079" xr:uid="{00000000-0005-0000-0000-00003B010000}"/>
    <cellStyle name="20% - Accent1 12 3 5 2" xfId="17037" xr:uid="{00000000-0005-0000-0000-00003C010000}"/>
    <cellStyle name="20% - Accent1 12 3 5 2 2" xfId="40877" xr:uid="{9C96214D-B5E7-4D1D-A710-8A24BB94699F}"/>
    <cellStyle name="20% - Accent1 12 3 5 3" xfId="24981" xr:uid="{00000000-0005-0000-0000-00003D010000}"/>
    <cellStyle name="20% - Accent1 12 3 5 3 2" xfId="48813" xr:uid="{D8AC2B05-33FF-4347-B73A-2107C8A0E55D}"/>
    <cellStyle name="20% - Accent1 12 3 5 4" xfId="32936" xr:uid="{38AA623C-7C8E-41DF-B50F-001FDB908CEF}"/>
    <cellStyle name="20% - Accent1 12 3 6" xfId="9975" xr:uid="{00000000-0005-0000-0000-00003E010000}"/>
    <cellStyle name="20% - Accent1 12 3 6 2" xfId="33824" xr:uid="{EDEEF180-259A-405E-AAD2-BB5BB873776B}"/>
    <cellStyle name="20% - Accent1 12 3 7" xfId="17930" xr:uid="{00000000-0005-0000-0000-00003F010000}"/>
    <cellStyle name="20% - Accent1 12 3 7 2" xfId="41762" xr:uid="{5EFC08D7-6638-4BB3-855D-3DB0C9CE9ED6}"/>
    <cellStyle name="20% - Accent1 12 3 8" xfId="25882" xr:uid="{ABC47DC3-7643-4D87-8FA8-42ED77067527}"/>
    <cellStyle name="20% - Accent1 12 3_Exh G" xfId="1955" xr:uid="{00000000-0005-0000-0000-000040010000}"/>
    <cellStyle name="20% - Accent1 12 4" xfId="1056" xr:uid="{00000000-0005-0000-0000-000041010000}"/>
    <cellStyle name="20% - Accent1 12 4 2" xfId="4583" xr:uid="{00000000-0005-0000-0000-000042010000}"/>
    <cellStyle name="20% - Accent1 12 4 2 2" xfId="8174" xr:uid="{00000000-0005-0000-0000-000043010000}"/>
    <cellStyle name="20% - Accent1 12 4 2 2 2" xfId="16144" xr:uid="{00000000-0005-0000-0000-000044010000}"/>
    <cellStyle name="20% - Accent1 12 4 2 2 2 2" xfId="39986" xr:uid="{9FF6A678-EBF4-457D-8F49-E13E34E972D0}"/>
    <cellStyle name="20% - Accent1 12 4 2 2 3" xfId="24090" xr:uid="{00000000-0005-0000-0000-000045010000}"/>
    <cellStyle name="20% - Accent1 12 4 2 2 3 2" xfId="47922" xr:uid="{6225E115-0818-4550-A0F7-E39FDF7ED5E0}"/>
    <cellStyle name="20% - Accent1 12 4 2 2 4" xfId="32045" xr:uid="{26E0681C-4028-42C0-BBA6-C3BBF94D5A26}"/>
    <cellStyle name="20% - Accent1 12 4 2 3" xfId="12606" xr:uid="{00000000-0005-0000-0000-000046010000}"/>
    <cellStyle name="20% - Accent1 12 4 2 3 2" xfId="36455" xr:uid="{75F90B0E-C891-4C6E-9E1F-FCC1B8C3A0F8}"/>
    <cellStyle name="20% - Accent1 12 4 2 4" xfId="20561" xr:uid="{00000000-0005-0000-0000-000047010000}"/>
    <cellStyle name="20% - Accent1 12 4 2 4 2" xfId="44393" xr:uid="{2C064F8B-4BC2-4DCD-A142-06418473B2EE}"/>
    <cellStyle name="20% - Accent1 12 4 2 5" xfId="28514" xr:uid="{A25A8AB9-0291-4D21-A0BE-72B5D1F1475A}"/>
    <cellStyle name="20% - Accent1 12 4 3" xfId="6415" xr:uid="{00000000-0005-0000-0000-000048010000}"/>
    <cellStyle name="20% - Accent1 12 4 3 2" xfId="14386" xr:uid="{00000000-0005-0000-0000-000049010000}"/>
    <cellStyle name="20% - Accent1 12 4 3 2 2" xfId="38228" xr:uid="{D74F99B4-ADAF-4667-B9E6-D46F8AE61774}"/>
    <cellStyle name="20% - Accent1 12 4 3 3" xfId="22333" xr:uid="{00000000-0005-0000-0000-00004A010000}"/>
    <cellStyle name="20% - Accent1 12 4 3 3 2" xfId="46165" xr:uid="{6D7D7FF8-1336-4124-AFA1-B3A6DF6036EE}"/>
    <cellStyle name="20% - Accent1 12 4 3 4" xfId="30287" xr:uid="{2B09B89E-77F7-4278-BDFD-7E975B25AEEB}"/>
    <cellStyle name="20% - Accent1 12 4 4" xfId="10850" xr:uid="{00000000-0005-0000-0000-00004B010000}"/>
    <cellStyle name="20% - Accent1 12 4 4 2" xfId="34699" xr:uid="{4649ED57-1A0B-4AF9-BAE5-2D735E750AFF}"/>
    <cellStyle name="20% - Accent1 12 4 5" xfId="18805" xr:uid="{00000000-0005-0000-0000-00004C010000}"/>
    <cellStyle name="20% - Accent1 12 4 5 2" xfId="42637" xr:uid="{4B7C8B56-FAE2-4F68-886E-382C275423C6}"/>
    <cellStyle name="20% - Accent1 12 4 6" xfId="26757" xr:uid="{BF66B095-1BF9-46C4-B294-520140FDA6DB}"/>
    <cellStyle name="20% - Accent1 12 4_Exh G" xfId="1957" xr:uid="{00000000-0005-0000-0000-00004D010000}"/>
    <cellStyle name="20% - Accent1 12 5" xfId="3704" xr:uid="{00000000-0005-0000-0000-00004E010000}"/>
    <cellStyle name="20% - Accent1 12 5 2" xfId="7296" xr:uid="{00000000-0005-0000-0000-00004F010000}"/>
    <cellStyle name="20% - Accent1 12 5 2 2" xfId="15266" xr:uid="{00000000-0005-0000-0000-000050010000}"/>
    <cellStyle name="20% - Accent1 12 5 2 2 2" xfId="39108" xr:uid="{E551DA3D-1EE9-47FE-ABA3-EF348651DE5A}"/>
    <cellStyle name="20% - Accent1 12 5 2 3" xfId="23212" xr:uid="{00000000-0005-0000-0000-000051010000}"/>
    <cellStyle name="20% - Accent1 12 5 2 3 2" xfId="47044" xr:uid="{AFFE9128-36B1-42C7-B4C9-DA20349A0EDE}"/>
    <cellStyle name="20% - Accent1 12 5 2 4" xfId="31167" xr:uid="{7A859D01-264F-4DDF-96EE-3721C7B027D7}"/>
    <cellStyle name="20% - Accent1 12 5 3" xfId="11728" xr:uid="{00000000-0005-0000-0000-000052010000}"/>
    <cellStyle name="20% - Accent1 12 5 3 2" xfId="35577" xr:uid="{3A416ADA-D800-48F7-95D0-A58CAD5A3955}"/>
    <cellStyle name="20% - Accent1 12 5 4" xfId="19683" xr:uid="{00000000-0005-0000-0000-000053010000}"/>
    <cellStyle name="20% - Accent1 12 5 4 2" xfId="43515" xr:uid="{F57D4B84-6155-46B1-85DE-A56CD814674D}"/>
    <cellStyle name="20% - Accent1 12 5 5" xfId="27636" xr:uid="{AAB3FAA5-1D1A-4734-B17B-D89E8D6833AB}"/>
    <cellStyle name="20% - Accent1 12 6" xfId="5524" xr:uid="{00000000-0005-0000-0000-000054010000}"/>
    <cellStyle name="20% - Accent1 12 6 2" xfId="13507" xr:uid="{00000000-0005-0000-0000-000055010000}"/>
    <cellStyle name="20% - Accent1 12 6 2 2" xfId="37350" xr:uid="{9F30532E-4272-4A57-BE92-97321FF74E1E}"/>
    <cellStyle name="20% - Accent1 12 6 3" xfId="21455" xr:uid="{00000000-0005-0000-0000-000056010000}"/>
    <cellStyle name="20% - Accent1 12 6 3 2" xfId="45287" xr:uid="{8CAEB7C9-5B54-4F95-A640-85D295D02BF9}"/>
    <cellStyle name="20% - Accent1 12 6 4" xfId="29409" xr:uid="{BC485048-2063-460C-A3FC-619FD9C2A0B1}"/>
    <cellStyle name="20% - Accent1 12 7" xfId="9076" xr:uid="{00000000-0005-0000-0000-000057010000}"/>
    <cellStyle name="20% - Accent1 12 7 2" xfId="17034" xr:uid="{00000000-0005-0000-0000-000058010000}"/>
    <cellStyle name="20% - Accent1 12 7 2 2" xfId="40874" xr:uid="{12A91051-3EC3-4F49-9B45-754FC884A7BE}"/>
    <cellStyle name="20% - Accent1 12 7 3" xfId="24978" xr:uid="{00000000-0005-0000-0000-000059010000}"/>
    <cellStyle name="20% - Accent1 12 7 3 2" xfId="48810" xr:uid="{4D866ECD-1B1C-407B-97A3-9BEC3A82A2C2}"/>
    <cellStyle name="20% - Accent1 12 7 4" xfId="32933" xr:uid="{ED3145F3-49DA-42D0-8BF4-229054D4D864}"/>
    <cellStyle name="20% - Accent1 12 8" xfId="9972" xr:uid="{00000000-0005-0000-0000-00005A010000}"/>
    <cellStyle name="20% - Accent1 12 8 2" xfId="33821" xr:uid="{F9E392A8-A83D-4F9A-9349-BB6597304D1E}"/>
    <cellStyle name="20% - Accent1 12 9" xfId="17927" xr:uid="{00000000-0005-0000-0000-00005B010000}"/>
    <cellStyle name="20% - Accent1 12 9 2" xfId="41759" xr:uid="{DF5B9D94-9AEF-4344-A512-71970577D7E1}"/>
    <cellStyle name="20% - Accent1 12_Exh G" xfId="1950" xr:uid="{00000000-0005-0000-0000-00005C010000}"/>
    <cellStyle name="20% - Accent1 13" xfId="34" xr:uid="{00000000-0005-0000-0000-00005D010000}"/>
    <cellStyle name="20% - Accent1 13 10" xfId="25883" xr:uid="{346FBD3C-D6BA-4DD0-961B-3F65EC16DFBC}"/>
    <cellStyle name="20% - Accent1 13 2" xfId="35" xr:uid="{00000000-0005-0000-0000-00005E010000}"/>
    <cellStyle name="20% - Accent1 13 2 2" xfId="36" xr:uid="{00000000-0005-0000-0000-00005F010000}"/>
    <cellStyle name="20% - Accent1 13 2 2 2" xfId="1062" xr:uid="{00000000-0005-0000-0000-000060010000}"/>
    <cellStyle name="20% - Accent1 13 2 2 2 2" xfId="4589" xr:uid="{00000000-0005-0000-0000-000061010000}"/>
    <cellStyle name="20% - Accent1 13 2 2 2 2 2" xfId="8180" xr:uid="{00000000-0005-0000-0000-000062010000}"/>
    <cellStyle name="20% - Accent1 13 2 2 2 2 2 2" xfId="16150" xr:uid="{00000000-0005-0000-0000-000063010000}"/>
    <cellStyle name="20% - Accent1 13 2 2 2 2 2 2 2" xfId="39992" xr:uid="{6C5A24FE-5506-4E36-87D9-5253FDB07CE4}"/>
    <cellStyle name="20% - Accent1 13 2 2 2 2 2 3" xfId="24096" xr:uid="{00000000-0005-0000-0000-000064010000}"/>
    <cellStyle name="20% - Accent1 13 2 2 2 2 2 3 2" xfId="47928" xr:uid="{5256D91A-11C1-47C2-A56D-A8D7BF854E25}"/>
    <cellStyle name="20% - Accent1 13 2 2 2 2 2 4" xfId="32051" xr:uid="{D6E48250-68CE-4CCB-8959-4C8F93B35B31}"/>
    <cellStyle name="20% - Accent1 13 2 2 2 2 3" xfId="12612" xr:uid="{00000000-0005-0000-0000-000065010000}"/>
    <cellStyle name="20% - Accent1 13 2 2 2 2 3 2" xfId="36461" xr:uid="{C95E56DD-EC3E-4BED-8750-306351A197CE}"/>
    <cellStyle name="20% - Accent1 13 2 2 2 2 4" xfId="20567" xr:uid="{00000000-0005-0000-0000-000066010000}"/>
    <cellStyle name="20% - Accent1 13 2 2 2 2 4 2" xfId="44399" xr:uid="{B5225973-44F6-4393-B0B4-34EAE2BEB806}"/>
    <cellStyle name="20% - Accent1 13 2 2 2 2 5" xfId="28520" xr:uid="{EC8A5FDC-BA29-4C88-BB39-437FBE8F428C}"/>
    <cellStyle name="20% - Accent1 13 2 2 2 3" xfId="6421" xr:uid="{00000000-0005-0000-0000-000067010000}"/>
    <cellStyle name="20% - Accent1 13 2 2 2 3 2" xfId="14392" xr:uid="{00000000-0005-0000-0000-000068010000}"/>
    <cellStyle name="20% - Accent1 13 2 2 2 3 2 2" xfId="38234" xr:uid="{A545CAC4-C858-44C0-9FA7-FC642AD5B706}"/>
    <cellStyle name="20% - Accent1 13 2 2 2 3 3" xfId="22339" xr:uid="{00000000-0005-0000-0000-000069010000}"/>
    <cellStyle name="20% - Accent1 13 2 2 2 3 3 2" xfId="46171" xr:uid="{DAC695E5-449C-4776-905C-36FA7B455254}"/>
    <cellStyle name="20% - Accent1 13 2 2 2 3 4" xfId="30293" xr:uid="{FC4ABC74-8B4C-4544-BE13-8A7270659C68}"/>
    <cellStyle name="20% - Accent1 13 2 2 2 4" xfId="10856" xr:uid="{00000000-0005-0000-0000-00006A010000}"/>
    <cellStyle name="20% - Accent1 13 2 2 2 4 2" xfId="34705" xr:uid="{3F4CE73C-3140-4849-AF5A-AF3953E68FA1}"/>
    <cellStyle name="20% - Accent1 13 2 2 2 5" xfId="18811" xr:uid="{00000000-0005-0000-0000-00006B010000}"/>
    <cellStyle name="20% - Accent1 13 2 2 2 5 2" xfId="42643" xr:uid="{CF006494-278F-4F3A-81E4-20B61F364D86}"/>
    <cellStyle name="20% - Accent1 13 2 2 2 6" xfId="26763" xr:uid="{CB1495B3-F30E-4A99-94C9-1F0030A05A6B}"/>
    <cellStyle name="20% - Accent1 13 2 2 2_Exh G" xfId="1961" xr:uid="{00000000-0005-0000-0000-00006C010000}"/>
    <cellStyle name="20% - Accent1 13 2 2 3" xfId="3710" xr:uid="{00000000-0005-0000-0000-00006D010000}"/>
    <cellStyle name="20% - Accent1 13 2 2 3 2" xfId="7302" xr:uid="{00000000-0005-0000-0000-00006E010000}"/>
    <cellStyle name="20% - Accent1 13 2 2 3 2 2" xfId="15272" xr:uid="{00000000-0005-0000-0000-00006F010000}"/>
    <cellStyle name="20% - Accent1 13 2 2 3 2 2 2" xfId="39114" xr:uid="{7363EB53-7AF6-4090-946D-345D6AED05FC}"/>
    <cellStyle name="20% - Accent1 13 2 2 3 2 3" xfId="23218" xr:uid="{00000000-0005-0000-0000-000070010000}"/>
    <cellStyle name="20% - Accent1 13 2 2 3 2 3 2" xfId="47050" xr:uid="{FDD6D5E3-2762-4F6A-AA16-6F8DD5D4F7EB}"/>
    <cellStyle name="20% - Accent1 13 2 2 3 2 4" xfId="31173" xr:uid="{43E86B35-0A4F-41D2-B789-085EBF005B30}"/>
    <cellStyle name="20% - Accent1 13 2 2 3 3" xfId="11734" xr:uid="{00000000-0005-0000-0000-000071010000}"/>
    <cellStyle name="20% - Accent1 13 2 2 3 3 2" xfId="35583" xr:uid="{29DA947B-16CB-45AC-A7FD-525B76401039}"/>
    <cellStyle name="20% - Accent1 13 2 2 3 4" xfId="19689" xr:uid="{00000000-0005-0000-0000-000072010000}"/>
    <cellStyle name="20% - Accent1 13 2 2 3 4 2" xfId="43521" xr:uid="{ABE16199-B17C-48A0-AD0E-60440D84C05A}"/>
    <cellStyle name="20% - Accent1 13 2 2 3 5" xfId="27642" xr:uid="{557E9375-77D7-4801-A4D3-E87C64593DB8}"/>
    <cellStyle name="20% - Accent1 13 2 2 4" xfId="5530" xr:uid="{00000000-0005-0000-0000-000073010000}"/>
    <cellStyle name="20% - Accent1 13 2 2 4 2" xfId="13513" xr:uid="{00000000-0005-0000-0000-000074010000}"/>
    <cellStyle name="20% - Accent1 13 2 2 4 2 2" xfId="37356" xr:uid="{9DC20833-76F6-49DB-967A-25B2D58218BF}"/>
    <cellStyle name="20% - Accent1 13 2 2 4 3" xfId="21461" xr:uid="{00000000-0005-0000-0000-000075010000}"/>
    <cellStyle name="20% - Accent1 13 2 2 4 3 2" xfId="45293" xr:uid="{CE1D1943-8F21-4146-8FB5-0C59674E0D3E}"/>
    <cellStyle name="20% - Accent1 13 2 2 4 4" xfId="29415" xr:uid="{1E6F8470-14E8-4F7C-9858-D8A07F9EE28A}"/>
    <cellStyle name="20% - Accent1 13 2 2 5" xfId="9082" xr:uid="{00000000-0005-0000-0000-000076010000}"/>
    <cellStyle name="20% - Accent1 13 2 2 5 2" xfId="17040" xr:uid="{00000000-0005-0000-0000-000077010000}"/>
    <cellStyle name="20% - Accent1 13 2 2 5 2 2" xfId="40880" xr:uid="{9C99ADE1-4857-4AAF-8481-2B7D51CDA792}"/>
    <cellStyle name="20% - Accent1 13 2 2 5 3" xfId="24984" xr:uid="{00000000-0005-0000-0000-000078010000}"/>
    <cellStyle name="20% - Accent1 13 2 2 5 3 2" xfId="48816" xr:uid="{FA27A7CA-92E3-4E0B-8EC8-DF5E22DC546F}"/>
    <cellStyle name="20% - Accent1 13 2 2 5 4" xfId="32939" xr:uid="{B2FCB5B7-E842-4AB4-BBDA-381C9DD001E2}"/>
    <cellStyle name="20% - Accent1 13 2 2 6" xfId="9978" xr:uid="{00000000-0005-0000-0000-000079010000}"/>
    <cellStyle name="20% - Accent1 13 2 2 6 2" xfId="33827" xr:uid="{23539F14-2E30-4509-AAFD-D0831FA82C6B}"/>
    <cellStyle name="20% - Accent1 13 2 2 7" xfId="17933" xr:uid="{00000000-0005-0000-0000-00007A010000}"/>
    <cellStyle name="20% - Accent1 13 2 2 7 2" xfId="41765" xr:uid="{499AE355-32F9-4893-ADAA-D33D41E21C7B}"/>
    <cellStyle name="20% - Accent1 13 2 2 8" xfId="25885" xr:uid="{68A0990B-056D-4EFB-9989-AEEBE44BB978}"/>
    <cellStyle name="20% - Accent1 13 2 2_Exh G" xfId="1960" xr:uid="{00000000-0005-0000-0000-00007B010000}"/>
    <cellStyle name="20% - Accent1 13 2 3" xfId="1061" xr:uid="{00000000-0005-0000-0000-00007C010000}"/>
    <cellStyle name="20% - Accent1 13 2 3 2" xfId="4588" xr:uid="{00000000-0005-0000-0000-00007D010000}"/>
    <cellStyle name="20% - Accent1 13 2 3 2 2" xfId="8179" xr:uid="{00000000-0005-0000-0000-00007E010000}"/>
    <cellStyle name="20% - Accent1 13 2 3 2 2 2" xfId="16149" xr:uid="{00000000-0005-0000-0000-00007F010000}"/>
    <cellStyle name="20% - Accent1 13 2 3 2 2 2 2" xfId="39991" xr:uid="{7746E5E7-E2AD-4CF3-AB49-3C4442C78C5D}"/>
    <cellStyle name="20% - Accent1 13 2 3 2 2 3" xfId="24095" xr:uid="{00000000-0005-0000-0000-000080010000}"/>
    <cellStyle name="20% - Accent1 13 2 3 2 2 3 2" xfId="47927" xr:uid="{5C04F6D4-6C25-44B5-8B01-D1DAA2F99E87}"/>
    <cellStyle name="20% - Accent1 13 2 3 2 2 4" xfId="32050" xr:uid="{22DBDFDD-3BFB-4BB4-8952-B65ADAD9E2AD}"/>
    <cellStyle name="20% - Accent1 13 2 3 2 3" xfId="12611" xr:uid="{00000000-0005-0000-0000-000081010000}"/>
    <cellStyle name="20% - Accent1 13 2 3 2 3 2" xfId="36460" xr:uid="{9BB72BAE-4823-4A73-9A16-1D7A5BF178C6}"/>
    <cellStyle name="20% - Accent1 13 2 3 2 4" xfId="20566" xr:uid="{00000000-0005-0000-0000-000082010000}"/>
    <cellStyle name="20% - Accent1 13 2 3 2 4 2" xfId="44398" xr:uid="{0AFFE4FC-4BB7-48AD-ABE8-47131ECEFA55}"/>
    <cellStyle name="20% - Accent1 13 2 3 2 5" xfId="28519" xr:uid="{8C231EB8-2BFD-4373-916B-3685A52DE30A}"/>
    <cellStyle name="20% - Accent1 13 2 3 3" xfId="6420" xr:uid="{00000000-0005-0000-0000-000083010000}"/>
    <cellStyle name="20% - Accent1 13 2 3 3 2" xfId="14391" xr:uid="{00000000-0005-0000-0000-000084010000}"/>
    <cellStyle name="20% - Accent1 13 2 3 3 2 2" xfId="38233" xr:uid="{4E50564C-F899-445C-B254-9B082D8DAA5E}"/>
    <cellStyle name="20% - Accent1 13 2 3 3 3" xfId="22338" xr:uid="{00000000-0005-0000-0000-000085010000}"/>
    <cellStyle name="20% - Accent1 13 2 3 3 3 2" xfId="46170" xr:uid="{63CB794A-B8C0-40CD-83AB-A9BE134D8310}"/>
    <cellStyle name="20% - Accent1 13 2 3 3 4" xfId="30292" xr:uid="{405BD2E1-E81C-459D-833C-1570CB1CAEC1}"/>
    <cellStyle name="20% - Accent1 13 2 3 4" xfId="10855" xr:uid="{00000000-0005-0000-0000-000086010000}"/>
    <cellStyle name="20% - Accent1 13 2 3 4 2" xfId="34704" xr:uid="{E613DABE-52A5-4817-AE38-86305FC72A16}"/>
    <cellStyle name="20% - Accent1 13 2 3 5" xfId="18810" xr:uid="{00000000-0005-0000-0000-000087010000}"/>
    <cellStyle name="20% - Accent1 13 2 3 5 2" xfId="42642" xr:uid="{0E7B0762-0773-4F8C-8C2D-F25FCF1064C2}"/>
    <cellStyle name="20% - Accent1 13 2 3 6" xfId="26762" xr:uid="{1CE8E5AB-B69A-4298-AAFE-69BDCF1CBD45}"/>
    <cellStyle name="20% - Accent1 13 2 3_Exh G" xfId="1962" xr:uid="{00000000-0005-0000-0000-000088010000}"/>
    <cellStyle name="20% - Accent1 13 2 4" xfId="3709" xr:uid="{00000000-0005-0000-0000-000089010000}"/>
    <cellStyle name="20% - Accent1 13 2 4 2" xfId="7301" xr:uid="{00000000-0005-0000-0000-00008A010000}"/>
    <cellStyle name="20% - Accent1 13 2 4 2 2" xfId="15271" xr:uid="{00000000-0005-0000-0000-00008B010000}"/>
    <cellStyle name="20% - Accent1 13 2 4 2 2 2" xfId="39113" xr:uid="{6B51D5AF-B0ED-4120-8070-4C1EBC89F747}"/>
    <cellStyle name="20% - Accent1 13 2 4 2 3" xfId="23217" xr:uid="{00000000-0005-0000-0000-00008C010000}"/>
    <cellStyle name="20% - Accent1 13 2 4 2 3 2" xfId="47049" xr:uid="{3E58E005-AD57-4F79-8EC0-2CFF73B0FBD5}"/>
    <cellStyle name="20% - Accent1 13 2 4 2 4" xfId="31172" xr:uid="{7A4E93DE-AAA1-40F6-9195-48A61D025FF2}"/>
    <cellStyle name="20% - Accent1 13 2 4 3" xfId="11733" xr:uid="{00000000-0005-0000-0000-00008D010000}"/>
    <cellStyle name="20% - Accent1 13 2 4 3 2" xfId="35582" xr:uid="{3D3E55C7-E5B9-4A17-ADA7-5B208E00F0E8}"/>
    <cellStyle name="20% - Accent1 13 2 4 4" xfId="19688" xr:uid="{00000000-0005-0000-0000-00008E010000}"/>
    <cellStyle name="20% - Accent1 13 2 4 4 2" xfId="43520" xr:uid="{1BCD6507-F750-490F-B350-7E9D5295747C}"/>
    <cellStyle name="20% - Accent1 13 2 4 5" xfId="27641" xr:uid="{36FCFB87-3341-4BBF-A220-65B6659F6DA9}"/>
    <cellStyle name="20% - Accent1 13 2 5" xfId="5529" xr:uid="{00000000-0005-0000-0000-00008F010000}"/>
    <cellStyle name="20% - Accent1 13 2 5 2" xfId="13512" xr:uid="{00000000-0005-0000-0000-000090010000}"/>
    <cellStyle name="20% - Accent1 13 2 5 2 2" xfId="37355" xr:uid="{F386D87D-3C26-447B-8860-DB091C7555B7}"/>
    <cellStyle name="20% - Accent1 13 2 5 3" xfId="21460" xr:uid="{00000000-0005-0000-0000-000091010000}"/>
    <cellStyle name="20% - Accent1 13 2 5 3 2" xfId="45292" xr:uid="{C21621DF-5EAA-40E8-9C46-446226B2331A}"/>
    <cellStyle name="20% - Accent1 13 2 5 4" xfId="29414" xr:uid="{32E5758E-143C-4E43-8C1C-98D133A38730}"/>
    <cellStyle name="20% - Accent1 13 2 6" xfId="9081" xr:uid="{00000000-0005-0000-0000-000092010000}"/>
    <cellStyle name="20% - Accent1 13 2 6 2" xfId="17039" xr:uid="{00000000-0005-0000-0000-000093010000}"/>
    <cellStyle name="20% - Accent1 13 2 6 2 2" xfId="40879" xr:uid="{1D6420DF-6959-4CB6-ACAE-E84D13D28489}"/>
    <cellStyle name="20% - Accent1 13 2 6 3" xfId="24983" xr:uid="{00000000-0005-0000-0000-000094010000}"/>
    <cellStyle name="20% - Accent1 13 2 6 3 2" xfId="48815" xr:uid="{FAF8B2FD-7F00-454D-87CA-EFEF0CE2FE1B}"/>
    <cellStyle name="20% - Accent1 13 2 6 4" xfId="32938" xr:uid="{7DE8F789-14CC-4987-A9E5-3C1960B6D56F}"/>
    <cellStyle name="20% - Accent1 13 2 7" xfId="9977" xr:uid="{00000000-0005-0000-0000-000095010000}"/>
    <cellStyle name="20% - Accent1 13 2 7 2" xfId="33826" xr:uid="{1B9E417D-0AF7-459A-88E1-C845024A9A93}"/>
    <cellStyle name="20% - Accent1 13 2 8" xfId="17932" xr:uid="{00000000-0005-0000-0000-000096010000}"/>
    <cellStyle name="20% - Accent1 13 2 8 2" xfId="41764" xr:uid="{2A9BA080-E4D6-4823-B94A-9748194D203A}"/>
    <cellStyle name="20% - Accent1 13 2 9" xfId="25884" xr:uid="{AC6ED6C5-D1A2-4C75-905A-549E1072DC2A}"/>
    <cellStyle name="20% - Accent1 13 2_Exh G" xfId="1959" xr:uid="{00000000-0005-0000-0000-000097010000}"/>
    <cellStyle name="20% - Accent1 13 3" xfId="37" xr:uid="{00000000-0005-0000-0000-000098010000}"/>
    <cellStyle name="20% - Accent1 13 3 2" xfId="1063" xr:uid="{00000000-0005-0000-0000-000099010000}"/>
    <cellStyle name="20% - Accent1 13 3 2 2" xfId="4590" xr:uid="{00000000-0005-0000-0000-00009A010000}"/>
    <cellStyle name="20% - Accent1 13 3 2 2 2" xfId="8181" xr:uid="{00000000-0005-0000-0000-00009B010000}"/>
    <cellStyle name="20% - Accent1 13 3 2 2 2 2" xfId="16151" xr:uid="{00000000-0005-0000-0000-00009C010000}"/>
    <cellStyle name="20% - Accent1 13 3 2 2 2 2 2" xfId="39993" xr:uid="{EBAA0A34-0263-457F-AAED-7C6E5F4A1D26}"/>
    <cellStyle name="20% - Accent1 13 3 2 2 2 3" xfId="24097" xr:uid="{00000000-0005-0000-0000-00009D010000}"/>
    <cellStyle name="20% - Accent1 13 3 2 2 2 3 2" xfId="47929" xr:uid="{D2925B94-FA4A-4D64-8162-ED22AAC0B282}"/>
    <cellStyle name="20% - Accent1 13 3 2 2 2 4" xfId="32052" xr:uid="{93A93578-E5AE-48DC-BD9D-B71A6CD22491}"/>
    <cellStyle name="20% - Accent1 13 3 2 2 3" xfId="12613" xr:uid="{00000000-0005-0000-0000-00009E010000}"/>
    <cellStyle name="20% - Accent1 13 3 2 2 3 2" xfId="36462" xr:uid="{A688E4B3-5B31-4193-8821-62ED6C41B95C}"/>
    <cellStyle name="20% - Accent1 13 3 2 2 4" xfId="20568" xr:uid="{00000000-0005-0000-0000-00009F010000}"/>
    <cellStyle name="20% - Accent1 13 3 2 2 4 2" xfId="44400" xr:uid="{E46C636D-1F87-456F-89D2-0B0D46BBC53A}"/>
    <cellStyle name="20% - Accent1 13 3 2 2 5" xfId="28521" xr:uid="{491AA467-787B-4D3C-8EC7-090E16A6E117}"/>
    <cellStyle name="20% - Accent1 13 3 2 3" xfId="6422" xr:uid="{00000000-0005-0000-0000-0000A0010000}"/>
    <cellStyle name="20% - Accent1 13 3 2 3 2" xfId="14393" xr:uid="{00000000-0005-0000-0000-0000A1010000}"/>
    <cellStyle name="20% - Accent1 13 3 2 3 2 2" xfId="38235" xr:uid="{5990E574-7346-4D5E-83BC-90854E3DDB23}"/>
    <cellStyle name="20% - Accent1 13 3 2 3 3" xfId="22340" xr:uid="{00000000-0005-0000-0000-0000A2010000}"/>
    <cellStyle name="20% - Accent1 13 3 2 3 3 2" xfId="46172" xr:uid="{DC574399-E08E-4B14-A17D-B593519451D6}"/>
    <cellStyle name="20% - Accent1 13 3 2 3 4" xfId="30294" xr:uid="{83C5C023-FD5F-46AA-80AF-3D1BB3C86095}"/>
    <cellStyle name="20% - Accent1 13 3 2 4" xfId="10857" xr:uid="{00000000-0005-0000-0000-0000A3010000}"/>
    <cellStyle name="20% - Accent1 13 3 2 4 2" xfId="34706" xr:uid="{1DB05A62-AE7A-4E55-A7BD-14D6BB0FA3B0}"/>
    <cellStyle name="20% - Accent1 13 3 2 5" xfId="18812" xr:uid="{00000000-0005-0000-0000-0000A4010000}"/>
    <cellStyle name="20% - Accent1 13 3 2 5 2" xfId="42644" xr:uid="{19DE39F8-01BC-4A8F-97F6-B33A48EAD085}"/>
    <cellStyle name="20% - Accent1 13 3 2 6" xfId="26764" xr:uid="{0DC53AA5-7D8F-435C-9FD8-8FE473FABC91}"/>
    <cellStyle name="20% - Accent1 13 3 2_Exh G" xfId="1964" xr:uid="{00000000-0005-0000-0000-0000A5010000}"/>
    <cellStyle name="20% - Accent1 13 3 3" xfId="3711" xr:uid="{00000000-0005-0000-0000-0000A6010000}"/>
    <cellStyle name="20% - Accent1 13 3 3 2" xfId="7303" xr:uid="{00000000-0005-0000-0000-0000A7010000}"/>
    <cellStyle name="20% - Accent1 13 3 3 2 2" xfId="15273" xr:uid="{00000000-0005-0000-0000-0000A8010000}"/>
    <cellStyle name="20% - Accent1 13 3 3 2 2 2" xfId="39115" xr:uid="{90BBBB3F-A506-41C2-9641-16B06A8B35AB}"/>
    <cellStyle name="20% - Accent1 13 3 3 2 3" xfId="23219" xr:uid="{00000000-0005-0000-0000-0000A9010000}"/>
    <cellStyle name="20% - Accent1 13 3 3 2 3 2" xfId="47051" xr:uid="{7E69005F-F9CD-4ED7-8D77-1D47E3BB5AC1}"/>
    <cellStyle name="20% - Accent1 13 3 3 2 4" xfId="31174" xr:uid="{B60428E5-476A-494B-8487-B4F653FF2650}"/>
    <cellStyle name="20% - Accent1 13 3 3 3" xfId="11735" xr:uid="{00000000-0005-0000-0000-0000AA010000}"/>
    <cellStyle name="20% - Accent1 13 3 3 3 2" xfId="35584" xr:uid="{4BDBB6C1-CF17-433D-8DAB-95CD5FBAB4EF}"/>
    <cellStyle name="20% - Accent1 13 3 3 4" xfId="19690" xr:uid="{00000000-0005-0000-0000-0000AB010000}"/>
    <cellStyle name="20% - Accent1 13 3 3 4 2" xfId="43522" xr:uid="{D2F46593-6026-4074-BAD5-A846E26EE1B8}"/>
    <cellStyle name="20% - Accent1 13 3 3 5" xfId="27643" xr:uid="{514C602F-3D74-4F6B-88C0-C0019CA31D1E}"/>
    <cellStyle name="20% - Accent1 13 3 4" xfId="5531" xr:uid="{00000000-0005-0000-0000-0000AC010000}"/>
    <cellStyle name="20% - Accent1 13 3 4 2" xfId="13514" xr:uid="{00000000-0005-0000-0000-0000AD010000}"/>
    <cellStyle name="20% - Accent1 13 3 4 2 2" xfId="37357" xr:uid="{3FA68A77-8C46-444A-9AA4-4DF960E71475}"/>
    <cellStyle name="20% - Accent1 13 3 4 3" xfId="21462" xr:uid="{00000000-0005-0000-0000-0000AE010000}"/>
    <cellStyle name="20% - Accent1 13 3 4 3 2" xfId="45294" xr:uid="{54432BBE-63E5-4E59-BEC3-0CB72BA724A1}"/>
    <cellStyle name="20% - Accent1 13 3 4 4" xfId="29416" xr:uid="{3547C216-E137-46A8-8F74-E80E0EADE9CD}"/>
    <cellStyle name="20% - Accent1 13 3 5" xfId="9083" xr:uid="{00000000-0005-0000-0000-0000AF010000}"/>
    <cellStyle name="20% - Accent1 13 3 5 2" xfId="17041" xr:uid="{00000000-0005-0000-0000-0000B0010000}"/>
    <cellStyle name="20% - Accent1 13 3 5 2 2" xfId="40881" xr:uid="{4202470E-85E6-48C4-B21B-6B6FC8CA87C3}"/>
    <cellStyle name="20% - Accent1 13 3 5 3" xfId="24985" xr:uid="{00000000-0005-0000-0000-0000B1010000}"/>
    <cellStyle name="20% - Accent1 13 3 5 3 2" xfId="48817" xr:uid="{40BF776C-5CF5-4573-9851-7ADCB7AE0FC0}"/>
    <cellStyle name="20% - Accent1 13 3 5 4" xfId="32940" xr:uid="{4EC6EB8C-D618-4B9C-AF5E-18D7F640FC4C}"/>
    <cellStyle name="20% - Accent1 13 3 6" xfId="9979" xr:uid="{00000000-0005-0000-0000-0000B2010000}"/>
    <cellStyle name="20% - Accent1 13 3 6 2" xfId="33828" xr:uid="{77A58743-D5FF-4149-9D35-2E8C5FEC3E55}"/>
    <cellStyle name="20% - Accent1 13 3 7" xfId="17934" xr:uid="{00000000-0005-0000-0000-0000B3010000}"/>
    <cellStyle name="20% - Accent1 13 3 7 2" xfId="41766" xr:uid="{00183E70-82EA-46AD-92DF-75F50372FBDD}"/>
    <cellStyle name="20% - Accent1 13 3 8" xfId="25886" xr:uid="{EC0A9E63-6EE1-4967-8621-5833BDAE2D1E}"/>
    <cellStyle name="20% - Accent1 13 3_Exh G" xfId="1963" xr:uid="{00000000-0005-0000-0000-0000B4010000}"/>
    <cellStyle name="20% - Accent1 13 4" xfId="1060" xr:uid="{00000000-0005-0000-0000-0000B5010000}"/>
    <cellStyle name="20% - Accent1 13 4 2" xfId="4587" xr:uid="{00000000-0005-0000-0000-0000B6010000}"/>
    <cellStyle name="20% - Accent1 13 4 2 2" xfId="8178" xr:uid="{00000000-0005-0000-0000-0000B7010000}"/>
    <cellStyle name="20% - Accent1 13 4 2 2 2" xfId="16148" xr:uid="{00000000-0005-0000-0000-0000B8010000}"/>
    <cellStyle name="20% - Accent1 13 4 2 2 2 2" xfId="39990" xr:uid="{C78289B8-C98D-476E-878C-5F59354C72B4}"/>
    <cellStyle name="20% - Accent1 13 4 2 2 3" xfId="24094" xr:uid="{00000000-0005-0000-0000-0000B9010000}"/>
    <cellStyle name="20% - Accent1 13 4 2 2 3 2" xfId="47926" xr:uid="{0B6DF766-E531-40B9-AC66-3009605E6780}"/>
    <cellStyle name="20% - Accent1 13 4 2 2 4" xfId="32049" xr:uid="{4979CEF8-6E95-4128-BDE5-4D5D814A9453}"/>
    <cellStyle name="20% - Accent1 13 4 2 3" xfId="12610" xr:uid="{00000000-0005-0000-0000-0000BA010000}"/>
    <cellStyle name="20% - Accent1 13 4 2 3 2" xfId="36459" xr:uid="{F622EE86-F8FC-4848-849D-E30741CC4573}"/>
    <cellStyle name="20% - Accent1 13 4 2 4" xfId="20565" xr:uid="{00000000-0005-0000-0000-0000BB010000}"/>
    <cellStyle name="20% - Accent1 13 4 2 4 2" xfId="44397" xr:uid="{2E65534D-D691-4F1B-8D3F-3F0BD4617DF6}"/>
    <cellStyle name="20% - Accent1 13 4 2 5" xfId="28518" xr:uid="{47C13EF2-CB97-42E9-BDA8-7BCE154F2AC0}"/>
    <cellStyle name="20% - Accent1 13 4 3" xfId="6419" xr:uid="{00000000-0005-0000-0000-0000BC010000}"/>
    <cellStyle name="20% - Accent1 13 4 3 2" xfId="14390" xr:uid="{00000000-0005-0000-0000-0000BD010000}"/>
    <cellStyle name="20% - Accent1 13 4 3 2 2" xfId="38232" xr:uid="{8DEEFBDF-F6A2-4C4B-BAE2-4F063EFA51C8}"/>
    <cellStyle name="20% - Accent1 13 4 3 3" xfId="22337" xr:uid="{00000000-0005-0000-0000-0000BE010000}"/>
    <cellStyle name="20% - Accent1 13 4 3 3 2" xfId="46169" xr:uid="{E94D9754-6AF4-4F91-A616-40562F11D7B7}"/>
    <cellStyle name="20% - Accent1 13 4 3 4" xfId="30291" xr:uid="{2F92AFF6-D088-4C77-A71D-6B63E95780A1}"/>
    <cellStyle name="20% - Accent1 13 4 4" xfId="10854" xr:uid="{00000000-0005-0000-0000-0000BF010000}"/>
    <cellStyle name="20% - Accent1 13 4 4 2" xfId="34703" xr:uid="{3EF90D1A-80DD-4096-897B-D240DEFCD486}"/>
    <cellStyle name="20% - Accent1 13 4 5" xfId="18809" xr:uid="{00000000-0005-0000-0000-0000C0010000}"/>
    <cellStyle name="20% - Accent1 13 4 5 2" xfId="42641" xr:uid="{4356AE0F-F274-476D-903B-124BA0A5673F}"/>
    <cellStyle name="20% - Accent1 13 4 6" xfId="26761" xr:uid="{0569028D-CA25-479D-857B-FFE7C95E9F54}"/>
    <cellStyle name="20% - Accent1 13 4_Exh G" xfId="1965" xr:uid="{00000000-0005-0000-0000-0000C1010000}"/>
    <cellStyle name="20% - Accent1 13 5" xfId="3708" xr:uid="{00000000-0005-0000-0000-0000C2010000}"/>
    <cellStyle name="20% - Accent1 13 5 2" xfId="7300" xr:uid="{00000000-0005-0000-0000-0000C3010000}"/>
    <cellStyle name="20% - Accent1 13 5 2 2" xfId="15270" xr:uid="{00000000-0005-0000-0000-0000C4010000}"/>
    <cellStyle name="20% - Accent1 13 5 2 2 2" xfId="39112" xr:uid="{9DA6A25A-7CFF-4760-B3FD-DE8AA5229A7C}"/>
    <cellStyle name="20% - Accent1 13 5 2 3" xfId="23216" xr:uid="{00000000-0005-0000-0000-0000C5010000}"/>
    <cellStyle name="20% - Accent1 13 5 2 3 2" xfId="47048" xr:uid="{53EC5BFB-CBB2-462A-BC29-4CEF20C63B9F}"/>
    <cellStyle name="20% - Accent1 13 5 2 4" xfId="31171" xr:uid="{170CD6BA-01C9-418B-BE02-09095D4FCBFF}"/>
    <cellStyle name="20% - Accent1 13 5 3" xfId="11732" xr:uid="{00000000-0005-0000-0000-0000C6010000}"/>
    <cellStyle name="20% - Accent1 13 5 3 2" xfId="35581" xr:uid="{9E98916F-C9E4-43BD-827F-9E9E831AD395}"/>
    <cellStyle name="20% - Accent1 13 5 4" xfId="19687" xr:uid="{00000000-0005-0000-0000-0000C7010000}"/>
    <cellStyle name="20% - Accent1 13 5 4 2" xfId="43519" xr:uid="{394BA643-A49A-4777-B05F-C3F338927304}"/>
    <cellStyle name="20% - Accent1 13 5 5" xfId="27640" xr:uid="{6DC7C211-3ABC-40AE-A9CD-CFB216817ECB}"/>
    <cellStyle name="20% - Accent1 13 6" xfId="5528" xr:uid="{00000000-0005-0000-0000-0000C8010000}"/>
    <cellStyle name="20% - Accent1 13 6 2" xfId="13511" xr:uid="{00000000-0005-0000-0000-0000C9010000}"/>
    <cellStyle name="20% - Accent1 13 6 2 2" xfId="37354" xr:uid="{0E65C98C-6C53-47D8-8F29-4C4A012331A8}"/>
    <cellStyle name="20% - Accent1 13 6 3" xfId="21459" xr:uid="{00000000-0005-0000-0000-0000CA010000}"/>
    <cellStyle name="20% - Accent1 13 6 3 2" xfId="45291" xr:uid="{10828D90-3260-4C1B-8261-AF8FA602D6EC}"/>
    <cellStyle name="20% - Accent1 13 6 4" xfId="29413" xr:uid="{0279C8A8-139F-4973-8D7D-11C94CBFCAF2}"/>
    <cellStyle name="20% - Accent1 13 7" xfId="9080" xr:uid="{00000000-0005-0000-0000-0000CB010000}"/>
    <cellStyle name="20% - Accent1 13 7 2" xfId="17038" xr:uid="{00000000-0005-0000-0000-0000CC010000}"/>
    <cellStyle name="20% - Accent1 13 7 2 2" xfId="40878" xr:uid="{FA2E3936-5E0B-410E-8EAE-87909148B08E}"/>
    <cellStyle name="20% - Accent1 13 7 3" xfId="24982" xr:uid="{00000000-0005-0000-0000-0000CD010000}"/>
    <cellStyle name="20% - Accent1 13 7 3 2" xfId="48814" xr:uid="{C8793F1F-F448-45BF-95D1-BD64C9BF4219}"/>
    <cellStyle name="20% - Accent1 13 7 4" xfId="32937" xr:uid="{BBD64D8F-EDE5-4D6B-BD52-7574C3916F27}"/>
    <cellStyle name="20% - Accent1 13 8" xfId="9976" xr:uid="{00000000-0005-0000-0000-0000CE010000}"/>
    <cellStyle name="20% - Accent1 13 8 2" xfId="33825" xr:uid="{0EEA1665-2A20-4B70-BAF0-39E350F7FBB0}"/>
    <cellStyle name="20% - Accent1 13 9" xfId="17931" xr:uid="{00000000-0005-0000-0000-0000CF010000}"/>
    <cellStyle name="20% - Accent1 13 9 2" xfId="41763" xr:uid="{9F86B958-A49E-4B5F-A258-D9419F6A38E1}"/>
    <cellStyle name="20% - Accent1 13_Exh G" xfId="1958" xr:uid="{00000000-0005-0000-0000-0000D0010000}"/>
    <cellStyle name="20% - Accent1 14" xfId="38" xr:uid="{00000000-0005-0000-0000-0000D1010000}"/>
    <cellStyle name="20% - Accent1 14 2" xfId="39" xr:uid="{00000000-0005-0000-0000-0000D2010000}"/>
    <cellStyle name="20% - Accent1 14 2 2" xfId="1065" xr:uid="{00000000-0005-0000-0000-0000D3010000}"/>
    <cellStyle name="20% - Accent1 14 2 2 2" xfId="4592" xr:uid="{00000000-0005-0000-0000-0000D4010000}"/>
    <cellStyle name="20% - Accent1 14 2 2 2 2" xfId="8183" xr:uid="{00000000-0005-0000-0000-0000D5010000}"/>
    <cellStyle name="20% - Accent1 14 2 2 2 2 2" xfId="16153" xr:uid="{00000000-0005-0000-0000-0000D6010000}"/>
    <cellStyle name="20% - Accent1 14 2 2 2 2 2 2" xfId="39995" xr:uid="{63B258E7-6F39-4FA4-AD25-90B686855153}"/>
    <cellStyle name="20% - Accent1 14 2 2 2 2 3" xfId="24099" xr:uid="{00000000-0005-0000-0000-0000D7010000}"/>
    <cellStyle name="20% - Accent1 14 2 2 2 2 3 2" xfId="47931" xr:uid="{D35EE1E9-6F8F-4967-9B00-F7283E099DE6}"/>
    <cellStyle name="20% - Accent1 14 2 2 2 2 4" xfId="32054" xr:uid="{0477E2D5-844F-4267-8791-66C1BA500CEB}"/>
    <cellStyle name="20% - Accent1 14 2 2 2 3" xfId="12615" xr:uid="{00000000-0005-0000-0000-0000D8010000}"/>
    <cellStyle name="20% - Accent1 14 2 2 2 3 2" xfId="36464" xr:uid="{2D421301-B3CE-46AE-984A-8E6D6BF3BE42}"/>
    <cellStyle name="20% - Accent1 14 2 2 2 4" xfId="20570" xr:uid="{00000000-0005-0000-0000-0000D9010000}"/>
    <cellStyle name="20% - Accent1 14 2 2 2 4 2" xfId="44402" xr:uid="{3E552679-9142-4CD1-B67C-C3377A39CEF0}"/>
    <cellStyle name="20% - Accent1 14 2 2 2 5" xfId="28523" xr:uid="{F5536A3B-49CA-4806-AD3D-8378A35D7773}"/>
    <cellStyle name="20% - Accent1 14 2 2 3" xfId="6424" xr:uid="{00000000-0005-0000-0000-0000DA010000}"/>
    <cellStyle name="20% - Accent1 14 2 2 3 2" xfId="14395" xr:uid="{00000000-0005-0000-0000-0000DB010000}"/>
    <cellStyle name="20% - Accent1 14 2 2 3 2 2" xfId="38237" xr:uid="{CA6CB94C-1ACD-4779-8A9E-6AD5E3F9F5AB}"/>
    <cellStyle name="20% - Accent1 14 2 2 3 3" xfId="22342" xr:uid="{00000000-0005-0000-0000-0000DC010000}"/>
    <cellStyle name="20% - Accent1 14 2 2 3 3 2" xfId="46174" xr:uid="{24E2CF0C-00DF-4A72-B162-9F0C83F96204}"/>
    <cellStyle name="20% - Accent1 14 2 2 3 4" xfId="30296" xr:uid="{F5789270-1558-4BF5-8EEF-8EC81F931E5E}"/>
    <cellStyle name="20% - Accent1 14 2 2 4" xfId="10859" xr:uid="{00000000-0005-0000-0000-0000DD010000}"/>
    <cellStyle name="20% - Accent1 14 2 2 4 2" xfId="34708" xr:uid="{B53EECAD-2827-4C72-82C9-D12F5A55474A}"/>
    <cellStyle name="20% - Accent1 14 2 2 5" xfId="18814" xr:uid="{00000000-0005-0000-0000-0000DE010000}"/>
    <cellStyle name="20% - Accent1 14 2 2 5 2" xfId="42646" xr:uid="{ABDBB9ED-1D57-426B-BFC5-E6712DA829EA}"/>
    <cellStyle name="20% - Accent1 14 2 2 6" xfId="26766" xr:uid="{A9D59E41-2C21-4413-A3A9-EC520FAC7F47}"/>
    <cellStyle name="20% - Accent1 14 2 2_Exh G" xfId="1968" xr:uid="{00000000-0005-0000-0000-0000DF010000}"/>
    <cellStyle name="20% - Accent1 14 2 3" xfId="3713" xr:uid="{00000000-0005-0000-0000-0000E0010000}"/>
    <cellStyle name="20% - Accent1 14 2 3 2" xfId="7305" xr:uid="{00000000-0005-0000-0000-0000E1010000}"/>
    <cellStyle name="20% - Accent1 14 2 3 2 2" xfId="15275" xr:uid="{00000000-0005-0000-0000-0000E2010000}"/>
    <cellStyle name="20% - Accent1 14 2 3 2 2 2" xfId="39117" xr:uid="{4844AF5A-DBE1-404A-A189-82E09F7CAD14}"/>
    <cellStyle name="20% - Accent1 14 2 3 2 3" xfId="23221" xr:uid="{00000000-0005-0000-0000-0000E3010000}"/>
    <cellStyle name="20% - Accent1 14 2 3 2 3 2" xfId="47053" xr:uid="{6332D047-EE3D-4022-A651-17DA7C53BBAF}"/>
    <cellStyle name="20% - Accent1 14 2 3 2 4" xfId="31176" xr:uid="{6F854068-810D-4F6C-8D59-B66BAF0D8841}"/>
    <cellStyle name="20% - Accent1 14 2 3 3" xfId="11737" xr:uid="{00000000-0005-0000-0000-0000E4010000}"/>
    <cellStyle name="20% - Accent1 14 2 3 3 2" xfId="35586" xr:uid="{1760DB6B-262C-4859-9680-3BCE13020C1D}"/>
    <cellStyle name="20% - Accent1 14 2 3 4" xfId="19692" xr:uid="{00000000-0005-0000-0000-0000E5010000}"/>
    <cellStyle name="20% - Accent1 14 2 3 4 2" xfId="43524" xr:uid="{8BB25AD0-A007-4ED7-B6C2-7E1C89B12A32}"/>
    <cellStyle name="20% - Accent1 14 2 3 5" xfId="27645" xr:uid="{6E8A35CD-42EF-476B-B510-7E21C66CF189}"/>
    <cellStyle name="20% - Accent1 14 2 4" xfId="5533" xr:uid="{00000000-0005-0000-0000-0000E6010000}"/>
    <cellStyle name="20% - Accent1 14 2 4 2" xfId="13516" xr:uid="{00000000-0005-0000-0000-0000E7010000}"/>
    <cellStyle name="20% - Accent1 14 2 4 2 2" xfId="37359" xr:uid="{3C2C70CA-9721-4893-ADEF-8794D7760C27}"/>
    <cellStyle name="20% - Accent1 14 2 4 3" xfId="21464" xr:uid="{00000000-0005-0000-0000-0000E8010000}"/>
    <cellStyle name="20% - Accent1 14 2 4 3 2" xfId="45296" xr:uid="{0A25BFEE-A7AF-4A8D-BF27-3E0B0AD260E2}"/>
    <cellStyle name="20% - Accent1 14 2 4 4" xfId="29418" xr:uid="{112E17B8-C5E5-4EE5-999D-A06AD7B77BDE}"/>
    <cellStyle name="20% - Accent1 14 2 5" xfId="9085" xr:uid="{00000000-0005-0000-0000-0000E9010000}"/>
    <cellStyle name="20% - Accent1 14 2 5 2" xfId="17043" xr:uid="{00000000-0005-0000-0000-0000EA010000}"/>
    <cellStyle name="20% - Accent1 14 2 5 2 2" xfId="40883" xr:uid="{22AA91E6-E1D7-4FE0-B601-7FD2D9633DD6}"/>
    <cellStyle name="20% - Accent1 14 2 5 3" xfId="24987" xr:uid="{00000000-0005-0000-0000-0000EB010000}"/>
    <cellStyle name="20% - Accent1 14 2 5 3 2" xfId="48819" xr:uid="{2B101F2A-B984-4D45-8E74-1BAC4FF36B73}"/>
    <cellStyle name="20% - Accent1 14 2 5 4" xfId="32942" xr:uid="{A4C85890-9480-4078-956D-DCC70BE39ABB}"/>
    <cellStyle name="20% - Accent1 14 2 6" xfId="9981" xr:uid="{00000000-0005-0000-0000-0000EC010000}"/>
    <cellStyle name="20% - Accent1 14 2 6 2" xfId="33830" xr:uid="{F821BD4A-C0AC-4428-8CA8-7E9E7F046641}"/>
    <cellStyle name="20% - Accent1 14 2 7" xfId="17936" xr:uid="{00000000-0005-0000-0000-0000ED010000}"/>
    <cellStyle name="20% - Accent1 14 2 7 2" xfId="41768" xr:uid="{64F7BE11-8A45-48CA-9940-2116EE6D3C5C}"/>
    <cellStyle name="20% - Accent1 14 2 8" xfId="25888" xr:uid="{69AB07B9-E916-4E29-ABB9-5BF4E1A4B159}"/>
    <cellStyle name="20% - Accent1 14 2_Exh G" xfId="1967" xr:uid="{00000000-0005-0000-0000-0000EE010000}"/>
    <cellStyle name="20% - Accent1 14 3" xfId="1064" xr:uid="{00000000-0005-0000-0000-0000EF010000}"/>
    <cellStyle name="20% - Accent1 14 3 2" xfId="4591" xr:uid="{00000000-0005-0000-0000-0000F0010000}"/>
    <cellStyle name="20% - Accent1 14 3 2 2" xfId="8182" xr:uid="{00000000-0005-0000-0000-0000F1010000}"/>
    <cellStyle name="20% - Accent1 14 3 2 2 2" xfId="16152" xr:uid="{00000000-0005-0000-0000-0000F2010000}"/>
    <cellStyle name="20% - Accent1 14 3 2 2 2 2" xfId="39994" xr:uid="{408829C6-FBB0-44B5-8675-A1A029B5636E}"/>
    <cellStyle name="20% - Accent1 14 3 2 2 3" xfId="24098" xr:uid="{00000000-0005-0000-0000-0000F3010000}"/>
    <cellStyle name="20% - Accent1 14 3 2 2 3 2" xfId="47930" xr:uid="{A602C72B-E222-4B6C-8186-31277F9CF5FB}"/>
    <cellStyle name="20% - Accent1 14 3 2 2 4" xfId="32053" xr:uid="{BD25E93A-D639-48AB-AE50-93A79877F151}"/>
    <cellStyle name="20% - Accent1 14 3 2 3" xfId="12614" xr:uid="{00000000-0005-0000-0000-0000F4010000}"/>
    <cellStyle name="20% - Accent1 14 3 2 3 2" xfId="36463" xr:uid="{C260A66D-870A-44FD-B1BC-BA0275058785}"/>
    <cellStyle name="20% - Accent1 14 3 2 4" xfId="20569" xr:uid="{00000000-0005-0000-0000-0000F5010000}"/>
    <cellStyle name="20% - Accent1 14 3 2 4 2" xfId="44401" xr:uid="{3DAABF01-3CE7-4ADA-9ADD-49831BA5AC87}"/>
    <cellStyle name="20% - Accent1 14 3 2 5" xfId="28522" xr:uid="{9D5F00ED-23FB-4539-A0FF-D4F816BAE497}"/>
    <cellStyle name="20% - Accent1 14 3 3" xfId="6423" xr:uid="{00000000-0005-0000-0000-0000F6010000}"/>
    <cellStyle name="20% - Accent1 14 3 3 2" xfId="14394" xr:uid="{00000000-0005-0000-0000-0000F7010000}"/>
    <cellStyle name="20% - Accent1 14 3 3 2 2" xfId="38236" xr:uid="{E723D2B8-6348-400B-A9AC-83E3E83F9616}"/>
    <cellStyle name="20% - Accent1 14 3 3 3" xfId="22341" xr:uid="{00000000-0005-0000-0000-0000F8010000}"/>
    <cellStyle name="20% - Accent1 14 3 3 3 2" xfId="46173" xr:uid="{A7F7A1B2-EC32-4DCB-BEB0-5A656321AC45}"/>
    <cellStyle name="20% - Accent1 14 3 3 4" xfId="30295" xr:uid="{91D6BD68-A059-4245-A929-BCCF876DD61E}"/>
    <cellStyle name="20% - Accent1 14 3 4" xfId="10858" xr:uid="{00000000-0005-0000-0000-0000F9010000}"/>
    <cellStyle name="20% - Accent1 14 3 4 2" xfId="34707" xr:uid="{A93C9EA2-BAA3-476D-B412-721F27581B24}"/>
    <cellStyle name="20% - Accent1 14 3 5" xfId="18813" xr:uid="{00000000-0005-0000-0000-0000FA010000}"/>
    <cellStyle name="20% - Accent1 14 3 5 2" xfId="42645" xr:uid="{C9EA86E1-8487-469B-9481-B7DAA2DE0313}"/>
    <cellStyle name="20% - Accent1 14 3 6" xfId="26765" xr:uid="{B2727EBB-D8DC-4E9D-A9A8-3AC330508C09}"/>
    <cellStyle name="20% - Accent1 14 3_Exh G" xfId="1969" xr:uid="{00000000-0005-0000-0000-0000FB010000}"/>
    <cellStyle name="20% - Accent1 14 4" xfId="3712" xr:uid="{00000000-0005-0000-0000-0000FC010000}"/>
    <cellStyle name="20% - Accent1 14 4 2" xfId="7304" xr:uid="{00000000-0005-0000-0000-0000FD010000}"/>
    <cellStyle name="20% - Accent1 14 4 2 2" xfId="15274" xr:uid="{00000000-0005-0000-0000-0000FE010000}"/>
    <cellStyle name="20% - Accent1 14 4 2 2 2" xfId="39116" xr:uid="{0EF33A17-386E-47AB-A742-A643F53382CF}"/>
    <cellStyle name="20% - Accent1 14 4 2 3" xfId="23220" xr:uid="{00000000-0005-0000-0000-0000FF010000}"/>
    <cellStyle name="20% - Accent1 14 4 2 3 2" xfId="47052" xr:uid="{F53DC9FB-D6CB-4C59-B062-E5DDA8F1E5E0}"/>
    <cellStyle name="20% - Accent1 14 4 2 4" xfId="31175" xr:uid="{5DEBC7C7-26BD-4B63-84CC-D49565CE726B}"/>
    <cellStyle name="20% - Accent1 14 4 3" xfId="11736" xr:uid="{00000000-0005-0000-0000-000000020000}"/>
    <cellStyle name="20% - Accent1 14 4 3 2" xfId="35585" xr:uid="{7CD6043D-2004-4FD0-817B-2242E8085F48}"/>
    <cellStyle name="20% - Accent1 14 4 4" xfId="19691" xr:uid="{00000000-0005-0000-0000-000001020000}"/>
    <cellStyle name="20% - Accent1 14 4 4 2" xfId="43523" xr:uid="{8D03BDC6-C2C2-412E-9F12-F7AACB161CFC}"/>
    <cellStyle name="20% - Accent1 14 4 5" xfId="27644" xr:uid="{FD1B4D06-FEB5-4A52-8E11-C439B7AEB38A}"/>
    <cellStyle name="20% - Accent1 14 5" xfId="5532" xr:uid="{00000000-0005-0000-0000-000002020000}"/>
    <cellStyle name="20% - Accent1 14 5 2" xfId="13515" xr:uid="{00000000-0005-0000-0000-000003020000}"/>
    <cellStyle name="20% - Accent1 14 5 2 2" xfId="37358" xr:uid="{FEE371DA-30EF-4D88-A157-0054B54A2E5A}"/>
    <cellStyle name="20% - Accent1 14 5 3" xfId="21463" xr:uid="{00000000-0005-0000-0000-000004020000}"/>
    <cellStyle name="20% - Accent1 14 5 3 2" xfId="45295" xr:uid="{FEE3F496-71ED-4131-BA6C-957F217AD0F9}"/>
    <cellStyle name="20% - Accent1 14 5 4" xfId="29417" xr:uid="{7D0EB860-02FC-463C-B170-8EA6CF50F8C4}"/>
    <cellStyle name="20% - Accent1 14 6" xfId="9084" xr:uid="{00000000-0005-0000-0000-000005020000}"/>
    <cellStyle name="20% - Accent1 14 6 2" xfId="17042" xr:uid="{00000000-0005-0000-0000-000006020000}"/>
    <cellStyle name="20% - Accent1 14 6 2 2" xfId="40882" xr:uid="{FF659603-B499-4089-91B7-B32306282EE4}"/>
    <cellStyle name="20% - Accent1 14 6 3" xfId="24986" xr:uid="{00000000-0005-0000-0000-000007020000}"/>
    <cellStyle name="20% - Accent1 14 6 3 2" xfId="48818" xr:uid="{09A7B603-FDD4-4EF2-AB93-5C25FCDC9D99}"/>
    <cellStyle name="20% - Accent1 14 6 4" xfId="32941" xr:uid="{C5C06AFA-9002-4058-B2BD-0B718FCD8F6D}"/>
    <cellStyle name="20% - Accent1 14 7" xfId="9980" xr:uid="{00000000-0005-0000-0000-000008020000}"/>
    <cellStyle name="20% - Accent1 14 7 2" xfId="33829" xr:uid="{7889AE9C-344B-47CB-8741-4B17CEEA9105}"/>
    <cellStyle name="20% - Accent1 14 8" xfId="17935" xr:uid="{00000000-0005-0000-0000-000009020000}"/>
    <cellStyle name="20% - Accent1 14 8 2" xfId="41767" xr:uid="{CB36C1E1-175E-4DBB-AD76-BDD57D526F3B}"/>
    <cellStyle name="20% - Accent1 14 9" xfId="25887" xr:uid="{E4D5918E-50A9-4A05-AACD-99B96491250C}"/>
    <cellStyle name="20% - Accent1 14_Exh G" xfId="1966" xr:uid="{00000000-0005-0000-0000-00000A020000}"/>
    <cellStyle name="20% - Accent1 15" xfId="40" xr:uid="{00000000-0005-0000-0000-00000B020000}"/>
    <cellStyle name="20% - Accent1 15 2" xfId="1066" xr:uid="{00000000-0005-0000-0000-00000C020000}"/>
    <cellStyle name="20% - Accent1 15 2 2" xfId="4593" xr:uid="{00000000-0005-0000-0000-00000D020000}"/>
    <cellStyle name="20% - Accent1 15 2 2 2" xfId="8184" xr:uid="{00000000-0005-0000-0000-00000E020000}"/>
    <cellStyle name="20% - Accent1 15 2 2 2 2" xfId="16154" xr:uid="{00000000-0005-0000-0000-00000F020000}"/>
    <cellStyle name="20% - Accent1 15 2 2 2 2 2" xfId="39996" xr:uid="{0561352F-E290-4CB0-BA44-BF28C8458662}"/>
    <cellStyle name="20% - Accent1 15 2 2 2 3" xfId="24100" xr:uid="{00000000-0005-0000-0000-000010020000}"/>
    <cellStyle name="20% - Accent1 15 2 2 2 3 2" xfId="47932" xr:uid="{1C9FB73F-69AA-45F3-920B-327AE293E6CC}"/>
    <cellStyle name="20% - Accent1 15 2 2 2 4" xfId="32055" xr:uid="{BCA751F8-5725-498F-9F2C-0573A9DF75D2}"/>
    <cellStyle name="20% - Accent1 15 2 2 3" xfId="12616" xr:uid="{00000000-0005-0000-0000-000011020000}"/>
    <cellStyle name="20% - Accent1 15 2 2 3 2" xfId="36465" xr:uid="{DD5306E8-1C5D-4A25-8AA0-914BDF61F19E}"/>
    <cellStyle name="20% - Accent1 15 2 2 4" xfId="20571" xr:uid="{00000000-0005-0000-0000-000012020000}"/>
    <cellStyle name="20% - Accent1 15 2 2 4 2" xfId="44403" xr:uid="{4C079228-E043-4493-A406-659175988E4D}"/>
    <cellStyle name="20% - Accent1 15 2 2 5" xfId="28524" xr:uid="{9A85D0F4-3A7E-4793-84C5-29B96B5CCBE3}"/>
    <cellStyle name="20% - Accent1 15 2 3" xfId="6425" xr:uid="{00000000-0005-0000-0000-000013020000}"/>
    <cellStyle name="20% - Accent1 15 2 3 2" xfId="14396" xr:uid="{00000000-0005-0000-0000-000014020000}"/>
    <cellStyle name="20% - Accent1 15 2 3 2 2" xfId="38238" xr:uid="{E9607425-B7DB-4064-A9F9-FA127FDB0213}"/>
    <cellStyle name="20% - Accent1 15 2 3 3" xfId="22343" xr:uid="{00000000-0005-0000-0000-000015020000}"/>
    <cellStyle name="20% - Accent1 15 2 3 3 2" xfId="46175" xr:uid="{D593C313-F4C8-4B3A-8751-95201F5B2F99}"/>
    <cellStyle name="20% - Accent1 15 2 3 4" xfId="30297" xr:uid="{D8254234-93E7-4E90-9DEC-E9B85259878E}"/>
    <cellStyle name="20% - Accent1 15 2 4" xfId="10860" xr:uid="{00000000-0005-0000-0000-000016020000}"/>
    <cellStyle name="20% - Accent1 15 2 4 2" xfId="34709" xr:uid="{D5970926-36B3-4CBF-8DAF-8B8332C0CB2B}"/>
    <cellStyle name="20% - Accent1 15 2 5" xfId="18815" xr:uid="{00000000-0005-0000-0000-000017020000}"/>
    <cellStyle name="20% - Accent1 15 2 5 2" xfId="42647" xr:uid="{D9E9A004-CB97-4EA1-B848-1260087932D0}"/>
    <cellStyle name="20% - Accent1 15 2 6" xfId="26767" xr:uid="{5BF124DE-C72C-431F-8F6F-CB5061BAC6D0}"/>
    <cellStyle name="20% - Accent1 15 2_Exh G" xfId="1971" xr:uid="{00000000-0005-0000-0000-000018020000}"/>
    <cellStyle name="20% - Accent1 15 3" xfId="3714" xr:uid="{00000000-0005-0000-0000-000019020000}"/>
    <cellStyle name="20% - Accent1 15 3 2" xfId="7306" xr:uid="{00000000-0005-0000-0000-00001A020000}"/>
    <cellStyle name="20% - Accent1 15 3 2 2" xfId="15276" xr:uid="{00000000-0005-0000-0000-00001B020000}"/>
    <cellStyle name="20% - Accent1 15 3 2 2 2" xfId="39118" xr:uid="{F9D2AF6A-A7A8-480C-BB91-107C9696E041}"/>
    <cellStyle name="20% - Accent1 15 3 2 3" xfId="23222" xr:uid="{00000000-0005-0000-0000-00001C020000}"/>
    <cellStyle name="20% - Accent1 15 3 2 3 2" xfId="47054" xr:uid="{BCE2385B-7578-4986-8FB8-1AA6F9286626}"/>
    <cellStyle name="20% - Accent1 15 3 2 4" xfId="31177" xr:uid="{0B286D65-B251-46A7-9E0A-069CD10CAEBD}"/>
    <cellStyle name="20% - Accent1 15 3 3" xfId="11738" xr:uid="{00000000-0005-0000-0000-00001D020000}"/>
    <cellStyle name="20% - Accent1 15 3 3 2" xfId="35587" xr:uid="{7317CB9D-2F63-4749-AD83-D9E37A9C54E0}"/>
    <cellStyle name="20% - Accent1 15 3 4" xfId="19693" xr:uid="{00000000-0005-0000-0000-00001E020000}"/>
    <cellStyle name="20% - Accent1 15 3 4 2" xfId="43525" xr:uid="{A4AAFC53-6CBB-4E80-88F2-11245A3320D9}"/>
    <cellStyle name="20% - Accent1 15 3 5" xfId="27646" xr:uid="{1990E0BA-60D7-404E-BD0A-7982DE44C3AB}"/>
    <cellStyle name="20% - Accent1 15 4" xfId="5534" xr:uid="{00000000-0005-0000-0000-00001F020000}"/>
    <cellStyle name="20% - Accent1 15 4 2" xfId="13517" xr:uid="{00000000-0005-0000-0000-000020020000}"/>
    <cellStyle name="20% - Accent1 15 4 2 2" xfId="37360" xr:uid="{547F32F6-52DD-4CC5-90E8-D21CC3D025BD}"/>
    <cellStyle name="20% - Accent1 15 4 3" xfId="21465" xr:uid="{00000000-0005-0000-0000-000021020000}"/>
    <cellStyle name="20% - Accent1 15 4 3 2" xfId="45297" xr:uid="{C95C60D7-04DA-4B05-8E90-55E18FD87E81}"/>
    <cellStyle name="20% - Accent1 15 4 4" xfId="29419" xr:uid="{4F2990A2-E7E8-45E0-A888-EC88E32E92F5}"/>
    <cellStyle name="20% - Accent1 15 5" xfId="9086" xr:uid="{00000000-0005-0000-0000-000022020000}"/>
    <cellStyle name="20% - Accent1 15 5 2" xfId="17044" xr:uid="{00000000-0005-0000-0000-000023020000}"/>
    <cellStyle name="20% - Accent1 15 5 2 2" xfId="40884" xr:uid="{9FFDA235-3617-4A00-8FD6-05C1BEF9B5BE}"/>
    <cellStyle name="20% - Accent1 15 5 3" xfId="24988" xr:uid="{00000000-0005-0000-0000-000024020000}"/>
    <cellStyle name="20% - Accent1 15 5 3 2" xfId="48820" xr:uid="{852E31FE-79B0-4BBC-856C-DF3C99C4DEFD}"/>
    <cellStyle name="20% - Accent1 15 5 4" xfId="32943" xr:uid="{3F395735-724B-4D34-BAC5-B332E988C3EA}"/>
    <cellStyle name="20% - Accent1 15 6" xfId="9982" xr:uid="{00000000-0005-0000-0000-000025020000}"/>
    <cellStyle name="20% - Accent1 15 6 2" xfId="33831" xr:uid="{244B4B84-F820-44FC-BA7A-51FA36F36682}"/>
    <cellStyle name="20% - Accent1 15 7" xfId="17937" xr:uid="{00000000-0005-0000-0000-000026020000}"/>
    <cellStyle name="20% - Accent1 15 7 2" xfId="41769" xr:uid="{1C275393-9992-4A6E-A9B5-5C7592CB35B8}"/>
    <cellStyle name="20% - Accent1 15 8" xfId="25889" xr:uid="{7D041892-DF89-431A-952F-D1DC8E4E9CA7}"/>
    <cellStyle name="20% - Accent1 15_Exh G" xfId="1970" xr:uid="{00000000-0005-0000-0000-000027020000}"/>
    <cellStyle name="20% - Accent1 16" xfId="840" xr:uid="{00000000-0005-0000-0000-000028020000}"/>
    <cellStyle name="20% - Accent1 16 2" xfId="1775" xr:uid="{00000000-0005-0000-0000-000029020000}"/>
    <cellStyle name="20% - Accent1 16 2 2" xfId="5295" xr:uid="{00000000-0005-0000-0000-00002A020000}"/>
    <cellStyle name="20% - Accent1 16 2 2 2" xfId="8886" xr:uid="{00000000-0005-0000-0000-00002B020000}"/>
    <cellStyle name="20% - Accent1 16 2 2 2 2" xfId="16856" xr:uid="{00000000-0005-0000-0000-00002C020000}"/>
    <cellStyle name="20% - Accent1 16 2 2 2 2 2" xfId="40698" xr:uid="{CAF2F8D2-D213-4019-9924-FD750F45A61D}"/>
    <cellStyle name="20% - Accent1 16 2 2 2 3" xfId="24802" xr:uid="{00000000-0005-0000-0000-00002D020000}"/>
    <cellStyle name="20% - Accent1 16 2 2 2 3 2" xfId="48634" xr:uid="{11B4CB97-FAC7-4A03-AFED-22ECEA78EEEC}"/>
    <cellStyle name="20% - Accent1 16 2 2 2 4" xfId="32757" xr:uid="{3A7F9975-285C-4AF0-BD15-DF24CE592B67}"/>
    <cellStyle name="20% - Accent1 16 2 2 3" xfId="13318" xr:uid="{00000000-0005-0000-0000-00002E020000}"/>
    <cellStyle name="20% - Accent1 16 2 2 3 2" xfId="37167" xr:uid="{AB691D16-71D5-4FA0-9FAF-070E1443ACDA}"/>
    <cellStyle name="20% - Accent1 16 2 2 4" xfId="21273" xr:uid="{00000000-0005-0000-0000-00002F020000}"/>
    <cellStyle name="20% - Accent1 16 2 2 4 2" xfId="45105" xr:uid="{AA355DE6-7E0A-419F-8683-53F5F81601CD}"/>
    <cellStyle name="20% - Accent1 16 2 2 5" xfId="29226" xr:uid="{2F0E8F0B-9439-41E1-A0EE-C18621DC6448}"/>
    <cellStyle name="20% - Accent1 16 2 3" xfId="7127" xr:uid="{00000000-0005-0000-0000-000030020000}"/>
    <cellStyle name="20% - Accent1 16 2 3 2" xfId="15098" xr:uid="{00000000-0005-0000-0000-000031020000}"/>
    <cellStyle name="20% - Accent1 16 2 3 2 2" xfId="38940" xr:uid="{C9BBE60D-7306-4847-B267-5AB7EC703CE5}"/>
    <cellStyle name="20% - Accent1 16 2 3 3" xfId="23045" xr:uid="{00000000-0005-0000-0000-000032020000}"/>
    <cellStyle name="20% - Accent1 16 2 3 3 2" xfId="46877" xr:uid="{57470277-A1CD-4512-8AEF-C2859FE0DC54}"/>
    <cellStyle name="20% - Accent1 16 2 3 4" xfId="30999" xr:uid="{8349CF95-5066-4207-884C-C92C67994A16}"/>
    <cellStyle name="20% - Accent1 16 2 4" xfId="11562" xr:uid="{00000000-0005-0000-0000-000033020000}"/>
    <cellStyle name="20% - Accent1 16 2 4 2" xfId="35411" xr:uid="{1E1A1AFC-48DF-435D-A0C3-6C53D6A0E23D}"/>
    <cellStyle name="20% - Accent1 16 2 5" xfId="19517" xr:uid="{00000000-0005-0000-0000-000034020000}"/>
    <cellStyle name="20% - Accent1 16 2 5 2" xfId="43349" xr:uid="{10482308-1DCA-46E7-BAE6-4288F144C8A1}"/>
    <cellStyle name="20% - Accent1 16 2 6" xfId="27469" xr:uid="{42B76362-6A24-4912-ACA6-F880EA98E925}"/>
    <cellStyle name="20% - Accent1 16 2_Exh G" xfId="1973" xr:uid="{00000000-0005-0000-0000-000035020000}"/>
    <cellStyle name="20% - Accent1 16 3" xfId="4416" xr:uid="{00000000-0005-0000-0000-000036020000}"/>
    <cellStyle name="20% - Accent1 16 3 2" xfId="8008" xr:uid="{00000000-0005-0000-0000-000037020000}"/>
    <cellStyle name="20% - Accent1 16 3 2 2" xfId="15978" xr:uid="{00000000-0005-0000-0000-000038020000}"/>
    <cellStyle name="20% - Accent1 16 3 2 2 2" xfId="39820" xr:uid="{42CBE11A-98C4-43FC-BD36-41AD15B798CA}"/>
    <cellStyle name="20% - Accent1 16 3 2 3" xfId="23924" xr:uid="{00000000-0005-0000-0000-000039020000}"/>
    <cellStyle name="20% - Accent1 16 3 2 3 2" xfId="47756" xr:uid="{EB05A8CD-F87C-41FB-AC6E-5CAAAF861AF7}"/>
    <cellStyle name="20% - Accent1 16 3 2 4" xfId="31879" xr:uid="{8B365CB7-46EB-4B48-933F-4DF6FFF58D9A}"/>
    <cellStyle name="20% - Accent1 16 3 3" xfId="12440" xr:uid="{00000000-0005-0000-0000-00003A020000}"/>
    <cellStyle name="20% - Accent1 16 3 3 2" xfId="36289" xr:uid="{CAEFDB1F-4F4C-44D2-8402-519F6483885D}"/>
    <cellStyle name="20% - Accent1 16 3 4" xfId="20395" xr:uid="{00000000-0005-0000-0000-00003B020000}"/>
    <cellStyle name="20% - Accent1 16 3 4 2" xfId="44227" xr:uid="{5D34ABEB-C6A1-451F-8CC0-311862C30B86}"/>
    <cellStyle name="20% - Accent1 16 3 5" xfId="28348" xr:uid="{53A43361-7098-424A-A7BE-5FEC8C3A00EA}"/>
    <cellStyle name="20% - Accent1 16 4" xfId="6246" xr:uid="{00000000-0005-0000-0000-00003C020000}"/>
    <cellStyle name="20% - Accent1 16 4 2" xfId="14220" xr:uid="{00000000-0005-0000-0000-00003D020000}"/>
    <cellStyle name="20% - Accent1 16 4 2 2" xfId="38062" xr:uid="{CA3958F5-0950-4A29-B649-8CB6E8646107}"/>
    <cellStyle name="20% - Accent1 16 4 3" xfId="22167" xr:uid="{00000000-0005-0000-0000-00003E020000}"/>
    <cellStyle name="20% - Accent1 16 4 3 2" xfId="45999" xr:uid="{AC56C4AE-42E9-4ABD-9418-C12DE2C462A6}"/>
    <cellStyle name="20% - Accent1 16 4 4" xfId="30121" xr:uid="{1396EA3C-B19D-4B04-88BA-8A308474D049}"/>
    <cellStyle name="20% - Accent1 16 5" xfId="9788" xr:uid="{00000000-0005-0000-0000-00003F020000}"/>
    <cellStyle name="20% - Accent1 16 5 2" xfId="17746" xr:uid="{00000000-0005-0000-0000-000040020000}"/>
    <cellStyle name="20% - Accent1 16 5 2 2" xfId="41586" xr:uid="{C96B9731-2BF5-4E36-A30E-952D02DC8EF9}"/>
    <cellStyle name="20% - Accent1 16 5 3" xfId="25690" xr:uid="{00000000-0005-0000-0000-000041020000}"/>
    <cellStyle name="20% - Accent1 16 5 3 2" xfId="49522" xr:uid="{4BCEC7F5-7602-4691-A5FD-8A06CD0385BA}"/>
    <cellStyle name="20% - Accent1 16 5 4" xfId="33645" xr:uid="{5DC57A4D-F942-4B38-A08B-78AA3F40460A}"/>
    <cellStyle name="20% - Accent1 16 6" xfId="10684" xr:uid="{00000000-0005-0000-0000-000042020000}"/>
    <cellStyle name="20% - Accent1 16 6 2" xfId="34533" xr:uid="{8F612CC6-4EFC-4297-A9B7-706E8713764E}"/>
    <cellStyle name="20% - Accent1 16 7" xfId="18639" xr:uid="{00000000-0005-0000-0000-000043020000}"/>
    <cellStyle name="20% - Accent1 16 7 2" xfId="42471" xr:uid="{A0C107D2-300A-4C48-8C9C-192A1A0B746A}"/>
    <cellStyle name="20% - Accent1 16 8" xfId="26591" xr:uid="{3CCACD8C-3A87-4679-BA36-6A31F4879085}"/>
    <cellStyle name="20% - Accent1 16_Exh G" xfId="1972" xr:uid="{00000000-0005-0000-0000-000044020000}"/>
    <cellStyle name="20% - Accent1 17" xfId="49783" xr:uid="{AE8DAC52-152C-4F1E-939B-2959056DA31D}"/>
    <cellStyle name="20% - Accent1 18" xfId="49823" xr:uid="{7D800DB0-F38D-489D-ADC5-85D4954F7D0F}"/>
    <cellStyle name="20% - Accent1 2" xfId="41" xr:uid="{00000000-0005-0000-0000-000045020000}"/>
    <cellStyle name="20% - Accent1 2 10" xfId="17938" xr:uid="{00000000-0005-0000-0000-000046020000}"/>
    <cellStyle name="20% - Accent1 2 10 2" xfId="41770" xr:uid="{56729B5E-3D99-4928-8313-3D835C228C00}"/>
    <cellStyle name="20% - Accent1 2 11" xfId="25890" xr:uid="{07D51114-C68C-4528-9023-40D7EFF626FC}"/>
    <cellStyle name="20% - Accent1 2 12" xfId="49768" xr:uid="{FF70C2F3-BDC1-47F6-A1AA-6640D5C4D4FD}"/>
    <cellStyle name="20% - Accent1 2 13" xfId="49796" xr:uid="{39772119-6921-4D37-AAA4-8EDDC133DFDA}"/>
    <cellStyle name="20% - Accent1 2 14" xfId="49837" xr:uid="{E2981D07-4015-4241-8EA5-F279D23DED83}"/>
    <cellStyle name="20% - Accent1 2 2" xfId="42" xr:uid="{00000000-0005-0000-0000-000047020000}"/>
    <cellStyle name="20% - Accent1 2 2 10" xfId="25891" xr:uid="{8E42666B-8CEB-4195-843F-3E3843721258}"/>
    <cellStyle name="20% - Accent1 2 2 2" xfId="43" xr:uid="{00000000-0005-0000-0000-000048020000}"/>
    <cellStyle name="20% - Accent1 2 2 2 2" xfId="1069" xr:uid="{00000000-0005-0000-0000-000049020000}"/>
    <cellStyle name="20% - Accent1 2 2 2 2 2" xfId="4596" xr:uid="{00000000-0005-0000-0000-00004A020000}"/>
    <cellStyle name="20% - Accent1 2 2 2 2 2 2" xfId="8187" xr:uid="{00000000-0005-0000-0000-00004B020000}"/>
    <cellStyle name="20% - Accent1 2 2 2 2 2 2 2" xfId="16157" xr:uid="{00000000-0005-0000-0000-00004C020000}"/>
    <cellStyle name="20% - Accent1 2 2 2 2 2 2 2 2" xfId="39999" xr:uid="{2443AF04-8F65-466C-863F-03DE652D96D1}"/>
    <cellStyle name="20% - Accent1 2 2 2 2 2 2 3" xfId="24103" xr:uid="{00000000-0005-0000-0000-00004D020000}"/>
    <cellStyle name="20% - Accent1 2 2 2 2 2 2 3 2" xfId="47935" xr:uid="{8A496EFE-71FC-4403-917A-2CC8216502BD}"/>
    <cellStyle name="20% - Accent1 2 2 2 2 2 2 4" xfId="32058" xr:uid="{3E051609-DB7C-4DA2-97E1-6C4846D52A6E}"/>
    <cellStyle name="20% - Accent1 2 2 2 2 2 3" xfId="12619" xr:uid="{00000000-0005-0000-0000-00004E020000}"/>
    <cellStyle name="20% - Accent1 2 2 2 2 2 3 2" xfId="36468" xr:uid="{46A3CBFB-5395-40F8-9BF0-419A8ECC5A62}"/>
    <cellStyle name="20% - Accent1 2 2 2 2 2 4" xfId="20574" xr:uid="{00000000-0005-0000-0000-00004F020000}"/>
    <cellStyle name="20% - Accent1 2 2 2 2 2 4 2" xfId="44406" xr:uid="{A8DA49F4-5C15-4214-BC80-40C6CD3C63BC}"/>
    <cellStyle name="20% - Accent1 2 2 2 2 2 5" xfId="28527" xr:uid="{39C39F65-D574-41A8-808F-C082E3394EC1}"/>
    <cellStyle name="20% - Accent1 2 2 2 2 3" xfId="6428" xr:uid="{00000000-0005-0000-0000-000050020000}"/>
    <cellStyle name="20% - Accent1 2 2 2 2 3 2" xfId="14399" xr:uid="{00000000-0005-0000-0000-000051020000}"/>
    <cellStyle name="20% - Accent1 2 2 2 2 3 2 2" xfId="38241" xr:uid="{C7EEDE9E-6B4D-47D2-B816-5A0F0B2B8AAC}"/>
    <cellStyle name="20% - Accent1 2 2 2 2 3 3" xfId="22346" xr:uid="{00000000-0005-0000-0000-000052020000}"/>
    <cellStyle name="20% - Accent1 2 2 2 2 3 3 2" xfId="46178" xr:uid="{53A0793A-04CD-4291-9C26-82113D47436A}"/>
    <cellStyle name="20% - Accent1 2 2 2 2 3 4" xfId="30300" xr:uid="{38AD3B92-4BBE-43B0-967C-9C19E34D310C}"/>
    <cellStyle name="20% - Accent1 2 2 2 2 4" xfId="10863" xr:uid="{00000000-0005-0000-0000-000053020000}"/>
    <cellStyle name="20% - Accent1 2 2 2 2 4 2" xfId="34712" xr:uid="{0CED5B32-304A-4D8C-9B0B-766AE8C31918}"/>
    <cellStyle name="20% - Accent1 2 2 2 2 5" xfId="18818" xr:uid="{00000000-0005-0000-0000-000054020000}"/>
    <cellStyle name="20% - Accent1 2 2 2 2 5 2" xfId="42650" xr:uid="{1705D161-0F13-446F-A40F-5FE494CFF470}"/>
    <cellStyle name="20% - Accent1 2 2 2 2 6" xfId="26770" xr:uid="{71E04CAF-8DBE-4C3E-8300-C7C42C66952F}"/>
    <cellStyle name="20% - Accent1 2 2 2 2_Exh G" xfId="1977" xr:uid="{00000000-0005-0000-0000-000055020000}"/>
    <cellStyle name="20% - Accent1 2 2 2 3" xfId="3717" xr:uid="{00000000-0005-0000-0000-000056020000}"/>
    <cellStyle name="20% - Accent1 2 2 2 3 2" xfId="7309" xr:uid="{00000000-0005-0000-0000-000057020000}"/>
    <cellStyle name="20% - Accent1 2 2 2 3 2 2" xfId="15279" xr:uid="{00000000-0005-0000-0000-000058020000}"/>
    <cellStyle name="20% - Accent1 2 2 2 3 2 2 2" xfId="39121" xr:uid="{640469E1-E3D8-4F8E-9226-DE771FCFA93C}"/>
    <cellStyle name="20% - Accent1 2 2 2 3 2 3" xfId="23225" xr:uid="{00000000-0005-0000-0000-000059020000}"/>
    <cellStyle name="20% - Accent1 2 2 2 3 2 3 2" xfId="47057" xr:uid="{778474DE-33D5-4BF5-9B03-26E0C0DF299A}"/>
    <cellStyle name="20% - Accent1 2 2 2 3 2 4" xfId="31180" xr:uid="{ACB6F1FD-A07C-40E8-830B-39EC8C65D92A}"/>
    <cellStyle name="20% - Accent1 2 2 2 3 3" xfId="11741" xr:uid="{00000000-0005-0000-0000-00005A020000}"/>
    <cellStyle name="20% - Accent1 2 2 2 3 3 2" xfId="35590" xr:uid="{9A11EDCA-09A9-4F15-B571-93827C14B9A3}"/>
    <cellStyle name="20% - Accent1 2 2 2 3 4" xfId="19696" xr:uid="{00000000-0005-0000-0000-00005B020000}"/>
    <cellStyle name="20% - Accent1 2 2 2 3 4 2" xfId="43528" xr:uid="{9873450A-74E6-4EA0-A417-592CD13F78D8}"/>
    <cellStyle name="20% - Accent1 2 2 2 3 5" xfId="27649" xr:uid="{81AB8952-BF4E-49F4-B5EB-6B82A4BD4FA6}"/>
    <cellStyle name="20% - Accent1 2 2 2 4" xfId="5537" xr:uid="{00000000-0005-0000-0000-00005C020000}"/>
    <cellStyle name="20% - Accent1 2 2 2 4 2" xfId="13520" xr:uid="{00000000-0005-0000-0000-00005D020000}"/>
    <cellStyle name="20% - Accent1 2 2 2 4 2 2" xfId="37363" xr:uid="{92C61999-4654-41B9-8C38-58B66D4622E2}"/>
    <cellStyle name="20% - Accent1 2 2 2 4 3" xfId="21468" xr:uid="{00000000-0005-0000-0000-00005E020000}"/>
    <cellStyle name="20% - Accent1 2 2 2 4 3 2" xfId="45300" xr:uid="{AB26DDA3-BCA7-4C44-8A3E-A0A42117A04C}"/>
    <cellStyle name="20% - Accent1 2 2 2 4 4" xfId="29422" xr:uid="{E22098B4-1BF1-47F8-8B50-647FBF65D647}"/>
    <cellStyle name="20% - Accent1 2 2 2 5" xfId="9089" xr:uid="{00000000-0005-0000-0000-00005F020000}"/>
    <cellStyle name="20% - Accent1 2 2 2 5 2" xfId="17047" xr:uid="{00000000-0005-0000-0000-000060020000}"/>
    <cellStyle name="20% - Accent1 2 2 2 5 2 2" xfId="40887" xr:uid="{B3FAADC5-14B4-40D5-B532-E4ECF22872A7}"/>
    <cellStyle name="20% - Accent1 2 2 2 5 3" xfId="24991" xr:uid="{00000000-0005-0000-0000-000061020000}"/>
    <cellStyle name="20% - Accent1 2 2 2 5 3 2" xfId="48823" xr:uid="{EB87E675-6E6A-4211-85CC-077CDE8A7466}"/>
    <cellStyle name="20% - Accent1 2 2 2 5 4" xfId="32946" xr:uid="{810CDA2B-CD33-4890-95E4-DA86F1A58E89}"/>
    <cellStyle name="20% - Accent1 2 2 2 6" xfId="9985" xr:uid="{00000000-0005-0000-0000-000062020000}"/>
    <cellStyle name="20% - Accent1 2 2 2 6 2" xfId="33834" xr:uid="{CB900341-D4A9-49FB-900E-2BB35F73C5AB}"/>
    <cellStyle name="20% - Accent1 2 2 2 7" xfId="17940" xr:uid="{00000000-0005-0000-0000-000063020000}"/>
    <cellStyle name="20% - Accent1 2 2 2 7 2" xfId="41772" xr:uid="{5BB59EDA-ABDB-430A-A57F-AD380684EE85}"/>
    <cellStyle name="20% - Accent1 2 2 2 8" xfId="25892" xr:uid="{471FB39E-7136-4C6D-B311-9FACA6AC9C9C}"/>
    <cellStyle name="20% - Accent1 2 2 2_Exh G" xfId="1976" xr:uid="{00000000-0005-0000-0000-000064020000}"/>
    <cellStyle name="20% - Accent1 2 2 3" xfId="861" xr:uid="{00000000-0005-0000-0000-000065020000}"/>
    <cellStyle name="20% - Accent1 2 2 3 2" xfId="1793" xr:uid="{00000000-0005-0000-0000-000066020000}"/>
    <cellStyle name="20% - Accent1 2 2 3 2 2" xfId="5310" xr:uid="{00000000-0005-0000-0000-000067020000}"/>
    <cellStyle name="20% - Accent1 2 2 3 2 2 2" xfId="8901" xr:uid="{00000000-0005-0000-0000-000068020000}"/>
    <cellStyle name="20% - Accent1 2 2 3 2 2 2 2" xfId="16871" xr:uid="{00000000-0005-0000-0000-000069020000}"/>
    <cellStyle name="20% - Accent1 2 2 3 2 2 2 2 2" xfId="40713" xr:uid="{F4C9C23A-1A5B-4229-9AEA-70F4F6AE046E}"/>
    <cellStyle name="20% - Accent1 2 2 3 2 2 2 3" xfId="24817" xr:uid="{00000000-0005-0000-0000-00006A020000}"/>
    <cellStyle name="20% - Accent1 2 2 3 2 2 2 3 2" xfId="48649" xr:uid="{5C83A77D-49F3-47C6-8E92-12428105BE59}"/>
    <cellStyle name="20% - Accent1 2 2 3 2 2 2 4" xfId="32772" xr:uid="{1DF26FE2-326C-4219-B617-3ADC9D2CFA9F}"/>
    <cellStyle name="20% - Accent1 2 2 3 2 2 3" xfId="13333" xr:uid="{00000000-0005-0000-0000-00006B020000}"/>
    <cellStyle name="20% - Accent1 2 2 3 2 2 3 2" xfId="37182" xr:uid="{87F09399-C860-4A41-B0C4-8E1674BE9B57}"/>
    <cellStyle name="20% - Accent1 2 2 3 2 2 4" xfId="21288" xr:uid="{00000000-0005-0000-0000-00006C020000}"/>
    <cellStyle name="20% - Accent1 2 2 3 2 2 4 2" xfId="45120" xr:uid="{916C2E8F-2C0C-4E80-8AD1-BF020572A66B}"/>
    <cellStyle name="20% - Accent1 2 2 3 2 2 5" xfId="29241" xr:uid="{3B31136F-CFB0-475C-8EEC-8620203E9CFE}"/>
    <cellStyle name="20% - Accent1 2 2 3 2 3" xfId="7142" xr:uid="{00000000-0005-0000-0000-00006D020000}"/>
    <cellStyle name="20% - Accent1 2 2 3 2 3 2" xfId="15113" xr:uid="{00000000-0005-0000-0000-00006E020000}"/>
    <cellStyle name="20% - Accent1 2 2 3 2 3 2 2" xfId="38955" xr:uid="{CEDFFB8F-46C6-4EC4-B6B2-A5DA8A01682F}"/>
    <cellStyle name="20% - Accent1 2 2 3 2 3 3" xfId="23060" xr:uid="{00000000-0005-0000-0000-00006F020000}"/>
    <cellStyle name="20% - Accent1 2 2 3 2 3 3 2" xfId="46892" xr:uid="{F52CB931-F58E-4982-9131-FEC500F9A340}"/>
    <cellStyle name="20% - Accent1 2 2 3 2 3 4" xfId="31014" xr:uid="{C3421BAF-AEEB-4EF8-9E28-3E24A2E4BB07}"/>
    <cellStyle name="20% - Accent1 2 2 3 2 4" xfId="11577" xr:uid="{00000000-0005-0000-0000-000070020000}"/>
    <cellStyle name="20% - Accent1 2 2 3 2 4 2" xfId="35426" xr:uid="{C996AEA1-D842-44AB-9FE6-A8BF02E55C1A}"/>
    <cellStyle name="20% - Accent1 2 2 3 2 5" xfId="19532" xr:uid="{00000000-0005-0000-0000-000071020000}"/>
    <cellStyle name="20% - Accent1 2 2 3 2 5 2" xfId="43364" xr:uid="{F06514B5-1013-4B3B-A7BA-5CE5D916579F}"/>
    <cellStyle name="20% - Accent1 2 2 3 2 6" xfId="27484" xr:uid="{B9A73804-45E3-46FB-8376-2DA91ECD5437}"/>
    <cellStyle name="20% - Accent1 2 2 3 2_Exh G" xfId="1979" xr:uid="{00000000-0005-0000-0000-000072020000}"/>
    <cellStyle name="20% - Accent1 2 2 3 3" xfId="4431" xr:uid="{00000000-0005-0000-0000-000073020000}"/>
    <cellStyle name="20% - Accent1 2 2 3 3 2" xfId="8023" xr:uid="{00000000-0005-0000-0000-000074020000}"/>
    <cellStyle name="20% - Accent1 2 2 3 3 2 2" xfId="15993" xr:uid="{00000000-0005-0000-0000-000075020000}"/>
    <cellStyle name="20% - Accent1 2 2 3 3 2 2 2" xfId="39835" xr:uid="{0615C7D8-C6E8-4C7C-9C7C-2D8A67FC6E72}"/>
    <cellStyle name="20% - Accent1 2 2 3 3 2 3" xfId="23939" xr:uid="{00000000-0005-0000-0000-000076020000}"/>
    <cellStyle name="20% - Accent1 2 2 3 3 2 3 2" xfId="47771" xr:uid="{BDFFAF9D-DA86-43DD-8371-8C33D1769AC0}"/>
    <cellStyle name="20% - Accent1 2 2 3 3 2 4" xfId="31894" xr:uid="{C55BB0E8-75D5-4A3C-BD5E-1A2C5E393AF0}"/>
    <cellStyle name="20% - Accent1 2 2 3 3 3" xfId="12455" xr:uid="{00000000-0005-0000-0000-000077020000}"/>
    <cellStyle name="20% - Accent1 2 2 3 3 3 2" xfId="36304" xr:uid="{6FB0B7CF-72B1-4210-893F-C2F0814F1830}"/>
    <cellStyle name="20% - Accent1 2 2 3 3 4" xfId="20410" xr:uid="{00000000-0005-0000-0000-000078020000}"/>
    <cellStyle name="20% - Accent1 2 2 3 3 4 2" xfId="44242" xr:uid="{55A23472-A1F2-4A99-AE97-DA5142E3C55D}"/>
    <cellStyle name="20% - Accent1 2 2 3 3 5" xfId="28363" xr:uid="{7BF4E506-24BD-4CE4-A3B4-0AF733951881}"/>
    <cellStyle name="20% - Accent1 2 2 3 4" xfId="6261" xr:uid="{00000000-0005-0000-0000-000079020000}"/>
    <cellStyle name="20% - Accent1 2 2 3 4 2" xfId="14235" xr:uid="{00000000-0005-0000-0000-00007A020000}"/>
    <cellStyle name="20% - Accent1 2 2 3 4 2 2" xfId="38077" xr:uid="{94B03627-6184-46C1-8D3F-79E039230C68}"/>
    <cellStyle name="20% - Accent1 2 2 3 4 3" xfId="22182" xr:uid="{00000000-0005-0000-0000-00007B020000}"/>
    <cellStyle name="20% - Accent1 2 2 3 4 3 2" xfId="46014" xr:uid="{9CC9A2A4-3D31-4F79-AD44-BDA0F25A0323}"/>
    <cellStyle name="20% - Accent1 2 2 3 4 4" xfId="30136" xr:uid="{4198BAD2-9A02-40D3-8BD6-261878E135DA}"/>
    <cellStyle name="20% - Accent1 2 2 3 5" xfId="9803" xr:uid="{00000000-0005-0000-0000-00007C020000}"/>
    <cellStyle name="20% - Accent1 2 2 3 5 2" xfId="17761" xr:uid="{00000000-0005-0000-0000-00007D020000}"/>
    <cellStyle name="20% - Accent1 2 2 3 5 2 2" xfId="41601" xr:uid="{D052C9B7-D65F-4730-B295-20DF08E277A2}"/>
    <cellStyle name="20% - Accent1 2 2 3 5 3" xfId="25705" xr:uid="{00000000-0005-0000-0000-00007E020000}"/>
    <cellStyle name="20% - Accent1 2 2 3 5 3 2" xfId="49537" xr:uid="{0595CB6B-63DF-4EB3-ABA0-34EE40813F2A}"/>
    <cellStyle name="20% - Accent1 2 2 3 5 4" xfId="33660" xr:uid="{2EAFAEAF-5DF3-4DDC-AA16-21AF10D97BBD}"/>
    <cellStyle name="20% - Accent1 2 2 3 6" xfId="10699" xr:uid="{00000000-0005-0000-0000-00007F020000}"/>
    <cellStyle name="20% - Accent1 2 2 3 6 2" xfId="34548" xr:uid="{35845E77-6A64-4BED-BAA7-B666634A3AE2}"/>
    <cellStyle name="20% - Accent1 2 2 3 7" xfId="18654" xr:uid="{00000000-0005-0000-0000-000080020000}"/>
    <cellStyle name="20% - Accent1 2 2 3 7 2" xfId="42486" xr:uid="{92AAA4D1-EB2B-45F7-8A72-9B253B12EACC}"/>
    <cellStyle name="20% - Accent1 2 2 3 8" xfId="26606" xr:uid="{E405425B-C469-4253-BA52-24466E0F8912}"/>
    <cellStyle name="20% - Accent1 2 2 3_Exh G" xfId="1978" xr:uid="{00000000-0005-0000-0000-000081020000}"/>
    <cellStyle name="20% - Accent1 2 2 4" xfId="1068" xr:uid="{00000000-0005-0000-0000-000082020000}"/>
    <cellStyle name="20% - Accent1 2 2 4 2" xfId="4595" xr:uid="{00000000-0005-0000-0000-000083020000}"/>
    <cellStyle name="20% - Accent1 2 2 4 2 2" xfId="8186" xr:uid="{00000000-0005-0000-0000-000084020000}"/>
    <cellStyle name="20% - Accent1 2 2 4 2 2 2" xfId="16156" xr:uid="{00000000-0005-0000-0000-000085020000}"/>
    <cellStyle name="20% - Accent1 2 2 4 2 2 2 2" xfId="39998" xr:uid="{22C69A89-0DC3-4603-9773-F2F9A973DBF0}"/>
    <cellStyle name="20% - Accent1 2 2 4 2 2 3" xfId="24102" xr:uid="{00000000-0005-0000-0000-000086020000}"/>
    <cellStyle name="20% - Accent1 2 2 4 2 2 3 2" xfId="47934" xr:uid="{2C2B932B-8A06-462D-A138-72640E22AD2D}"/>
    <cellStyle name="20% - Accent1 2 2 4 2 2 4" xfId="32057" xr:uid="{E3FA3D25-FDDF-4452-A46A-71F55D88AEA0}"/>
    <cellStyle name="20% - Accent1 2 2 4 2 3" xfId="12618" xr:uid="{00000000-0005-0000-0000-000087020000}"/>
    <cellStyle name="20% - Accent1 2 2 4 2 3 2" xfId="36467" xr:uid="{2D80276F-9810-406C-82B8-76EA017F62F9}"/>
    <cellStyle name="20% - Accent1 2 2 4 2 4" xfId="20573" xr:uid="{00000000-0005-0000-0000-000088020000}"/>
    <cellStyle name="20% - Accent1 2 2 4 2 4 2" xfId="44405" xr:uid="{69E7CEAE-AF2B-4A93-A7B4-60809DD97F34}"/>
    <cellStyle name="20% - Accent1 2 2 4 2 5" xfId="28526" xr:uid="{33F12CE8-FAF6-47C7-B47A-CB3340D071F5}"/>
    <cellStyle name="20% - Accent1 2 2 4 3" xfId="6427" xr:uid="{00000000-0005-0000-0000-000089020000}"/>
    <cellStyle name="20% - Accent1 2 2 4 3 2" xfId="14398" xr:uid="{00000000-0005-0000-0000-00008A020000}"/>
    <cellStyle name="20% - Accent1 2 2 4 3 2 2" xfId="38240" xr:uid="{E6D25903-EA6E-4F4C-92A6-34B8DE6ED900}"/>
    <cellStyle name="20% - Accent1 2 2 4 3 3" xfId="22345" xr:uid="{00000000-0005-0000-0000-00008B020000}"/>
    <cellStyle name="20% - Accent1 2 2 4 3 3 2" xfId="46177" xr:uid="{EDEBD2DA-6F5F-4AAC-872F-BF9EC92E1892}"/>
    <cellStyle name="20% - Accent1 2 2 4 3 4" xfId="30299" xr:uid="{42BBE778-2D67-43F0-BF07-1B9932CE5C69}"/>
    <cellStyle name="20% - Accent1 2 2 4 4" xfId="10862" xr:uid="{00000000-0005-0000-0000-00008C020000}"/>
    <cellStyle name="20% - Accent1 2 2 4 4 2" xfId="34711" xr:uid="{A376D356-80A5-4466-A279-F1B46B03D336}"/>
    <cellStyle name="20% - Accent1 2 2 4 5" xfId="18817" xr:uid="{00000000-0005-0000-0000-00008D020000}"/>
    <cellStyle name="20% - Accent1 2 2 4 5 2" xfId="42649" xr:uid="{2F2DB540-62DF-4537-B060-062971D7AD2E}"/>
    <cellStyle name="20% - Accent1 2 2 4 6" xfId="26769" xr:uid="{818C7D91-F61A-424A-AEDD-D5A7C5D44DB4}"/>
    <cellStyle name="20% - Accent1 2 2 4_Exh G" xfId="1980" xr:uid="{00000000-0005-0000-0000-00008E020000}"/>
    <cellStyle name="20% - Accent1 2 2 5" xfId="3716" xr:uid="{00000000-0005-0000-0000-00008F020000}"/>
    <cellStyle name="20% - Accent1 2 2 5 2" xfId="7308" xr:uid="{00000000-0005-0000-0000-000090020000}"/>
    <cellStyle name="20% - Accent1 2 2 5 2 2" xfId="15278" xr:uid="{00000000-0005-0000-0000-000091020000}"/>
    <cellStyle name="20% - Accent1 2 2 5 2 2 2" xfId="39120" xr:uid="{15B4D57B-9C4A-4CAF-9E6A-1B5025D678C9}"/>
    <cellStyle name="20% - Accent1 2 2 5 2 3" xfId="23224" xr:uid="{00000000-0005-0000-0000-000092020000}"/>
    <cellStyle name="20% - Accent1 2 2 5 2 3 2" xfId="47056" xr:uid="{20450E56-E7DD-451D-A0B0-EA07DC99567D}"/>
    <cellStyle name="20% - Accent1 2 2 5 2 4" xfId="31179" xr:uid="{4A261871-B02F-4D7F-99D6-5711A621020C}"/>
    <cellStyle name="20% - Accent1 2 2 5 3" xfId="11740" xr:uid="{00000000-0005-0000-0000-000093020000}"/>
    <cellStyle name="20% - Accent1 2 2 5 3 2" xfId="35589" xr:uid="{7037EBB8-8AE7-441A-B844-3B558FD73017}"/>
    <cellStyle name="20% - Accent1 2 2 5 4" xfId="19695" xr:uid="{00000000-0005-0000-0000-000094020000}"/>
    <cellStyle name="20% - Accent1 2 2 5 4 2" xfId="43527" xr:uid="{F7E608CD-09B1-46E1-8E99-A5A8BF58AD79}"/>
    <cellStyle name="20% - Accent1 2 2 5 5" xfId="27648" xr:uid="{B84E62D3-D50C-4C74-BB25-58D9A00DD9F7}"/>
    <cellStyle name="20% - Accent1 2 2 6" xfId="5536" xr:uid="{00000000-0005-0000-0000-000095020000}"/>
    <cellStyle name="20% - Accent1 2 2 6 2" xfId="13519" xr:uid="{00000000-0005-0000-0000-000096020000}"/>
    <cellStyle name="20% - Accent1 2 2 6 2 2" xfId="37362" xr:uid="{7F0EA88D-84EC-41E4-90A4-C6E5989D069C}"/>
    <cellStyle name="20% - Accent1 2 2 6 3" xfId="21467" xr:uid="{00000000-0005-0000-0000-000097020000}"/>
    <cellStyle name="20% - Accent1 2 2 6 3 2" xfId="45299" xr:uid="{8EDE4D3D-3C9A-440E-9901-0A6C3091879F}"/>
    <cellStyle name="20% - Accent1 2 2 6 4" xfId="29421" xr:uid="{481077E8-6F2E-48EF-B127-8F819A96A065}"/>
    <cellStyle name="20% - Accent1 2 2 7" xfId="9088" xr:uid="{00000000-0005-0000-0000-000098020000}"/>
    <cellStyle name="20% - Accent1 2 2 7 2" xfId="17046" xr:uid="{00000000-0005-0000-0000-000099020000}"/>
    <cellStyle name="20% - Accent1 2 2 7 2 2" xfId="40886" xr:uid="{A6FDD678-6B19-40AA-84E1-A22A45CF0FC5}"/>
    <cellStyle name="20% - Accent1 2 2 7 3" xfId="24990" xr:uid="{00000000-0005-0000-0000-00009A020000}"/>
    <cellStyle name="20% - Accent1 2 2 7 3 2" xfId="48822" xr:uid="{631052CF-E2E7-499A-A58D-81BF4A3D4A5E}"/>
    <cellStyle name="20% - Accent1 2 2 7 4" xfId="32945" xr:uid="{4A48308B-BA87-4BB2-A5F1-EDA488140093}"/>
    <cellStyle name="20% - Accent1 2 2 8" xfId="9984" xr:uid="{00000000-0005-0000-0000-00009B020000}"/>
    <cellStyle name="20% - Accent1 2 2 8 2" xfId="33833" xr:uid="{5892DE27-472D-4EC2-94AF-4ECEA0046D4B}"/>
    <cellStyle name="20% - Accent1 2 2 9" xfId="17939" xr:uid="{00000000-0005-0000-0000-00009C020000}"/>
    <cellStyle name="20% - Accent1 2 2 9 2" xfId="41771" xr:uid="{2782596F-474F-45F2-BACF-4239183FB443}"/>
    <cellStyle name="20% - Accent1 2 2_Exh G" xfId="1975" xr:uid="{00000000-0005-0000-0000-00009D020000}"/>
    <cellStyle name="20% - Accent1 2 3" xfId="44" xr:uid="{00000000-0005-0000-0000-00009E020000}"/>
    <cellStyle name="20% - Accent1 2 3 2" xfId="1070" xr:uid="{00000000-0005-0000-0000-00009F020000}"/>
    <cellStyle name="20% - Accent1 2 3 2 2" xfId="4597" xr:uid="{00000000-0005-0000-0000-0000A0020000}"/>
    <cellStyle name="20% - Accent1 2 3 2 2 2" xfId="8188" xr:uid="{00000000-0005-0000-0000-0000A1020000}"/>
    <cellStyle name="20% - Accent1 2 3 2 2 2 2" xfId="16158" xr:uid="{00000000-0005-0000-0000-0000A2020000}"/>
    <cellStyle name="20% - Accent1 2 3 2 2 2 2 2" xfId="40000" xr:uid="{BA245A86-4AC0-46CC-A7CD-3A1C477D0F5A}"/>
    <cellStyle name="20% - Accent1 2 3 2 2 2 3" xfId="24104" xr:uid="{00000000-0005-0000-0000-0000A3020000}"/>
    <cellStyle name="20% - Accent1 2 3 2 2 2 3 2" xfId="47936" xr:uid="{A3B37C28-0EAD-4CFF-9C80-25F3B7C6C862}"/>
    <cellStyle name="20% - Accent1 2 3 2 2 2 4" xfId="32059" xr:uid="{2D262A3A-466A-4A0A-8625-A8306736105D}"/>
    <cellStyle name="20% - Accent1 2 3 2 2 3" xfId="12620" xr:uid="{00000000-0005-0000-0000-0000A4020000}"/>
    <cellStyle name="20% - Accent1 2 3 2 2 3 2" xfId="36469" xr:uid="{0026FE54-D2BE-4FFB-802A-4D1F0DC07E65}"/>
    <cellStyle name="20% - Accent1 2 3 2 2 4" xfId="20575" xr:uid="{00000000-0005-0000-0000-0000A5020000}"/>
    <cellStyle name="20% - Accent1 2 3 2 2 4 2" xfId="44407" xr:uid="{2549491A-09F0-47E8-B2AE-A862243B18C3}"/>
    <cellStyle name="20% - Accent1 2 3 2 2 5" xfId="28528" xr:uid="{95895334-E061-44A8-8F7C-9D68D5DBAF10}"/>
    <cellStyle name="20% - Accent1 2 3 2 3" xfId="6429" xr:uid="{00000000-0005-0000-0000-0000A6020000}"/>
    <cellStyle name="20% - Accent1 2 3 2 3 2" xfId="14400" xr:uid="{00000000-0005-0000-0000-0000A7020000}"/>
    <cellStyle name="20% - Accent1 2 3 2 3 2 2" xfId="38242" xr:uid="{9EADF9EE-EF9A-4E49-9B0A-A3C4F78528E6}"/>
    <cellStyle name="20% - Accent1 2 3 2 3 3" xfId="22347" xr:uid="{00000000-0005-0000-0000-0000A8020000}"/>
    <cellStyle name="20% - Accent1 2 3 2 3 3 2" xfId="46179" xr:uid="{1A56D0B0-2E9C-41B6-853F-BD9AF9503711}"/>
    <cellStyle name="20% - Accent1 2 3 2 3 4" xfId="30301" xr:uid="{D2B762C2-F8EB-4CA0-BEF5-1719373AFC12}"/>
    <cellStyle name="20% - Accent1 2 3 2 4" xfId="10864" xr:uid="{00000000-0005-0000-0000-0000A9020000}"/>
    <cellStyle name="20% - Accent1 2 3 2 4 2" xfId="34713" xr:uid="{999DA8ED-8EA4-4E83-ADAD-EA53C47E27DA}"/>
    <cellStyle name="20% - Accent1 2 3 2 5" xfId="18819" xr:uid="{00000000-0005-0000-0000-0000AA020000}"/>
    <cellStyle name="20% - Accent1 2 3 2 5 2" xfId="42651" xr:uid="{B7DC34B2-83C9-4C77-95C4-E23713407B66}"/>
    <cellStyle name="20% - Accent1 2 3 2 6" xfId="26771" xr:uid="{44EF94E2-3AF6-4662-BD47-5E70C9423917}"/>
    <cellStyle name="20% - Accent1 2 3 2_Exh G" xfId="1982" xr:uid="{00000000-0005-0000-0000-0000AB020000}"/>
    <cellStyle name="20% - Accent1 2 3 3" xfId="3718" xr:uid="{00000000-0005-0000-0000-0000AC020000}"/>
    <cellStyle name="20% - Accent1 2 3 3 2" xfId="7310" xr:uid="{00000000-0005-0000-0000-0000AD020000}"/>
    <cellStyle name="20% - Accent1 2 3 3 2 2" xfId="15280" xr:uid="{00000000-0005-0000-0000-0000AE020000}"/>
    <cellStyle name="20% - Accent1 2 3 3 2 2 2" xfId="39122" xr:uid="{3DE7C923-2D58-4950-A072-7B7822C06699}"/>
    <cellStyle name="20% - Accent1 2 3 3 2 3" xfId="23226" xr:uid="{00000000-0005-0000-0000-0000AF020000}"/>
    <cellStyle name="20% - Accent1 2 3 3 2 3 2" xfId="47058" xr:uid="{7AB07568-D398-48FE-B5F3-E5BD7387F369}"/>
    <cellStyle name="20% - Accent1 2 3 3 2 4" xfId="31181" xr:uid="{B5FAC521-EF8B-41F9-8B16-F73EA227D7B7}"/>
    <cellStyle name="20% - Accent1 2 3 3 3" xfId="11742" xr:uid="{00000000-0005-0000-0000-0000B0020000}"/>
    <cellStyle name="20% - Accent1 2 3 3 3 2" xfId="35591" xr:uid="{E610BCC7-14F7-4CB6-9D56-586F7B7DEA48}"/>
    <cellStyle name="20% - Accent1 2 3 3 4" xfId="19697" xr:uid="{00000000-0005-0000-0000-0000B1020000}"/>
    <cellStyle name="20% - Accent1 2 3 3 4 2" xfId="43529" xr:uid="{18D3281A-D0B6-47FD-884E-A489A2FEB265}"/>
    <cellStyle name="20% - Accent1 2 3 3 5" xfId="27650" xr:uid="{8B05ECA6-81CD-468F-8629-EE5CBD2B89AA}"/>
    <cellStyle name="20% - Accent1 2 3 4" xfId="5538" xr:uid="{00000000-0005-0000-0000-0000B2020000}"/>
    <cellStyle name="20% - Accent1 2 3 4 2" xfId="13521" xr:uid="{00000000-0005-0000-0000-0000B3020000}"/>
    <cellStyle name="20% - Accent1 2 3 4 2 2" xfId="37364" xr:uid="{CB8CCD43-EEFD-431A-993F-6EB593EF6A77}"/>
    <cellStyle name="20% - Accent1 2 3 4 3" xfId="21469" xr:uid="{00000000-0005-0000-0000-0000B4020000}"/>
    <cellStyle name="20% - Accent1 2 3 4 3 2" xfId="45301" xr:uid="{4A178F7D-186D-491B-9D39-0ABBD8124DDC}"/>
    <cellStyle name="20% - Accent1 2 3 4 4" xfId="29423" xr:uid="{C8735762-FC33-4E5B-BB9E-E6A106C9F28B}"/>
    <cellStyle name="20% - Accent1 2 3 5" xfId="9090" xr:uid="{00000000-0005-0000-0000-0000B5020000}"/>
    <cellStyle name="20% - Accent1 2 3 5 2" xfId="17048" xr:uid="{00000000-0005-0000-0000-0000B6020000}"/>
    <cellStyle name="20% - Accent1 2 3 5 2 2" xfId="40888" xr:uid="{03108B5C-A292-435E-BA33-7E7E148DC0C6}"/>
    <cellStyle name="20% - Accent1 2 3 5 3" xfId="24992" xr:uid="{00000000-0005-0000-0000-0000B7020000}"/>
    <cellStyle name="20% - Accent1 2 3 5 3 2" xfId="48824" xr:uid="{26C773B8-BBA1-48A2-9935-7E654779554D}"/>
    <cellStyle name="20% - Accent1 2 3 5 4" xfId="32947" xr:uid="{3D819E9E-00AC-4B00-A348-DCFE0B5F3F33}"/>
    <cellStyle name="20% - Accent1 2 3 6" xfId="9986" xr:uid="{00000000-0005-0000-0000-0000B8020000}"/>
    <cellStyle name="20% - Accent1 2 3 6 2" xfId="33835" xr:uid="{14CAF471-A079-4C26-84DD-AFD6969EF922}"/>
    <cellStyle name="20% - Accent1 2 3 7" xfId="17941" xr:uid="{00000000-0005-0000-0000-0000B9020000}"/>
    <cellStyle name="20% - Accent1 2 3 7 2" xfId="41773" xr:uid="{CF14FDE7-28A9-4314-96EF-A64FB78B6078}"/>
    <cellStyle name="20% - Accent1 2 3 8" xfId="25893" xr:uid="{6E002C5F-3EF9-4D4E-A6F2-F5700F4F1CDC}"/>
    <cellStyle name="20% - Accent1 2 3_Exh G" xfId="1981" xr:uid="{00000000-0005-0000-0000-0000BA020000}"/>
    <cellStyle name="20% - Accent1 2 4" xfId="860" xr:uid="{00000000-0005-0000-0000-0000BB020000}"/>
    <cellStyle name="20% - Accent1 2 4 2" xfId="1792" xr:uid="{00000000-0005-0000-0000-0000BC020000}"/>
    <cellStyle name="20% - Accent1 2 4 2 2" xfId="5309" xr:uid="{00000000-0005-0000-0000-0000BD020000}"/>
    <cellStyle name="20% - Accent1 2 4 2 2 2" xfId="8900" xr:uid="{00000000-0005-0000-0000-0000BE020000}"/>
    <cellStyle name="20% - Accent1 2 4 2 2 2 2" xfId="16870" xr:uid="{00000000-0005-0000-0000-0000BF020000}"/>
    <cellStyle name="20% - Accent1 2 4 2 2 2 2 2" xfId="40712" xr:uid="{33C3AB96-3509-40FF-BEB9-A19A1C433C27}"/>
    <cellStyle name="20% - Accent1 2 4 2 2 2 3" xfId="24816" xr:uid="{00000000-0005-0000-0000-0000C0020000}"/>
    <cellStyle name="20% - Accent1 2 4 2 2 2 3 2" xfId="48648" xr:uid="{778B0082-770B-4E0F-8A9E-6BB66BB06BE6}"/>
    <cellStyle name="20% - Accent1 2 4 2 2 2 4" xfId="32771" xr:uid="{20D6BDA8-74B3-4601-82F3-FB974ECC36C9}"/>
    <cellStyle name="20% - Accent1 2 4 2 2 3" xfId="13332" xr:uid="{00000000-0005-0000-0000-0000C1020000}"/>
    <cellStyle name="20% - Accent1 2 4 2 2 3 2" xfId="37181" xr:uid="{C0CD4829-CED1-4E2C-910F-EF85BDBB3DC9}"/>
    <cellStyle name="20% - Accent1 2 4 2 2 4" xfId="21287" xr:uid="{00000000-0005-0000-0000-0000C2020000}"/>
    <cellStyle name="20% - Accent1 2 4 2 2 4 2" xfId="45119" xr:uid="{EEB8D2A6-F1EF-49D5-A4AD-271E2A8FA451}"/>
    <cellStyle name="20% - Accent1 2 4 2 2 5" xfId="29240" xr:uid="{17CA2D3C-5F65-4957-9E1C-2D732172DDD3}"/>
    <cellStyle name="20% - Accent1 2 4 2 3" xfId="7141" xr:uid="{00000000-0005-0000-0000-0000C3020000}"/>
    <cellStyle name="20% - Accent1 2 4 2 3 2" xfId="15112" xr:uid="{00000000-0005-0000-0000-0000C4020000}"/>
    <cellStyle name="20% - Accent1 2 4 2 3 2 2" xfId="38954" xr:uid="{11BF2B0D-FDF5-49B5-9480-1968CF54EF4C}"/>
    <cellStyle name="20% - Accent1 2 4 2 3 3" xfId="23059" xr:uid="{00000000-0005-0000-0000-0000C5020000}"/>
    <cellStyle name="20% - Accent1 2 4 2 3 3 2" xfId="46891" xr:uid="{5F7AFB7E-9778-4076-BFF1-8D7B359B8D10}"/>
    <cellStyle name="20% - Accent1 2 4 2 3 4" xfId="31013" xr:uid="{BC0E4EE4-DF61-4265-BFF9-922A8C4217F5}"/>
    <cellStyle name="20% - Accent1 2 4 2 4" xfId="11576" xr:uid="{00000000-0005-0000-0000-0000C6020000}"/>
    <cellStyle name="20% - Accent1 2 4 2 4 2" xfId="35425" xr:uid="{8729A58D-AC98-4CF4-AE6D-96749EB904BF}"/>
    <cellStyle name="20% - Accent1 2 4 2 5" xfId="19531" xr:uid="{00000000-0005-0000-0000-0000C7020000}"/>
    <cellStyle name="20% - Accent1 2 4 2 5 2" xfId="43363" xr:uid="{E75214FF-91C6-4D2B-B7DF-E7343DACAE65}"/>
    <cellStyle name="20% - Accent1 2 4 2 6" xfId="27483" xr:uid="{FBD33532-6DCC-4EFC-BBCC-AAFDB25A7C06}"/>
    <cellStyle name="20% - Accent1 2 4 2_Exh G" xfId="1984" xr:uid="{00000000-0005-0000-0000-0000C8020000}"/>
    <cellStyle name="20% - Accent1 2 4 3" xfId="4430" xr:uid="{00000000-0005-0000-0000-0000C9020000}"/>
    <cellStyle name="20% - Accent1 2 4 3 2" xfId="8022" xr:uid="{00000000-0005-0000-0000-0000CA020000}"/>
    <cellStyle name="20% - Accent1 2 4 3 2 2" xfId="15992" xr:uid="{00000000-0005-0000-0000-0000CB020000}"/>
    <cellStyle name="20% - Accent1 2 4 3 2 2 2" xfId="39834" xr:uid="{278DDA07-6B16-420B-A1B3-67CC7D76C4E0}"/>
    <cellStyle name="20% - Accent1 2 4 3 2 3" xfId="23938" xr:uid="{00000000-0005-0000-0000-0000CC020000}"/>
    <cellStyle name="20% - Accent1 2 4 3 2 3 2" xfId="47770" xr:uid="{85A9A1E6-745C-4DA8-A97B-0B59C38D0F77}"/>
    <cellStyle name="20% - Accent1 2 4 3 2 4" xfId="31893" xr:uid="{E42BDF17-866E-4243-916B-D73C20A89EF2}"/>
    <cellStyle name="20% - Accent1 2 4 3 3" xfId="12454" xr:uid="{00000000-0005-0000-0000-0000CD020000}"/>
    <cellStyle name="20% - Accent1 2 4 3 3 2" xfId="36303" xr:uid="{5C931B25-3D80-48FB-A2DA-73825717362A}"/>
    <cellStyle name="20% - Accent1 2 4 3 4" xfId="20409" xr:uid="{00000000-0005-0000-0000-0000CE020000}"/>
    <cellStyle name="20% - Accent1 2 4 3 4 2" xfId="44241" xr:uid="{D0E51DDC-365B-4E8E-9D22-835E47270867}"/>
    <cellStyle name="20% - Accent1 2 4 3 5" xfId="28362" xr:uid="{A3FA1D4B-1E4F-42F2-95E6-9B81F163964E}"/>
    <cellStyle name="20% - Accent1 2 4 4" xfId="6260" xr:uid="{00000000-0005-0000-0000-0000CF020000}"/>
    <cellStyle name="20% - Accent1 2 4 4 2" xfId="14234" xr:uid="{00000000-0005-0000-0000-0000D0020000}"/>
    <cellStyle name="20% - Accent1 2 4 4 2 2" xfId="38076" xr:uid="{F29C027F-6F39-4B97-A6D7-D7CB9C349B3D}"/>
    <cellStyle name="20% - Accent1 2 4 4 3" xfId="22181" xr:uid="{00000000-0005-0000-0000-0000D1020000}"/>
    <cellStyle name="20% - Accent1 2 4 4 3 2" xfId="46013" xr:uid="{D7F3C2CF-53DA-497F-9497-9D05312FF6A9}"/>
    <cellStyle name="20% - Accent1 2 4 4 4" xfId="30135" xr:uid="{A2A50F1A-C270-4628-8B60-09C57CDA8E7B}"/>
    <cellStyle name="20% - Accent1 2 4 5" xfId="9802" xr:uid="{00000000-0005-0000-0000-0000D2020000}"/>
    <cellStyle name="20% - Accent1 2 4 5 2" xfId="17760" xr:uid="{00000000-0005-0000-0000-0000D3020000}"/>
    <cellStyle name="20% - Accent1 2 4 5 2 2" xfId="41600" xr:uid="{C445DF1E-670B-4933-9204-930D9D961DEC}"/>
    <cellStyle name="20% - Accent1 2 4 5 3" xfId="25704" xr:uid="{00000000-0005-0000-0000-0000D4020000}"/>
    <cellStyle name="20% - Accent1 2 4 5 3 2" xfId="49536" xr:uid="{53745085-0FCB-45A7-90C2-0D6EB7B17769}"/>
    <cellStyle name="20% - Accent1 2 4 5 4" xfId="33659" xr:uid="{2C5022A3-E2F9-4036-B7E2-4E82153D827C}"/>
    <cellStyle name="20% - Accent1 2 4 6" xfId="10698" xr:uid="{00000000-0005-0000-0000-0000D5020000}"/>
    <cellStyle name="20% - Accent1 2 4 6 2" xfId="34547" xr:uid="{8126EFF5-84A9-40D8-8084-E8A98A1B28E1}"/>
    <cellStyle name="20% - Accent1 2 4 7" xfId="18653" xr:uid="{00000000-0005-0000-0000-0000D6020000}"/>
    <cellStyle name="20% - Accent1 2 4 7 2" xfId="42485" xr:uid="{5BBBF56D-8BAC-4656-8D16-435EEC29BA5A}"/>
    <cellStyle name="20% - Accent1 2 4 8" xfId="26605" xr:uid="{5EEBB7FD-ABC9-467D-82A3-DD8452764A57}"/>
    <cellStyle name="20% - Accent1 2 4_Exh G" xfId="1983" xr:uid="{00000000-0005-0000-0000-0000D7020000}"/>
    <cellStyle name="20% - Accent1 2 5" xfId="1067" xr:uid="{00000000-0005-0000-0000-0000D8020000}"/>
    <cellStyle name="20% - Accent1 2 5 2" xfId="4594" xr:uid="{00000000-0005-0000-0000-0000D9020000}"/>
    <cellStyle name="20% - Accent1 2 5 2 2" xfId="8185" xr:uid="{00000000-0005-0000-0000-0000DA020000}"/>
    <cellStyle name="20% - Accent1 2 5 2 2 2" xfId="16155" xr:uid="{00000000-0005-0000-0000-0000DB020000}"/>
    <cellStyle name="20% - Accent1 2 5 2 2 2 2" xfId="39997" xr:uid="{39B74557-77FB-410C-84FE-0E3D50DBF8BD}"/>
    <cellStyle name="20% - Accent1 2 5 2 2 3" xfId="24101" xr:uid="{00000000-0005-0000-0000-0000DC020000}"/>
    <cellStyle name="20% - Accent1 2 5 2 2 3 2" xfId="47933" xr:uid="{DCAD052C-1481-4739-B70D-B2F54E110AEE}"/>
    <cellStyle name="20% - Accent1 2 5 2 2 4" xfId="32056" xr:uid="{0030D369-0B42-4C01-99FD-86F65961362D}"/>
    <cellStyle name="20% - Accent1 2 5 2 3" xfId="12617" xr:uid="{00000000-0005-0000-0000-0000DD020000}"/>
    <cellStyle name="20% - Accent1 2 5 2 3 2" xfId="36466" xr:uid="{1217F21F-C231-4B4F-9722-B3C0E2BB1484}"/>
    <cellStyle name="20% - Accent1 2 5 2 4" xfId="20572" xr:uid="{00000000-0005-0000-0000-0000DE020000}"/>
    <cellStyle name="20% - Accent1 2 5 2 4 2" xfId="44404" xr:uid="{7A04B83C-8C7C-48A1-84FC-92185428FF1B}"/>
    <cellStyle name="20% - Accent1 2 5 2 5" xfId="28525" xr:uid="{FD304F4B-74DD-4410-99EA-02D288976B33}"/>
    <cellStyle name="20% - Accent1 2 5 3" xfId="6426" xr:uid="{00000000-0005-0000-0000-0000DF020000}"/>
    <cellStyle name="20% - Accent1 2 5 3 2" xfId="14397" xr:uid="{00000000-0005-0000-0000-0000E0020000}"/>
    <cellStyle name="20% - Accent1 2 5 3 2 2" xfId="38239" xr:uid="{E6C23100-2B35-4D35-9040-5D91A2C787C3}"/>
    <cellStyle name="20% - Accent1 2 5 3 3" xfId="22344" xr:uid="{00000000-0005-0000-0000-0000E1020000}"/>
    <cellStyle name="20% - Accent1 2 5 3 3 2" xfId="46176" xr:uid="{5488F361-2421-407F-BE9A-9ECF8DDA8653}"/>
    <cellStyle name="20% - Accent1 2 5 3 4" xfId="30298" xr:uid="{6FC88290-1917-43EB-84C4-3985D7A307D4}"/>
    <cellStyle name="20% - Accent1 2 5 4" xfId="10861" xr:uid="{00000000-0005-0000-0000-0000E2020000}"/>
    <cellStyle name="20% - Accent1 2 5 4 2" xfId="34710" xr:uid="{505C7FA4-B8FA-432F-B45D-131B41BAE01C}"/>
    <cellStyle name="20% - Accent1 2 5 5" xfId="18816" xr:uid="{00000000-0005-0000-0000-0000E3020000}"/>
    <cellStyle name="20% - Accent1 2 5 5 2" xfId="42648" xr:uid="{A26401AE-36F9-4FD8-8157-F8CA0AD02053}"/>
    <cellStyle name="20% - Accent1 2 5 6" xfId="26768" xr:uid="{7B45C0F9-8BD5-424E-8FA3-58084867BCF1}"/>
    <cellStyle name="20% - Accent1 2 5_Exh G" xfId="1985" xr:uid="{00000000-0005-0000-0000-0000E4020000}"/>
    <cellStyle name="20% - Accent1 2 6" xfId="3715" xr:uid="{00000000-0005-0000-0000-0000E5020000}"/>
    <cellStyle name="20% - Accent1 2 6 2" xfId="7307" xr:uid="{00000000-0005-0000-0000-0000E6020000}"/>
    <cellStyle name="20% - Accent1 2 6 2 2" xfId="15277" xr:uid="{00000000-0005-0000-0000-0000E7020000}"/>
    <cellStyle name="20% - Accent1 2 6 2 2 2" xfId="39119" xr:uid="{9C201D7A-2C97-44C6-BF01-509AC654C8E6}"/>
    <cellStyle name="20% - Accent1 2 6 2 3" xfId="23223" xr:uid="{00000000-0005-0000-0000-0000E8020000}"/>
    <cellStyle name="20% - Accent1 2 6 2 3 2" xfId="47055" xr:uid="{1E68B599-8F0C-49D7-A958-36903E9B66A3}"/>
    <cellStyle name="20% - Accent1 2 6 2 4" xfId="31178" xr:uid="{6A45200E-813A-425B-8F8C-2B789A3AC849}"/>
    <cellStyle name="20% - Accent1 2 6 3" xfId="11739" xr:uid="{00000000-0005-0000-0000-0000E9020000}"/>
    <cellStyle name="20% - Accent1 2 6 3 2" xfId="35588" xr:uid="{E51E56B7-2A98-4C8E-92D5-8B1F8EA4B63E}"/>
    <cellStyle name="20% - Accent1 2 6 4" xfId="19694" xr:uid="{00000000-0005-0000-0000-0000EA020000}"/>
    <cellStyle name="20% - Accent1 2 6 4 2" xfId="43526" xr:uid="{27D4FF7A-E122-4DAC-B04D-8A2D740212F3}"/>
    <cellStyle name="20% - Accent1 2 6 5" xfId="27647" xr:uid="{1EBD0B7B-F1A2-482E-BB4B-796221A56C47}"/>
    <cellStyle name="20% - Accent1 2 7" xfId="5535" xr:uid="{00000000-0005-0000-0000-0000EB020000}"/>
    <cellStyle name="20% - Accent1 2 7 2" xfId="13518" xr:uid="{00000000-0005-0000-0000-0000EC020000}"/>
    <cellStyle name="20% - Accent1 2 7 2 2" xfId="37361" xr:uid="{5EC949F4-D716-442F-BE08-C2A61275D5D6}"/>
    <cellStyle name="20% - Accent1 2 7 3" xfId="21466" xr:uid="{00000000-0005-0000-0000-0000ED020000}"/>
    <cellStyle name="20% - Accent1 2 7 3 2" xfId="45298" xr:uid="{9D9C2156-B166-475D-AA86-54D0315AD337}"/>
    <cellStyle name="20% - Accent1 2 7 4" xfId="29420" xr:uid="{C3DBCD18-0D08-4175-9612-5F463E5F6F4C}"/>
    <cellStyle name="20% - Accent1 2 8" xfId="9087" xr:uid="{00000000-0005-0000-0000-0000EE020000}"/>
    <cellStyle name="20% - Accent1 2 8 2" xfId="17045" xr:uid="{00000000-0005-0000-0000-0000EF020000}"/>
    <cellStyle name="20% - Accent1 2 8 2 2" xfId="40885" xr:uid="{3C45378C-72A5-4056-AA9F-BEB633D5E816}"/>
    <cellStyle name="20% - Accent1 2 8 3" xfId="24989" xr:uid="{00000000-0005-0000-0000-0000F0020000}"/>
    <cellStyle name="20% - Accent1 2 8 3 2" xfId="48821" xr:uid="{D4EC156A-78EC-49CB-A3BC-2BCDC0C5CA5F}"/>
    <cellStyle name="20% - Accent1 2 8 4" xfId="32944" xr:uid="{CEEE65CC-02E3-4794-B251-5DFAF51BB848}"/>
    <cellStyle name="20% - Accent1 2 9" xfId="9983" xr:uid="{00000000-0005-0000-0000-0000F1020000}"/>
    <cellStyle name="20% - Accent1 2 9 2" xfId="33832" xr:uid="{9F195934-0532-4543-AB69-F08A109FD910}"/>
    <cellStyle name="20% - Accent1 2_Exh G" xfId="1974" xr:uid="{00000000-0005-0000-0000-0000F2020000}"/>
    <cellStyle name="20% - Accent1 3" xfId="45" xr:uid="{00000000-0005-0000-0000-0000F3020000}"/>
    <cellStyle name="20% - Accent1 3 10" xfId="17942" xr:uid="{00000000-0005-0000-0000-0000F4020000}"/>
    <cellStyle name="20% - Accent1 3 10 2" xfId="41774" xr:uid="{A056336D-DEAE-43E7-9C75-461FDDA21EBD}"/>
    <cellStyle name="20% - Accent1 3 11" xfId="25894" xr:uid="{6B4DABFA-604E-43F2-9801-294D85B086B5}"/>
    <cellStyle name="20% - Accent1 3 12" xfId="49754" xr:uid="{FB93CA43-A575-46C0-86E2-2B60FD799D0C}"/>
    <cellStyle name="20% - Accent1 3 13" xfId="49808" xr:uid="{F8B71A7A-8B90-450A-A611-30C9E3FA662B}"/>
    <cellStyle name="20% - Accent1 3 2" xfId="46" xr:uid="{00000000-0005-0000-0000-0000F5020000}"/>
    <cellStyle name="20% - Accent1 3 2 10" xfId="25895" xr:uid="{2CC8ABA4-2F93-44DF-B2CB-19723CBAF2A4}"/>
    <cellStyle name="20% - Accent1 3 2 2" xfId="47" xr:uid="{00000000-0005-0000-0000-0000F6020000}"/>
    <cellStyle name="20% - Accent1 3 2 2 2" xfId="1073" xr:uid="{00000000-0005-0000-0000-0000F7020000}"/>
    <cellStyle name="20% - Accent1 3 2 2 2 2" xfId="4600" xr:uid="{00000000-0005-0000-0000-0000F8020000}"/>
    <cellStyle name="20% - Accent1 3 2 2 2 2 2" xfId="8191" xr:uid="{00000000-0005-0000-0000-0000F9020000}"/>
    <cellStyle name="20% - Accent1 3 2 2 2 2 2 2" xfId="16161" xr:uid="{00000000-0005-0000-0000-0000FA020000}"/>
    <cellStyle name="20% - Accent1 3 2 2 2 2 2 2 2" xfId="40003" xr:uid="{DDF0B7EC-4FE2-4457-AB1C-A4E795AD744E}"/>
    <cellStyle name="20% - Accent1 3 2 2 2 2 2 3" xfId="24107" xr:uid="{00000000-0005-0000-0000-0000FB020000}"/>
    <cellStyle name="20% - Accent1 3 2 2 2 2 2 3 2" xfId="47939" xr:uid="{B39D1A32-EB31-4818-89BF-372A9F63F7C6}"/>
    <cellStyle name="20% - Accent1 3 2 2 2 2 2 4" xfId="32062" xr:uid="{736F6BD6-197D-43C0-9D5B-ED1AEFD17426}"/>
    <cellStyle name="20% - Accent1 3 2 2 2 2 3" xfId="12623" xr:uid="{00000000-0005-0000-0000-0000FC020000}"/>
    <cellStyle name="20% - Accent1 3 2 2 2 2 3 2" xfId="36472" xr:uid="{73E32DF7-B159-4395-955B-6B7E6DB51935}"/>
    <cellStyle name="20% - Accent1 3 2 2 2 2 4" xfId="20578" xr:uid="{00000000-0005-0000-0000-0000FD020000}"/>
    <cellStyle name="20% - Accent1 3 2 2 2 2 4 2" xfId="44410" xr:uid="{5CAF81A9-033B-48C2-BAC4-0C9CCA05E6D3}"/>
    <cellStyle name="20% - Accent1 3 2 2 2 2 5" xfId="28531" xr:uid="{B1D0646D-E4F9-4360-BEB3-EDD7E5F5888E}"/>
    <cellStyle name="20% - Accent1 3 2 2 2 3" xfId="6432" xr:uid="{00000000-0005-0000-0000-0000FE020000}"/>
    <cellStyle name="20% - Accent1 3 2 2 2 3 2" xfId="14403" xr:uid="{00000000-0005-0000-0000-0000FF020000}"/>
    <cellStyle name="20% - Accent1 3 2 2 2 3 2 2" xfId="38245" xr:uid="{7E754C21-95F8-4A03-8BEB-C2DCB1714E1C}"/>
    <cellStyle name="20% - Accent1 3 2 2 2 3 3" xfId="22350" xr:uid="{00000000-0005-0000-0000-000000030000}"/>
    <cellStyle name="20% - Accent1 3 2 2 2 3 3 2" xfId="46182" xr:uid="{4EEE3774-5653-4342-A93C-34686EAA43B6}"/>
    <cellStyle name="20% - Accent1 3 2 2 2 3 4" xfId="30304" xr:uid="{3837BECC-E830-4610-927C-DE9226F66027}"/>
    <cellStyle name="20% - Accent1 3 2 2 2 4" xfId="10867" xr:uid="{00000000-0005-0000-0000-000001030000}"/>
    <cellStyle name="20% - Accent1 3 2 2 2 4 2" xfId="34716" xr:uid="{1FE569FB-493B-4DFD-B920-801E7DE3D8D1}"/>
    <cellStyle name="20% - Accent1 3 2 2 2 5" xfId="18822" xr:uid="{00000000-0005-0000-0000-000002030000}"/>
    <cellStyle name="20% - Accent1 3 2 2 2 5 2" xfId="42654" xr:uid="{BA2E93B4-14E7-47CA-B46B-D76A3FBFA882}"/>
    <cellStyle name="20% - Accent1 3 2 2 2 6" xfId="26774" xr:uid="{6D131696-DA7F-43B9-BD05-9CF1CC6A3D8B}"/>
    <cellStyle name="20% - Accent1 3 2 2 2_Exh G" xfId="1989" xr:uid="{00000000-0005-0000-0000-000003030000}"/>
    <cellStyle name="20% - Accent1 3 2 2 3" xfId="3721" xr:uid="{00000000-0005-0000-0000-000004030000}"/>
    <cellStyle name="20% - Accent1 3 2 2 3 2" xfId="7313" xr:uid="{00000000-0005-0000-0000-000005030000}"/>
    <cellStyle name="20% - Accent1 3 2 2 3 2 2" xfId="15283" xr:uid="{00000000-0005-0000-0000-000006030000}"/>
    <cellStyle name="20% - Accent1 3 2 2 3 2 2 2" xfId="39125" xr:uid="{E72B5854-6866-4E65-89FC-664708ED5029}"/>
    <cellStyle name="20% - Accent1 3 2 2 3 2 3" xfId="23229" xr:uid="{00000000-0005-0000-0000-000007030000}"/>
    <cellStyle name="20% - Accent1 3 2 2 3 2 3 2" xfId="47061" xr:uid="{1C759FBC-32DC-4176-8CB4-6CBFC6587D64}"/>
    <cellStyle name="20% - Accent1 3 2 2 3 2 4" xfId="31184" xr:uid="{B50B04A8-0177-417E-93EC-DB8D692D3EA1}"/>
    <cellStyle name="20% - Accent1 3 2 2 3 3" xfId="11745" xr:uid="{00000000-0005-0000-0000-000008030000}"/>
    <cellStyle name="20% - Accent1 3 2 2 3 3 2" xfId="35594" xr:uid="{95ACA89E-753C-4536-8B9B-CD0E0A204AFA}"/>
    <cellStyle name="20% - Accent1 3 2 2 3 4" xfId="19700" xr:uid="{00000000-0005-0000-0000-000009030000}"/>
    <cellStyle name="20% - Accent1 3 2 2 3 4 2" xfId="43532" xr:uid="{6802160A-2E3E-4207-9CDA-5D71485B0317}"/>
    <cellStyle name="20% - Accent1 3 2 2 3 5" xfId="27653" xr:uid="{43D382DC-4FB5-4C6A-9814-4F16008CFCEA}"/>
    <cellStyle name="20% - Accent1 3 2 2 4" xfId="5541" xr:uid="{00000000-0005-0000-0000-00000A030000}"/>
    <cellStyle name="20% - Accent1 3 2 2 4 2" xfId="13524" xr:uid="{00000000-0005-0000-0000-00000B030000}"/>
    <cellStyle name="20% - Accent1 3 2 2 4 2 2" xfId="37367" xr:uid="{AFB332D3-C571-4A4E-B960-58E668215B8B}"/>
    <cellStyle name="20% - Accent1 3 2 2 4 3" xfId="21472" xr:uid="{00000000-0005-0000-0000-00000C030000}"/>
    <cellStyle name="20% - Accent1 3 2 2 4 3 2" xfId="45304" xr:uid="{F764FBE7-129E-4119-94FC-6ADB195FA2F3}"/>
    <cellStyle name="20% - Accent1 3 2 2 4 4" xfId="29426" xr:uid="{EF4CD56C-5440-4A8E-B1DE-DE4B4FC84E85}"/>
    <cellStyle name="20% - Accent1 3 2 2 5" xfId="9093" xr:uid="{00000000-0005-0000-0000-00000D030000}"/>
    <cellStyle name="20% - Accent1 3 2 2 5 2" xfId="17051" xr:uid="{00000000-0005-0000-0000-00000E030000}"/>
    <cellStyle name="20% - Accent1 3 2 2 5 2 2" xfId="40891" xr:uid="{0FB1C3BB-E1A9-463E-9D49-975787E17FB8}"/>
    <cellStyle name="20% - Accent1 3 2 2 5 3" xfId="24995" xr:uid="{00000000-0005-0000-0000-00000F030000}"/>
    <cellStyle name="20% - Accent1 3 2 2 5 3 2" xfId="48827" xr:uid="{DA2E88E2-8E2F-41BF-807C-D6B1D309F8B3}"/>
    <cellStyle name="20% - Accent1 3 2 2 5 4" xfId="32950" xr:uid="{7E8A5F91-0552-45CE-8175-1C1E27DF243E}"/>
    <cellStyle name="20% - Accent1 3 2 2 6" xfId="9989" xr:uid="{00000000-0005-0000-0000-000010030000}"/>
    <cellStyle name="20% - Accent1 3 2 2 6 2" xfId="33838" xr:uid="{F031D342-768B-49B8-8CC8-77D9316F9D4C}"/>
    <cellStyle name="20% - Accent1 3 2 2 7" xfId="17944" xr:uid="{00000000-0005-0000-0000-000011030000}"/>
    <cellStyle name="20% - Accent1 3 2 2 7 2" xfId="41776" xr:uid="{B9EE3C47-3B83-45D8-8A48-F86762E488F6}"/>
    <cellStyle name="20% - Accent1 3 2 2 8" xfId="25896" xr:uid="{40FF164E-749C-4C94-9EBA-C0E55A40346E}"/>
    <cellStyle name="20% - Accent1 3 2 2_Exh G" xfId="1988" xr:uid="{00000000-0005-0000-0000-000012030000}"/>
    <cellStyle name="20% - Accent1 3 2 3" xfId="863" xr:uid="{00000000-0005-0000-0000-000013030000}"/>
    <cellStyle name="20% - Accent1 3 2 3 2" xfId="1795" xr:uid="{00000000-0005-0000-0000-000014030000}"/>
    <cellStyle name="20% - Accent1 3 2 3 2 2" xfId="5312" xr:uid="{00000000-0005-0000-0000-000015030000}"/>
    <cellStyle name="20% - Accent1 3 2 3 2 2 2" xfId="8903" xr:uid="{00000000-0005-0000-0000-000016030000}"/>
    <cellStyle name="20% - Accent1 3 2 3 2 2 2 2" xfId="16873" xr:uid="{00000000-0005-0000-0000-000017030000}"/>
    <cellStyle name="20% - Accent1 3 2 3 2 2 2 2 2" xfId="40715" xr:uid="{67B1E185-5460-459D-86DF-62883779DD23}"/>
    <cellStyle name="20% - Accent1 3 2 3 2 2 2 3" xfId="24819" xr:uid="{00000000-0005-0000-0000-000018030000}"/>
    <cellStyle name="20% - Accent1 3 2 3 2 2 2 3 2" xfId="48651" xr:uid="{D8B2A5DC-D219-4B05-BD4E-8DA5A8622DED}"/>
    <cellStyle name="20% - Accent1 3 2 3 2 2 2 4" xfId="32774" xr:uid="{BDFF8876-DD1A-415D-8B2B-69DC6F6C5D2D}"/>
    <cellStyle name="20% - Accent1 3 2 3 2 2 3" xfId="13335" xr:uid="{00000000-0005-0000-0000-000019030000}"/>
    <cellStyle name="20% - Accent1 3 2 3 2 2 3 2" xfId="37184" xr:uid="{DCDE4EDE-64C2-4094-B2B9-DC72F05A718E}"/>
    <cellStyle name="20% - Accent1 3 2 3 2 2 4" xfId="21290" xr:uid="{00000000-0005-0000-0000-00001A030000}"/>
    <cellStyle name="20% - Accent1 3 2 3 2 2 4 2" xfId="45122" xr:uid="{03BF04AC-26D5-4299-8B59-040B5CC890A3}"/>
    <cellStyle name="20% - Accent1 3 2 3 2 2 5" xfId="29243" xr:uid="{F44CF2D9-260A-4D29-A670-05B8D3169DBB}"/>
    <cellStyle name="20% - Accent1 3 2 3 2 3" xfId="7144" xr:uid="{00000000-0005-0000-0000-00001B030000}"/>
    <cellStyle name="20% - Accent1 3 2 3 2 3 2" xfId="15115" xr:uid="{00000000-0005-0000-0000-00001C030000}"/>
    <cellStyle name="20% - Accent1 3 2 3 2 3 2 2" xfId="38957" xr:uid="{822EE2E8-4AEB-4AFE-8948-513DE7BAFA18}"/>
    <cellStyle name="20% - Accent1 3 2 3 2 3 3" xfId="23062" xr:uid="{00000000-0005-0000-0000-00001D030000}"/>
    <cellStyle name="20% - Accent1 3 2 3 2 3 3 2" xfId="46894" xr:uid="{626687C3-1394-4D5F-81FA-4B1E2D9D8FB6}"/>
    <cellStyle name="20% - Accent1 3 2 3 2 3 4" xfId="31016" xr:uid="{C1054553-15A1-4143-8549-890329A8AF9B}"/>
    <cellStyle name="20% - Accent1 3 2 3 2 4" xfId="11579" xr:uid="{00000000-0005-0000-0000-00001E030000}"/>
    <cellStyle name="20% - Accent1 3 2 3 2 4 2" xfId="35428" xr:uid="{2C3E7A88-BB3B-4244-A154-F1938AAEA76B}"/>
    <cellStyle name="20% - Accent1 3 2 3 2 5" xfId="19534" xr:uid="{00000000-0005-0000-0000-00001F030000}"/>
    <cellStyle name="20% - Accent1 3 2 3 2 5 2" xfId="43366" xr:uid="{D35F715B-E661-4F59-827A-BF321ED18A9B}"/>
    <cellStyle name="20% - Accent1 3 2 3 2 6" xfId="27486" xr:uid="{BD8E14C9-0996-4CD1-87EC-9BD7CBE11DE6}"/>
    <cellStyle name="20% - Accent1 3 2 3 2_Exh G" xfId="1991" xr:uid="{00000000-0005-0000-0000-000020030000}"/>
    <cellStyle name="20% - Accent1 3 2 3 3" xfId="4433" xr:uid="{00000000-0005-0000-0000-000021030000}"/>
    <cellStyle name="20% - Accent1 3 2 3 3 2" xfId="8025" xr:uid="{00000000-0005-0000-0000-000022030000}"/>
    <cellStyle name="20% - Accent1 3 2 3 3 2 2" xfId="15995" xr:uid="{00000000-0005-0000-0000-000023030000}"/>
    <cellStyle name="20% - Accent1 3 2 3 3 2 2 2" xfId="39837" xr:uid="{E21EAC8B-201F-4977-B9A4-CC9800AF4C48}"/>
    <cellStyle name="20% - Accent1 3 2 3 3 2 3" xfId="23941" xr:uid="{00000000-0005-0000-0000-000024030000}"/>
    <cellStyle name="20% - Accent1 3 2 3 3 2 3 2" xfId="47773" xr:uid="{9FAE633A-B04E-41E1-9604-A3A3AF0B7E16}"/>
    <cellStyle name="20% - Accent1 3 2 3 3 2 4" xfId="31896" xr:uid="{48CEEA84-5049-4E22-9457-81A91795970E}"/>
    <cellStyle name="20% - Accent1 3 2 3 3 3" xfId="12457" xr:uid="{00000000-0005-0000-0000-000025030000}"/>
    <cellStyle name="20% - Accent1 3 2 3 3 3 2" xfId="36306" xr:uid="{13A5C4A6-DF66-4C28-8E10-26CECC0C93F9}"/>
    <cellStyle name="20% - Accent1 3 2 3 3 4" xfId="20412" xr:uid="{00000000-0005-0000-0000-000026030000}"/>
    <cellStyle name="20% - Accent1 3 2 3 3 4 2" xfId="44244" xr:uid="{BC54DB91-1627-4EC6-B465-668FF69BAF27}"/>
    <cellStyle name="20% - Accent1 3 2 3 3 5" xfId="28365" xr:uid="{5D9A4122-FC6E-4ECC-9C33-7B00295B6350}"/>
    <cellStyle name="20% - Accent1 3 2 3 4" xfId="6263" xr:uid="{00000000-0005-0000-0000-000027030000}"/>
    <cellStyle name="20% - Accent1 3 2 3 4 2" xfId="14237" xr:uid="{00000000-0005-0000-0000-000028030000}"/>
    <cellStyle name="20% - Accent1 3 2 3 4 2 2" xfId="38079" xr:uid="{2E87B51F-15C1-4976-93CB-173D814DAC68}"/>
    <cellStyle name="20% - Accent1 3 2 3 4 3" xfId="22184" xr:uid="{00000000-0005-0000-0000-000029030000}"/>
    <cellStyle name="20% - Accent1 3 2 3 4 3 2" xfId="46016" xr:uid="{25CD438D-284D-46B1-AF7A-0E2A2641AF3B}"/>
    <cellStyle name="20% - Accent1 3 2 3 4 4" xfId="30138" xr:uid="{8C99B714-849B-4E85-BC70-717C0C67856C}"/>
    <cellStyle name="20% - Accent1 3 2 3 5" xfId="9805" xr:uid="{00000000-0005-0000-0000-00002A030000}"/>
    <cellStyle name="20% - Accent1 3 2 3 5 2" xfId="17763" xr:uid="{00000000-0005-0000-0000-00002B030000}"/>
    <cellStyle name="20% - Accent1 3 2 3 5 2 2" xfId="41603" xr:uid="{F17511E5-14EA-4BB3-BFB6-0244B104DAFD}"/>
    <cellStyle name="20% - Accent1 3 2 3 5 3" xfId="25707" xr:uid="{00000000-0005-0000-0000-00002C030000}"/>
    <cellStyle name="20% - Accent1 3 2 3 5 3 2" xfId="49539" xr:uid="{83F65EF5-BB24-4F26-89E9-36BAD404F0A1}"/>
    <cellStyle name="20% - Accent1 3 2 3 5 4" xfId="33662" xr:uid="{AFAD3F78-89E3-4E54-975E-FA988A76A392}"/>
    <cellStyle name="20% - Accent1 3 2 3 6" xfId="10701" xr:uid="{00000000-0005-0000-0000-00002D030000}"/>
    <cellStyle name="20% - Accent1 3 2 3 6 2" xfId="34550" xr:uid="{3BE68DEC-CEDF-4D07-95BB-6D5E564583B8}"/>
    <cellStyle name="20% - Accent1 3 2 3 7" xfId="18656" xr:uid="{00000000-0005-0000-0000-00002E030000}"/>
    <cellStyle name="20% - Accent1 3 2 3 7 2" xfId="42488" xr:uid="{331B546B-92EF-4503-832C-74CD8EF56C51}"/>
    <cellStyle name="20% - Accent1 3 2 3 8" xfId="26608" xr:uid="{8603772E-384B-430D-9FFE-84259A8EFE35}"/>
    <cellStyle name="20% - Accent1 3 2 3_Exh G" xfId="1990" xr:uid="{00000000-0005-0000-0000-00002F030000}"/>
    <cellStyle name="20% - Accent1 3 2 4" xfId="1072" xr:uid="{00000000-0005-0000-0000-000030030000}"/>
    <cellStyle name="20% - Accent1 3 2 4 2" xfId="4599" xr:uid="{00000000-0005-0000-0000-000031030000}"/>
    <cellStyle name="20% - Accent1 3 2 4 2 2" xfId="8190" xr:uid="{00000000-0005-0000-0000-000032030000}"/>
    <cellStyle name="20% - Accent1 3 2 4 2 2 2" xfId="16160" xr:uid="{00000000-0005-0000-0000-000033030000}"/>
    <cellStyle name="20% - Accent1 3 2 4 2 2 2 2" xfId="40002" xr:uid="{633803C5-A110-4435-9861-F2C974937B4D}"/>
    <cellStyle name="20% - Accent1 3 2 4 2 2 3" xfId="24106" xr:uid="{00000000-0005-0000-0000-000034030000}"/>
    <cellStyle name="20% - Accent1 3 2 4 2 2 3 2" xfId="47938" xr:uid="{12EB254B-F478-4CCA-9E5C-26EE055E4CB3}"/>
    <cellStyle name="20% - Accent1 3 2 4 2 2 4" xfId="32061" xr:uid="{E582E74D-DA99-4D86-833F-9E649384CC50}"/>
    <cellStyle name="20% - Accent1 3 2 4 2 3" xfId="12622" xr:uid="{00000000-0005-0000-0000-000035030000}"/>
    <cellStyle name="20% - Accent1 3 2 4 2 3 2" xfId="36471" xr:uid="{9E2D6CE8-6B8B-4A62-BB96-27039226267A}"/>
    <cellStyle name="20% - Accent1 3 2 4 2 4" xfId="20577" xr:uid="{00000000-0005-0000-0000-000036030000}"/>
    <cellStyle name="20% - Accent1 3 2 4 2 4 2" xfId="44409" xr:uid="{02FB2866-F218-43BE-BB9C-CF90F28E1C2B}"/>
    <cellStyle name="20% - Accent1 3 2 4 2 5" xfId="28530" xr:uid="{12204707-0A4B-4625-913E-AF59BD0E68D1}"/>
    <cellStyle name="20% - Accent1 3 2 4 3" xfId="6431" xr:uid="{00000000-0005-0000-0000-000037030000}"/>
    <cellStyle name="20% - Accent1 3 2 4 3 2" xfId="14402" xr:uid="{00000000-0005-0000-0000-000038030000}"/>
    <cellStyle name="20% - Accent1 3 2 4 3 2 2" xfId="38244" xr:uid="{D6E1490C-755B-4911-A3F1-61BF21E74D00}"/>
    <cellStyle name="20% - Accent1 3 2 4 3 3" xfId="22349" xr:uid="{00000000-0005-0000-0000-000039030000}"/>
    <cellStyle name="20% - Accent1 3 2 4 3 3 2" xfId="46181" xr:uid="{6457D5A3-85F0-4541-9B6E-86DC7DB500D7}"/>
    <cellStyle name="20% - Accent1 3 2 4 3 4" xfId="30303" xr:uid="{E3F3017B-870A-4A20-B478-3DECD9D86D6B}"/>
    <cellStyle name="20% - Accent1 3 2 4 4" xfId="10866" xr:uid="{00000000-0005-0000-0000-00003A030000}"/>
    <cellStyle name="20% - Accent1 3 2 4 4 2" xfId="34715" xr:uid="{95BAFC76-D16A-4489-A00C-A157A752197E}"/>
    <cellStyle name="20% - Accent1 3 2 4 5" xfId="18821" xr:uid="{00000000-0005-0000-0000-00003B030000}"/>
    <cellStyle name="20% - Accent1 3 2 4 5 2" xfId="42653" xr:uid="{10ABF765-1363-477F-B124-51D1E310DAB1}"/>
    <cellStyle name="20% - Accent1 3 2 4 6" xfId="26773" xr:uid="{6BC5B850-2EF6-4426-B295-5AE78416162E}"/>
    <cellStyle name="20% - Accent1 3 2 4_Exh G" xfId="1992" xr:uid="{00000000-0005-0000-0000-00003C030000}"/>
    <cellStyle name="20% - Accent1 3 2 5" xfId="3720" xr:uid="{00000000-0005-0000-0000-00003D030000}"/>
    <cellStyle name="20% - Accent1 3 2 5 2" xfId="7312" xr:uid="{00000000-0005-0000-0000-00003E030000}"/>
    <cellStyle name="20% - Accent1 3 2 5 2 2" xfId="15282" xr:uid="{00000000-0005-0000-0000-00003F030000}"/>
    <cellStyle name="20% - Accent1 3 2 5 2 2 2" xfId="39124" xr:uid="{496298E5-02E4-45F0-92C0-D07B3F47933A}"/>
    <cellStyle name="20% - Accent1 3 2 5 2 3" xfId="23228" xr:uid="{00000000-0005-0000-0000-000040030000}"/>
    <cellStyle name="20% - Accent1 3 2 5 2 3 2" xfId="47060" xr:uid="{B446F124-6369-4EE0-ABCF-F85E56E31D19}"/>
    <cellStyle name="20% - Accent1 3 2 5 2 4" xfId="31183" xr:uid="{B9736FBF-3E1B-46FB-94A5-0FA651193A24}"/>
    <cellStyle name="20% - Accent1 3 2 5 3" xfId="11744" xr:uid="{00000000-0005-0000-0000-000041030000}"/>
    <cellStyle name="20% - Accent1 3 2 5 3 2" xfId="35593" xr:uid="{0B6693F7-3BE6-4F03-A87A-29ED2DAFDC92}"/>
    <cellStyle name="20% - Accent1 3 2 5 4" xfId="19699" xr:uid="{00000000-0005-0000-0000-000042030000}"/>
    <cellStyle name="20% - Accent1 3 2 5 4 2" xfId="43531" xr:uid="{F81795ED-41D8-4163-B882-5E44A888E95B}"/>
    <cellStyle name="20% - Accent1 3 2 5 5" xfId="27652" xr:uid="{C3CB35A4-4246-4242-BC8C-3EBE7C2A7BCC}"/>
    <cellStyle name="20% - Accent1 3 2 6" xfId="5540" xr:uid="{00000000-0005-0000-0000-000043030000}"/>
    <cellStyle name="20% - Accent1 3 2 6 2" xfId="13523" xr:uid="{00000000-0005-0000-0000-000044030000}"/>
    <cellStyle name="20% - Accent1 3 2 6 2 2" xfId="37366" xr:uid="{CBD0B8A5-4DFB-4DAD-A1D2-5587919E7EDC}"/>
    <cellStyle name="20% - Accent1 3 2 6 3" xfId="21471" xr:uid="{00000000-0005-0000-0000-000045030000}"/>
    <cellStyle name="20% - Accent1 3 2 6 3 2" xfId="45303" xr:uid="{E637523B-9B23-4227-9586-640E9E5E20BF}"/>
    <cellStyle name="20% - Accent1 3 2 6 4" xfId="29425" xr:uid="{344814D3-D6EC-472A-9A99-7B74BD443BDA}"/>
    <cellStyle name="20% - Accent1 3 2 7" xfId="9092" xr:uid="{00000000-0005-0000-0000-000046030000}"/>
    <cellStyle name="20% - Accent1 3 2 7 2" xfId="17050" xr:uid="{00000000-0005-0000-0000-000047030000}"/>
    <cellStyle name="20% - Accent1 3 2 7 2 2" xfId="40890" xr:uid="{5F39B459-44D8-4743-B15E-0D9D14EC2DBF}"/>
    <cellStyle name="20% - Accent1 3 2 7 3" xfId="24994" xr:uid="{00000000-0005-0000-0000-000048030000}"/>
    <cellStyle name="20% - Accent1 3 2 7 3 2" xfId="48826" xr:uid="{813516E8-5808-41C4-B85C-F4AF4B5EF30E}"/>
    <cellStyle name="20% - Accent1 3 2 7 4" xfId="32949" xr:uid="{9798C23F-AC05-4BF7-B098-897B21D75005}"/>
    <cellStyle name="20% - Accent1 3 2 8" xfId="9988" xr:uid="{00000000-0005-0000-0000-000049030000}"/>
    <cellStyle name="20% - Accent1 3 2 8 2" xfId="33837" xr:uid="{1640A51F-7E0F-443B-92A8-140F12658ADA}"/>
    <cellStyle name="20% - Accent1 3 2 9" xfId="17943" xr:uid="{00000000-0005-0000-0000-00004A030000}"/>
    <cellStyle name="20% - Accent1 3 2 9 2" xfId="41775" xr:uid="{05962407-27B6-4971-B0E3-878DF7D5C379}"/>
    <cellStyle name="20% - Accent1 3 2_Exh G" xfId="1987" xr:uid="{00000000-0005-0000-0000-00004B030000}"/>
    <cellStyle name="20% - Accent1 3 3" xfId="48" xr:uid="{00000000-0005-0000-0000-00004C030000}"/>
    <cellStyle name="20% - Accent1 3 3 2" xfId="1074" xr:uid="{00000000-0005-0000-0000-00004D030000}"/>
    <cellStyle name="20% - Accent1 3 3 2 2" xfId="4601" xr:uid="{00000000-0005-0000-0000-00004E030000}"/>
    <cellStyle name="20% - Accent1 3 3 2 2 2" xfId="8192" xr:uid="{00000000-0005-0000-0000-00004F030000}"/>
    <cellStyle name="20% - Accent1 3 3 2 2 2 2" xfId="16162" xr:uid="{00000000-0005-0000-0000-000050030000}"/>
    <cellStyle name="20% - Accent1 3 3 2 2 2 2 2" xfId="40004" xr:uid="{FE6F678C-1B37-4C84-9E25-F484F06FF2F6}"/>
    <cellStyle name="20% - Accent1 3 3 2 2 2 3" xfId="24108" xr:uid="{00000000-0005-0000-0000-000051030000}"/>
    <cellStyle name="20% - Accent1 3 3 2 2 2 3 2" xfId="47940" xr:uid="{123D0EEC-6D3F-4D56-8CFD-113965130263}"/>
    <cellStyle name="20% - Accent1 3 3 2 2 2 4" xfId="32063" xr:uid="{920938C5-B870-46EA-A314-66363BDEBEF8}"/>
    <cellStyle name="20% - Accent1 3 3 2 2 3" xfId="12624" xr:uid="{00000000-0005-0000-0000-000052030000}"/>
    <cellStyle name="20% - Accent1 3 3 2 2 3 2" xfId="36473" xr:uid="{575B56E6-94AD-4E79-9B4F-F7E7A758CA6A}"/>
    <cellStyle name="20% - Accent1 3 3 2 2 4" xfId="20579" xr:uid="{00000000-0005-0000-0000-000053030000}"/>
    <cellStyle name="20% - Accent1 3 3 2 2 4 2" xfId="44411" xr:uid="{6C2767DD-3C0E-46CE-8347-23F34F4F987F}"/>
    <cellStyle name="20% - Accent1 3 3 2 2 5" xfId="28532" xr:uid="{5630F704-A09A-49E4-BDAF-5B9BFB35E8A2}"/>
    <cellStyle name="20% - Accent1 3 3 2 3" xfId="6433" xr:uid="{00000000-0005-0000-0000-000054030000}"/>
    <cellStyle name="20% - Accent1 3 3 2 3 2" xfId="14404" xr:uid="{00000000-0005-0000-0000-000055030000}"/>
    <cellStyle name="20% - Accent1 3 3 2 3 2 2" xfId="38246" xr:uid="{E7BFAE93-5C09-438D-A118-897926B9636F}"/>
    <cellStyle name="20% - Accent1 3 3 2 3 3" xfId="22351" xr:uid="{00000000-0005-0000-0000-000056030000}"/>
    <cellStyle name="20% - Accent1 3 3 2 3 3 2" xfId="46183" xr:uid="{4A4AD866-57FB-4E03-BE74-3699982B3927}"/>
    <cellStyle name="20% - Accent1 3 3 2 3 4" xfId="30305" xr:uid="{3C1B6161-8B21-49A4-A179-3DF901C0D51F}"/>
    <cellStyle name="20% - Accent1 3 3 2 4" xfId="10868" xr:uid="{00000000-0005-0000-0000-000057030000}"/>
    <cellStyle name="20% - Accent1 3 3 2 4 2" xfId="34717" xr:uid="{A604D1A5-0823-40CC-B4C1-11AF50BDD0A8}"/>
    <cellStyle name="20% - Accent1 3 3 2 5" xfId="18823" xr:uid="{00000000-0005-0000-0000-000058030000}"/>
    <cellStyle name="20% - Accent1 3 3 2 5 2" xfId="42655" xr:uid="{59FB7DE5-AAE9-48FD-8A58-AFFCBD8602BA}"/>
    <cellStyle name="20% - Accent1 3 3 2 6" xfId="26775" xr:uid="{47922B23-8E51-4EBA-9F4C-D88A8D35978A}"/>
    <cellStyle name="20% - Accent1 3 3 2_Exh G" xfId="1994" xr:uid="{00000000-0005-0000-0000-000059030000}"/>
    <cellStyle name="20% - Accent1 3 3 3" xfId="3722" xr:uid="{00000000-0005-0000-0000-00005A030000}"/>
    <cellStyle name="20% - Accent1 3 3 3 2" xfId="7314" xr:uid="{00000000-0005-0000-0000-00005B030000}"/>
    <cellStyle name="20% - Accent1 3 3 3 2 2" xfId="15284" xr:uid="{00000000-0005-0000-0000-00005C030000}"/>
    <cellStyle name="20% - Accent1 3 3 3 2 2 2" xfId="39126" xr:uid="{42A9873E-6151-4A12-B7D1-A9EB66DCF49F}"/>
    <cellStyle name="20% - Accent1 3 3 3 2 3" xfId="23230" xr:uid="{00000000-0005-0000-0000-00005D030000}"/>
    <cellStyle name="20% - Accent1 3 3 3 2 3 2" xfId="47062" xr:uid="{352A87FC-8821-4A79-9877-C4C95878E973}"/>
    <cellStyle name="20% - Accent1 3 3 3 2 4" xfId="31185" xr:uid="{FE7B89F1-35B3-44A3-9171-70DA7D7B385A}"/>
    <cellStyle name="20% - Accent1 3 3 3 3" xfId="11746" xr:uid="{00000000-0005-0000-0000-00005E030000}"/>
    <cellStyle name="20% - Accent1 3 3 3 3 2" xfId="35595" xr:uid="{4DB9AC98-E67D-401D-B4D8-EB2324AF2280}"/>
    <cellStyle name="20% - Accent1 3 3 3 4" xfId="19701" xr:uid="{00000000-0005-0000-0000-00005F030000}"/>
    <cellStyle name="20% - Accent1 3 3 3 4 2" xfId="43533" xr:uid="{2564F5D2-5AEF-44DB-B33F-BC61C91A782E}"/>
    <cellStyle name="20% - Accent1 3 3 3 5" xfId="27654" xr:uid="{F2D0163F-2D88-412C-80F4-25F5006641F7}"/>
    <cellStyle name="20% - Accent1 3 3 4" xfId="5542" xr:uid="{00000000-0005-0000-0000-000060030000}"/>
    <cellStyle name="20% - Accent1 3 3 4 2" xfId="13525" xr:uid="{00000000-0005-0000-0000-000061030000}"/>
    <cellStyle name="20% - Accent1 3 3 4 2 2" xfId="37368" xr:uid="{6C849FF0-6D5A-47BA-8F05-5590AF9EFFB3}"/>
    <cellStyle name="20% - Accent1 3 3 4 3" xfId="21473" xr:uid="{00000000-0005-0000-0000-000062030000}"/>
    <cellStyle name="20% - Accent1 3 3 4 3 2" xfId="45305" xr:uid="{369E3A3A-AE9B-4478-BACC-F77C38033C5B}"/>
    <cellStyle name="20% - Accent1 3 3 4 4" xfId="29427" xr:uid="{51264BFC-B93E-4874-AA52-B1AB27DB6287}"/>
    <cellStyle name="20% - Accent1 3 3 5" xfId="9094" xr:uid="{00000000-0005-0000-0000-000063030000}"/>
    <cellStyle name="20% - Accent1 3 3 5 2" xfId="17052" xr:uid="{00000000-0005-0000-0000-000064030000}"/>
    <cellStyle name="20% - Accent1 3 3 5 2 2" xfId="40892" xr:uid="{C1AE7132-6636-4106-A0E1-023167E538C4}"/>
    <cellStyle name="20% - Accent1 3 3 5 3" xfId="24996" xr:uid="{00000000-0005-0000-0000-000065030000}"/>
    <cellStyle name="20% - Accent1 3 3 5 3 2" xfId="48828" xr:uid="{FB6A2B99-E51F-4FC9-B72B-3B9B85CBBF77}"/>
    <cellStyle name="20% - Accent1 3 3 5 4" xfId="32951" xr:uid="{E823B44B-C436-40E7-BABF-42C2677A8DCB}"/>
    <cellStyle name="20% - Accent1 3 3 6" xfId="9990" xr:uid="{00000000-0005-0000-0000-000066030000}"/>
    <cellStyle name="20% - Accent1 3 3 6 2" xfId="33839" xr:uid="{34C6A005-368A-4427-8E15-309143AEFA9C}"/>
    <cellStyle name="20% - Accent1 3 3 7" xfId="17945" xr:uid="{00000000-0005-0000-0000-000067030000}"/>
    <cellStyle name="20% - Accent1 3 3 7 2" xfId="41777" xr:uid="{9F2DE6F1-DFA6-49B7-A31F-AD26D4B30F69}"/>
    <cellStyle name="20% - Accent1 3 3 8" xfId="25897" xr:uid="{4F521252-EAE8-415F-AEB5-DCE6521748AD}"/>
    <cellStyle name="20% - Accent1 3 3_Exh G" xfId="1993" xr:uid="{00000000-0005-0000-0000-000068030000}"/>
    <cellStyle name="20% - Accent1 3 4" xfId="862" xr:uid="{00000000-0005-0000-0000-000069030000}"/>
    <cellStyle name="20% - Accent1 3 4 2" xfId="1794" xr:uid="{00000000-0005-0000-0000-00006A030000}"/>
    <cellStyle name="20% - Accent1 3 4 2 2" xfId="5311" xr:uid="{00000000-0005-0000-0000-00006B030000}"/>
    <cellStyle name="20% - Accent1 3 4 2 2 2" xfId="8902" xr:uid="{00000000-0005-0000-0000-00006C030000}"/>
    <cellStyle name="20% - Accent1 3 4 2 2 2 2" xfId="16872" xr:uid="{00000000-0005-0000-0000-00006D030000}"/>
    <cellStyle name="20% - Accent1 3 4 2 2 2 2 2" xfId="40714" xr:uid="{82568373-FD4D-40E4-8287-BECC31F7F4AD}"/>
    <cellStyle name="20% - Accent1 3 4 2 2 2 3" xfId="24818" xr:uid="{00000000-0005-0000-0000-00006E030000}"/>
    <cellStyle name="20% - Accent1 3 4 2 2 2 3 2" xfId="48650" xr:uid="{936ED19B-CD0D-4509-9509-E635E58AB2F7}"/>
    <cellStyle name="20% - Accent1 3 4 2 2 2 4" xfId="32773" xr:uid="{2CF3650F-AACA-4795-B851-D618A881C930}"/>
    <cellStyle name="20% - Accent1 3 4 2 2 3" xfId="13334" xr:uid="{00000000-0005-0000-0000-00006F030000}"/>
    <cellStyle name="20% - Accent1 3 4 2 2 3 2" xfId="37183" xr:uid="{1A029131-B7C5-4AB1-A2A8-323778768D37}"/>
    <cellStyle name="20% - Accent1 3 4 2 2 4" xfId="21289" xr:uid="{00000000-0005-0000-0000-000070030000}"/>
    <cellStyle name="20% - Accent1 3 4 2 2 4 2" xfId="45121" xr:uid="{9C996FF3-F7A7-4158-9F73-7FF93BC5C5C9}"/>
    <cellStyle name="20% - Accent1 3 4 2 2 5" xfId="29242" xr:uid="{3C1AE5C2-8C7C-4D92-BB0C-DFFB7D62A0B1}"/>
    <cellStyle name="20% - Accent1 3 4 2 3" xfId="7143" xr:uid="{00000000-0005-0000-0000-000071030000}"/>
    <cellStyle name="20% - Accent1 3 4 2 3 2" xfId="15114" xr:uid="{00000000-0005-0000-0000-000072030000}"/>
    <cellStyle name="20% - Accent1 3 4 2 3 2 2" xfId="38956" xr:uid="{94BC1028-94FF-4C31-97D4-3E5FFE475D2F}"/>
    <cellStyle name="20% - Accent1 3 4 2 3 3" xfId="23061" xr:uid="{00000000-0005-0000-0000-000073030000}"/>
    <cellStyle name="20% - Accent1 3 4 2 3 3 2" xfId="46893" xr:uid="{E4C133D9-C0E7-4B4F-837C-361CF3DB2140}"/>
    <cellStyle name="20% - Accent1 3 4 2 3 4" xfId="31015" xr:uid="{370B7866-A4BE-44A1-8C10-7F9052AF0D4E}"/>
    <cellStyle name="20% - Accent1 3 4 2 4" xfId="11578" xr:uid="{00000000-0005-0000-0000-000074030000}"/>
    <cellStyle name="20% - Accent1 3 4 2 4 2" xfId="35427" xr:uid="{C107BA50-FA8A-43E3-9A79-8FD240ABFF62}"/>
    <cellStyle name="20% - Accent1 3 4 2 5" xfId="19533" xr:uid="{00000000-0005-0000-0000-000075030000}"/>
    <cellStyle name="20% - Accent1 3 4 2 5 2" xfId="43365" xr:uid="{EDE4A9F5-82D0-4628-BAF0-1A4CF6CE7157}"/>
    <cellStyle name="20% - Accent1 3 4 2 6" xfId="27485" xr:uid="{5AD7E9DC-C614-4C45-BFE5-2BFA683FF96A}"/>
    <cellStyle name="20% - Accent1 3 4 2_Exh G" xfId="1996" xr:uid="{00000000-0005-0000-0000-000076030000}"/>
    <cellStyle name="20% - Accent1 3 4 3" xfId="4432" xr:uid="{00000000-0005-0000-0000-000077030000}"/>
    <cellStyle name="20% - Accent1 3 4 3 2" xfId="8024" xr:uid="{00000000-0005-0000-0000-000078030000}"/>
    <cellStyle name="20% - Accent1 3 4 3 2 2" xfId="15994" xr:uid="{00000000-0005-0000-0000-000079030000}"/>
    <cellStyle name="20% - Accent1 3 4 3 2 2 2" xfId="39836" xr:uid="{A7D10070-2F67-4FE9-B59D-BF070A25E871}"/>
    <cellStyle name="20% - Accent1 3 4 3 2 3" xfId="23940" xr:uid="{00000000-0005-0000-0000-00007A030000}"/>
    <cellStyle name="20% - Accent1 3 4 3 2 3 2" xfId="47772" xr:uid="{90B73580-1642-426C-934C-D7B07C13B7C9}"/>
    <cellStyle name="20% - Accent1 3 4 3 2 4" xfId="31895" xr:uid="{EA2E5E2E-1458-4CC4-B644-06A0D7357ADA}"/>
    <cellStyle name="20% - Accent1 3 4 3 3" xfId="12456" xr:uid="{00000000-0005-0000-0000-00007B030000}"/>
    <cellStyle name="20% - Accent1 3 4 3 3 2" xfId="36305" xr:uid="{C44E4FA9-59A6-4887-8313-4D6E18FD893A}"/>
    <cellStyle name="20% - Accent1 3 4 3 4" xfId="20411" xr:uid="{00000000-0005-0000-0000-00007C030000}"/>
    <cellStyle name="20% - Accent1 3 4 3 4 2" xfId="44243" xr:uid="{87E99DA0-1713-4E19-B0F2-CBF4A4D87AB8}"/>
    <cellStyle name="20% - Accent1 3 4 3 5" xfId="28364" xr:uid="{9F1845D7-B851-4DFF-AD3B-39FC7E101451}"/>
    <cellStyle name="20% - Accent1 3 4 4" xfId="6262" xr:uid="{00000000-0005-0000-0000-00007D030000}"/>
    <cellStyle name="20% - Accent1 3 4 4 2" xfId="14236" xr:uid="{00000000-0005-0000-0000-00007E030000}"/>
    <cellStyle name="20% - Accent1 3 4 4 2 2" xfId="38078" xr:uid="{4C87F9BA-058B-4AF7-9F36-E0E2E381EFD6}"/>
    <cellStyle name="20% - Accent1 3 4 4 3" xfId="22183" xr:uid="{00000000-0005-0000-0000-00007F030000}"/>
    <cellStyle name="20% - Accent1 3 4 4 3 2" xfId="46015" xr:uid="{8CF89948-87B5-4196-99C8-B92538A445C7}"/>
    <cellStyle name="20% - Accent1 3 4 4 4" xfId="30137" xr:uid="{058CD8D6-3FB2-427C-A787-893DA130168E}"/>
    <cellStyle name="20% - Accent1 3 4 5" xfId="9804" xr:uid="{00000000-0005-0000-0000-000080030000}"/>
    <cellStyle name="20% - Accent1 3 4 5 2" xfId="17762" xr:uid="{00000000-0005-0000-0000-000081030000}"/>
    <cellStyle name="20% - Accent1 3 4 5 2 2" xfId="41602" xr:uid="{1B137F58-687A-4F01-9FC4-4BE9035FFF58}"/>
    <cellStyle name="20% - Accent1 3 4 5 3" xfId="25706" xr:uid="{00000000-0005-0000-0000-000082030000}"/>
    <cellStyle name="20% - Accent1 3 4 5 3 2" xfId="49538" xr:uid="{8082B193-A201-4A42-9237-4828BB49A153}"/>
    <cellStyle name="20% - Accent1 3 4 5 4" xfId="33661" xr:uid="{F527021F-48A7-417E-882D-2389894EFC6D}"/>
    <cellStyle name="20% - Accent1 3 4 6" xfId="10700" xr:uid="{00000000-0005-0000-0000-000083030000}"/>
    <cellStyle name="20% - Accent1 3 4 6 2" xfId="34549" xr:uid="{57990274-EFC2-48F2-8AA1-D83457CAA165}"/>
    <cellStyle name="20% - Accent1 3 4 7" xfId="18655" xr:uid="{00000000-0005-0000-0000-000084030000}"/>
    <cellStyle name="20% - Accent1 3 4 7 2" xfId="42487" xr:uid="{4560CE5B-3002-4E49-9108-AC2851612EB8}"/>
    <cellStyle name="20% - Accent1 3 4 8" xfId="26607" xr:uid="{CA8A3890-557F-4CB7-9EB6-39620EB10EA5}"/>
    <cellStyle name="20% - Accent1 3 4_Exh G" xfId="1995" xr:uid="{00000000-0005-0000-0000-000085030000}"/>
    <cellStyle name="20% - Accent1 3 5" xfId="1071" xr:uid="{00000000-0005-0000-0000-000086030000}"/>
    <cellStyle name="20% - Accent1 3 5 2" xfId="4598" xr:uid="{00000000-0005-0000-0000-000087030000}"/>
    <cellStyle name="20% - Accent1 3 5 2 2" xfId="8189" xr:uid="{00000000-0005-0000-0000-000088030000}"/>
    <cellStyle name="20% - Accent1 3 5 2 2 2" xfId="16159" xr:uid="{00000000-0005-0000-0000-000089030000}"/>
    <cellStyle name="20% - Accent1 3 5 2 2 2 2" xfId="40001" xr:uid="{C4A3DD61-8A47-4DDF-9A30-5F26C0D6BB2E}"/>
    <cellStyle name="20% - Accent1 3 5 2 2 3" xfId="24105" xr:uid="{00000000-0005-0000-0000-00008A030000}"/>
    <cellStyle name="20% - Accent1 3 5 2 2 3 2" xfId="47937" xr:uid="{240A5A90-EECD-42E2-AF6A-259D10ABB822}"/>
    <cellStyle name="20% - Accent1 3 5 2 2 4" xfId="32060" xr:uid="{F9C29D44-C6AC-45ED-91DC-D47577060D4C}"/>
    <cellStyle name="20% - Accent1 3 5 2 3" xfId="12621" xr:uid="{00000000-0005-0000-0000-00008B030000}"/>
    <cellStyle name="20% - Accent1 3 5 2 3 2" xfId="36470" xr:uid="{A55847CC-805E-4C8C-8CBD-35D5ACF98414}"/>
    <cellStyle name="20% - Accent1 3 5 2 4" xfId="20576" xr:uid="{00000000-0005-0000-0000-00008C030000}"/>
    <cellStyle name="20% - Accent1 3 5 2 4 2" xfId="44408" xr:uid="{7B4BB26D-21B3-4B19-AB90-EEB35529DA22}"/>
    <cellStyle name="20% - Accent1 3 5 2 5" xfId="28529" xr:uid="{36A49B07-3AC3-45AC-8A26-682E36CD95B3}"/>
    <cellStyle name="20% - Accent1 3 5 3" xfId="6430" xr:uid="{00000000-0005-0000-0000-00008D030000}"/>
    <cellStyle name="20% - Accent1 3 5 3 2" xfId="14401" xr:uid="{00000000-0005-0000-0000-00008E030000}"/>
    <cellStyle name="20% - Accent1 3 5 3 2 2" xfId="38243" xr:uid="{96000349-024A-40BA-916D-891C63280F7F}"/>
    <cellStyle name="20% - Accent1 3 5 3 3" xfId="22348" xr:uid="{00000000-0005-0000-0000-00008F030000}"/>
    <cellStyle name="20% - Accent1 3 5 3 3 2" xfId="46180" xr:uid="{BF24D46B-30B2-4896-B37A-3DA11823FB6E}"/>
    <cellStyle name="20% - Accent1 3 5 3 4" xfId="30302" xr:uid="{FB6AE52E-5EBF-4E8A-83C8-8E86F2897E6B}"/>
    <cellStyle name="20% - Accent1 3 5 4" xfId="10865" xr:uid="{00000000-0005-0000-0000-000090030000}"/>
    <cellStyle name="20% - Accent1 3 5 4 2" xfId="34714" xr:uid="{89B0F98F-0733-4134-B791-B3E8B3AB8039}"/>
    <cellStyle name="20% - Accent1 3 5 5" xfId="18820" xr:uid="{00000000-0005-0000-0000-000091030000}"/>
    <cellStyle name="20% - Accent1 3 5 5 2" xfId="42652" xr:uid="{0CD7BCE3-6A30-4503-8951-EE026D2F9168}"/>
    <cellStyle name="20% - Accent1 3 5 6" xfId="26772" xr:uid="{41AEBF55-621C-42A1-99D0-BFA2CD999ED0}"/>
    <cellStyle name="20% - Accent1 3 5_Exh G" xfId="1997" xr:uid="{00000000-0005-0000-0000-000092030000}"/>
    <cellStyle name="20% - Accent1 3 6" xfId="3719" xr:uid="{00000000-0005-0000-0000-000093030000}"/>
    <cellStyle name="20% - Accent1 3 6 2" xfId="7311" xr:uid="{00000000-0005-0000-0000-000094030000}"/>
    <cellStyle name="20% - Accent1 3 6 2 2" xfId="15281" xr:uid="{00000000-0005-0000-0000-000095030000}"/>
    <cellStyle name="20% - Accent1 3 6 2 2 2" xfId="39123" xr:uid="{43BE012F-9D47-4067-AAC4-BF9DEBDD4EB9}"/>
    <cellStyle name="20% - Accent1 3 6 2 3" xfId="23227" xr:uid="{00000000-0005-0000-0000-000096030000}"/>
    <cellStyle name="20% - Accent1 3 6 2 3 2" xfId="47059" xr:uid="{65716E94-4048-4C62-A29A-6D6E9442AE6A}"/>
    <cellStyle name="20% - Accent1 3 6 2 4" xfId="31182" xr:uid="{8043F50C-C9EF-4B7D-9C31-31C1A21D910A}"/>
    <cellStyle name="20% - Accent1 3 6 3" xfId="11743" xr:uid="{00000000-0005-0000-0000-000097030000}"/>
    <cellStyle name="20% - Accent1 3 6 3 2" xfId="35592" xr:uid="{0336CB12-A169-402E-AD59-19DF495C50B2}"/>
    <cellStyle name="20% - Accent1 3 6 4" xfId="19698" xr:uid="{00000000-0005-0000-0000-000098030000}"/>
    <cellStyle name="20% - Accent1 3 6 4 2" xfId="43530" xr:uid="{5339C064-48CB-48FC-ACF1-CF18A6729E0B}"/>
    <cellStyle name="20% - Accent1 3 6 5" xfId="27651" xr:uid="{9E5FF1E5-4E66-41CF-96EE-882B99DF70B2}"/>
    <cellStyle name="20% - Accent1 3 7" xfId="5539" xr:uid="{00000000-0005-0000-0000-000099030000}"/>
    <cellStyle name="20% - Accent1 3 7 2" xfId="13522" xr:uid="{00000000-0005-0000-0000-00009A030000}"/>
    <cellStyle name="20% - Accent1 3 7 2 2" xfId="37365" xr:uid="{AB5ECCD7-D020-4935-A4E1-CD19B355CA8C}"/>
    <cellStyle name="20% - Accent1 3 7 3" xfId="21470" xr:uid="{00000000-0005-0000-0000-00009B030000}"/>
    <cellStyle name="20% - Accent1 3 7 3 2" xfId="45302" xr:uid="{71164AB0-2BC7-4CEC-A445-64B2931850F9}"/>
    <cellStyle name="20% - Accent1 3 7 4" xfId="29424" xr:uid="{70ED2111-C423-43ED-967C-4A106C55886B}"/>
    <cellStyle name="20% - Accent1 3 8" xfId="9091" xr:uid="{00000000-0005-0000-0000-00009C030000}"/>
    <cellStyle name="20% - Accent1 3 8 2" xfId="17049" xr:uid="{00000000-0005-0000-0000-00009D030000}"/>
    <cellStyle name="20% - Accent1 3 8 2 2" xfId="40889" xr:uid="{A1E52D98-DAD0-4BB9-91B7-3BE85016004E}"/>
    <cellStyle name="20% - Accent1 3 8 3" xfId="24993" xr:uid="{00000000-0005-0000-0000-00009E030000}"/>
    <cellStyle name="20% - Accent1 3 8 3 2" xfId="48825" xr:uid="{B784C314-F880-487E-A062-79232B052F9C}"/>
    <cellStyle name="20% - Accent1 3 8 4" xfId="32948" xr:uid="{154302D5-6512-43A9-B997-6F7EE9D965E9}"/>
    <cellStyle name="20% - Accent1 3 9" xfId="9987" xr:uid="{00000000-0005-0000-0000-00009F030000}"/>
    <cellStyle name="20% - Accent1 3 9 2" xfId="33836" xr:uid="{D25C04AA-E2A9-4220-8523-8380E905D897}"/>
    <cellStyle name="20% - Accent1 3_Exh G" xfId="1986" xr:uid="{00000000-0005-0000-0000-0000A0030000}"/>
    <cellStyle name="20% - Accent1 4" xfId="49" xr:uid="{00000000-0005-0000-0000-0000A1030000}"/>
    <cellStyle name="20% - Accent1 4 10" xfId="17946" xr:uid="{00000000-0005-0000-0000-0000A2030000}"/>
    <cellStyle name="20% - Accent1 4 10 2" xfId="41778" xr:uid="{6474D9C7-A57B-4DBB-807F-D3D80F064553}"/>
    <cellStyle name="20% - Accent1 4 11" xfId="25898" xr:uid="{6505CDA7-8076-493B-AEAA-6BBB17C582B3}"/>
    <cellStyle name="20% - Accent1 4 2" xfId="50" xr:uid="{00000000-0005-0000-0000-0000A3030000}"/>
    <cellStyle name="20% - Accent1 4 2 10" xfId="25899" xr:uid="{03B5FE28-20CF-492B-A896-AF4DD4996885}"/>
    <cellStyle name="20% - Accent1 4 2 2" xfId="51" xr:uid="{00000000-0005-0000-0000-0000A4030000}"/>
    <cellStyle name="20% - Accent1 4 2 2 2" xfId="1077" xr:uid="{00000000-0005-0000-0000-0000A5030000}"/>
    <cellStyle name="20% - Accent1 4 2 2 2 2" xfId="4604" xr:uid="{00000000-0005-0000-0000-0000A6030000}"/>
    <cellStyle name="20% - Accent1 4 2 2 2 2 2" xfId="8195" xr:uid="{00000000-0005-0000-0000-0000A7030000}"/>
    <cellStyle name="20% - Accent1 4 2 2 2 2 2 2" xfId="16165" xr:uid="{00000000-0005-0000-0000-0000A8030000}"/>
    <cellStyle name="20% - Accent1 4 2 2 2 2 2 2 2" xfId="40007" xr:uid="{434BB06B-155E-46D3-9015-035604A8D82A}"/>
    <cellStyle name="20% - Accent1 4 2 2 2 2 2 3" xfId="24111" xr:uid="{00000000-0005-0000-0000-0000A9030000}"/>
    <cellStyle name="20% - Accent1 4 2 2 2 2 2 3 2" xfId="47943" xr:uid="{709969E9-3CA0-4307-AA94-D15498B44F9B}"/>
    <cellStyle name="20% - Accent1 4 2 2 2 2 2 4" xfId="32066" xr:uid="{2A3DC031-7E71-411A-846A-AA542113EF52}"/>
    <cellStyle name="20% - Accent1 4 2 2 2 2 3" xfId="12627" xr:uid="{00000000-0005-0000-0000-0000AA030000}"/>
    <cellStyle name="20% - Accent1 4 2 2 2 2 3 2" xfId="36476" xr:uid="{3AD94DC9-CCE8-4E9E-9702-4B71625B4C29}"/>
    <cellStyle name="20% - Accent1 4 2 2 2 2 4" xfId="20582" xr:uid="{00000000-0005-0000-0000-0000AB030000}"/>
    <cellStyle name="20% - Accent1 4 2 2 2 2 4 2" xfId="44414" xr:uid="{F1BE4CEA-64D9-4551-A6FB-302FE70AF8F2}"/>
    <cellStyle name="20% - Accent1 4 2 2 2 2 5" xfId="28535" xr:uid="{989575C5-FF98-4DD6-AEED-1412A8A2C193}"/>
    <cellStyle name="20% - Accent1 4 2 2 2 3" xfId="6436" xr:uid="{00000000-0005-0000-0000-0000AC030000}"/>
    <cellStyle name="20% - Accent1 4 2 2 2 3 2" xfId="14407" xr:uid="{00000000-0005-0000-0000-0000AD030000}"/>
    <cellStyle name="20% - Accent1 4 2 2 2 3 2 2" xfId="38249" xr:uid="{DEF48242-607E-4F2C-864C-440CB37C8A5E}"/>
    <cellStyle name="20% - Accent1 4 2 2 2 3 3" xfId="22354" xr:uid="{00000000-0005-0000-0000-0000AE030000}"/>
    <cellStyle name="20% - Accent1 4 2 2 2 3 3 2" xfId="46186" xr:uid="{DC2D59DF-DCAC-48A7-A14A-2BD8A1D5987B}"/>
    <cellStyle name="20% - Accent1 4 2 2 2 3 4" xfId="30308" xr:uid="{5D306287-9376-4A78-B3E0-D347942EB46C}"/>
    <cellStyle name="20% - Accent1 4 2 2 2 4" xfId="10871" xr:uid="{00000000-0005-0000-0000-0000AF030000}"/>
    <cellStyle name="20% - Accent1 4 2 2 2 4 2" xfId="34720" xr:uid="{B35E978C-19A6-49F0-8C38-6042356D3332}"/>
    <cellStyle name="20% - Accent1 4 2 2 2 5" xfId="18826" xr:uid="{00000000-0005-0000-0000-0000B0030000}"/>
    <cellStyle name="20% - Accent1 4 2 2 2 5 2" xfId="42658" xr:uid="{9511EF87-9127-4CEA-AA9E-5764BF85DC68}"/>
    <cellStyle name="20% - Accent1 4 2 2 2 6" xfId="26778" xr:uid="{836D1EC6-012E-4164-89BE-733A8172572C}"/>
    <cellStyle name="20% - Accent1 4 2 2 2_Exh G" xfId="2001" xr:uid="{00000000-0005-0000-0000-0000B1030000}"/>
    <cellStyle name="20% - Accent1 4 2 2 3" xfId="3725" xr:uid="{00000000-0005-0000-0000-0000B2030000}"/>
    <cellStyle name="20% - Accent1 4 2 2 3 2" xfId="7317" xr:uid="{00000000-0005-0000-0000-0000B3030000}"/>
    <cellStyle name="20% - Accent1 4 2 2 3 2 2" xfId="15287" xr:uid="{00000000-0005-0000-0000-0000B4030000}"/>
    <cellStyle name="20% - Accent1 4 2 2 3 2 2 2" xfId="39129" xr:uid="{4E375514-7858-47EB-BD38-62268F95F480}"/>
    <cellStyle name="20% - Accent1 4 2 2 3 2 3" xfId="23233" xr:uid="{00000000-0005-0000-0000-0000B5030000}"/>
    <cellStyle name="20% - Accent1 4 2 2 3 2 3 2" xfId="47065" xr:uid="{110C621D-A965-4196-8D93-26993072A081}"/>
    <cellStyle name="20% - Accent1 4 2 2 3 2 4" xfId="31188" xr:uid="{C5FAD9D7-58BD-47FF-9858-492745777D3A}"/>
    <cellStyle name="20% - Accent1 4 2 2 3 3" xfId="11749" xr:uid="{00000000-0005-0000-0000-0000B6030000}"/>
    <cellStyle name="20% - Accent1 4 2 2 3 3 2" xfId="35598" xr:uid="{5290E820-DF0E-4472-B666-FA283E557D6A}"/>
    <cellStyle name="20% - Accent1 4 2 2 3 4" xfId="19704" xr:uid="{00000000-0005-0000-0000-0000B7030000}"/>
    <cellStyle name="20% - Accent1 4 2 2 3 4 2" xfId="43536" xr:uid="{AF91B6D1-BF9D-4717-A8D5-1EC850B1AD75}"/>
    <cellStyle name="20% - Accent1 4 2 2 3 5" xfId="27657" xr:uid="{FF9BEA9E-9200-4D8C-A9FE-4905326B63E5}"/>
    <cellStyle name="20% - Accent1 4 2 2 4" xfId="5545" xr:uid="{00000000-0005-0000-0000-0000B8030000}"/>
    <cellStyle name="20% - Accent1 4 2 2 4 2" xfId="13528" xr:uid="{00000000-0005-0000-0000-0000B9030000}"/>
    <cellStyle name="20% - Accent1 4 2 2 4 2 2" xfId="37371" xr:uid="{B9902AA7-1E11-4FBC-9F1C-5EB4A356BB55}"/>
    <cellStyle name="20% - Accent1 4 2 2 4 3" xfId="21476" xr:uid="{00000000-0005-0000-0000-0000BA030000}"/>
    <cellStyle name="20% - Accent1 4 2 2 4 3 2" xfId="45308" xr:uid="{1086C3C2-43E8-436F-BA5D-4C1166ADF0DF}"/>
    <cellStyle name="20% - Accent1 4 2 2 4 4" xfId="29430" xr:uid="{7515FD4C-99FE-431E-B93F-368465638750}"/>
    <cellStyle name="20% - Accent1 4 2 2 5" xfId="9097" xr:uid="{00000000-0005-0000-0000-0000BB030000}"/>
    <cellStyle name="20% - Accent1 4 2 2 5 2" xfId="17055" xr:uid="{00000000-0005-0000-0000-0000BC030000}"/>
    <cellStyle name="20% - Accent1 4 2 2 5 2 2" xfId="40895" xr:uid="{116A595A-D9A9-4150-9E26-98406C9D3321}"/>
    <cellStyle name="20% - Accent1 4 2 2 5 3" xfId="24999" xr:uid="{00000000-0005-0000-0000-0000BD030000}"/>
    <cellStyle name="20% - Accent1 4 2 2 5 3 2" xfId="48831" xr:uid="{E644AFF8-C00E-4287-A781-95FC4D20EFA1}"/>
    <cellStyle name="20% - Accent1 4 2 2 5 4" xfId="32954" xr:uid="{EBCB41DD-B01F-4B9C-84F6-FD69D685AEB7}"/>
    <cellStyle name="20% - Accent1 4 2 2 6" xfId="9993" xr:uid="{00000000-0005-0000-0000-0000BE030000}"/>
    <cellStyle name="20% - Accent1 4 2 2 6 2" xfId="33842" xr:uid="{4D44CD4D-2C3D-4889-A423-96638CF983A7}"/>
    <cellStyle name="20% - Accent1 4 2 2 7" xfId="17948" xr:uid="{00000000-0005-0000-0000-0000BF030000}"/>
    <cellStyle name="20% - Accent1 4 2 2 7 2" xfId="41780" xr:uid="{B4E087BD-AD59-46C9-B9CC-2413D79ED809}"/>
    <cellStyle name="20% - Accent1 4 2 2 8" xfId="25900" xr:uid="{8F632A79-B66A-4FF8-8301-4BE636A9AFEE}"/>
    <cellStyle name="20% - Accent1 4 2 2_Exh G" xfId="2000" xr:uid="{00000000-0005-0000-0000-0000C0030000}"/>
    <cellStyle name="20% - Accent1 4 2 3" xfId="865" xr:uid="{00000000-0005-0000-0000-0000C1030000}"/>
    <cellStyle name="20% - Accent1 4 2 3 2" xfId="1797" xr:uid="{00000000-0005-0000-0000-0000C2030000}"/>
    <cellStyle name="20% - Accent1 4 2 3 2 2" xfId="5314" xr:uid="{00000000-0005-0000-0000-0000C3030000}"/>
    <cellStyle name="20% - Accent1 4 2 3 2 2 2" xfId="8905" xr:uid="{00000000-0005-0000-0000-0000C4030000}"/>
    <cellStyle name="20% - Accent1 4 2 3 2 2 2 2" xfId="16875" xr:uid="{00000000-0005-0000-0000-0000C5030000}"/>
    <cellStyle name="20% - Accent1 4 2 3 2 2 2 2 2" xfId="40717" xr:uid="{5DE7EBD1-2AE7-4CDF-916A-834256ABEBB2}"/>
    <cellStyle name="20% - Accent1 4 2 3 2 2 2 3" xfId="24821" xr:uid="{00000000-0005-0000-0000-0000C6030000}"/>
    <cellStyle name="20% - Accent1 4 2 3 2 2 2 3 2" xfId="48653" xr:uid="{F0E8241A-BBD8-4CB3-AC18-CC36817E97A9}"/>
    <cellStyle name="20% - Accent1 4 2 3 2 2 2 4" xfId="32776" xr:uid="{57BFB0A4-C31C-42FC-9746-25BBB8D30B2E}"/>
    <cellStyle name="20% - Accent1 4 2 3 2 2 3" xfId="13337" xr:uid="{00000000-0005-0000-0000-0000C7030000}"/>
    <cellStyle name="20% - Accent1 4 2 3 2 2 3 2" xfId="37186" xr:uid="{6FFD4340-6352-4305-8DED-26DC4768D71C}"/>
    <cellStyle name="20% - Accent1 4 2 3 2 2 4" xfId="21292" xr:uid="{00000000-0005-0000-0000-0000C8030000}"/>
    <cellStyle name="20% - Accent1 4 2 3 2 2 4 2" xfId="45124" xr:uid="{56F6F6D8-3527-46E1-874A-9BBCE140CF23}"/>
    <cellStyle name="20% - Accent1 4 2 3 2 2 5" xfId="29245" xr:uid="{A47957DE-AAD2-474D-8AEA-E5D40FCCF915}"/>
    <cellStyle name="20% - Accent1 4 2 3 2 3" xfId="7146" xr:uid="{00000000-0005-0000-0000-0000C9030000}"/>
    <cellStyle name="20% - Accent1 4 2 3 2 3 2" xfId="15117" xr:uid="{00000000-0005-0000-0000-0000CA030000}"/>
    <cellStyle name="20% - Accent1 4 2 3 2 3 2 2" xfId="38959" xr:uid="{83AF8898-7CFC-4C5F-98FF-9914D4588920}"/>
    <cellStyle name="20% - Accent1 4 2 3 2 3 3" xfId="23064" xr:uid="{00000000-0005-0000-0000-0000CB030000}"/>
    <cellStyle name="20% - Accent1 4 2 3 2 3 3 2" xfId="46896" xr:uid="{DB95B0FE-6D66-467F-A0D5-B55B4F4492A4}"/>
    <cellStyle name="20% - Accent1 4 2 3 2 3 4" xfId="31018" xr:uid="{4EBCE8D7-D24E-485D-843C-2BC7C72452E8}"/>
    <cellStyle name="20% - Accent1 4 2 3 2 4" xfId="11581" xr:uid="{00000000-0005-0000-0000-0000CC030000}"/>
    <cellStyle name="20% - Accent1 4 2 3 2 4 2" xfId="35430" xr:uid="{068BEE01-713B-45A2-92FA-60D1D1D45B6F}"/>
    <cellStyle name="20% - Accent1 4 2 3 2 5" xfId="19536" xr:uid="{00000000-0005-0000-0000-0000CD030000}"/>
    <cellStyle name="20% - Accent1 4 2 3 2 5 2" xfId="43368" xr:uid="{4003E3DC-E1EF-4CE0-A5F4-F611F86F211E}"/>
    <cellStyle name="20% - Accent1 4 2 3 2 6" xfId="27488" xr:uid="{F8338F6E-60CB-489B-AFA0-76FF97892083}"/>
    <cellStyle name="20% - Accent1 4 2 3 2_Exh G" xfId="2003" xr:uid="{00000000-0005-0000-0000-0000CE030000}"/>
    <cellStyle name="20% - Accent1 4 2 3 3" xfId="4435" xr:uid="{00000000-0005-0000-0000-0000CF030000}"/>
    <cellStyle name="20% - Accent1 4 2 3 3 2" xfId="8027" xr:uid="{00000000-0005-0000-0000-0000D0030000}"/>
    <cellStyle name="20% - Accent1 4 2 3 3 2 2" xfId="15997" xr:uid="{00000000-0005-0000-0000-0000D1030000}"/>
    <cellStyle name="20% - Accent1 4 2 3 3 2 2 2" xfId="39839" xr:uid="{F21CBCA6-B622-4F9E-8992-2E17DF01A579}"/>
    <cellStyle name="20% - Accent1 4 2 3 3 2 3" xfId="23943" xr:uid="{00000000-0005-0000-0000-0000D2030000}"/>
    <cellStyle name="20% - Accent1 4 2 3 3 2 3 2" xfId="47775" xr:uid="{6D45D4FA-F619-4BD3-9406-AC7F1B47CA57}"/>
    <cellStyle name="20% - Accent1 4 2 3 3 2 4" xfId="31898" xr:uid="{A48A2EFC-9CB5-4E63-A896-49C3441C1535}"/>
    <cellStyle name="20% - Accent1 4 2 3 3 3" xfId="12459" xr:uid="{00000000-0005-0000-0000-0000D3030000}"/>
    <cellStyle name="20% - Accent1 4 2 3 3 3 2" xfId="36308" xr:uid="{7E73E070-E62A-466D-9283-14E70149DB57}"/>
    <cellStyle name="20% - Accent1 4 2 3 3 4" xfId="20414" xr:uid="{00000000-0005-0000-0000-0000D4030000}"/>
    <cellStyle name="20% - Accent1 4 2 3 3 4 2" xfId="44246" xr:uid="{8C8EF353-0901-4E04-A73E-D18DCA196736}"/>
    <cellStyle name="20% - Accent1 4 2 3 3 5" xfId="28367" xr:uid="{B519550D-2B38-47CF-A1DF-80013510DF10}"/>
    <cellStyle name="20% - Accent1 4 2 3 4" xfId="6265" xr:uid="{00000000-0005-0000-0000-0000D5030000}"/>
    <cellStyle name="20% - Accent1 4 2 3 4 2" xfId="14239" xr:uid="{00000000-0005-0000-0000-0000D6030000}"/>
    <cellStyle name="20% - Accent1 4 2 3 4 2 2" xfId="38081" xr:uid="{67B4CCDB-410C-446A-AC47-7D9C035A0457}"/>
    <cellStyle name="20% - Accent1 4 2 3 4 3" xfId="22186" xr:uid="{00000000-0005-0000-0000-0000D7030000}"/>
    <cellStyle name="20% - Accent1 4 2 3 4 3 2" xfId="46018" xr:uid="{1523FF43-7719-4892-9869-DC24E156F345}"/>
    <cellStyle name="20% - Accent1 4 2 3 4 4" xfId="30140" xr:uid="{578CB307-35DF-4A5B-9A87-270B6128A203}"/>
    <cellStyle name="20% - Accent1 4 2 3 5" xfId="9807" xr:uid="{00000000-0005-0000-0000-0000D8030000}"/>
    <cellStyle name="20% - Accent1 4 2 3 5 2" xfId="17765" xr:uid="{00000000-0005-0000-0000-0000D9030000}"/>
    <cellStyle name="20% - Accent1 4 2 3 5 2 2" xfId="41605" xr:uid="{43378DD5-697B-43A3-B939-0F5EAD439649}"/>
    <cellStyle name="20% - Accent1 4 2 3 5 3" xfId="25709" xr:uid="{00000000-0005-0000-0000-0000DA030000}"/>
    <cellStyle name="20% - Accent1 4 2 3 5 3 2" xfId="49541" xr:uid="{DCD32F15-1520-4471-A6C0-EE93ED5F8574}"/>
    <cellStyle name="20% - Accent1 4 2 3 5 4" xfId="33664" xr:uid="{6FB684EA-9ECE-42ED-8A75-69ADC57625A7}"/>
    <cellStyle name="20% - Accent1 4 2 3 6" xfId="10703" xr:uid="{00000000-0005-0000-0000-0000DB030000}"/>
    <cellStyle name="20% - Accent1 4 2 3 6 2" xfId="34552" xr:uid="{DAE6ED8E-CCA8-444A-8D76-DF70A3E8B0D8}"/>
    <cellStyle name="20% - Accent1 4 2 3 7" xfId="18658" xr:uid="{00000000-0005-0000-0000-0000DC030000}"/>
    <cellStyle name="20% - Accent1 4 2 3 7 2" xfId="42490" xr:uid="{FA121EF6-A47A-4E1A-9025-375BC38BF689}"/>
    <cellStyle name="20% - Accent1 4 2 3 8" xfId="26610" xr:uid="{7572C061-BB22-4105-807E-D4771002F20E}"/>
    <cellStyle name="20% - Accent1 4 2 3_Exh G" xfId="2002" xr:uid="{00000000-0005-0000-0000-0000DD030000}"/>
    <cellStyle name="20% - Accent1 4 2 4" xfId="1076" xr:uid="{00000000-0005-0000-0000-0000DE030000}"/>
    <cellStyle name="20% - Accent1 4 2 4 2" xfId="4603" xr:uid="{00000000-0005-0000-0000-0000DF030000}"/>
    <cellStyle name="20% - Accent1 4 2 4 2 2" xfId="8194" xr:uid="{00000000-0005-0000-0000-0000E0030000}"/>
    <cellStyle name="20% - Accent1 4 2 4 2 2 2" xfId="16164" xr:uid="{00000000-0005-0000-0000-0000E1030000}"/>
    <cellStyle name="20% - Accent1 4 2 4 2 2 2 2" xfId="40006" xr:uid="{0DD6E7A0-29EA-4696-A66A-9A79C58D526D}"/>
    <cellStyle name="20% - Accent1 4 2 4 2 2 3" xfId="24110" xr:uid="{00000000-0005-0000-0000-0000E2030000}"/>
    <cellStyle name="20% - Accent1 4 2 4 2 2 3 2" xfId="47942" xr:uid="{BA6817B0-F2AF-4C1B-BEB1-5FA0A7045C90}"/>
    <cellStyle name="20% - Accent1 4 2 4 2 2 4" xfId="32065" xr:uid="{7EB90C30-60DD-456B-AB84-3F8457B27041}"/>
    <cellStyle name="20% - Accent1 4 2 4 2 3" xfId="12626" xr:uid="{00000000-0005-0000-0000-0000E3030000}"/>
    <cellStyle name="20% - Accent1 4 2 4 2 3 2" xfId="36475" xr:uid="{42B3F5B0-10B9-4D9A-97A9-D79E40D96735}"/>
    <cellStyle name="20% - Accent1 4 2 4 2 4" xfId="20581" xr:uid="{00000000-0005-0000-0000-0000E4030000}"/>
    <cellStyle name="20% - Accent1 4 2 4 2 4 2" xfId="44413" xr:uid="{558E351C-7FE2-4C29-B727-68A0535B2120}"/>
    <cellStyle name="20% - Accent1 4 2 4 2 5" xfId="28534" xr:uid="{9AA03507-9CFD-4B95-BAD4-A2D71268334A}"/>
    <cellStyle name="20% - Accent1 4 2 4 3" xfId="6435" xr:uid="{00000000-0005-0000-0000-0000E5030000}"/>
    <cellStyle name="20% - Accent1 4 2 4 3 2" xfId="14406" xr:uid="{00000000-0005-0000-0000-0000E6030000}"/>
    <cellStyle name="20% - Accent1 4 2 4 3 2 2" xfId="38248" xr:uid="{B8282176-DA0B-484E-8F20-FD67A8750795}"/>
    <cellStyle name="20% - Accent1 4 2 4 3 3" xfId="22353" xr:uid="{00000000-0005-0000-0000-0000E7030000}"/>
    <cellStyle name="20% - Accent1 4 2 4 3 3 2" xfId="46185" xr:uid="{1DCD6FA9-5C17-4CA4-ACAE-AF09FAA2D8D6}"/>
    <cellStyle name="20% - Accent1 4 2 4 3 4" xfId="30307" xr:uid="{47D7D536-65F7-46E8-B3FD-3EF823F66010}"/>
    <cellStyle name="20% - Accent1 4 2 4 4" xfId="10870" xr:uid="{00000000-0005-0000-0000-0000E8030000}"/>
    <cellStyle name="20% - Accent1 4 2 4 4 2" xfId="34719" xr:uid="{D22ED052-8AD5-412F-96B1-9A7188F48510}"/>
    <cellStyle name="20% - Accent1 4 2 4 5" xfId="18825" xr:uid="{00000000-0005-0000-0000-0000E9030000}"/>
    <cellStyle name="20% - Accent1 4 2 4 5 2" xfId="42657" xr:uid="{75DF9A58-927D-4964-BB26-76A98D4322DF}"/>
    <cellStyle name="20% - Accent1 4 2 4 6" xfId="26777" xr:uid="{08B123D4-C346-4235-8FC2-09B5132479EA}"/>
    <cellStyle name="20% - Accent1 4 2 4_Exh G" xfId="2004" xr:uid="{00000000-0005-0000-0000-0000EA030000}"/>
    <cellStyle name="20% - Accent1 4 2 5" xfId="3724" xr:uid="{00000000-0005-0000-0000-0000EB030000}"/>
    <cellStyle name="20% - Accent1 4 2 5 2" xfId="7316" xr:uid="{00000000-0005-0000-0000-0000EC030000}"/>
    <cellStyle name="20% - Accent1 4 2 5 2 2" xfId="15286" xr:uid="{00000000-0005-0000-0000-0000ED030000}"/>
    <cellStyle name="20% - Accent1 4 2 5 2 2 2" xfId="39128" xr:uid="{66F82BF7-3980-44E2-9DDD-1D69B8FBF8D0}"/>
    <cellStyle name="20% - Accent1 4 2 5 2 3" xfId="23232" xr:uid="{00000000-0005-0000-0000-0000EE030000}"/>
    <cellStyle name="20% - Accent1 4 2 5 2 3 2" xfId="47064" xr:uid="{DC24C7F2-7727-41F3-B86D-DD9FA0F919ED}"/>
    <cellStyle name="20% - Accent1 4 2 5 2 4" xfId="31187" xr:uid="{7E3B676E-712E-4AC9-9107-C53BB8380238}"/>
    <cellStyle name="20% - Accent1 4 2 5 3" xfId="11748" xr:uid="{00000000-0005-0000-0000-0000EF030000}"/>
    <cellStyle name="20% - Accent1 4 2 5 3 2" xfId="35597" xr:uid="{21847302-C405-4684-B133-B3F02D2AE54D}"/>
    <cellStyle name="20% - Accent1 4 2 5 4" xfId="19703" xr:uid="{00000000-0005-0000-0000-0000F0030000}"/>
    <cellStyle name="20% - Accent1 4 2 5 4 2" xfId="43535" xr:uid="{7C048FEC-8DF1-4DC9-BE78-81C523FB85F0}"/>
    <cellStyle name="20% - Accent1 4 2 5 5" xfId="27656" xr:uid="{5E43CC61-2271-4CB9-9005-18FD54A625A9}"/>
    <cellStyle name="20% - Accent1 4 2 6" xfId="5544" xr:uid="{00000000-0005-0000-0000-0000F1030000}"/>
    <cellStyle name="20% - Accent1 4 2 6 2" xfId="13527" xr:uid="{00000000-0005-0000-0000-0000F2030000}"/>
    <cellStyle name="20% - Accent1 4 2 6 2 2" xfId="37370" xr:uid="{ACA0B41F-0B1F-4265-B3C3-58C0711EEF4A}"/>
    <cellStyle name="20% - Accent1 4 2 6 3" xfId="21475" xr:uid="{00000000-0005-0000-0000-0000F3030000}"/>
    <cellStyle name="20% - Accent1 4 2 6 3 2" xfId="45307" xr:uid="{BD842D7A-2E2E-40DC-824A-75463B25F1E3}"/>
    <cellStyle name="20% - Accent1 4 2 6 4" xfId="29429" xr:uid="{0222D965-44BC-491B-AF10-8A56718B4BF4}"/>
    <cellStyle name="20% - Accent1 4 2 7" xfId="9096" xr:uid="{00000000-0005-0000-0000-0000F4030000}"/>
    <cellStyle name="20% - Accent1 4 2 7 2" xfId="17054" xr:uid="{00000000-0005-0000-0000-0000F5030000}"/>
    <cellStyle name="20% - Accent1 4 2 7 2 2" xfId="40894" xr:uid="{BEC9A633-1C6F-458A-9382-AA2DD861798C}"/>
    <cellStyle name="20% - Accent1 4 2 7 3" xfId="24998" xr:uid="{00000000-0005-0000-0000-0000F6030000}"/>
    <cellStyle name="20% - Accent1 4 2 7 3 2" xfId="48830" xr:uid="{74C00115-41FE-4AA5-8C0A-9AD8CCF192F7}"/>
    <cellStyle name="20% - Accent1 4 2 7 4" xfId="32953" xr:uid="{1D311224-7DAE-4656-B917-4934E6A00C61}"/>
    <cellStyle name="20% - Accent1 4 2 8" xfId="9992" xr:uid="{00000000-0005-0000-0000-0000F7030000}"/>
    <cellStyle name="20% - Accent1 4 2 8 2" xfId="33841" xr:uid="{0F8F12E4-BDB7-4038-AD1C-F71222E06839}"/>
    <cellStyle name="20% - Accent1 4 2 9" xfId="17947" xr:uid="{00000000-0005-0000-0000-0000F8030000}"/>
    <cellStyle name="20% - Accent1 4 2 9 2" xfId="41779" xr:uid="{4F03407B-C9BE-4D73-A01E-62E802F75AE0}"/>
    <cellStyle name="20% - Accent1 4 2_Exh G" xfId="1999" xr:uid="{00000000-0005-0000-0000-0000F9030000}"/>
    <cellStyle name="20% - Accent1 4 3" xfId="52" xr:uid="{00000000-0005-0000-0000-0000FA030000}"/>
    <cellStyle name="20% - Accent1 4 3 2" xfId="1078" xr:uid="{00000000-0005-0000-0000-0000FB030000}"/>
    <cellStyle name="20% - Accent1 4 3 2 2" xfId="4605" xr:uid="{00000000-0005-0000-0000-0000FC030000}"/>
    <cellStyle name="20% - Accent1 4 3 2 2 2" xfId="8196" xr:uid="{00000000-0005-0000-0000-0000FD030000}"/>
    <cellStyle name="20% - Accent1 4 3 2 2 2 2" xfId="16166" xr:uid="{00000000-0005-0000-0000-0000FE030000}"/>
    <cellStyle name="20% - Accent1 4 3 2 2 2 2 2" xfId="40008" xr:uid="{4B35221E-18FF-48C9-A356-72821DDE7E11}"/>
    <cellStyle name="20% - Accent1 4 3 2 2 2 3" xfId="24112" xr:uid="{00000000-0005-0000-0000-0000FF030000}"/>
    <cellStyle name="20% - Accent1 4 3 2 2 2 3 2" xfId="47944" xr:uid="{4B9F2669-A985-4055-B91C-B44BA48EFB68}"/>
    <cellStyle name="20% - Accent1 4 3 2 2 2 4" xfId="32067" xr:uid="{751FB8FB-5C45-4459-9DB4-57E001210681}"/>
    <cellStyle name="20% - Accent1 4 3 2 2 3" xfId="12628" xr:uid="{00000000-0005-0000-0000-000000040000}"/>
    <cellStyle name="20% - Accent1 4 3 2 2 3 2" xfId="36477" xr:uid="{D344EA7F-2561-42FE-B7BF-DE14E546A3C7}"/>
    <cellStyle name="20% - Accent1 4 3 2 2 4" xfId="20583" xr:uid="{00000000-0005-0000-0000-000001040000}"/>
    <cellStyle name="20% - Accent1 4 3 2 2 4 2" xfId="44415" xr:uid="{6968D1A0-9747-43C7-B7F5-92D6C6756EFE}"/>
    <cellStyle name="20% - Accent1 4 3 2 2 5" xfId="28536" xr:uid="{D238D41C-3C64-4026-8FC3-7A37018194E3}"/>
    <cellStyle name="20% - Accent1 4 3 2 3" xfId="6437" xr:uid="{00000000-0005-0000-0000-000002040000}"/>
    <cellStyle name="20% - Accent1 4 3 2 3 2" xfId="14408" xr:uid="{00000000-0005-0000-0000-000003040000}"/>
    <cellStyle name="20% - Accent1 4 3 2 3 2 2" xfId="38250" xr:uid="{C0BEB7A6-8255-4F6E-9624-127057087968}"/>
    <cellStyle name="20% - Accent1 4 3 2 3 3" xfId="22355" xr:uid="{00000000-0005-0000-0000-000004040000}"/>
    <cellStyle name="20% - Accent1 4 3 2 3 3 2" xfId="46187" xr:uid="{2652E3C1-ABA8-4DA2-957F-11AAA47C0D10}"/>
    <cellStyle name="20% - Accent1 4 3 2 3 4" xfId="30309" xr:uid="{CC4854DD-DF1E-4167-B8BA-A86BECD75146}"/>
    <cellStyle name="20% - Accent1 4 3 2 4" xfId="10872" xr:uid="{00000000-0005-0000-0000-000005040000}"/>
    <cellStyle name="20% - Accent1 4 3 2 4 2" xfId="34721" xr:uid="{8C5EDF61-EF4C-48FE-9EE9-5148798CFE89}"/>
    <cellStyle name="20% - Accent1 4 3 2 5" xfId="18827" xr:uid="{00000000-0005-0000-0000-000006040000}"/>
    <cellStyle name="20% - Accent1 4 3 2 5 2" xfId="42659" xr:uid="{F9FD81D9-243E-4985-A0D1-58BC7B1F4608}"/>
    <cellStyle name="20% - Accent1 4 3 2 6" xfId="26779" xr:uid="{7184779F-37A0-4C01-873D-661BCA92BC1E}"/>
    <cellStyle name="20% - Accent1 4 3 2_Exh G" xfId="2006" xr:uid="{00000000-0005-0000-0000-000007040000}"/>
    <cellStyle name="20% - Accent1 4 3 3" xfId="3726" xr:uid="{00000000-0005-0000-0000-000008040000}"/>
    <cellStyle name="20% - Accent1 4 3 3 2" xfId="7318" xr:uid="{00000000-0005-0000-0000-000009040000}"/>
    <cellStyle name="20% - Accent1 4 3 3 2 2" xfId="15288" xr:uid="{00000000-0005-0000-0000-00000A040000}"/>
    <cellStyle name="20% - Accent1 4 3 3 2 2 2" xfId="39130" xr:uid="{DD57C441-0D21-47EE-93AC-852B29E6DD4F}"/>
    <cellStyle name="20% - Accent1 4 3 3 2 3" xfId="23234" xr:uid="{00000000-0005-0000-0000-00000B040000}"/>
    <cellStyle name="20% - Accent1 4 3 3 2 3 2" xfId="47066" xr:uid="{7EA61BA7-BF23-490C-ACCA-31501932CDF9}"/>
    <cellStyle name="20% - Accent1 4 3 3 2 4" xfId="31189" xr:uid="{BA5DC846-33C3-4ADB-8B14-28187B2F9442}"/>
    <cellStyle name="20% - Accent1 4 3 3 3" xfId="11750" xr:uid="{00000000-0005-0000-0000-00000C040000}"/>
    <cellStyle name="20% - Accent1 4 3 3 3 2" xfId="35599" xr:uid="{9A1FBE60-C93C-4E3D-89C0-A746626CA683}"/>
    <cellStyle name="20% - Accent1 4 3 3 4" xfId="19705" xr:uid="{00000000-0005-0000-0000-00000D040000}"/>
    <cellStyle name="20% - Accent1 4 3 3 4 2" xfId="43537" xr:uid="{3A15A7FB-4FB8-44B3-8582-F666E2F46FCE}"/>
    <cellStyle name="20% - Accent1 4 3 3 5" xfId="27658" xr:uid="{7B94CC94-B40C-49DA-970A-551840235A4A}"/>
    <cellStyle name="20% - Accent1 4 3 4" xfId="5546" xr:uid="{00000000-0005-0000-0000-00000E040000}"/>
    <cellStyle name="20% - Accent1 4 3 4 2" xfId="13529" xr:uid="{00000000-0005-0000-0000-00000F040000}"/>
    <cellStyle name="20% - Accent1 4 3 4 2 2" xfId="37372" xr:uid="{6C77DA09-3ABF-4914-B8D1-EC91D53D65DD}"/>
    <cellStyle name="20% - Accent1 4 3 4 3" xfId="21477" xr:uid="{00000000-0005-0000-0000-000010040000}"/>
    <cellStyle name="20% - Accent1 4 3 4 3 2" xfId="45309" xr:uid="{2C8EE6F1-C93A-465D-AAF7-485C36CE0492}"/>
    <cellStyle name="20% - Accent1 4 3 4 4" xfId="29431" xr:uid="{FEC49EAD-2DC4-4B79-94E0-79DD5D664403}"/>
    <cellStyle name="20% - Accent1 4 3 5" xfId="9098" xr:uid="{00000000-0005-0000-0000-000011040000}"/>
    <cellStyle name="20% - Accent1 4 3 5 2" xfId="17056" xr:uid="{00000000-0005-0000-0000-000012040000}"/>
    <cellStyle name="20% - Accent1 4 3 5 2 2" xfId="40896" xr:uid="{E85541FB-483F-47E6-A755-C430FB755A2E}"/>
    <cellStyle name="20% - Accent1 4 3 5 3" xfId="25000" xr:uid="{00000000-0005-0000-0000-000013040000}"/>
    <cellStyle name="20% - Accent1 4 3 5 3 2" xfId="48832" xr:uid="{C2F8B4FE-A4C3-46A9-8D95-F10857D126B9}"/>
    <cellStyle name="20% - Accent1 4 3 5 4" xfId="32955" xr:uid="{788052F5-4F8E-4969-818C-5F57E32C5592}"/>
    <cellStyle name="20% - Accent1 4 3 6" xfId="9994" xr:uid="{00000000-0005-0000-0000-000014040000}"/>
    <cellStyle name="20% - Accent1 4 3 6 2" xfId="33843" xr:uid="{1BE74164-E081-4E6A-B3E6-57BCF3C14B07}"/>
    <cellStyle name="20% - Accent1 4 3 7" xfId="17949" xr:uid="{00000000-0005-0000-0000-000015040000}"/>
    <cellStyle name="20% - Accent1 4 3 7 2" xfId="41781" xr:uid="{0F57D90F-1ED8-4FA9-BB4F-D06440EE7E0C}"/>
    <cellStyle name="20% - Accent1 4 3 8" xfId="25901" xr:uid="{0A740EE4-3BBB-45EA-937D-19928EA17374}"/>
    <cellStyle name="20% - Accent1 4 3_Exh G" xfId="2005" xr:uid="{00000000-0005-0000-0000-000016040000}"/>
    <cellStyle name="20% - Accent1 4 4" xfId="864" xr:uid="{00000000-0005-0000-0000-000017040000}"/>
    <cellStyle name="20% - Accent1 4 4 2" xfId="1796" xr:uid="{00000000-0005-0000-0000-000018040000}"/>
    <cellStyle name="20% - Accent1 4 4 2 2" xfId="5313" xr:uid="{00000000-0005-0000-0000-000019040000}"/>
    <cellStyle name="20% - Accent1 4 4 2 2 2" xfId="8904" xr:uid="{00000000-0005-0000-0000-00001A040000}"/>
    <cellStyle name="20% - Accent1 4 4 2 2 2 2" xfId="16874" xr:uid="{00000000-0005-0000-0000-00001B040000}"/>
    <cellStyle name="20% - Accent1 4 4 2 2 2 2 2" xfId="40716" xr:uid="{A4EA2F53-CB07-4257-AB7E-8C9E793B4B92}"/>
    <cellStyle name="20% - Accent1 4 4 2 2 2 3" xfId="24820" xr:uid="{00000000-0005-0000-0000-00001C040000}"/>
    <cellStyle name="20% - Accent1 4 4 2 2 2 3 2" xfId="48652" xr:uid="{ACD7910A-5E97-4653-8407-9731304196DC}"/>
    <cellStyle name="20% - Accent1 4 4 2 2 2 4" xfId="32775" xr:uid="{FF7D5ED6-2F93-4C85-883E-42D19BDDD9CC}"/>
    <cellStyle name="20% - Accent1 4 4 2 2 3" xfId="13336" xr:uid="{00000000-0005-0000-0000-00001D040000}"/>
    <cellStyle name="20% - Accent1 4 4 2 2 3 2" xfId="37185" xr:uid="{F82781A6-475E-4A65-B037-53D7E9270657}"/>
    <cellStyle name="20% - Accent1 4 4 2 2 4" xfId="21291" xr:uid="{00000000-0005-0000-0000-00001E040000}"/>
    <cellStyle name="20% - Accent1 4 4 2 2 4 2" xfId="45123" xr:uid="{C95A775E-B376-4F44-A1A6-3BAAC0FFB31D}"/>
    <cellStyle name="20% - Accent1 4 4 2 2 5" xfId="29244" xr:uid="{92FE9F6A-AF2E-4948-B69D-7C3D3C501A1B}"/>
    <cellStyle name="20% - Accent1 4 4 2 3" xfId="7145" xr:uid="{00000000-0005-0000-0000-00001F040000}"/>
    <cellStyle name="20% - Accent1 4 4 2 3 2" xfId="15116" xr:uid="{00000000-0005-0000-0000-000020040000}"/>
    <cellStyle name="20% - Accent1 4 4 2 3 2 2" xfId="38958" xr:uid="{8FB92D08-8529-48A4-94A0-63BCC4EBE9EA}"/>
    <cellStyle name="20% - Accent1 4 4 2 3 3" xfId="23063" xr:uid="{00000000-0005-0000-0000-000021040000}"/>
    <cellStyle name="20% - Accent1 4 4 2 3 3 2" xfId="46895" xr:uid="{2A2E222B-0F3A-419B-A4E6-40BB92D72C05}"/>
    <cellStyle name="20% - Accent1 4 4 2 3 4" xfId="31017" xr:uid="{164C706C-83E4-4A64-A8CB-46CBA3B356A7}"/>
    <cellStyle name="20% - Accent1 4 4 2 4" xfId="11580" xr:uid="{00000000-0005-0000-0000-000022040000}"/>
    <cellStyle name="20% - Accent1 4 4 2 4 2" xfId="35429" xr:uid="{4C7D6264-DAD6-4806-BFC7-09AA5B109A9F}"/>
    <cellStyle name="20% - Accent1 4 4 2 5" xfId="19535" xr:uid="{00000000-0005-0000-0000-000023040000}"/>
    <cellStyle name="20% - Accent1 4 4 2 5 2" xfId="43367" xr:uid="{17F1A6E6-03BF-474B-BCA3-9504E8150F59}"/>
    <cellStyle name="20% - Accent1 4 4 2 6" xfId="27487" xr:uid="{C6FB96C4-FB43-45EA-B4BD-5DA82F1DCA25}"/>
    <cellStyle name="20% - Accent1 4 4 2_Exh G" xfId="2008" xr:uid="{00000000-0005-0000-0000-000024040000}"/>
    <cellStyle name="20% - Accent1 4 4 3" xfId="4434" xr:uid="{00000000-0005-0000-0000-000025040000}"/>
    <cellStyle name="20% - Accent1 4 4 3 2" xfId="8026" xr:uid="{00000000-0005-0000-0000-000026040000}"/>
    <cellStyle name="20% - Accent1 4 4 3 2 2" xfId="15996" xr:uid="{00000000-0005-0000-0000-000027040000}"/>
    <cellStyle name="20% - Accent1 4 4 3 2 2 2" xfId="39838" xr:uid="{C686B233-6AFA-498F-B7FC-AB778C956C63}"/>
    <cellStyle name="20% - Accent1 4 4 3 2 3" xfId="23942" xr:uid="{00000000-0005-0000-0000-000028040000}"/>
    <cellStyle name="20% - Accent1 4 4 3 2 3 2" xfId="47774" xr:uid="{7F1374F2-1547-4A52-B15B-E3C1B2E29177}"/>
    <cellStyle name="20% - Accent1 4 4 3 2 4" xfId="31897" xr:uid="{8BBB225E-6D9A-41E9-B163-830A2CC00924}"/>
    <cellStyle name="20% - Accent1 4 4 3 3" xfId="12458" xr:uid="{00000000-0005-0000-0000-000029040000}"/>
    <cellStyle name="20% - Accent1 4 4 3 3 2" xfId="36307" xr:uid="{74ABB6C5-E49E-4DDF-B8F5-B12B4CDD8A0B}"/>
    <cellStyle name="20% - Accent1 4 4 3 4" xfId="20413" xr:uid="{00000000-0005-0000-0000-00002A040000}"/>
    <cellStyle name="20% - Accent1 4 4 3 4 2" xfId="44245" xr:uid="{E3C8C4E0-7756-47ED-B8C7-290D79E53B1C}"/>
    <cellStyle name="20% - Accent1 4 4 3 5" xfId="28366" xr:uid="{8A59B48F-630B-4141-849B-ABB13CE7D271}"/>
    <cellStyle name="20% - Accent1 4 4 4" xfId="6264" xr:uid="{00000000-0005-0000-0000-00002B040000}"/>
    <cellStyle name="20% - Accent1 4 4 4 2" xfId="14238" xr:uid="{00000000-0005-0000-0000-00002C040000}"/>
    <cellStyle name="20% - Accent1 4 4 4 2 2" xfId="38080" xr:uid="{C63D9412-6B60-403F-B906-281DB053BDAE}"/>
    <cellStyle name="20% - Accent1 4 4 4 3" xfId="22185" xr:uid="{00000000-0005-0000-0000-00002D040000}"/>
    <cellStyle name="20% - Accent1 4 4 4 3 2" xfId="46017" xr:uid="{557E8482-4643-4339-8C1F-7802E62D11E3}"/>
    <cellStyle name="20% - Accent1 4 4 4 4" xfId="30139" xr:uid="{75BF4FB5-4DD1-4241-95E7-03D76DFB4B4F}"/>
    <cellStyle name="20% - Accent1 4 4 5" xfId="9806" xr:uid="{00000000-0005-0000-0000-00002E040000}"/>
    <cellStyle name="20% - Accent1 4 4 5 2" xfId="17764" xr:uid="{00000000-0005-0000-0000-00002F040000}"/>
    <cellStyle name="20% - Accent1 4 4 5 2 2" xfId="41604" xr:uid="{4A3B72E9-63C0-4B27-BB6D-D3594FD24ACB}"/>
    <cellStyle name="20% - Accent1 4 4 5 3" xfId="25708" xr:uid="{00000000-0005-0000-0000-000030040000}"/>
    <cellStyle name="20% - Accent1 4 4 5 3 2" xfId="49540" xr:uid="{D590A902-E8DF-4EA2-9AF5-9C69469AB362}"/>
    <cellStyle name="20% - Accent1 4 4 5 4" xfId="33663" xr:uid="{0A7C5558-4DA6-4570-B662-D669E8C29708}"/>
    <cellStyle name="20% - Accent1 4 4 6" xfId="10702" xr:uid="{00000000-0005-0000-0000-000031040000}"/>
    <cellStyle name="20% - Accent1 4 4 6 2" xfId="34551" xr:uid="{D6FE8200-5AE9-47F5-A8EF-D2B269C6F3F4}"/>
    <cellStyle name="20% - Accent1 4 4 7" xfId="18657" xr:uid="{00000000-0005-0000-0000-000032040000}"/>
    <cellStyle name="20% - Accent1 4 4 7 2" xfId="42489" xr:uid="{0E8ADED1-77C5-4F14-9747-EADA5C7E92C7}"/>
    <cellStyle name="20% - Accent1 4 4 8" xfId="26609" xr:uid="{8BB50315-1772-4D5C-A624-C07CB520282B}"/>
    <cellStyle name="20% - Accent1 4 4_Exh G" xfId="2007" xr:uid="{00000000-0005-0000-0000-000033040000}"/>
    <cellStyle name="20% - Accent1 4 5" xfId="1075" xr:uid="{00000000-0005-0000-0000-000034040000}"/>
    <cellStyle name="20% - Accent1 4 5 2" xfId="4602" xr:uid="{00000000-0005-0000-0000-000035040000}"/>
    <cellStyle name="20% - Accent1 4 5 2 2" xfId="8193" xr:uid="{00000000-0005-0000-0000-000036040000}"/>
    <cellStyle name="20% - Accent1 4 5 2 2 2" xfId="16163" xr:uid="{00000000-0005-0000-0000-000037040000}"/>
    <cellStyle name="20% - Accent1 4 5 2 2 2 2" xfId="40005" xr:uid="{EF797894-35EF-4CB4-9752-ECD673772F25}"/>
    <cellStyle name="20% - Accent1 4 5 2 2 3" xfId="24109" xr:uid="{00000000-0005-0000-0000-000038040000}"/>
    <cellStyle name="20% - Accent1 4 5 2 2 3 2" xfId="47941" xr:uid="{A9A41AD2-F2CB-4593-A51C-E8A6CB3ECDB8}"/>
    <cellStyle name="20% - Accent1 4 5 2 2 4" xfId="32064" xr:uid="{43A2305E-C7EE-4FF7-81F1-351FAA39104E}"/>
    <cellStyle name="20% - Accent1 4 5 2 3" xfId="12625" xr:uid="{00000000-0005-0000-0000-000039040000}"/>
    <cellStyle name="20% - Accent1 4 5 2 3 2" xfId="36474" xr:uid="{EE5BE65E-9AEB-4455-A26D-5B31B72DB7C5}"/>
    <cellStyle name="20% - Accent1 4 5 2 4" xfId="20580" xr:uid="{00000000-0005-0000-0000-00003A040000}"/>
    <cellStyle name="20% - Accent1 4 5 2 4 2" xfId="44412" xr:uid="{5FBBA7AD-D715-4DBA-B926-71DD30BA26F2}"/>
    <cellStyle name="20% - Accent1 4 5 2 5" xfId="28533" xr:uid="{2F81118D-6E8A-4221-9FBB-64F4B9503E5E}"/>
    <cellStyle name="20% - Accent1 4 5 3" xfId="6434" xr:uid="{00000000-0005-0000-0000-00003B040000}"/>
    <cellStyle name="20% - Accent1 4 5 3 2" xfId="14405" xr:uid="{00000000-0005-0000-0000-00003C040000}"/>
    <cellStyle name="20% - Accent1 4 5 3 2 2" xfId="38247" xr:uid="{FE8A58FF-5D16-44B7-825D-4434D8826D39}"/>
    <cellStyle name="20% - Accent1 4 5 3 3" xfId="22352" xr:uid="{00000000-0005-0000-0000-00003D040000}"/>
    <cellStyle name="20% - Accent1 4 5 3 3 2" xfId="46184" xr:uid="{14B9AB73-55B7-4200-A986-26ABA898CAAC}"/>
    <cellStyle name="20% - Accent1 4 5 3 4" xfId="30306" xr:uid="{A532B539-7475-44CF-985C-BF4A844A7485}"/>
    <cellStyle name="20% - Accent1 4 5 4" xfId="10869" xr:uid="{00000000-0005-0000-0000-00003E040000}"/>
    <cellStyle name="20% - Accent1 4 5 4 2" xfId="34718" xr:uid="{EE0CB0CB-4927-420A-BDBA-6E8C0F87D508}"/>
    <cellStyle name="20% - Accent1 4 5 5" xfId="18824" xr:uid="{00000000-0005-0000-0000-00003F040000}"/>
    <cellStyle name="20% - Accent1 4 5 5 2" xfId="42656" xr:uid="{AFBBFA4F-A579-46A7-A4F9-E049B462BC5F}"/>
    <cellStyle name="20% - Accent1 4 5 6" xfId="26776" xr:uid="{76DAB1AD-91C6-4DD5-AA9D-43E08F2E6848}"/>
    <cellStyle name="20% - Accent1 4 5_Exh G" xfId="2009" xr:uid="{00000000-0005-0000-0000-000040040000}"/>
    <cellStyle name="20% - Accent1 4 6" xfId="3723" xr:uid="{00000000-0005-0000-0000-000041040000}"/>
    <cellStyle name="20% - Accent1 4 6 2" xfId="7315" xr:uid="{00000000-0005-0000-0000-000042040000}"/>
    <cellStyle name="20% - Accent1 4 6 2 2" xfId="15285" xr:uid="{00000000-0005-0000-0000-000043040000}"/>
    <cellStyle name="20% - Accent1 4 6 2 2 2" xfId="39127" xr:uid="{A98B7972-EB65-4BA5-83E8-A54786183883}"/>
    <cellStyle name="20% - Accent1 4 6 2 3" xfId="23231" xr:uid="{00000000-0005-0000-0000-000044040000}"/>
    <cellStyle name="20% - Accent1 4 6 2 3 2" xfId="47063" xr:uid="{6AB90CB8-1FC2-4F03-AA70-901FF503B8EB}"/>
    <cellStyle name="20% - Accent1 4 6 2 4" xfId="31186" xr:uid="{C677D359-EA44-4DDC-88B6-12D5233EF3F7}"/>
    <cellStyle name="20% - Accent1 4 6 3" xfId="11747" xr:uid="{00000000-0005-0000-0000-000045040000}"/>
    <cellStyle name="20% - Accent1 4 6 3 2" xfId="35596" xr:uid="{E6147067-EBC3-4F82-B5F1-28EBE49649C7}"/>
    <cellStyle name="20% - Accent1 4 6 4" xfId="19702" xr:uid="{00000000-0005-0000-0000-000046040000}"/>
    <cellStyle name="20% - Accent1 4 6 4 2" xfId="43534" xr:uid="{631A4D3B-C008-4B41-A86F-10D10E5E27E8}"/>
    <cellStyle name="20% - Accent1 4 6 5" xfId="27655" xr:uid="{44E11D0D-7C43-4231-9FE8-8EFBE8855C22}"/>
    <cellStyle name="20% - Accent1 4 7" xfId="5543" xr:uid="{00000000-0005-0000-0000-000047040000}"/>
    <cellStyle name="20% - Accent1 4 7 2" xfId="13526" xr:uid="{00000000-0005-0000-0000-000048040000}"/>
    <cellStyle name="20% - Accent1 4 7 2 2" xfId="37369" xr:uid="{3C48896D-6769-44F1-844B-2C0C59DDACD3}"/>
    <cellStyle name="20% - Accent1 4 7 3" xfId="21474" xr:uid="{00000000-0005-0000-0000-000049040000}"/>
    <cellStyle name="20% - Accent1 4 7 3 2" xfId="45306" xr:uid="{87D9B8A1-D41C-4CCD-B87A-ED7772C67576}"/>
    <cellStyle name="20% - Accent1 4 7 4" xfId="29428" xr:uid="{D36DFFAE-04EA-4675-9831-34BD46488403}"/>
    <cellStyle name="20% - Accent1 4 8" xfId="9095" xr:uid="{00000000-0005-0000-0000-00004A040000}"/>
    <cellStyle name="20% - Accent1 4 8 2" xfId="17053" xr:uid="{00000000-0005-0000-0000-00004B040000}"/>
    <cellStyle name="20% - Accent1 4 8 2 2" xfId="40893" xr:uid="{92B7D993-03D9-4162-B7DB-7F2A5AA3A2CA}"/>
    <cellStyle name="20% - Accent1 4 8 3" xfId="24997" xr:uid="{00000000-0005-0000-0000-00004C040000}"/>
    <cellStyle name="20% - Accent1 4 8 3 2" xfId="48829" xr:uid="{476F9066-AB1B-49E2-BABD-1C02954C0966}"/>
    <cellStyle name="20% - Accent1 4 8 4" xfId="32952" xr:uid="{3E603D4C-63DE-4C67-9DC8-1FE090B64EB6}"/>
    <cellStyle name="20% - Accent1 4 9" xfId="9991" xr:uid="{00000000-0005-0000-0000-00004D040000}"/>
    <cellStyle name="20% - Accent1 4 9 2" xfId="33840" xr:uid="{0043F419-0471-4E1F-8E0C-828DECF4F1C5}"/>
    <cellStyle name="20% - Accent1 4_Exh G" xfId="1998" xr:uid="{00000000-0005-0000-0000-00004E040000}"/>
    <cellStyle name="20% - Accent1 5" xfId="53" xr:uid="{00000000-0005-0000-0000-00004F040000}"/>
    <cellStyle name="20% - Accent1 5 10" xfId="17950" xr:uid="{00000000-0005-0000-0000-000050040000}"/>
    <cellStyle name="20% - Accent1 5 10 2" xfId="41782" xr:uid="{482C0A4E-2DD6-40D1-9CA8-A7356F021B69}"/>
    <cellStyle name="20% - Accent1 5 11" xfId="25902" xr:uid="{3210EE92-A1F8-4DE1-8060-34C3AC16DF62}"/>
    <cellStyle name="20% - Accent1 5 2" xfId="54" xr:uid="{00000000-0005-0000-0000-000051040000}"/>
    <cellStyle name="20% - Accent1 5 2 2" xfId="55" xr:uid="{00000000-0005-0000-0000-000052040000}"/>
    <cellStyle name="20% - Accent1 5 2 2 2" xfId="1081" xr:uid="{00000000-0005-0000-0000-000053040000}"/>
    <cellStyle name="20% - Accent1 5 2 2 2 2" xfId="4608" xr:uid="{00000000-0005-0000-0000-000054040000}"/>
    <cellStyle name="20% - Accent1 5 2 2 2 2 2" xfId="8199" xr:uid="{00000000-0005-0000-0000-000055040000}"/>
    <cellStyle name="20% - Accent1 5 2 2 2 2 2 2" xfId="16169" xr:uid="{00000000-0005-0000-0000-000056040000}"/>
    <cellStyle name="20% - Accent1 5 2 2 2 2 2 2 2" xfId="40011" xr:uid="{1FB30947-ACCD-4B0B-A5B4-D23017804AC3}"/>
    <cellStyle name="20% - Accent1 5 2 2 2 2 2 3" xfId="24115" xr:uid="{00000000-0005-0000-0000-000057040000}"/>
    <cellStyle name="20% - Accent1 5 2 2 2 2 2 3 2" xfId="47947" xr:uid="{E0086609-7F53-49F3-95A7-A8C83BAEDA40}"/>
    <cellStyle name="20% - Accent1 5 2 2 2 2 2 4" xfId="32070" xr:uid="{2A361906-8B62-4902-9130-E55FEFEF6CA0}"/>
    <cellStyle name="20% - Accent1 5 2 2 2 2 3" xfId="12631" xr:uid="{00000000-0005-0000-0000-000058040000}"/>
    <cellStyle name="20% - Accent1 5 2 2 2 2 3 2" xfId="36480" xr:uid="{ACC01F26-04E8-48CF-81A2-EC1D48CA2074}"/>
    <cellStyle name="20% - Accent1 5 2 2 2 2 4" xfId="20586" xr:uid="{00000000-0005-0000-0000-000059040000}"/>
    <cellStyle name="20% - Accent1 5 2 2 2 2 4 2" xfId="44418" xr:uid="{58221819-88ED-4F66-BCB1-0DD7BB3C2541}"/>
    <cellStyle name="20% - Accent1 5 2 2 2 2 5" xfId="28539" xr:uid="{4F6F1C1E-E350-4864-8F03-12D0342DDE12}"/>
    <cellStyle name="20% - Accent1 5 2 2 2 3" xfId="6440" xr:uid="{00000000-0005-0000-0000-00005A040000}"/>
    <cellStyle name="20% - Accent1 5 2 2 2 3 2" xfId="14411" xr:uid="{00000000-0005-0000-0000-00005B040000}"/>
    <cellStyle name="20% - Accent1 5 2 2 2 3 2 2" xfId="38253" xr:uid="{77A8F44A-38B6-45D5-9203-49BC830997B6}"/>
    <cellStyle name="20% - Accent1 5 2 2 2 3 3" xfId="22358" xr:uid="{00000000-0005-0000-0000-00005C040000}"/>
    <cellStyle name="20% - Accent1 5 2 2 2 3 3 2" xfId="46190" xr:uid="{C2597512-B8D7-4DA7-AC00-58344ED85D3E}"/>
    <cellStyle name="20% - Accent1 5 2 2 2 3 4" xfId="30312" xr:uid="{A895C421-9E6D-4A67-AFEC-F4F8063D6584}"/>
    <cellStyle name="20% - Accent1 5 2 2 2 4" xfId="10875" xr:uid="{00000000-0005-0000-0000-00005D040000}"/>
    <cellStyle name="20% - Accent1 5 2 2 2 4 2" xfId="34724" xr:uid="{46915221-AD7C-4383-81A8-7A3DDA374B7D}"/>
    <cellStyle name="20% - Accent1 5 2 2 2 5" xfId="18830" xr:uid="{00000000-0005-0000-0000-00005E040000}"/>
    <cellStyle name="20% - Accent1 5 2 2 2 5 2" xfId="42662" xr:uid="{058634F8-F554-4ADF-BA24-4445BBC5F6F0}"/>
    <cellStyle name="20% - Accent1 5 2 2 2 6" xfId="26782" xr:uid="{3CACD9F9-7933-4BD0-ACAE-B448E89AB0BF}"/>
    <cellStyle name="20% - Accent1 5 2 2 2_Exh G" xfId="2013" xr:uid="{00000000-0005-0000-0000-00005F040000}"/>
    <cellStyle name="20% - Accent1 5 2 2 3" xfId="3729" xr:uid="{00000000-0005-0000-0000-000060040000}"/>
    <cellStyle name="20% - Accent1 5 2 2 3 2" xfId="7321" xr:uid="{00000000-0005-0000-0000-000061040000}"/>
    <cellStyle name="20% - Accent1 5 2 2 3 2 2" xfId="15291" xr:uid="{00000000-0005-0000-0000-000062040000}"/>
    <cellStyle name="20% - Accent1 5 2 2 3 2 2 2" xfId="39133" xr:uid="{1EC2EA25-17FE-42AE-A6BD-71AE4710A111}"/>
    <cellStyle name="20% - Accent1 5 2 2 3 2 3" xfId="23237" xr:uid="{00000000-0005-0000-0000-000063040000}"/>
    <cellStyle name="20% - Accent1 5 2 2 3 2 3 2" xfId="47069" xr:uid="{488C076A-82F4-4DE6-B32E-6BEA4C19EF5E}"/>
    <cellStyle name="20% - Accent1 5 2 2 3 2 4" xfId="31192" xr:uid="{93860A2C-B692-4D67-9EA2-98663B6D2DD7}"/>
    <cellStyle name="20% - Accent1 5 2 2 3 3" xfId="11753" xr:uid="{00000000-0005-0000-0000-000064040000}"/>
    <cellStyle name="20% - Accent1 5 2 2 3 3 2" xfId="35602" xr:uid="{584D8AB0-0D87-4F64-B124-0D3271776C99}"/>
    <cellStyle name="20% - Accent1 5 2 2 3 4" xfId="19708" xr:uid="{00000000-0005-0000-0000-000065040000}"/>
    <cellStyle name="20% - Accent1 5 2 2 3 4 2" xfId="43540" xr:uid="{8F420DC6-F8DF-4A1C-A732-818539A97966}"/>
    <cellStyle name="20% - Accent1 5 2 2 3 5" xfId="27661" xr:uid="{DFFD3B46-A1A1-4655-A0B7-819AAA89AFCA}"/>
    <cellStyle name="20% - Accent1 5 2 2 4" xfId="5549" xr:uid="{00000000-0005-0000-0000-000066040000}"/>
    <cellStyle name="20% - Accent1 5 2 2 4 2" xfId="13532" xr:uid="{00000000-0005-0000-0000-000067040000}"/>
    <cellStyle name="20% - Accent1 5 2 2 4 2 2" xfId="37375" xr:uid="{8C502D8A-1C46-4579-A11A-9DB87AD8EF3C}"/>
    <cellStyle name="20% - Accent1 5 2 2 4 3" xfId="21480" xr:uid="{00000000-0005-0000-0000-000068040000}"/>
    <cellStyle name="20% - Accent1 5 2 2 4 3 2" xfId="45312" xr:uid="{CFE0F8B5-9194-40F8-BF33-FEB7AD1CA08E}"/>
    <cellStyle name="20% - Accent1 5 2 2 4 4" xfId="29434" xr:uid="{717F3129-A991-4A4A-ABAE-730DC6F68BFB}"/>
    <cellStyle name="20% - Accent1 5 2 2 5" xfId="9101" xr:uid="{00000000-0005-0000-0000-000069040000}"/>
    <cellStyle name="20% - Accent1 5 2 2 5 2" xfId="17059" xr:uid="{00000000-0005-0000-0000-00006A040000}"/>
    <cellStyle name="20% - Accent1 5 2 2 5 2 2" xfId="40899" xr:uid="{69F0E454-ECF3-4893-9554-BD3D2B6CB9EF}"/>
    <cellStyle name="20% - Accent1 5 2 2 5 3" xfId="25003" xr:uid="{00000000-0005-0000-0000-00006B040000}"/>
    <cellStyle name="20% - Accent1 5 2 2 5 3 2" xfId="48835" xr:uid="{D79431BB-F9B8-4A65-8C2A-CE3EDC777008}"/>
    <cellStyle name="20% - Accent1 5 2 2 5 4" xfId="32958" xr:uid="{0CE1D041-1E4F-49C8-8C9C-79AB698D22AA}"/>
    <cellStyle name="20% - Accent1 5 2 2 6" xfId="9997" xr:uid="{00000000-0005-0000-0000-00006C040000}"/>
    <cellStyle name="20% - Accent1 5 2 2 6 2" xfId="33846" xr:uid="{08D86ED4-D693-4951-B40C-90D8D2AD0D9E}"/>
    <cellStyle name="20% - Accent1 5 2 2 7" xfId="17952" xr:uid="{00000000-0005-0000-0000-00006D040000}"/>
    <cellStyle name="20% - Accent1 5 2 2 7 2" xfId="41784" xr:uid="{DA54AF9E-D116-4CEC-9F24-1AB6564235B1}"/>
    <cellStyle name="20% - Accent1 5 2 2 8" xfId="25904" xr:uid="{85E892EC-259A-4254-89C0-CDF845046C95}"/>
    <cellStyle name="20% - Accent1 5 2 2_Exh G" xfId="2012" xr:uid="{00000000-0005-0000-0000-00006E040000}"/>
    <cellStyle name="20% - Accent1 5 2 3" xfId="1080" xr:uid="{00000000-0005-0000-0000-00006F040000}"/>
    <cellStyle name="20% - Accent1 5 2 3 2" xfId="4607" xr:uid="{00000000-0005-0000-0000-000070040000}"/>
    <cellStyle name="20% - Accent1 5 2 3 2 2" xfId="8198" xr:uid="{00000000-0005-0000-0000-000071040000}"/>
    <cellStyle name="20% - Accent1 5 2 3 2 2 2" xfId="16168" xr:uid="{00000000-0005-0000-0000-000072040000}"/>
    <cellStyle name="20% - Accent1 5 2 3 2 2 2 2" xfId="40010" xr:uid="{5011183F-A816-4673-AC9A-27E57665D756}"/>
    <cellStyle name="20% - Accent1 5 2 3 2 2 3" xfId="24114" xr:uid="{00000000-0005-0000-0000-000073040000}"/>
    <cellStyle name="20% - Accent1 5 2 3 2 2 3 2" xfId="47946" xr:uid="{19944F0D-DEE3-461F-A77D-FBF0E7BDE5CD}"/>
    <cellStyle name="20% - Accent1 5 2 3 2 2 4" xfId="32069" xr:uid="{75588D5B-B339-4804-9169-C6BE9405FFAF}"/>
    <cellStyle name="20% - Accent1 5 2 3 2 3" xfId="12630" xr:uid="{00000000-0005-0000-0000-000074040000}"/>
    <cellStyle name="20% - Accent1 5 2 3 2 3 2" xfId="36479" xr:uid="{FE301CAB-C2B0-49B2-8DC0-E0ADBD569008}"/>
    <cellStyle name="20% - Accent1 5 2 3 2 4" xfId="20585" xr:uid="{00000000-0005-0000-0000-000075040000}"/>
    <cellStyle name="20% - Accent1 5 2 3 2 4 2" xfId="44417" xr:uid="{239E496B-B782-40F3-AB21-AF3C00629864}"/>
    <cellStyle name="20% - Accent1 5 2 3 2 5" xfId="28538" xr:uid="{FF1DA90B-0F77-4824-A426-7B97A774D578}"/>
    <cellStyle name="20% - Accent1 5 2 3 3" xfId="6439" xr:uid="{00000000-0005-0000-0000-000076040000}"/>
    <cellStyle name="20% - Accent1 5 2 3 3 2" xfId="14410" xr:uid="{00000000-0005-0000-0000-000077040000}"/>
    <cellStyle name="20% - Accent1 5 2 3 3 2 2" xfId="38252" xr:uid="{3D4F392D-E9AA-4589-B66F-5AE7C7AD1F92}"/>
    <cellStyle name="20% - Accent1 5 2 3 3 3" xfId="22357" xr:uid="{00000000-0005-0000-0000-000078040000}"/>
    <cellStyle name="20% - Accent1 5 2 3 3 3 2" xfId="46189" xr:uid="{FFC8F70F-B89E-4C45-92A4-0DAA92D88E4A}"/>
    <cellStyle name="20% - Accent1 5 2 3 3 4" xfId="30311" xr:uid="{DFAE93FE-986A-48DD-83EC-DC80AB79A5D1}"/>
    <cellStyle name="20% - Accent1 5 2 3 4" xfId="10874" xr:uid="{00000000-0005-0000-0000-000079040000}"/>
    <cellStyle name="20% - Accent1 5 2 3 4 2" xfId="34723" xr:uid="{75F2A41F-F511-4831-9077-3117CFBCEBF7}"/>
    <cellStyle name="20% - Accent1 5 2 3 5" xfId="18829" xr:uid="{00000000-0005-0000-0000-00007A040000}"/>
    <cellStyle name="20% - Accent1 5 2 3 5 2" xfId="42661" xr:uid="{FAB342FF-FD40-4930-9177-165F64F5C2AC}"/>
    <cellStyle name="20% - Accent1 5 2 3 6" xfId="26781" xr:uid="{B7DA0558-04F5-4605-8D4C-80454413585F}"/>
    <cellStyle name="20% - Accent1 5 2 3_Exh G" xfId="2014" xr:uid="{00000000-0005-0000-0000-00007B040000}"/>
    <cellStyle name="20% - Accent1 5 2 4" xfId="3728" xr:uid="{00000000-0005-0000-0000-00007C040000}"/>
    <cellStyle name="20% - Accent1 5 2 4 2" xfId="7320" xr:uid="{00000000-0005-0000-0000-00007D040000}"/>
    <cellStyle name="20% - Accent1 5 2 4 2 2" xfId="15290" xr:uid="{00000000-0005-0000-0000-00007E040000}"/>
    <cellStyle name="20% - Accent1 5 2 4 2 2 2" xfId="39132" xr:uid="{9E867F34-8816-496E-A47B-6CB6F27AC0CB}"/>
    <cellStyle name="20% - Accent1 5 2 4 2 3" xfId="23236" xr:uid="{00000000-0005-0000-0000-00007F040000}"/>
    <cellStyle name="20% - Accent1 5 2 4 2 3 2" xfId="47068" xr:uid="{7FC43C44-F82C-4400-BE97-3632D26B2179}"/>
    <cellStyle name="20% - Accent1 5 2 4 2 4" xfId="31191" xr:uid="{9B7CA664-25FA-4FE8-B572-2748D066C207}"/>
    <cellStyle name="20% - Accent1 5 2 4 3" xfId="11752" xr:uid="{00000000-0005-0000-0000-000080040000}"/>
    <cellStyle name="20% - Accent1 5 2 4 3 2" xfId="35601" xr:uid="{3EA91033-21A2-43A6-93E4-F1BFF12909D4}"/>
    <cellStyle name="20% - Accent1 5 2 4 4" xfId="19707" xr:uid="{00000000-0005-0000-0000-000081040000}"/>
    <cellStyle name="20% - Accent1 5 2 4 4 2" xfId="43539" xr:uid="{AD15A1B1-5445-43BE-B237-C3E34C29BF47}"/>
    <cellStyle name="20% - Accent1 5 2 4 5" xfId="27660" xr:uid="{BB5CE6EE-FB98-462B-8BEF-E61FEC3D8649}"/>
    <cellStyle name="20% - Accent1 5 2 5" xfId="5548" xr:uid="{00000000-0005-0000-0000-000082040000}"/>
    <cellStyle name="20% - Accent1 5 2 5 2" xfId="13531" xr:uid="{00000000-0005-0000-0000-000083040000}"/>
    <cellStyle name="20% - Accent1 5 2 5 2 2" xfId="37374" xr:uid="{8E58A7AE-04A0-4A04-B6D4-5AE999C3534F}"/>
    <cellStyle name="20% - Accent1 5 2 5 3" xfId="21479" xr:uid="{00000000-0005-0000-0000-000084040000}"/>
    <cellStyle name="20% - Accent1 5 2 5 3 2" xfId="45311" xr:uid="{288E22A7-B26C-4939-A9BD-C4F7D1ABD3BA}"/>
    <cellStyle name="20% - Accent1 5 2 5 4" xfId="29433" xr:uid="{206D1D88-05D3-4FE4-9FFC-2787DA8F0A88}"/>
    <cellStyle name="20% - Accent1 5 2 6" xfId="9100" xr:uid="{00000000-0005-0000-0000-000085040000}"/>
    <cellStyle name="20% - Accent1 5 2 6 2" xfId="17058" xr:uid="{00000000-0005-0000-0000-000086040000}"/>
    <cellStyle name="20% - Accent1 5 2 6 2 2" xfId="40898" xr:uid="{67473E6E-C9FA-4DC8-98FD-1002F29A9075}"/>
    <cellStyle name="20% - Accent1 5 2 6 3" xfId="25002" xr:uid="{00000000-0005-0000-0000-000087040000}"/>
    <cellStyle name="20% - Accent1 5 2 6 3 2" xfId="48834" xr:uid="{9480A8E2-C409-4333-91F3-9D6292929C0C}"/>
    <cellStyle name="20% - Accent1 5 2 6 4" xfId="32957" xr:uid="{F85D86F2-E1AD-4446-835D-4DF3BE9F1E6F}"/>
    <cellStyle name="20% - Accent1 5 2 7" xfId="9996" xr:uid="{00000000-0005-0000-0000-000088040000}"/>
    <cellStyle name="20% - Accent1 5 2 7 2" xfId="33845" xr:uid="{8135C8D2-C9C9-4287-999B-5019851DDB5D}"/>
    <cellStyle name="20% - Accent1 5 2 8" xfId="17951" xr:uid="{00000000-0005-0000-0000-000089040000}"/>
    <cellStyle name="20% - Accent1 5 2 8 2" xfId="41783" xr:uid="{CC3E2841-2C6C-4800-8D91-432021ED1EDD}"/>
    <cellStyle name="20% - Accent1 5 2 9" xfId="25903" xr:uid="{4B0E7E89-D3E8-4BA4-870F-74B69C25783E}"/>
    <cellStyle name="20% - Accent1 5 2_Exh G" xfId="2011" xr:uid="{00000000-0005-0000-0000-00008A040000}"/>
    <cellStyle name="20% - Accent1 5 3" xfId="56" xr:uid="{00000000-0005-0000-0000-00008B040000}"/>
    <cellStyle name="20% - Accent1 5 3 2" xfId="1082" xr:uid="{00000000-0005-0000-0000-00008C040000}"/>
    <cellStyle name="20% - Accent1 5 3 2 2" xfId="4609" xr:uid="{00000000-0005-0000-0000-00008D040000}"/>
    <cellStyle name="20% - Accent1 5 3 2 2 2" xfId="8200" xr:uid="{00000000-0005-0000-0000-00008E040000}"/>
    <cellStyle name="20% - Accent1 5 3 2 2 2 2" xfId="16170" xr:uid="{00000000-0005-0000-0000-00008F040000}"/>
    <cellStyle name="20% - Accent1 5 3 2 2 2 2 2" xfId="40012" xr:uid="{F08CCDD5-56A5-4549-ABAE-2689106B4792}"/>
    <cellStyle name="20% - Accent1 5 3 2 2 2 3" xfId="24116" xr:uid="{00000000-0005-0000-0000-000090040000}"/>
    <cellStyle name="20% - Accent1 5 3 2 2 2 3 2" xfId="47948" xr:uid="{4BDB2B27-536E-48E2-B528-A5A3F180330E}"/>
    <cellStyle name="20% - Accent1 5 3 2 2 2 4" xfId="32071" xr:uid="{E55E2DAC-9E7D-4D81-9692-BAE59E933B9C}"/>
    <cellStyle name="20% - Accent1 5 3 2 2 3" xfId="12632" xr:uid="{00000000-0005-0000-0000-000091040000}"/>
    <cellStyle name="20% - Accent1 5 3 2 2 3 2" xfId="36481" xr:uid="{A7D6E4F3-E84E-4955-80D8-FC1BE5ED56EF}"/>
    <cellStyle name="20% - Accent1 5 3 2 2 4" xfId="20587" xr:uid="{00000000-0005-0000-0000-000092040000}"/>
    <cellStyle name="20% - Accent1 5 3 2 2 4 2" xfId="44419" xr:uid="{0AFF52CD-95A7-4204-957E-F4E29242505F}"/>
    <cellStyle name="20% - Accent1 5 3 2 2 5" xfId="28540" xr:uid="{82C759B6-640B-4A58-B2E8-55265F7ED425}"/>
    <cellStyle name="20% - Accent1 5 3 2 3" xfId="6441" xr:uid="{00000000-0005-0000-0000-000093040000}"/>
    <cellStyle name="20% - Accent1 5 3 2 3 2" xfId="14412" xr:uid="{00000000-0005-0000-0000-000094040000}"/>
    <cellStyle name="20% - Accent1 5 3 2 3 2 2" xfId="38254" xr:uid="{2B024D11-BFDE-490E-9197-C2357B1E3E26}"/>
    <cellStyle name="20% - Accent1 5 3 2 3 3" xfId="22359" xr:uid="{00000000-0005-0000-0000-000095040000}"/>
    <cellStyle name="20% - Accent1 5 3 2 3 3 2" xfId="46191" xr:uid="{75A8A483-AEE9-4F57-ABDD-C2CC3CB059CA}"/>
    <cellStyle name="20% - Accent1 5 3 2 3 4" xfId="30313" xr:uid="{3CD74A07-5348-40F9-8EEF-D1945CDBF7CC}"/>
    <cellStyle name="20% - Accent1 5 3 2 4" xfId="10876" xr:uid="{00000000-0005-0000-0000-000096040000}"/>
    <cellStyle name="20% - Accent1 5 3 2 4 2" xfId="34725" xr:uid="{956C571B-60BF-43B2-8523-F2B310D50109}"/>
    <cellStyle name="20% - Accent1 5 3 2 5" xfId="18831" xr:uid="{00000000-0005-0000-0000-000097040000}"/>
    <cellStyle name="20% - Accent1 5 3 2 5 2" xfId="42663" xr:uid="{A2644565-72A5-4D16-A69B-96255433DE42}"/>
    <cellStyle name="20% - Accent1 5 3 2 6" xfId="26783" xr:uid="{7DB88823-2DAF-4F7E-ADBC-50C9B9415FE1}"/>
    <cellStyle name="20% - Accent1 5 3 2_Exh G" xfId="2016" xr:uid="{00000000-0005-0000-0000-000098040000}"/>
    <cellStyle name="20% - Accent1 5 3 3" xfId="3730" xr:uid="{00000000-0005-0000-0000-000099040000}"/>
    <cellStyle name="20% - Accent1 5 3 3 2" xfId="7322" xr:uid="{00000000-0005-0000-0000-00009A040000}"/>
    <cellStyle name="20% - Accent1 5 3 3 2 2" xfId="15292" xr:uid="{00000000-0005-0000-0000-00009B040000}"/>
    <cellStyle name="20% - Accent1 5 3 3 2 2 2" xfId="39134" xr:uid="{03734250-CBBB-4604-9E21-CAD8BF7056DF}"/>
    <cellStyle name="20% - Accent1 5 3 3 2 3" xfId="23238" xr:uid="{00000000-0005-0000-0000-00009C040000}"/>
    <cellStyle name="20% - Accent1 5 3 3 2 3 2" xfId="47070" xr:uid="{2EA64550-E2EB-4C3E-96F6-B33E03C0ED12}"/>
    <cellStyle name="20% - Accent1 5 3 3 2 4" xfId="31193" xr:uid="{10CD8100-4EDD-4259-BDF0-6007697005EB}"/>
    <cellStyle name="20% - Accent1 5 3 3 3" xfId="11754" xr:uid="{00000000-0005-0000-0000-00009D040000}"/>
    <cellStyle name="20% - Accent1 5 3 3 3 2" xfId="35603" xr:uid="{73D6A267-2D09-4E05-9975-9A018E1FAD28}"/>
    <cellStyle name="20% - Accent1 5 3 3 4" xfId="19709" xr:uid="{00000000-0005-0000-0000-00009E040000}"/>
    <cellStyle name="20% - Accent1 5 3 3 4 2" xfId="43541" xr:uid="{918432DC-B5E9-40FD-81F2-8427C2E8CF06}"/>
    <cellStyle name="20% - Accent1 5 3 3 5" xfId="27662" xr:uid="{A998D3DD-1899-4FC3-B986-10E6D3074E90}"/>
    <cellStyle name="20% - Accent1 5 3 4" xfId="5550" xr:uid="{00000000-0005-0000-0000-00009F040000}"/>
    <cellStyle name="20% - Accent1 5 3 4 2" xfId="13533" xr:uid="{00000000-0005-0000-0000-0000A0040000}"/>
    <cellStyle name="20% - Accent1 5 3 4 2 2" xfId="37376" xr:uid="{E8650D23-5028-47CB-92ED-7B5EEDDB901E}"/>
    <cellStyle name="20% - Accent1 5 3 4 3" xfId="21481" xr:uid="{00000000-0005-0000-0000-0000A1040000}"/>
    <cellStyle name="20% - Accent1 5 3 4 3 2" xfId="45313" xr:uid="{62FBE206-AE10-4F9E-A9B4-59E77B16BC04}"/>
    <cellStyle name="20% - Accent1 5 3 4 4" xfId="29435" xr:uid="{E0AAA59C-AA63-482B-9943-0298067BF962}"/>
    <cellStyle name="20% - Accent1 5 3 5" xfId="9102" xr:uid="{00000000-0005-0000-0000-0000A2040000}"/>
    <cellStyle name="20% - Accent1 5 3 5 2" xfId="17060" xr:uid="{00000000-0005-0000-0000-0000A3040000}"/>
    <cellStyle name="20% - Accent1 5 3 5 2 2" xfId="40900" xr:uid="{5697EBBF-5A1B-41AC-BC2B-60F6902ADFB0}"/>
    <cellStyle name="20% - Accent1 5 3 5 3" xfId="25004" xr:uid="{00000000-0005-0000-0000-0000A4040000}"/>
    <cellStyle name="20% - Accent1 5 3 5 3 2" xfId="48836" xr:uid="{E37CF504-B411-4157-B373-B407452A1766}"/>
    <cellStyle name="20% - Accent1 5 3 5 4" xfId="32959" xr:uid="{66AD854B-AC97-4202-B590-0B92CB3C88C6}"/>
    <cellStyle name="20% - Accent1 5 3 6" xfId="9998" xr:uid="{00000000-0005-0000-0000-0000A5040000}"/>
    <cellStyle name="20% - Accent1 5 3 6 2" xfId="33847" xr:uid="{E38EEC08-5277-4226-B309-4DB19452B87B}"/>
    <cellStyle name="20% - Accent1 5 3 7" xfId="17953" xr:uid="{00000000-0005-0000-0000-0000A6040000}"/>
    <cellStyle name="20% - Accent1 5 3 7 2" xfId="41785" xr:uid="{27CD00E9-7743-4CF9-B5C0-A7593A641A83}"/>
    <cellStyle name="20% - Accent1 5 3 8" xfId="25905" xr:uid="{1460AFB6-17C5-41D0-AB69-AB79F6CA6627}"/>
    <cellStyle name="20% - Accent1 5 3_Exh G" xfId="2015" xr:uid="{00000000-0005-0000-0000-0000A7040000}"/>
    <cellStyle name="20% - Accent1 5 4" xfId="866" xr:uid="{00000000-0005-0000-0000-0000A8040000}"/>
    <cellStyle name="20% - Accent1 5 5" xfId="1079" xr:uid="{00000000-0005-0000-0000-0000A9040000}"/>
    <cellStyle name="20% - Accent1 5 5 2" xfId="4606" xr:uid="{00000000-0005-0000-0000-0000AA040000}"/>
    <cellStyle name="20% - Accent1 5 5 2 2" xfId="8197" xr:uid="{00000000-0005-0000-0000-0000AB040000}"/>
    <cellStyle name="20% - Accent1 5 5 2 2 2" xfId="16167" xr:uid="{00000000-0005-0000-0000-0000AC040000}"/>
    <cellStyle name="20% - Accent1 5 5 2 2 2 2" xfId="40009" xr:uid="{DD27EDC3-40C3-4211-B519-05060A803642}"/>
    <cellStyle name="20% - Accent1 5 5 2 2 3" xfId="24113" xr:uid="{00000000-0005-0000-0000-0000AD040000}"/>
    <cellStyle name="20% - Accent1 5 5 2 2 3 2" xfId="47945" xr:uid="{0F00C9B9-8CDE-4DF6-A2F6-FC6C599075A2}"/>
    <cellStyle name="20% - Accent1 5 5 2 2 4" xfId="32068" xr:uid="{A7A03810-24AE-4E88-BBED-F3F0B5B508A6}"/>
    <cellStyle name="20% - Accent1 5 5 2 3" xfId="12629" xr:uid="{00000000-0005-0000-0000-0000AE040000}"/>
    <cellStyle name="20% - Accent1 5 5 2 3 2" xfId="36478" xr:uid="{3A36FF4B-8693-477C-911C-33A98476D6FC}"/>
    <cellStyle name="20% - Accent1 5 5 2 4" xfId="20584" xr:uid="{00000000-0005-0000-0000-0000AF040000}"/>
    <cellStyle name="20% - Accent1 5 5 2 4 2" xfId="44416" xr:uid="{80F90C2E-CD85-4426-A0BA-EB9F5BB4D43E}"/>
    <cellStyle name="20% - Accent1 5 5 2 5" xfId="28537" xr:uid="{091CE833-E238-4323-B167-5A0CCC8723B4}"/>
    <cellStyle name="20% - Accent1 5 5 3" xfId="6438" xr:uid="{00000000-0005-0000-0000-0000B0040000}"/>
    <cellStyle name="20% - Accent1 5 5 3 2" xfId="14409" xr:uid="{00000000-0005-0000-0000-0000B1040000}"/>
    <cellStyle name="20% - Accent1 5 5 3 2 2" xfId="38251" xr:uid="{76742A1B-46E9-4C14-8867-1330364C1340}"/>
    <cellStyle name="20% - Accent1 5 5 3 3" xfId="22356" xr:uid="{00000000-0005-0000-0000-0000B2040000}"/>
    <cellStyle name="20% - Accent1 5 5 3 3 2" xfId="46188" xr:uid="{C9E8A2F5-E05B-4BBF-A66A-5D0405593A2D}"/>
    <cellStyle name="20% - Accent1 5 5 3 4" xfId="30310" xr:uid="{F670458A-3F29-4663-AFDF-F8EB1FF38527}"/>
    <cellStyle name="20% - Accent1 5 5 4" xfId="10873" xr:uid="{00000000-0005-0000-0000-0000B3040000}"/>
    <cellStyle name="20% - Accent1 5 5 4 2" xfId="34722" xr:uid="{6E54E53D-2459-4515-B787-F94CF090A1DC}"/>
    <cellStyle name="20% - Accent1 5 5 5" xfId="18828" xr:uid="{00000000-0005-0000-0000-0000B4040000}"/>
    <cellStyle name="20% - Accent1 5 5 5 2" xfId="42660" xr:uid="{2BD097C4-70E5-45F6-A3A6-E3E685EE828D}"/>
    <cellStyle name="20% - Accent1 5 5 6" xfId="26780" xr:uid="{8D6BBB48-9105-4AEC-A425-20EA2BE08562}"/>
    <cellStyle name="20% - Accent1 5 5_Exh G" xfId="2017" xr:uid="{00000000-0005-0000-0000-0000B5040000}"/>
    <cellStyle name="20% - Accent1 5 6" xfId="3727" xr:uid="{00000000-0005-0000-0000-0000B6040000}"/>
    <cellStyle name="20% - Accent1 5 6 2" xfId="7319" xr:uid="{00000000-0005-0000-0000-0000B7040000}"/>
    <cellStyle name="20% - Accent1 5 6 2 2" xfId="15289" xr:uid="{00000000-0005-0000-0000-0000B8040000}"/>
    <cellStyle name="20% - Accent1 5 6 2 2 2" xfId="39131" xr:uid="{3C51F6F4-EA54-4EDD-BAB0-09CA5C897592}"/>
    <cellStyle name="20% - Accent1 5 6 2 3" xfId="23235" xr:uid="{00000000-0005-0000-0000-0000B9040000}"/>
    <cellStyle name="20% - Accent1 5 6 2 3 2" xfId="47067" xr:uid="{67AB152F-7A9E-4A73-B940-77DB9C8E2DF0}"/>
    <cellStyle name="20% - Accent1 5 6 2 4" xfId="31190" xr:uid="{C112B511-90AB-4C1C-AE57-C2C0F640119E}"/>
    <cellStyle name="20% - Accent1 5 6 3" xfId="11751" xr:uid="{00000000-0005-0000-0000-0000BA040000}"/>
    <cellStyle name="20% - Accent1 5 6 3 2" xfId="35600" xr:uid="{49153733-0DF4-41EA-AC15-A8D113467B2C}"/>
    <cellStyle name="20% - Accent1 5 6 4" xfId="19706" xr:uid="{00000000-0005-0000-0000-0000BB040000}"/>
    <cellStyle name="20% - Accent1 5 6 4 2" xfId="43538" xr:uid="{815EA913-D242-475F-9A2F-3C51BE3F0E91}"/>
    <cellStyle name="20% - Accent1 5 6 5" xfId="27659" xr:uid="{D029DFAA-FC46-4C21-9F3A-6D662C6D2BE2}"/>
    <cellStyle name="20% - Accent1 5 7" xfId="5547" xr:uid="{00000000-0005-0000-0000-0000BC040000}"/>
    <cellStyle name="20% - Accent1 5 7 2" xfId="13530" xr:uid="{00000000-0005-0000-0000-0000BD040000}"/>
    <cellStyle name="20% - Accent1 5 7 2 2" xfId="37373" xr:uid="{4163B7B0-C1B4-42DF-AED3-39CCC9E63EDF}"/>
    <cellStyle name="20% - Accent1 5 7 3" xfId="21478" xr:uid="{00000000-0005-0000-0000-0000BE040000}"/>
    <cellStyle name="20% - Accent1 5 7 3 2" xfId="45310" xr:uid="{3AE469ED-282C-43E6-8F0F-18B5C45528EF}"/>
    <cellStyle name="20% - Accent1 5 7 4" xfId="29432" xr:uid="{B6008E50-8C4C-4618-8EFF-0B7B0CB11DBC}"/>
    <cellStyle name="20% - Accent1 5 8" xfId="9099" xr:uid="{00000000-0005-0000-0000-0000BF040000}"/>
    <cellStyle name="20% - Accent1 5 8 2" xfId="17057" xr:uid="{00000000-0005-0000-0000-0000C0040000}"/>
    <cellStyle name="20% - Accent1 5 8 2 2" xfId="40897" xr:uid="{D7941557-1DD9-4E71-9A75-12E9EA3CBD55}"/>
    <cellStyle name="20% - Accent1 5 8 3" xfId="25001" xr:uid="{00000000-0005-0000-0000-0000C1040000}"/>
    <cellStyle name="20% - Accent1 5 8 3 2" xfId="48833" xr:uid="{5EF407CF-D2C8-406D-8421-AA54ACB30534}"/>
    <cellStyle name="20% - Accent1 5 8 4" xfId="32956" xr:uid="{F94C5EF2-4B03-45F0-A3FD-E5D7398B6E87}"/>
    <cellStyle name="20% - Accent1 5 9" xfId="9995" xr:uid="{00000000-0005-0000-0000-0000C2040000}"/>
    <cellStyle name="20% - Accent1 5 9 2" xfId="33844" xr:uid="{E87D3A85-3E22-4777-BA02-E0AA446E845F}"/>
    <cellStyle name="20% - Accent1 5_Exh G" xfId="2010" xr:uid="{00000000-0005-0000-0000-0000C3040000}"/>
    <cellStyle name="20% - Accent1 6" xfId="57" xr:uid="{00000000-0005-0000-0000-0000C4040000}"/>
    <cellStyle name="20% - Accent1 6 10" xfId="17954" xr:uid="{00000000-0005-0000-0000-0000C5040000}"/>
    <cellStyle name="20% - Accent1 6 10 2" xfId="41786" xr:uid="{4788B29F-2148-4B5C-8610-A58EBEACE047}"/>
    <cellStyle name="20% - Accent1 6 11" xfId="25906" xr:uid="{CA3A8E8E-7E08-40A3-859B-8D39757C5A1F}"/>
    <cellStyle name="20% - Accent1 6 2" xfId="58" xr:uid="{00000000-0005-0000-0000-0000C6040000}"/>
    <cellStyle name="20% - Accent1 6 2 2" xfId="59" xr:uid="{00000000-0005-0000-0000-0000C7040000}"/>
    <cellStyle name="20% - Accent1 6 2 2 2" xfId="1085" xr:uid="{00000000-0005-0000-0000-0000C8040000}"/>
    <cellStyle name="20% - Accent1 6 2 2 2 2" xfId="4612" xr:uid="{00000000-0005-0000-0000-0000C9040000}"/>
    <cellStyle name="20% - Accent1 6 2 2 2 2 2" xfId="8203" xr:uid="{00000000-0005-0000-0000-0000CA040000}"/>
    <cellStyle name="20% - Accent1 6 2 2 2 2 2 2" xfId="16173" xr:uid="{00000000-0005-0000-0000-0000CB040000}"/>
    <cellStyle name="20% - Accent1 6 2 2 2 2 2 2 2" xfId="40015" xr:uid="{121106BE-DE92-4573-A410-13A542BBAD8D}"/>
    <cellStyle name="20% - Accent1 6 2 2 2 2 2 3" xfId="24119" xr:uid="{00000000-0005-0000-0000-0000CC040000}"/>
    <cellStyle name="20% - Accent1 6 2 2 2 2 2 3 2" xfId="47951" xr:uid="{413DC427-828C-4EB9-896B-0699FFE29010}"/>
    <cellStyle name="20% - Accent1 6 2 2 2 2 2 4" xfId="32074" xr:uid="{F59AE39F-421A-4CC9-8BF4-E75914FBC5A7}"/>
    <cellStyle name="20% - Accent1 6 2 2 2 2 3" xfId="12635" xr:uid="{00000000-0005-0000-0000-0000CD040000}"/>
    <cellStyle name="20% - Accent1 6 2 2 2 2 3 2" xfId="36484" xr:uid="{FA058BF7-06A3-45A0-8DF3-C6442E0A7B18}"/>
    <cellStyle name="20% - Accent1 6 2 2 2 2 4" xfId="20590" xr:uid="{00000000-0005-0000-0000-0000CE040000}"/>
    <cellStyle name="20% - Accent1 6 2 2 2 2 4 2" xfId="44422" xr:uid="{D94CF75B-0A4C-4208-9FEE-AD1FFC90176D}"/>
    <cellStyle name="20% - Accent1 6 2 2 2 2 5" xfId="28543" xr:uid="{F285F552-721F-4D19-B616-F184F4CF46A0}"/>
    <cellStyle name="20% - Accent1 6 2 2 2 3" xfId="6444" xr:uid="{00000000-0005-0000-0000-0000CF040000}"/>
    <cellStyle name="20% - Accent1 6 2 2 2 3 2" xfId="14415" xr:uid="{00000000-0005-0000-0000-0000D0040000}"/>
    <cellStyle name="20% - Accent1 6 2 2 2 3 2 2" xfId="38257" xr:uid="{9C758B0B-08D7-4FF1-B199-0E18876325A4}"/>
    <cellStyle name="20% - Accent1 6 2 2 2 3 3" xfId="22362" xr:uid="{00000000-0005-0000-0000-0000D1040000}"/>
    <cellStyle name="20% - Accent1 6 2 2 2 3 3 2" xfId="46194" xr:uid="{657A81DF-5493-4BC1-8225-20CC68E17C60}"/>
    <cellStyle name="20% - Accent1 6 2 2 2 3 4" xfId="30316" xr:uid="{A5FD32C3-AD3F-4AA5-BCA6-A5E97A3514E6}"/>
    <cellStyle name="20% - Accent1 6 2 2 2 4" xfId="10879" xr:uid="{00000000-0005-0000-0000-0000D2040000}"/>
    <cellStyle name="20% - Accent1 6 2 2 2 4 2" xfId="34728" xr:uid="{8A631525-34AA-450A-B50E-F7D38E0FFCFF}"/>
    <cellStyle name="20% - Accent1 6 2 2 2 5" xfId="18834" xr:uid="{00000000-0005-0000-0000-0000D3040000}"/>
    <cellStyle name="20% - Accent1 6 2 2 2 5 2" xfId="42666" xr:uid="{68C400D8-3627-413D-88E3-F99764FAD90A}"/>
    <cellStyle name="20% - Accent1 6 2 2 2 6" xfId="26786" xr:uid="{BEE8B1BE-5903-4CA5-933D-BB8AC8888037}"/>
    <cellStyle name="20% - Accent1 6 2 2 2_Exh G" xfId="2021" xr:uid="{00000000-0005-0000-0000-0000D4040000}"/>
    <cellStyle name="20% - Accent1 6 2 2 3" xfId="3733" xr:uid="{00000000-0005-0000-0000-0000D5040000}"/>
    <cellStyle name="20% - Accent1 6 2 2 3 2" xfId="7325" xr:uid="{00000000-0005-0000-0000-0000D6040000}"/>
    <cellStyle name="20% - Accent1 6 2 2 3 2 2" xfId="15295" xr:uid="{00000000-0005-0000-0000-0000D7040000}"/>
    <cellStyle name="20% - Accent1 6 2 2 3 2 2 2" xfId="39137" xr:uid="{ADD4C3E5-8087-422E-901C-F119E355A251}"/>
    <cellStyle name="20% - Accent1 6 2 2 3 2 3" xfId="23241" xr:uid="{00000000-0005-0000-0000-0000D8040000}"/>
    <cellStyle name="20% - Accent1 6 2 2 3 2 3 2" xfId="47073" xr:uid="{EB343287-C415-4D64-9D0B-497C21FF4324}"/>
    <cellStyle name="20% - Accent1 6 2 2 3 2 4" xfId="31196" xr:uid="{F4BB7852-05A5-4308-8675-7FC5E17C95D4}"/>
    <cellStyle name="20% - Accent1 6 2 2 3 3" xfId="11757" xr:uid="{00000000-0005-0000-0000-0000D9040000}"/>
    <cellStyle name="20% - Accent1 6 2 2 3 3 2" xfId="35606" xr:uid="{FAAE959F-D840-43FE-B7B7-6B6D7954F6BD}"/>
    <cellStyle name="20% - Accent1 6 2 2 3 4" xfId="19712" xr:uid="{00000000-0005-0000-0000-0000DA040000}"/>
    <cellStyle name="20% - Accent1 6 2 2 3 4 2" xfId="43544" xr:uid="{D2B322CD-7597-4C89-8773-EE0E387E69F8}"/>
    <cellStyle name="20% - Accent1 6 2 2 3 5" xfId="27665" xr:uid="{B91D6249-A05C-4268-91E0-244903546460}"/>
    <cellStyle name="20% - Accent1 6 2 2 4" xfId="5553" xr:uid="{00000000-0005-0000-0000-0000DB040000}"/>
    <cellStyle name="20% - Accent1 6 2 2 4 2" xfId="13536" xr:uid="{00000000-0005-0000-0000-0000DC040000}"/>
    <cellStyle name="20% - Accent1 6 2 2 4 2 2" xfId="37379" xr:uid="{6B523D39-76A4-490F-AB4F-E0FF920E2A11}"/>
    <cellStyle name="20% - Accent1 6 2 2 4 3" xfId="21484" xr:uid="{00000000-0005-0000-0000-0000DD040000}"/>
    <cellStyle name="20% - Accent1 6 2 2 4 3 2" xfId="45316" xr:uid="{C4C85B04-2B2A-4D1D-B504-8B15FA5E3F09}"/>
    <cellStyle name="20% - Accent1 6 2 2 4 4" xfId="29438" xr:uid="{B871CF50-2D81-4484-8685-8708101952BE}"/>
    <cellStyle name="20% - Accent1 6 2 2 5" xfId="9105" xr:uid="{00000000-0005-0000-0000-0000DE040000}"/>
    <cellStyle name="20% - Accent1 6 2 2 5 2" xfId="17063" xr:uid="{00000000-0005-0000-0000-0000DF040000}"/>
    <cellStyle name="20% - Accent1 6 2 2 5 2 2" xfId="40903" xr:uid="{2F6ED56F-9F7C-484C-9940-313249C912E5}"/>
    <cellStyle name="20% - Accent1 6 2 2 5 3" xfId="25007" xr:uid="{00000000-0005-0000-0000-0000E0040000}"/>
    <cellStyle name="20% - Accent1 6 2 2 5 3 2" xfId="48839" xr:uid="{17460A9A-9719-4F8D-9791-E3FE2561C958}"/>
    <cellStyle name="20% - Accent1 6 2 2 5 4" xfId="32962" xr:uid="{DB3623F1-C57C-4985-8212-6B0BE18D54F9}"/>
    <cellStyle name="20% - Accent1 6 2 2 6" xfId="10001" xr:uid="{00000000-0005-0000-0000-0000E1040000}"/>
    <cellStyle name="20% - Accent1 6 2 2 6 2" xfId="33850" xr:uid="{11B41BD2-DC65-43AE-872D-9C627F87310E}"/>
    <cellStyle name="20% - Accent1 6 2 2 7" xfId="17956" xr:uid="{00000000-0005-0000-0000-0000E2040000}"/>
    <cellStyle name="20% - Accent1 6 2 2 7 2" xfId="41788" xr:uid="{E995E6F3-C299-4199-A143-C69319013789}"/>
    <cellStyle name="20% - Accent1 6 2 2 8" xfId="25908" xr:uid="{B73358EC-0763-4A3D-A4DE-4E00D4DD3608}"/>
    <cellStyle name="20% - Accent1 6 2 2_Exh G" xfId="2020" xr:uid="{00000000-0005-0000-0000-0000E3040000}"/>
    <cellStyle name="20% - Accent1 6 2 3" xfId="1084" xr:uid="{00000000-0005-0000-0000-0000E4040000}"/>
    <cellStyle name="20% - Accent1 6 2 3 2" xfId="4611" xr:uid="{00000000-0005-0000-0000-0000E5040000}"/>
    <cellStyle name="20% - Accent1 6 2 3 2 2" xfId="8202" xr:uid="{00000000-0005-0000-0000-0000E6040000}"/>
    <cellStyle name="20% - Accent1 6 2 3 2 2 2" xfId="16172" xr:uid="{00000000-0005-0000-0000-0000E7040000}"/>
    <cellStyle name="20% - Accent1 6 2 3 2 2 2 2" xfId="40014" xr:uid="{DB1B6CF0-A4CA-48E3-AABA-EDBECD12E17B}"/>
    <cellStyle name="20% - Accent1 6 2 3 2 2 3" xfId="24118" xr:uid="{00000000-0005-0000-0000-0000E8040000}"/>
    <cellStyle name="20% - Accent1 6 2 3 2 2 3 2" xfId="47950" xr:uid="{E9762E69-7DDD-45C2-9EAE-3FBF242BC93C}"/>
    <cellStyle name="20% - Accent1 6 2 3 2 2 4" xfId="32073" xr:uid="{B15C6747-9FDE-4BFF-A74E-F25E6DC2BF1C}"/>
    <cellStyle name="20% - Accent1 6 2 3 2 3" xfId="12634" xr:uid="{00000000-0005-0000-0000-0000E9040000}"/>
    <cellStyle name="20% - Accent1 6 2 3 2 3 2" xfId="36483" xr:uid="{2CB51025-F38D-4592-8DAE-0DCBF8EC6677}"/>
    <cellStyle name="20% - Accent1 6 2 3 2 4" xfId="20589" xr:uid="{00000000-0005-0000-0000-0000EA040000}"/>
    <cellStyle name="20% - Accent1 6 2 3 2 4 2" xfId="44421" xr:uid="{AD6A1B52-5277-42F3-9C19-21F3DBF6FFC0}"/>
    <cellStyle name="20% - Accent1 6 2 3 2 5" xfId="28542" xr:uid="{FF4643AE-FAF5-424F-88EB-9F2E37B3F6E2}"/>
    <cellStyle name="20% - Accent1 6 2 3 3" xfId="6443" xr:uid="{00000000-0005-0000-0000-0000EB040000}"/>
    <cellStyle name="20% - Accent1 6 2 3 3 2" xfId="14414" xr:uid="{00000000-0005-0000-0000-0000EC040000}"/>
    <cellStyle name="20% - Accent1 6 2 3 3 2 2" xfId="38256" xr:uid="{9312977E-33B8-4F8F-B228-5E419B4FA39D}"/>
    <cellStyle name="20% - Accent1 6 2 3 3 3" xfId="22361" xr:uid="{00000000-0005-0000-0000-0000ED040000}"/>
    <cellStyle name="20% - Accent1 6 2 3 3 3 2" xfId="46193" xr:uid="{3CC51FDC-4B31-46CF-BA70-76A590B7CCA4}"/>
    <cellStyle name="20% - Accent1 6 2 3 3 4" xfId="30315" xr:uid="{5EB38D3D-C200-4B2B-88D3-E970544083A1}"/>
    <cellStyle name="20% - Accent1 6 2 3 4" xfId="10878" xr:uid="{00000000-0005-0000-0000-0000EE040000}"/>
    <cellStyle name="20% - Accent1 6 2 3 4 2" xfId="34727" xr:uid="{131929CD-9E35-448F-AB02-5E7314982F98}"/>
    <cellStyle name="20% - Accent1 6 2 3 5" xfId="18833" xr:uid="{00000000-0005-0000-0000-0000EF040000}"/>
    <cellStyle name="20% - Accent1 6 2 3 5 2" xfId="42665" xr:uid="{FF9A087C-CE7A-4BD3-920A-000C30E64CD5}"/>
    <cellStyle name="20% - Accent1 6 2 3 6" xfId="26785" xr:uid="{E0DC989B-D067-4B8A-8A6C-85AA02029417}"/>
    <cellStyle name="20% - Accent1 6 2 3_Exh G" xfId="2022" xr:uid="{00000000-0005-0000-0000-0000F0040000}"/>
    <cellStyle name="20% - Accent1 6 2 4" xfId="3732" xr:uid="{00000000-0005-0000-0000-0000F1040000}"/>
    <cellStyle name="20% - Accent1 6 2 4 2" xfId="7324" xr:uid="{00000000-0005-0000-0000-0000F2040000}"/>
    <cellStyle name="20% - Accent1 6 2 4 2 2" xfId="15294" xr:uid="{00000000-0005-0000-0000-0000F3040000}"/>
    <cellStyle name="20% - Accent1 6 2 4 2 2 2" xfId="39136" xr:uid="{14005DC6-89FB-4B96-9726-AFE05811C892}"/>
    <cellStyle name="20% - Accent1 6 2 4 2 3" xfId="23240" xr:uid="{00000000-0005-0000-0000-0000F4040000}"/>
    <cellStyle name="20% - Accent1 6 2 4 2 3 2" xfId="47072" xr:uid="{5CD85B39-9614-475C-B26E-D3D29ED6B739}"/>
    <cellStyle name="20% - Accent1 6 2 4 2 4" xfId="31195" xr:uid="{A1B2AE71-7382-4192-9F25-9D8C178C6AD2}"/>
    <cellStyle name="20% - Accent1 6 2 4 3" xfId="11756" xr:uid="{00000000-0005-0000-0000-0000F5040000}"/>
    <cellStyle name="20% - Accent1 6 2 4 3 2" xfId="35605" xr:uid="{FD0B58C0-5B35-4859-809B-CF3F3E644DDD}"/>
    <cellStyle name="20% - Accent1 6 2 4 4" xfId="19711" xr:uid="{00000000-0005-0000-0000-0000F6040000}"/>
    <cellStyle name="20% - Accent1 6 2 4 4 2" xfId="43543" xr:uid="{BD854898-A0FC-4681-8C1D-78A12B25EEA5}"/>
    <cellStyle name="20% - Accent1 6 2 4 5" xfId="27664" xr:uid="{C52DA349-80B1-460E-80E2-2935B1CF31BC}"/>
    <cellStyle name="20% - Accent1 6 2 5" xfId="5552" xr:uid="{00000000-0005-0000-0000-0000F7040000}"/>
    <cellStyle name="20% - Accent1 6 2 5 2" xfId="13535" xr:uid="{00000000-0005-0000-0000-0000F8040000}"/>
    <cellStyle name="20% - Accent1 6 2 5 2 2" xfId="37378" xr:uid="{D906DE04-6586-4237-BD3F-35DEB3F459BF}"/>
    <cellStyle name="20% - Accent1 6 2 5 3" xfId="21483" xr:uid="{00000000-0005-0000-0000-0000F9040000}"/>
    <cellStyle name="20% - Accent1 6 2 5 3 2" xfId="45315" xr:uid="{1B6FE87D-A195-4323-A269-25F7F8745CF0}"/>
    <cellStyle name="20% - Accent1 6 2 5 4" xfId="29437" xr:uid="{7DED9949-1CEF-463E-B2CE-24D9EA5D40AF}"/>
    <cellStyle name="20% - Accent1 6 2 6" xfId="9104" xr:uid="{00000000-0005-0000-0000-0000FA040000}"/>
    <cellStyle name="20% - Accent1 6 2 6 2" xfId="17062" xr:uid="{00000000-0005-0000-0000-0000FB040000}"/>
    <cellStyle name="20% - Accent1 6 2 6 2 2" xfId="40902" xr:uid="{727C94C4-8AD0-4BD4-B706-2AC7BF509174}"/>
    <cellStyle name="20% - Accent1 6 2 6 3" xfId="25006" xr:uid="{00000000-0005-0000-0000-0000FC040000}"/>
    <cellStyle name="20% - Accent1 6 2 6 3 2" xfId="48838" xr:uid="{97670F16-103F-48A0-8EB1-E80F39A7A4ED}"/>
    <cellStyle name="20% - Accent1 6 2 6 4" xfId="32961" xr:uid="{4198A4EB-F320-4BD4-86E6-13FC7202FE3F}"/>
    <cellStyle name="20% - Accent1 6 2 7" xfId="10000" xr:uid="{00000000-0005-0000-0000-0000FD040000}"/>
    <cellStyle name="20% - Accent1 6 2 7 2" xfId="33849" xr:uid="{19F13A6B-B2DC-4764-A45E-0152B0E4F35C}"/>
    <cellStyle name="20% - Accent1 6 2 8" xfId="17955" xr:uid="{00000000-0005-0000-0000-0000FE040000}"/>
    <cellStyle name="20% - Accent1 6 2 8 2" xfId="41787" xr:uid="{3B974FDD-90C9-409A-876A-91D0575E89BA}"/>
    <cellStyle name="20% - Accent1 6 2 9" xfId="25907" xr:uid="{BDAA64EE-5BC7-4FE0-8E3C-272E02CC7E94}"/>
    <cellStyle name="20% - Accent1 6 2_Exh G" xfId="2019" xr:uid="{00000000-0005-0000-0000-0000FF040000}"/>
    <cellStyle name="20% - Accent1 6 3" xfId="60" xr:uid="{00000000-0005-0000-0000-000000050000}"/>
    <cellStyle name="20% - Accent1 6 3 2" xfId="1086" xr:uid="{00000000-0005-0000-0000-000001050000}"/>
    <cellStyle name="20% - Accent1 6 3 2 2" xfId="4613" xr:uid="{00000000-0005-0000-0000-000002050000}"/>
    <cellStyle name="20% - Accent1 6 3 2 2 2" xfId="8204" xr:uid="{00000000-0005-0000-0000-000003050000}"/>
    <cellStyle name="20% - Accent1 6 3 2 2 2 2" xfId="16174" xr:uid="{00000000-0005-0000-0000-000004050000}"/>
    <cellStyle name="20% - Accent1 6 3 2 2 2 2 2" xfId="40016" xr:uid="{74E93227-C828-4A22-8F3A-96C9896BF28A}"/>
    <cellStyle name="20% - Accent1 6 3 2 2 2 3" xfId="24120" xr:uid="{00000000-0005-0000-0000-000005050000}"/>
    <cellStyle name="20% - Accent1 6 3 2 2 2 3 2" xfId="47952" xr:uid="{D6F9C19E-4A77-4726-9AA7-FE4097C15658}"/>
    <cellStyle name="20% - Accent1 6 3 2 2 2 4" xfId="32075" xr:uid="{E805C6D7-990B-48E7-BEF8-D7F751DA5225}"/>
    <cellStyle name="20% - Accent1 6 3 2 2 3" xfId="12636" xr:uid="{00000000-0005-0000-0000-000006050000}"/>
    <cellStyle name="20% - Accent1 6 3 2 2 3 2" xfId="36485" xr:uid="{A0E538E8-94D2-4BF0-BDD1-D3113D639E74}"/>
    <cellStyle name="20% - Accent1 6 3 2 2 4" xfId="20591" xr:uid="{00000000-0005-0000-0000-000007050000}"/>
    <cellStyle name="20% - Accent1 6 3 2 2 4 2" xfId="44423" xr:uid="{F68913E0-4DA1-40C4-AE61-16FBEB882C21}"/>
    <cellStyle name="20% - Accent1 6 3 2 2 5" xfId="28544" xr:uid="{DB168239-88CF-47EF-934D-0F0EC52365D1}"/>
    <cellStyle name="20% - Accent1 6 3 2 3" xfId="6445" xr:uid="{00000000-0005-0000-0000-000008050000}"/>
    <cellStyle name="20% - Accent1 6 3 2 3 2" xfId="14416" xr:uid="{00000000-0005-0000-0000-000009050000}"/>
    <cellStyle name="20% - Accent1 6 3 2 3 2 2" xfId="38258" xr:uid="{D29549F4-8A38-4F2E-9A96-C8E9C298A5FC}"/>
    <cellStyle name="20% - Accent1 6 3 2 3 3" xfId="22363" xr:uid="{00000000-0005-0000-0000-00000A050000}"/>
    <cellStyle name="20% - Accent1 6 3 2 3 3 2" xfId="46195" xr:uid="{A8BC24A7-41E5-4B2C-8C8A-27955CBC97EF}"/>
    <cellStyle name="20% - Accent1 6 3 2 3 4" xfId="30317" xr:uid="{6DB68CFC-4C26-41E3-81FB-63701C86DEF2}"/>
    <cellStyle name="20% - Accent1 6 3 2 4" xfId="10880" xr:uid="{00000000-0005-0000-0000-00000B050000}"/>
    <cellStyle name="20% - Accent1 6 3 2 4 2" xfId="34729" xr:uid="{DC5BB02A-629A-446C-9CCA-F4BC14722AAB}"/>
    <cellStyle name="20% - Accent1 6 3 2 5" xfId="18835" xr:uid="{00000000-0005-0000-0000-00000C050000}"/>
    <cellStyle name="20% - Accent1 6 3 2 5 2" xfId="42667" xr:uid="{F732EE61-708F-4109-A4DB-2E1E0D77F05B}"/>
    <cellStyle name="20% - Accent1 6 3 2 6" xfId="26787" xr:uid="{62FC7374-C269-4508-BB66-7A3D3BF6EEB8}"/>
    <cellStyle name="20% - Accent1 6 3 2_Exh G" xfId="2024" xr:uid="{00000000-0005-0000-0000-00000D050000}"/>
    <cellStyle name="20% - Accent1 6 3 3" xfId="3734" xr:uid="{00000000-0005-0000-0000-00000E050000}"/>
    <cellStyle name="20% - Accent1 6 3 3 2" xfId="7326" xr:uid="{00000000-0005-0000-0000-00000F050000}"/>
    <cellStyle name="20% - Accent1 6 3 3 2 2" xfId="15296" xr:uid="{00000000-0005-0000-0000-000010050000}"/>
    <cellStyle name="20% - Accent1 6 3 3 2 2 2" xfId="39138" xr:uid="{D8D692A4-15B7-4A70-9542-71FF2DD1BD1A}"/>
    <cellStyle name="20% - Accent1 6 3 3 2 3" xfId="23242" xr:uid="{00000000-0005-0000-0000-000011050000}"/>
    <cellStyle name="20% - Accent1 6 3 3 2 3 2" xfId="47074" xr:uid="{DB1A561A-89C9-41C0-96A8-64455DF550F0}"/>
    <cellStyle name="20% - Accent1 6 3 3 2 4" xfId="31197" xr:uid="{E46658A3-BB1B-4811-B424-57F6CD73409A}"/>
    <cellStyle name="20% - Accent1 6 3 3 3" xfId="11758" xr:uid="{00000000-0005-0000-0000-000012050000}"/>
    <cellStyle name="20% - Accent1 6 3 3 3 2" xfId="35607" xr:uid="{C80471A4-9825-4BAC-A7D9-9225C462D7E2}"/>
    <cellStyle name="20% - Accent1 6 3 3 4" xfId="19713" xr:uid="{00000000-0005-0000-0000-000013050000}"/>
    <cellStyle name="20% - Accent1 6 3 3 4 2" xfId="43545" xr:uid="{6DB0D1D4-4159-4307-BC91-CDBC06FC7F0D}"/>
    <cellStyle name="20% - Accent1 6 3 3 5" xfId="27666" xr:uid="{98D00B67-D960-483C-877C-60EAE4AF89DC}"/>
    <cellStyle name="20% - Accent1 6 3 4" xfId="5554" xr:uid="{00000000-0005-0000-0000-000014050000}"/>
    <cellStyle name="20% - Accent1 6 3 4 2" xfId="13537" xr:uid="{00000000-0005-0000-0000-000015050000}"/>
    <cellStyle name="20% - Accent1 6 3 4 2 2" xfId="37380" xr:uid="{03F8197D-E460-4E17-B65F-756CA0B0F642}"/>
    <cellStyle name="20% - Accent1 6 3 4 3" xfId="21485" xr:uid="{00000000-0005-0000-0000-000016050000}"/>
    <cellStyle name="20% - Accent1 6 3 4 3 2" xfId="45317" xr:uid="{E73A6EA0-5F5C-4F63-82DD-E6F6CE17DD92}"/>
    <cellStyle name="20% - Accent1 6 3 4 4" xfId="29439" xr:uid="{A317D0AE-3395-4404-8103-DBE90CDC1AAC}"/>
    <cellStyle name="20% - Accent1 6 3 5" xfId="9106" xr:uid="{00000000-0005-0000-0000-000017050000}"/>
    <cellStyle name="20% - Accent1 6 3 5 2" xfId="17064" xr:uid="{00000000-0005-0000-0000-000018050000}"/>
    <cellStyle name="20% - Accent1 6 3 5 2 2" xfId="40904" xr:uid="{B6774F5E-8299-4606-AA15-474A78AAD7B5}"/>
    <cellStyle name="20% - Accent1 6 3 5 3" xfId="25008" xr:uid="{00000000-0005-0000-0000-000019050000}"/>
    <cellStyle name="20% - Accent1 6 3 5 3 2" xfId="48840" xr:uid="{E15220E7-201B-4483-8A87-B673507D6E80}"/>
    <cellStyle name="20% - Accent1 6 3 5 4" xfId="32963" xr:uid="{1DC1ED29-A483-4837-B79B-61840F80A707}"/>
    <cellStyle name="20% - Accent1 6 3 6" xfId="10002" xr:uid="{00000000-0005-0000-0000-00001A050000}"/>
    <cellStyle name="20% - Accent1 6 3 6 2" xfId="33851" xr:uid="{A2286E3C-9CB5-48DB-B48E-F27E6C2E895E}"/>
    <cellStyle name="20% - Accent1 6 3 7" xfId="17957" xr:uid="{00000000-0005-0000-0000-00001B050000}"/>
    <cellStyle name="20% - Accent1 6 3 7 2" xfId="41789" xr:uid="{2CC59398-86A1-4EBC-B5A7-7CBE04876E3A}"/>
    <cellStyle name="20% - Accent1 6 3 8" xfId="25909" xr:uid="{673B31FF-3094-40AF-9823-F08F01F4F32A}"/>
    <cellStyle name="20% - Accent1 6 3_Exh G" xfId="2023" xr:uid="{00000000-0005-0000-0000-00001C050000}"/>
    <cellStyle name="20% - Accent1 6 4" xfId="867" xr:uid="{00000000-0005-0000-0000-00001D050000}"/>
    <cellStyle name="20% - Accent1 6 4 2" xfId="1798" xr:uid="{00000000-0005-0000-0000-00001E050000}"/>
    <cellStyle name="20% - Accent1 6 4 2 2" xfId="5315" xr:uid="{00000000-0005-0000-0000-00001F050000}"/>
    <cellStyle name="20% - Accent1 6 4 2 2 2" xfId="8906" xr:uid="{00000000-0005-0000-0000-000020050000}"/>
    <cellStyle name="20% - Accent1 6 4 2 2 2 2" xfId="16876" xr:uid="{00000000-0005-0000-0000-000021050000}"/>
    <cellStyle name="20% - Accent1 6 4 2 2 2 2 2" xfId="40718" xr:uid="{C9F02C90-DD3A-43FB-9D3E-B889E6D234D4}"/>
    <cellStyle name="20% - Accent1 6 4 2 2 2 3" xfId="24822" xr:uid="{00000000-0005-0000-0000-000022050000}"/>
    <cellStyle name="20% - Accent1 6 4 2 2 2 3 2" xfId="48654" xr:uid="{974B600A-C743-49A8-BD8A-BA5C9A9BA51F}"/>
    <cellStyle name="20% - Accent1 6 4 2 2 2 4" xfId="32777" xr:uid="{FE60570C-2CD0-44D9-A45C-49C3AA91770F}"/>
    <cellStyle name="20% - Accent1 6 4 2 2 3" xfId="13338" xr:uid="{00000000-0005-0000-0000-000023050000}"/>
    <cellStyle name="20% - Accent1 6 4 2 2 3 2" xfId="37187" xr:uid="{FFC01E1B-EB33-4BF1-B64F-4D9CECAC671D}"/>
    <cellStyle name="20% - Accent1 6 4 2 2 4" xfId="21293" xr:uid="{00000000-0005-0000-0000-000024050000}"/>
    <cellStyle name="20% - Accent1 6 4 2 2 4 2" xfId="45125" xr:uid="{D615F874-674C-4C28-A765-E3D2FBA1050B}"/>
    <cellStyle name="20% - Accent1 6 4 2 2 5" xfId="29246" xr:uid="{943F36FF-7769-49E6-9508-0B1B176952D8}"/>
    <cellStyle name="20% - Accent1 6 4 2 3" xfId="7147" xr:uid="{00000000-0005-0000-0000-000025050000}"/>
    <cellStyle name="20% - Accent1 6 4 2 3 2" xfId="15118" xr:uid="{00000000-0005-0000-0000-000026050000}"/>
    <cellStyle name="20% - Accent1 6 4 2 3 2 2" xfId="38960" xr:uid="{8D1B8EF8-9B72-48D2-BF47-FB72AED7A93B}"/>
    <cellStyle name="20% - Accent1 6 4 2 3 3" xfId="23065" xr:uid="{00000000-0005-0000-0000-000027050000}"/>
    <cellStyle name="20% - Accent1 6 4 2 3 3 2" xfId="46897" xr:uid="{B5C0C674-E1FE-49AF-AB83-D15F36C8EB47}"/>
    <cellStyle name="20% - Accent1 6 4 2 3 4" xfId="31019" xr:uid="{681E79C7-6E31-43CB-9F69-5CB008BE7129}"/>
    <cellStyle name="20% - Accent1 6 4 2 4" xfId="11582" xr:uid="{00000000-0005-0000-0000-000028050000}"/>
    <cellStyle name="20% - Accent1 6 4 2 4 2" xfId="35431" xr:uid="{48FD0F83-9C2A-469F-A19B-0D5855CD5D9B}"/>
    <cellStyle name="20% - Accent1 6 4 2 5" xfId="19537" xr:uid="{00000000-0005-0000-0000-000029050000}"/>
    <cellStyle name="20% - Accent1 6 4 2 5 2" xfId="43369" xr:uid="{CFE1D558-8014-452D-A389-6A52D853B9E0}"/>
    <cellStyle name="20% - Accent1 6 4 2 6" xfId="27489" xr:uid="{20F061E6-082D-4CF0-8EF9-86680AD1487C}"/>
    <cellStyle name="20% - Accent1 6 4 2_Exh G" xfId="2026" xr:uid="{00000000-0005-0000-0000-00002A050000}"/>
    <cellStyle name="20% - Accent1 6 4 3" xfId="4436" xr:uid="{00000000-0005-0000-0000-00002B050000}"/>
    <cellStyle name="20% - Accent1 6 4 3 2" xfId="8028" xr:uid="{00000000-0005-0000-0000-00002C050000}"/>
    <cellStyle name="20% - Accent1 6 4 3 2 2" xfId="15998" xr:uid="{00000000-0005-0000-0000-00002D050000}"/>
    <cellStyle name="20% - Accent1 6 4 3 2 2 2" xfId="39840" xr:uid="{FF727CCB-6BFB-4F16-8425-4620C3155516}"/>
    <cellStyle name="20% - Accent1 6 4 3 2 3" xfId="23944" xr:uid="{00000000-0005-0000-0000-00002E050000}"/>
    <cellStyle name="20% - Accent1 6 4 3 2 3 2" xfId="47776" xr:uid="{27B9F405-A520-484C-B7BE-AF15A2677ED5}"/>
    <cellStyle name="20% - Accent1 6 4 3 2 4" xfId="31899" xr:uid="{0F864DA6-107C-420E-A8CD-C857EC561EB8}"/>
    <cellStyle name="20% - Accent1 6 4 3 3" xfId="12460" xr:uid="{00000000-0005-0000-0000-00002F050000}"/>
    <cellStyle name="20% - Accent1 6 4 3 3 2" xfId="36309" xr:uid="{8D4C52B2-A51A-43E4-A5A1-C0F296066E6A}"/>
    <cellStyle name="20% - Accent1 6 4 3 4" xfId="20415" xr:uid="{00000000-0005-0000-0000-000030050000}"/>
    <cellStyle name="20% - Accent1 6 4 3 4 2" xfId="44247" xr:uid="{AA33B711-E4BC-46FE-B741-F7FF476AB602}"/>
    <cellStyle name="20% - Accent1 6 4 3 5" xfId="28368" xr:uid="{651EE5F2-786B-400F-B3F3-0D10AC8102EB}"/>
    <cellStyle name="20% - Accent1 6 4 4" xfId="6266" xr:uid="{00000000-0005-0000-0000-000031050000}"/>
    <cellStyle name="20% - Accent1 6 4 4 2" xfId="14240" xr:uid="{00000000-0005-0000-0000-000032050000}"/>
    <cellStyle name="20% - Accent1 6 4 4 2 2" xfId="38082" xr:uid="{60072F02-C11D-4CD6-BB63-30AB6FBF3E10}"/>
    <cellStyle name="20% - Accent1 6 4 4 3" xfId="22187" xr:uid="{00000000-0005-0000-0000-000033050000}"/>
    <cellStyle name="20% - Accent1 6 4 4 3 2" xfId="46019" xr:uid="{B60C8615-20CD-4D9C-A3CF-C2D98014CB67}"/>
    <cellStyle name="20% - Accent1 6 4 4 4" xfId="30141" xr:uid="{B9F32D4D-D63D-4B64-B14E-DBC9C2934830}"/>
    <cellStyle name="20% - Accent1 6 4 5" xfId="9808" xr:uid="{00000000-0005-0000-0000-000034050000}"/>
    <cellStyle name="20% - Accent1 6 4 5 2" xfId="17766" xr:uid="{00000000-0005-0000-0000-000035050000}"/>
    <cellStyle name="20% - Accent1 6 4 5 2 2" xfId="41606" xr:uid="{D405D149-B08B-442D-B4A1-0D83024540AB}"/>
    <cellStyle name="20% - Accent1 6 4 5 3" xfId="25710" xr:uid="{00000000-0005-0000-0000-000036050000}"/>
    <cellStyle name="20% - Accent1 6 4 5 3 2" xfId="49542" xr:uid="{11AB410C-11DD-45BC-BE8A-2C64B1BC110D}"/>
    <cellStyle name="20% - Accent1 6 4 5 4" xfId="33665" xr:uid="{180D1618-46F4-43E9-87F6-2717AC411B21}"/>
    <cellStyle name="20% - Accent1 6 4 6" xfId="10704" xr:uid="{00000000-0005-0000-0000-000037050000}"/>
    <cellStyle name="20% - Accent1 6 4 6 2" xfId="34553" xr:uid="{64949127-F8A1-4E7C-A9E6-0D3B7693A34F}"/>
    <cellStyle name="20% - Accent1 6 4 7" xfId="18659" xr:uid="{00000000-0005-0000-0000-000038050000}"/>
    <cellStyle name="20% - Accent1 6 4 7 2" xfId="42491" xr:uid="{DC1AEDB9-31FE-4B56-B5E0-07D1D3B93D72}"/>
    <cellStyle name="20% - Accent1 6 4 8" xfId="26611" xr:uid="{96A451DF-8406-4FE1-82AB-137C041BA632}"/>
    <cellStyle name="20% - Accent1 6 4_Exh G" xfId="2025" xr:uid="{00000000-0005-0000-0000-000039050000}"/>
    <cellStyle name="20% - Accent1 6 5" xfId="1083" xr:uid="{00000000-0005-0000-0000-00003A050000}"/>
    <cellStyle name="20% - Accent1 6 5 2" xfId="4610" xr:uid="{00000000-0005-0000-0000-00003B050000}"/>
    <cellStyle name="20% - Accent1 6 5 2 2" xfId="8201" xr:uid="{00000000-0005-0000-0000-00003C050000}"/>
    <cellStyle name="20% - Accent1 6 5 2 2 2" xfId="16171" xr:uid="{00000000-0005-0000-0000-00003D050000}"/>
    <cellStyle name="20% - Accent1 6 5 2 2 2 2" xfId="40013" xr:uid="{60B7BF0A-C5DF-4C8C-A7D7-4CCA8886F5F0}"/>
    <cellStyle name="20% - Accent1 6 5 2 2 3" xfId="24117" xr:uid="{00000000-0005-0000-0000-00003E050000}"/>
    <cellStyle name="20% - Accent1 6 5 2 2 3 2" xfId="47949" xr:uid="{01D4C5AC-EA8E-491D-A111-72A989855C05}"/>
    <cellStyle name="20% - Accent1 6 5 2 2 4" xfId="32072" xr:uid="{F70E0A4F-27A6-439C-BA97-5391B0BA1933}"/>
    <cellStyle name="20% - Accent1 6 5 2 3" xfId="12633" xr:uid="{00000000-0005-0000-0000-00003F050000}"/>
    <cellStyle name="20% - Accent1 6 5 2 3 2" xfId="36482" xr:uid="{26FA8079-E882-40ED-A900-CAF2476DCC07}"/>
    <cellStyle name="20% - Accent1 6 5 2 4" xfId="20588" xr:uid="{00000000-0005-0000-0000-000040050000}"/>
    <cellStyle name="20% - Accent1 6 5 2 4 2" xfId="44420" xr:uid="{44BB7740-B6ED-4561-A56A-2E3F2C89BD3D}"/>
    <cellStyle name="20% - Accent1 6 5 2 5" xfId="28541" xr:uid="{5002FBAA-6704-4190-B6BE-832B9DFB53FB}"/>
    <cellStyle name="20% - Accent1 6 5 3" xfId="6442" xr:uid="{00000000-0005-0000-0000-000041050000}"/>
    <cellStyle name="20% - Accent1 6 5 3 2" xfId="14413" xr:uid="{00000000-0005-0000-0000-000042050000}"/>
    <cellStyle name="20% - Accent1 6 5 3 2 2" xfId="38255" xr:uid="{15F138D1-331D-411C-B9E8-45ED31D4D029}"/>
    <cellStyle name="20% - Accent1 6 5 3 3" xfId="22360" xr:uid="{00000000-0005-0000-0000-000043050000}"/>
    <cellStyle name="20% - Accent1 6 5 3 3 2" xfId="46192" xr:uid="{EF6E85AA-29A6-4395-A0C7-805000573696}"/>
    <cellStyle name="20% - Accent1 6 5 3 4" xfId="30314" xr:uid="{0A2555EB-3D17-4B6B-84DD-2E594C271919}"/>
    <cellStyle name="20% - Accent1 6 5 4" xfId="10877" xr:uid="{00000000-0005-0000-0000-000044050000}"/>
    <cellStyle name="20% - Accent1 6 5 4 2" xfId="34726" xr:uid="{67E5A86C-B02A-4FEB-99D0-5488E622460E}"/>
    <cellStyle name="20% - Accent1 6 5 5" xfId="18832" xr:uid="{00000000-0005-0000-0000-000045050000}"/>
    <cellStyle name="20% - Accent1 6 5 5 2" xfId="42664" xr:uid="{28CCBA72-0D39-435D-B3D7-8317E21C67EB}"/>
    <cellStyle name="20% - Accent1 6 5 6" xfId="26784" xr:uid="{35FBC418-337D-45BC-9ADF-402E6B7AB7F5}"/>
    <cellStyle name="20% - Accent1 6 5_Exh G" xfId="2027" xr:uid="{00000000-0005-0000-0000-000046050000}"/>
    <cellStyle name="20% - Accent1 6 6" xfId="3731" xr:uid="{00000000-0005-0000-0000-000047050000}"/>
    <cellStyle name="20% - Accent1 6 6 2" xfId="7323" xr:uid="{00000000-0005-0000-0000-000048050000}"/>
    <cellStyle name="20% - Accent1 6 6 2 2" xfId="15293" xr:uid="{00000000-0005-0000-0000-000049050000}"/>
    <cellStyle name="20% - Accent1 6 6 2 2 2" xfId="39135" xr:uid="{1837D8EF-87E1-4CBD-8C8E-E2B81DF678FF}"/>
    <cellStyle name="20% - Accent1 6 6 2 3" xfId="23239" xr:uid="{00000000-0005-0000-0000-00004A050000}"/>
    <cellStyle name="20% - Accent1 6 6 2 3 2" xfId="47071" xr:uid="{A24C30E7-3C9D-4EF1-8B68-954F87A8468D}"/>
    <cellStyle name="20% - Accent1 6 6 2 4" xfId="31194" xr:uid="{9D0307E9-23EA-4357-B6D6-C8253D75862F}"/>
    <cellStyle name="20% - Accent1 6 6 3" xfId="11755" xr:uid="{00000000-0005-0000-0000-00004B050000}"/>
    <cellStyle name="20% - Accent1 6 6 3 2" xfId="35604" xr:uid="{BD3E1FBE-E4E6-4B8A-85D4-8E2042870751}"/>
    <cellStyle name="20% - Accent1 6 6 4" xfId="19710" xr:uid="{00000000-0005-0000-0000-00004C050000}"/>
    <cellStyle name="20% - Accent1 6 6 4 2" xfId="43542" xr:uid="{D964ABB5-8736-499B-9738-4AC032634A8D}"/>
    <cellStyle name="20% - Accent1 6 6 5" xfId="27663" xr:uid="{7C4680C7-DFE4-47D2-A1B9-79F57358265D}"/>
    <cellStyle name="20% - Accent1 6 7" xfId="5551" xr:uid="{00000000-0005-0000-0000-00004D050000}"/>
    <cellStyle name="20% - Accent1 6 7 2" xfId="13534" xr:uid="{00000000-0005-0000-0000-00004E050000}"/>
    <cellStyle name="20% - Accent1 6 7 2 2" xfId="37377" xr:uid="{DBB53BEF-8D7E-450C-A12A-963AB78FC41F}"/>
    <cellStyle name="20% - Accent1 6 7 3" xfId="21482" xr:uid="{00000000-0005-0000-0000-00004F050000}"/>
    <cellStyle name="20% - Accent1 6 7 3 2" xfId="45314" xr:uid="{2203B1EC-F84B-401E-922D-5B46168BEEB1}"/>
    <cellStyle name="20% - Accent1 6 7 4" xfId="29436" xr:uid="{55342719-6510-41D5-A650-2337AEA00E58}"/>
    <cellStyle name="20% - Accent1 6 8" xfId="9103" xr:uid="{00000000-0005-0000-0000-000050050000}"/>
    <cellStyle name="20% - Accent1 6 8 2" xfId="17061" xr:uid="{00000000-0005-0000-0000-000051050000}"/>
    <cellStyle name="20% - Accent1 6 8 2 2" xfId="40901" xr:uid="{5CB91D21-885B-473B-99B6-27549E6C29C4}"/>
    <cellStyle name="20% - Accent1 6 8 3" xfId="25005" xr:uid="{00000000-0005-0000-0000-000052050000}"/>
    <cellStyle name="20% - Accent1 6 8 3 2" xfId="48837" xr:uid="{193CAD32-A5A1-4BEE-873E-DFCEC7D8D29D}"/>
    <cellStyle name="20% - Accent1 6 8 4" xfId="32960" xr:uid="{453D3794-DA61-4021-A2E0-B511A11B7CCB}"/>
    <cellStyle name="20% - Accent1 6 9" xfId="9999" xr:uid="{00000000-0005-0000-0000-000053050000}"/>
    <cellStyle name="20% - Accent1 6 9 2" xfId="33848" xr:uid="{DE339D2F-444F-4BEC-9D28-A467A33A89C9}"/>
    <cellStyle name="20% - Accent1 6_Exh G" xfId="2018" xr:uid="{00000000-0005-0000-0000-000054050000}"/>
    <cellStyle name="20% - Accent1 7" xfId="61" xr:uid="{00000000-0005-0000-0000-000055050000}"/>
    <cellStyle name="20% - Accent1 7 10" xfId="17958" xr:uid="{00000000-0005-0000-0000-000056050000}"/>
    <cellStyle name="20% - Accent1 7 10 2" xfId="41790" xr:uid="{3DAF4ECD-00B4-4C79-9929-6BD1071E2642}"/>
    <cellStyle name="20% - Accent1 7 11" xfId="25910" xr:uid="{B04A4F37-4E49-4E2D-AEB4-E8B68B44F479}"/>
    <cellStyle name="20% - Accent1 7 2" xfId="62" xr:uid="{00000000-0005-0000-0000-000057050000}"/>
    <cellStyle name="20% - Accent1 7 2 2" xfId="63" xr:uid="{00000000-0005-0000-0000-000058050000}"/>
    <cellStyle name="20% - Accent1 7 2 2 2" xfId="1089" xr:uid="{00000000-0005-0000-0000-000059050000}"/>
    <cellStyle name="20% - Accent1 7 2 2 2 2" xfId="4616" xr:uid="{00000000-0005-0000-0000-00005A050000}"/>
    <cellStyle name="20% - Accent1 7 2 2 2 2 2" xfId="8207" xr:uid="{00000000-0005-0000-0000-00005B050000}"/>
    <cellStyle name="20% - Accent1 7 2 2 2 2 2 2" xfId="16177" xr:uid="{00000000-0005-0000-0000-00005C050000}"/>
    <cellStyle name="20% - Accent1 7 2 2 2 2 2 2 2" xfId="40019" xr:uid="{235B89B8-AD64-43B5-8586-358A07CBB5AF}"/>
    <cellStyle name="20% - Accent1 7 2 2 2 2 2 3" xfId="24123" xr:uid="{00000000-0005-0000-0000-00005D050000}"/>
    <cellStyle name="20% - Accent1 7 2 2 2 2 2 3 2" xfId="47955" xr:uid="{83850D41-9017-4729-AD78-A552E6E948B4}"/>
    <cellStyle name="20% - Accent1 7 2 2 2 2 2 4" xfId="32078" xr:uid="{330F38C9-55B9-485A-B204-01AE6C4E4650}"/>
    <cellStyle name="20% - Accent1 7 2 2 2 2 3" xfId="12639" xr:uid="{00000000-0005-0000-0000-00005E050000}"/>
    <cellStyle name="20% - Accent1 7 2 2 2 2 3 2" xfId="36488" xr:uid="{E27974EA-08CB-4169-A225-559FCED9465E}"/>
    <cellStyle name="20% - Accent1 7 2 2 2 2 4" xfId="20594" xr:uid="{00000000-0005-0000-0000-00005F050000}"/>
    <cellStyle name="20% - Accent1 7 2 2 2 2 4 2" xfId="44426" xr:uid="{79037BA4-494C-4FB0-B047-A0D69ADD76CB}"/>
    <cellStyle name="20% - Accent1 7 2 2 2 2 5" xfId="28547" xr:uid="{BA8C5F31-9824-47E4-A46B-CC748D1F4085}"/>
    <cellStyle name="20% - Accent1 7 2 2 2 3" xfId="6448" xr:uid="{00000000-0005-0000-0000-000060050000}"/>
    <cellStyle name="20% - Accent1 7 2 2 2 3 2" xfId="14419" xr:uid="{00000000-0005-0000-0000-000061050000}"/>
    <cellStyle name="20% - Accent1 7 2 2 2 3 2 2" xfId="38261" xr:uid="{48C8820A-AF2E-441C-B892-A9BBC7B34586}"/>
    <cellStyle name="20% - Accent1 7 2 2 2 3 3" xfId="22366" xr:uid="{00000000-0005-0000-0000-000062050000}"/>
    <cellStyle name="20% - Accent1 7 2 2 2 3 3 2" xfId="46198" xr:uid="{A22DF508-728C-4856-BE1A-3CB54CBE82BB}"/>
    <cellStyle name="20% - Accent1 7 2 2 2 3 4" xfId="30320" xr:uid="{32F84566-D02A-4650-969F-583A17D4ED4A}"/>
    <cellStyle name="20% - Accent1 7 2 2 2 4" xfId="10883" xr:uid="{00000000-0005-0000-0000-000063050000}"/>
    <cellStyle name="20% - Accent1 7 2 2 2 4 2" xfId="34732" xr:uid="{2B987909-7D37-4F31-B8E5-A616CBC38605}"/>
    <cellStyle name="20% - Accent1 7 2 2 2 5" xfId="18838" xr:uid="{00000000-0005-0000-0000-000064050000}"/>
    <cellStyle name="20% - Accent1 7 2 2 2 5 2" xfId="42670" xr:uid="{AE2808F2-B135-4A93-93FC-8309588C2A43}"/>
    <cellStyle name="20% - Accent1 7 2 2 2 6" xfId="26790" xr:uid="{2CE6B1FC-DB37-4B01-BAA7-6A8C6714AA38}"/>
    <cellStyle name="20% - Accent1 7 2 2 2_Exh G" xfId="2031" xr:uid="{00000000-0005-0000-0000-000065050000}"/>
    <cellStyle name="20% - Accent1 7 2 2 3" xfId="3737" xr:uid="{00000000-0005-0000-0000-000066050000}"/>
    <cellStyle name="20% - Accent1 7 2 2 3 2" xfId="7329" xr:uid="{00000000-0005-0000-0000-000067050000}"/>
    <cellStyle name="20% - Accent1 7 2 2 3 2 2" xfId="15299" xr:uid="{00000000-0005-0000-0000-000068050000}"/>
    <cellStyle name="20% - Accent1 7 2 2 3 2 2 2" xfId="39141" xr:uid="{B3A165DF-8F3A-4D89-9559-9FB1E29022D9}"/>
    <cellStyle name="20% - Accent1 7 2 2 3 2 3" xfId="23245" xr:uid="{00000000-0005-0000-0000-000069050000}"/>
    <cellStyle name="20% - Accent1 7 2 2 3 2 3 2" xfId="47077" xr:uid="{FED8F07E-935E-426C-B9C5-73C26FF6670D}"/>
    <cellStyle name="20% - Accent1 7 2 2 3 2 4" xfId="31200" xr:uid="{B3838AC9-A274-427C-A41E-026C73AFC73D}"/>
    <cellStyle name="20% - Accent1 7 2 2 3 3" xfId="11761" xr:uid="{00000000-0005-0000-0000-00006A050000}"/>
    <cellStyle name="20% - Accent1 7 2 2 3 3 2" xfId="35610" xr:uid="{0D93EAA9-EF10-410F-A6C7-946DE7A96F50}"/>
    <cellStyle name="20% - Accent1 7 2 2 3 4" xfId="19716" xr:uid="{00000000-0005-0000-0000-00006B050000}"/>
    <cellStyle name="20% - Accent1 7 2 2 3 4 2" xfId="43548" xr:uid="{966958FC-2F30-4883-B560-7C9DB7E86B76}"/>
    <cellStyle name="20% - Accent1 7 2 2 3 5" xfId="27669" xr:uid="{3F79D44F-E33A-4DF8-B84A-376F02F458B0}"/>
    <cellStyle name="20% - Accent1 7 2 2 4" xfId="5557" xr:uid="{00000000-0005-0000-0000-00006C050000}"/>
    <cellStyle name="20% - Accent1 7 2 2 4 2" xfId="13540" xr:uid="{00000000-0005-0000-0000-00006D050000}"/>
    <cellStyle name="20% - Accent1 7 2 2 4 2 2" xfId="37383" xr:uid="{40DDD2CE-B67F-41D2-B35D-872C81DEFA43}"/>
    <cellStyle name="20% - Accent1 7 2 2 4 3" xfId="21488" xr:uid="{00000000-0005-0000-0000-00006E050000}"/>
    <cellStyle name="20% - Accent1 7 2 2 4 3 2" xfId="45320" xr:uid="{4100C6CF-8066-4FFA-8403-6B2821EB5A72}"/>
    <cellStyle name="20% - Accent1 7 2 2 4 4" xfId="29442" xr:uid="{418B7269-4687-444D-9DE8-DB8A4DCE0CB7}"/>
    <cellStyle name="20% - Accent1 7 2 2 5" xfId="9109" xr:uid="{00000000-0005-0000-0000-00006F050000}"/>
    <cellStyle name="20% - Accent1 7 2 2 5 2" xfId="17067" xr:uid="{00000000-0005-0000-0000-000070050000}"/>
    <cellStyle name="20% - Accent1 7 2 2 5 2 2" xfId="40907" xr:uid="{3CEF470C-2CB0-4C23-A000-50CB58CF4034}"/>
    <cellStyle name="20% - Accent1 7 2 2 5 3" xfId="25011" xr:uid="{00000000-0005-0000-0000-000071050000}"/>
    <cellStyle name="20% - Accent1 7 2 2 5 3 2" xfId="48843" xr:uid="{68E8F644-201D-465D-B21E-91A622A45C04}"/>
    <cellStyle name="20% - Accent1 7 2 2 5 4" xfId="32966" xr:uid="{1F64FB03-8252-4726-8D21-E0F8206429C3}"/>
    <cellStyle name="20% - Accent1 7 2 2 6" xfId="10005" xr:uid="{00000000-0005-0000-0000-000072050000}"/>
    <cellStyle name="20% - Accent1 7 2 2 6 2" xfId="33854" xr:uid="{2B79F55C-ADDC-4DF6-9A89-E93A21B52E78}"/>
    <cellStyle name="20% - Accent1 7 2 2 7" xfId="17960" xr:uid="{00000000-0005-0000-0000-000073050000}"/>
    <cellStyle name="20% - Accent1 7 2 2 7 2" xfId="41792" xr:uid="{49D79A73-C9F2-4217-8825-E86A52B5E2B9}"/>
    <cellStyle name="20% - Accent1 7 2 2 8" xfId="25912" xr:uid="{0627E2E6-B6BA-44DB-99F5-2F892AE103E2}"/>
    <cellStyle name="20% - Accent1 7 2 2_Exh G" xfId="2030" xr:uid="{00000000-0005-0000-0000-000074050000}"/>
    <cellStyle name="20% - Accent1 7 2 3" xfId="1088" xr:uid="{00000000-0005-0000-0000-000075050000}"/>
    <cellStyle name="20% - Accent1 7 2 3 2" xfId="4615" xr:uid="{00000000-0005-0000-0000-000076050000}"/>
    <cellStyle name="20% - Accent1 7 2 3 2 2" xfId="8206" xr:uid="{00000000-0005-0000-0000-000077050000}"/>
    <cellStyle name="20% - Accent1 7 2 3 2 2 2" xfId="16176" xr:uid="{00000000-0005-0000-0000-000078050000}"/>
    <cellStyle name="20% - Accent1 7 2 3 2 2 2 2" xfId="40018" xr:uid="{70208DD3-182D-4E07-9BA3-28CC3B0C22E6}"/>
    <cellStyle name="20% - Accent1 7 2 3 2 2 3" xfId="24122" xr:uid="{00000000-0005-0000-0000-000079050000}"/>
    <cellStyle name="20% - Accent1 7 2 3 2 2 3 2" xfId="47954" xr:uid="{F013BC0F-7647-4D5D-8668-DEE95364E5EF}"/>
    <cellStyle name="20% - Accent1 7 2 3 2 2 4" xfId="32077" xr:uid="{496E5154-A30F-4037-808A-CE3FA1DD9E23}"/>
    <cellStyle name="20% - Accent1 7 2 3 2 3" xfId="12638" xr:uid="{00000000-0005-0000-0000-00007A050000}"/>
    <cellStyle name="20% - Accent1 7 2 3 2 3 2" xfId="36487" xr:uid="{E1151261-BEB0-44B6-A35F-17D5241C4CDB}"/>
    <cellStyle name="20% - Accent1 7 2 3 2 4" xfId="20593" xr:uid="{00000000-0005-0000-0000-00007B050000}"/>
    <cellStyle name="20% - Accent1 7 2 3 2 4 2" xfId="44425" xr:uid="{F7611A65-FAA5-45B2-B13C-84148A31A67E}"/>
    <cellStyle name="20% - Accent1 7 2 3 2 5" xfId="28546" xr:uid="{88ADEF5E-3809-4A72-98F5-98D38A98B2B6}"/>
    <cellStyle name="20% - Accent1 7 2 3 3" xfId="6447" xr:uid="{00000000-0005-0000-0000-00007C050000}"/>
    <cellStyle name="20% - Accent1 7 2 3 3 2" xfId="14418" xr:uid="{00000000-0005-0000-0000-00007D050000}"/>
    <cellStyle name="20% - Accent1 7 2 3 3 2 2" xfId="38260" xr:uid="{B48DB7C3-C01A-4E69-9FDE-786BA8020950}"/>
    <cellStyle name="20% - Accent1 7 2 3 3 3" xfId="22365" xr:uid="{00000000-0005-0000-0000-00007E050000}"/>
    <cellStyle name="20% - Accent1 7 2 3 3 3 2" xfId="46197" xr:uid="{096B44EA-F132-47CF-BF0B-B031542FF3AB}"/>
    <cellStyle name="20% - Accent1 7 2 3 3 4" xfId="30319" xr:uid="{1A13C17B-FEAC-4B9D-9230-EC96C220B9AC}"/>
    <cellStyle name="20% - Accent1 7 2 3 4" xfId="10882" xr:uid="{00000000-0005-0000-0000-00007F050000}"/>
    <cellStyle name="20% - Accent1 7 2 3 4 2" xfId="34731" xr:uid="{A7B3E1EE-8AFD-465F-8A18-E08C89434DD0}"/>
    <cellStyle name="20% - Accent1 7 2 3 5" xfId="18837" xr:uid="{00000000-0005-0000-0000-000080050000}"/>
    <cellStyle name="20% - Accent1 7 2 3 5 2" xfId="42669" xr:uid="{23C074E5-C78C-42E1-A353-1600AE209E82}"/>
    <cellStyle name="20% - Accent1 7 2 3 6" xfId="26789" xr:uid="{0A3CDDF3-8CDD-4EC6-8EE5-96D4501BBFFA}"/>
    <cellStyle name="20% - Accent1 7 2 3_Exh G" xfId="2032" xr:uid="{00000000-0005-0000-0000-000081050000}"/>
    <cellStyle name="20% - Accent1 7 2 4" xfId="3736" xr:uid="{00000000-0005-0000-0000-000082050000}"/>
    <cellStyle name="20% - Accent1 7 2 4 2" xfId="7328" xr:uid="{00000000-0005-0000-0000-000083050000}"/>
    <cellStyle name="20% - Accent1 7 2 4 2 2" xfId="15298" xr:uid="{00000000-0005-0000-0000-000084050000}"/>
    <cellStyle name="20% - Accent1 7 2 4 2 2 2" xfId="39140" xr:uid="{3C5D9053-8CE3-4DF7-BA61-9DDB84A747CB}"/>
    <cellStyle name="20% - Accent1 7 2 4 2 3" xfId="23244" xr:uid="{00000000-0005-0000-0000-000085050000}"/>
    <cellStyle name="20% - Accent1 7 2 4 2 3 2" xfId="47076" xr:uid="{50DAB1FC-E943-4D5A-8F95-A957FC690BFA}"/>
    <cellStyle name="20% - Accent1 7 2 4 2 4" xfId="31199" xr:uid="{7D1FC7F9-FD83-44F2-9003-1FF2C86BBE27}"/>
    <cellStyle name="20% - Accent1 7 2 4 3" xfId="11760" xr:uid="{00000000-0005-0000-0000-000086050000}"/>
    <cellStyle name="20% - Accent1 7 2 4 3 2" xfId="35609" xr:uid="{7C08C354-1C45-4603-BA0B-5AE126CD5466}"/>
    <cellStyle name="20% - Accent1 7 2 4 4" xfId="19715" xr:uid="{00000000-0005-0000-0000-000087050000}"/>
    <cellStyle name="20% - Accent1 7 2 4 4 2" xfId="43547" xr:uid="{1C24B0E1-177B-47DC-B42B-D152E177AE71}"/>
    <cellStyle name="20% - Accent1 7 2 4 5" xfId="27668" xr:uid="{AB82D1B2-4FFC-40D1-9503-255FFFF28471}"/>
    <cellStyle name="20% - Accent1 7 2 5" xfId="5556" xr:uid="{00000000-0005-0000-0000-000088050000}"/>
    <cellStyle name="20% - Accent1 7 2 5 2" xfId="13539" xr:uid="{00000000-0005-0000-0000-000089050000}"/>
    <cellStyle name="20% - Accent1 7 2 5 2 2" xfId="37382" xr:uid="{929244F7-E500-44B9-8772-184830AD1AE2}"/>
    <cellStyle name="20% - Accent1 7 2 5 3" xfId="21487" xr:uid="{00000000-0005-0000-0000-00008A050000}"/>
    <cellStyle name="20% - Accent1 7 2 5 3 2" xfId="45319" xr:uid="{59E85C0A-C6B5-4F07-B6B1-DE4CB2CD5BA5}"/>
    <cellStyle name="20% - Accent1 7 2 5 4" xfId="29441" xr:uid="{9FA112D4-99EA-486D-83AA-4A1046A7C855}"/>
    <cellStyle name="20% - Accent1 7 2 6" xfId="9108" xr:uid="{00000000-0005-0000-0000-00008B050000}"/>
    <cellStyle name="20% - Accent1 7 2 6 2" xfId="17066" xr:uid="{00000000-0005-0000-0000-00008C050000}"/>
    <cellStyle name="20% - Accent1 7 2 6 2 2" xfId="40906" xr:uid="{E8A9917F-BEC9-4700-B597-9CECD6842300}"/>
    <cellStyle name="20% - Accent1 7 2 6 3" xfId="25010" xr:uid="{00000000-0005-0000-0000-00008D050000}"/>
    <cellStyle name="20% - Accent1 7 2 6 3 2" xfId="48842" xr:uid="{BCDC63D0-3BAE-4651-8B99-59156A0FDC0C}"/>
    <cellStyle name="20% - Accent1 7 2 6 4" xfId="32965" xr:uid="{184DAFC1-AA58-4B4A-8B83-CC82521DF32E}"/>
    <cellStyle name="20% - Accent1 7 2 7" xfId="10004" xr:uid="{00000000-0005-0000-0000-00008E050000}"/>
    <cellStyle name="20% - Accent1 7 2 7 2" xfId="33853" xr:uid="{318F9FD9-CF5D-4D8D-BAAE-803984F9CB3B}"/>
    <cellStyle name="20% - Accent1 7 2 8" xfId="17959" xr:uid="{00000000-0005-0000-0000-00008F050000}"/>
    <cellStyle name="20% - Accent1 7 2 8 2" xfId="41791" xr:uid="{B9554AA9-45E0-46F8-83F2-CD37EBC30D95}"/>
    <cellStyle name="20% - Accent1 7 2 9" xfId="25911" xr:uid="{2FE0E174-15B5-4655-8E2B-B0B89141EC1E}"/>
    <cellStyle name="20% - Accent1 7 2_Exh G" xfId="2029" xr:uid="{00000000-0005-0000-0000-000090050000}"/>
    <cellStyle name="20% - Accent1 7 3" xfId="64" xr:uid="{00000000-0005-0000-0000-000091050000}"/>
    <cellStyle name="20% - Accent1 7 3 2" xfId="1090" xr:uid="{00000000-0005-0000-0000-000092050000}"/>
    <cellStyle name="20% - Accent1 7 3 2 2" xfId="4617" xr:uid="{00000000-0005-0000-0000-000093050000}"/>
    <cellStyle name="20% - Accent1 7 3 2 2 2" xfId="8208" xr:uid="{00000000-0005-0000-0000-000094050000}"/>
    <cellStyle name="20% - Accent1 7 3 2 2 2 2" xfId="16178" xr:uid="{00000000-0005-0000-0000-000095050000}"/>
    <cellStyle name="20% - Accent1 7 3 2 2 2 2 2" xfId="40020" xr:uid="{5035B860-B7FA-41D9-A464-C79D88171255}"/>
    <cellStyle name="20% - Accent1 7 3 2 2 2 3" xfId="24124" xr:uid="{00000000-0005-0000-0000-000096050000}"/>
    <cellStyle name="20% - Accent1 7 3 2 2 2 3 2" xfId="47956" xr:uid="{50F87558-E1A8-43D3-A937-5539885ECC17}"/>
    <cellStyle name="20% - Accent1 7 3 2 2 2 4" xfId="32079" xr:uid="{90E89667-DD1E-47D8-AAA5-72C34B08B0B8}"/>
    <cellStyle name="20% - Accent1 7 3 2 2 3" xfId="12640" xr:uid="{00000000-0005-0000-0000-000097050000}"/>
    <cellStyle name="20% - Accent1 7 3 2 2 3 2" xfId="36489" xr:uid="{FB4BDBD9-C0A7-447A-AB56-A0BB57F9EC82}"/>
    <cellStyle name="20% - Accent1 7 3 2 2 4" xfId="20595" xr:uid="{00000000-0005-0000-0000-000098050000}"/>
    <cellStyle name="20% - Accent1 7 3 2 2 4 2" xfId="44427" xr:uid="{88CA0F0D-7934-4FDF-870E-136DBEC05A94}"/>
    <cellStyle name="20% - Accent1 7 3 2 2 5" xfId="28548" xr:uid="{4138F003-643D-4BEF-97C3-109240159DEA}"/>
    <cellStyle name="20% - Accent1 7 3 2 3" xfId="6449" xr:uid="{00000000-0005-0000-0000-000099050000}"/>
    <cellStyle name="20% - Accent1 7 3 2 3 2" xfId="14420" xr:uid="{00000000-0005-0000-0000-00009A050000}"/>
    <cellStyle name="20% - Accent1 7 3 2 3 2 2" xfId="38262" xr:uid="{746B4850-A6A9-4EC8-B5AE-1235BC554472}"/>
    <cellStyle name="20% - Accent1 7 3 2 3 3" xfId="22367" xr:uid="{00000000-0005-0000-0000-00009B050000}"/>
    <cellStyle name="20% - Accent1 7 3 2 3 3 2" xfId="46199" xr:uid="{0D8F87E3-173F-448C-BC20-122244137B24}"/>
    <cellStyle name="20% - Accent1 7 3 2 3 4" xfId="30321" xr:uid="{502AC651-1E1D-4BE4-8F3A-B83FDD3355A4}"/>
    <cellStyle name="20% - Accent1 7 3 2 4" xfId="10884" xr:uid="{00000000-0005-0000-0000-00009C050000}"/>
    <cellStyle name="20% - Accent1 7 3 2 4 2" xfId="34733" xr:uid="{8FC42DBA-DB7E-4C1A-8E0B-A0581FD022D1}"/>
    <cellStyle name="20% - Accent1 7 3 2 5" xfId="18839" xr:uid="{00000000-0005-0000-0000-00009D050000}"/>
    <cellStyle name="20% - Accent1 7 3 2 5 2" xfId="42671" xr:uid="{D74136A3-40B7-4EF3-9807-EF2D3999C427}"/>
    <cellStyle name="20% - Accent1 7 3 2 6" xfId="26791" xr:uid="{3536AB26-4ED7-4601-8A2A-23E6E0B77A90}"/>
    <cellStyle name="20% - Accent1 7 3 2_Exh G" xfId="2034" xr:uid="{00000000-0005-0000-0000-00009E050000}"/>
    <cellStyle name="20% - Accent1 7 3 3" xfId="3738" xr:uid="{00000000-0005-0000-0000-00009F050000}"/>
    <cellStyle name="20% - Accent1 7 3 3 2" xfId="7330" xr:uid="{00000000-0005-0000-0000-0000A0050000}"/>
    <cellStyle name="20% - Accent1 7 3 3 2 2" xfId="15300" xr:uid="{00000000-0005-0000-0000-0000A1050000}"/>
    <cellStyle name="20% - Accent1 7 3 3 2 2 2" xfId="39142" xr:uid="{2FBB0673-3E1D-4D29-8AD2-E307FFD9CDDD}"/>
    <cellStyle name="20% - Accent1 7 3 3 2 3" xfId="23246" xr:uid="{00000000-0005-0000-0000-0000A2050000}"/>
    <cellStyle name="20% - Accent1 7 3 3 2 3 2" xfId="47078" xr:uid="{7524B194-9A43-4DB8-9F19-BAD76F6C3F0A}"/>
    <cellStyle name="20% - Accent1 7 3 3 2 4" xfId="31201" xr:uid="{DC39E6EA-761F-4462-B26B-C3B23843F17B}"/>
    <cellStyle name="20% - Accent1 7 3 3 3" xfId="11762" xr:uid="{00000000-0005-0000-0000-0000A3050000}"/>
    <cellStyle name="20% - Accent1 7 3 3 3 2" xfId="35611" xr:uid="{61DF6CF5-FD8C-4070-96D9-6D9453F45CED}"/>
    <cellStyle name="20% - Accent1 7 3 3 4" xfId="19717" xr:uid="{00000000-0005-0000-0000-0000A4050000}"/>
    <cellStyle name="20% - Accent1 7 3 3 4 2" xfId="43549" xr:uid="{6D9D7713-D642-4CF3-BB3A-76981CC524C0}"/>
    <cellStyle name="20% - Accent1 7 3 3 5" xfId="27670" xr:uid="{64B75575-AC99-463F-81C2-A1E5179B1AD3}"/>
    <cellStyle name="20% - Accent1 7 3 4" xfId="5558" xr:uid="{00000000-0005-0000-0000-0000A5050000}"/>
    <cellStyle name="20% - Accent1 7 3 4 2" xfId="13541" xr:uid="{00000000-0005-0000-0000-0000A6050000}"/>
    <cellStyle name="20% - Accent1 7 3 4 2 2" xfId="37384" xr:uid="{44CB2B9A-9CB0-459F-B1C3-07B36E07FC58}"/>
    <cellStyle name="20% - Accent1 7 3 4 3" xfId="21489" xr:uid="{00000000-0005-0000-0000-0000A7050000}"/>
    <cellStyle name="20% - Accent1 7 3 4 3 2" xfId="45321" xr:uid="{E90650A6-C6F7-41D4-AF92-A0557C4D45E6}"/>
    <cellStyle name="20% - Accent1 7 3 4 4" xfId="29443" xr:uid="{17EAA695-2991-4E4F-83A2-D36591994AE9}"/>
    <cellStyle name="20% - Accent1 7 3 5" xfId="9110" xr:uid="{00000000-0005-0000-0000-0000A8050000}"/>
    <cellStyle name="20% - Accent1 7 3 5 2" xfId="17068" xr:uid="{00000000-0005-0000-0000-0000A9050000}"/>
    <cellStyle name="20% - Accent1 7 3 5 2 2" xfId="40908" xr:uid="{5FF4242C-2702-49BF-9958-E86C9EA671EE}"/>
    <cellStyle name="20% - Accent1 7 3 5 3" xfId="25012" xr:uid="{00000000-0005-0000-0000-0000AA050000}"/>
    <cellStyle name="20% - Accent1 7 3 5 3 2" xfId="48844" xr:uid="{F85543E7-820A-4847-B936-A3D753CE7012}"/>
    <cellStyle name="20% - Accent1 7 3 5 4" xfId="32967" xr:uid="{D7A59A2C-6A31-4D70-86CF-3C7F6F6658A9}"/>
    <cellStyle name="20% - Accent1 7 3 6" xfId="10006" xr:uid="{00000000-0005-0000-0000-0000AB050000}"/>
    <cellStyle name="20% - Accent1 7 3 6 2" xfId="33855" xr:uid="{046B05AE-FB6A-400F-9BF4-E57D71EDD764}"/>
    <cellStyle name="20% - Accent1 7 3 7" xfId="17961" xr:uid="{00000000-0005-0000-0000-0000AC050000}"/>
    <cellStyle name="20% - Accent1 7 3 7 2" xfId="41793" xr:uid="{CDB77A6B-ACF0-44DD-ACD9-BB42B2F0D267}"/>
    <cellStyle name="20% - Accent1 7 3 8" xfId="25913" xr:uid="{24585076-58F3-4C39-B7B8-16B0387AE13E}"/>
    <cellStyle name="20% - Accent1 7 3_Exh G" xfId="2033" xr:uid="{00000000-0005-0000-0000-0000AD050000}"/>
    <cellStyle name="20% - Accent1 7 4" xfId="868" xr:uid="{00000000-0005-0000-0000-0000AE050000}"/>
    <cellStyle name="20% - Accent1 7 4 2" xfId="1799" xr:uid="{00000000-0005-0000-0000-0000AF050000}"/>
    <cellStyle name="20% - Accent1 7 4 2 2" xfId="5316" xr:uid="{00000000-0005-0000-0000-0000B0050000}"/>
    <cellStyle name="20% - Accent1 7 4 2 2 2" xfId="8907" xr:uid="{00000000-0005-0000-0000-0000B1050000}"/>
    <cellStyle name="20% - Accent1 7 4 2 2 2 2" xfId="16877" xr:uid="{00000000-0005-0000-0000-0000B2050000}"/>
    <cellStyle name="20% - Accent1 7 4 2 2 2 2 2" xfId="40719" xr:uid="{C3C87369-6ABC-472E-A2E8-C247CB4F0E94}"/>
    <cellStyle name="20% - Accent1 7 4 2 2 2 3" xfId="24823" xr:uid="{00000000-0005-0000-0000-0000B3050000}"/>
    <cellStyle name="20% - Accent1 7 4 2 2 2 3 2" xfId="48655" xr:uid="{200AC4EE-2DF7-4874-B987-6B60FB0BA46A}"/>
    <cellStyle name="20% - Accent1 7 4 2 2 2 4" xfId="32778" xr:uid="{70D050C6-AA0C-4E24-AA2E-E8711AE18481}"/>
    <cellStyle name="20% - Accent1 7 4 2 2 3" xfId="13339" xr:uid="{00000000-0005-0000-0000-0000B4050000}"/>
    <cellStyle name="20% - Accent1 7 4 2 2 3 2" xfId="37188" xr:uid="{D5A2EF55-89FD-4953-9F38-B2D406BF5F78}"/>
    <cellStyle name="20% - Accent1 7 4 2 2 4" xfId="21294" xr:uid="{00000000-0005-0000-0000-0000B5050000}"/>
    <cellStyle name="20% - Accent1 7 4 2 2 4 2" xfId="45126" xr:uid="{AB9571CE-DD70-4D9C-AD6E-BC16563B3182}"/>
    <cellStyle name="20% - Accent1 7 4 2 2 5" xfId="29247" xr:uid="{2C03D433-9EAC-414D-8718-8664779F1DDC}"/>
    <cellStyle name="20% - Accent1 7 4 2 3" xfId="7148" xr:uid="{00000000-0005-0000-0000-0000B6050000}"/>
    <cellStyle name="20% - Accent1 7 4 2 3 2" xfId="15119" xr:uid="{00000000-0005-0000-0000-0000B7050000}"/>
    <cellStyle name="20% - Accent1 7 4 2 3 2 2" xfId="38961" xr:uid="{B992A01B-DF40-4775-A229-4B8833B0A9D8}"/>
    <cellStyle name="20% - Accent1 7 4 2 3 3" xfId="23066" xr:uid="{00000000-0005-0000-0000-0000B8050000}"/>
    <cellStyle name="20% - Accent1 7 4 2 3 3 2" xfId="46898" xr:uid="{9CAA4A18-532E-4077-8768-BDB13905E78B}"/>
    <cellStyle name="20% - Accent1 7 4 2 3 4" xfId="31020" xr:uid="{18017CC2-0BAA-45BA-ABF9-CBDE4BFC0011}"/>
    <cellStyle name="20% - Accent1 7 4 2 4" xfId="11583" xr:uid="{00000000-0005-0000-0000-0000B9050000}"/>
    <cellStyle name="20% - Accent1 7 4 2 4 2" xfId="35432" xr:uid="{455B7AB2-D006-4A7E-9458-2C10FFD3EE29}"/>
    <cellStyle name="20% - Accent1 7 4 2 5" xfId="19538" xr:uid="{00000000-0005-0000-0000-0000BA050000}"/>
    <cellStyle name="20% - Accent1 7 4 2 5 2" xfId="43370" xr:uid="{4368DA8D-2805-4A0F-8F18-64BBEAFFE706}"/>
    <cellStyle name="20% - Accent1 7 4 2 6" xfId="27490" xr:uid="{D3E4A228-1879-4FAB-B44E-09A96AFEDB68}"/>
    <cellStyle name="20% - Accent1 7 4 2_Exh G" xfId="2036" xr:uid="{00000000-0005-0000-0000-0000BB050000}"/>
    <cellStyle name="20% - Accent1 7 4 3" xfId="4437" xr:uid="{00000000-0005-0000-0000-0000BC050000}"/>
    <cellStyle name="20% - Accent1 7 4 3 2" xfId="8029" xr:uid="{00000000-0005-0000-0000-0000BD050000}"/>
    <cellStyle name="20% - Accent1 7 4 3 2 2" xfId="15999" xr:uid="{00000000-0005-0000-0000-0000BE050000}"/>
    <cellStyle name="20% - Accent1 7 4 3 2 2 2" xfId="39841" xr:uid="{37C97DE4-EDC0-445B-9C4A-234C95E1D8FC}"/>
    <cellStyle name="20% - Accent1 7 4 3 2 3" xfId="23945" xr:uid="{00000000-0005-0000-0000-0000BF050000}"/>
    <cellStyle name="20% - Accent1 7 4 3 2 3 2" xfId="47777" xr:uid="{43817613-679F-4FA9-81CB-555B432DAC30}"/>
    <cellStyle name="20% - Accent1 7 4 3 2 4" xfId="31900" xr:uid="{2BA61701-A41D-44F6-AFB5-762B07B194A4}"/>
    <cellStyle name="20% - Accent1 7 4 3 3" xfId="12461" xr:uid="{00000000-0005-0000-0000-0000C0050000}"/>
    <cellStyle name="20% - Accent1 7 4 3 3 2" xfId="36310" xr:uid="{6300B145-BBA9-4A55-83F3-75C487F9E867}"/>
    <cellStyle name="20% - Accent1 7 4 3 4" xfId="20416" xr:uid="{00000000-0005-0000-0000-0000C1050000}"/>
    <cellStyle name="20% - Accent1 7 4 3 4 2" xfId="44248" xr:uid="{832D5CB2-EEC7-4645-8539-0B728672D529}"/>
    <cellStyle name="20% - Accent1 7 4 3 5" xfId="28369" xr:uid="{39142F21-B42B-423C-99E1-BECCDFE70B60}"/>
    <cellStyle name="20% - Accent1 7 4 4" xfId="6267" xr:uid="{00000000-0005-0000-0000-0000C2050000}"/>
    <cellStyle name="20% - Accent1 7 4 4 2" xfId="14241" xr:uid="{00000000-0005-0000-0000-0000C3050000}"/>
    <cellStyle name="20% - Accent1 7 4 4 2 2" xfId="38083" xr:uid="{2502BF44-8B90-48A0-83F8-85B7D1912546}"/>
    <cellStyle name="20% - Accent1 7 4 4 3" xfId="22188" xr:uid="{00000000-0005-0000-0000-0000C4050000}"/>
    <cellStyle name="20% - Accent1 7 4 4 3 2" xfId="46020" xr:uid="{B380364C-097E-4248-9D7C-D407469AD2C0}"/>
    <cellStyle name="20% - Accent1 7 4 4 4" xfId="30142" xr:uid="{7350A542-5AEA-4909-8B4C-47238274DC89}"/>
    <cellStyle name="20% - Accent1 7 4 5" xfId="9809" xr:uid="{00000000-0005-0000-0000-0000C5050000}"/>
    <cellStyle name="20% - Accent1 7 4 5 2" xfId="17767" xr:uid="{00000000-0005-0000-0000-0000C6050000}"/>
    <cellStyle name="20% - Accent1 7 4 5 2 2" xfId="41607" xr:uid="{386D5691-E5B3-4551-9E26-0E66F3EF7C36}"/>
    <cellStyle name="20% - Accent1 7 4 5 3" xfId="25711" xr:uid="{00000000-0005-0000-0000-0000C7050000}"/>
    <cellStyle name="20% - Accent1 7 4 5 3 2" xfId="49543" xr:uid="{D3A899A3-5361-407E-BF80-AAEAA4937031}"/>
    <cellStyle name="20% - Accent1 7 4 5 4" xfId="33666" xr:uid="{119E6E6F-DBE9-47D6-9A07-9E924E57ED08}"/>
    <cellStyle name="20% - Accent1 7 4 6" xfId="10705" xr:uid="{00000000-0005-0000-0000-0000C8050000}"/>
    <cellStyle name="20% - Accent1 7 4 6 2" xfId="34554" xr:uid="{2AD0CC5E-129D-4756-AB31-D7B9F623A7C1}"/>
    <cellStyle name="20% - Accent1 7 4 7" xfId="18660" xr:uid="{00000000-0005-0000-0000-0000C9050000}"/>
    <cellStyle name="20% - Accent1 7 4 7 2" xfId="42492" xr:uid="{62576700-7ED8-4CC7-8690-AA86C0774267}"/>
    <cellStyle name="20% - Accent1 7 4 8" xfId="26612" xr:uid="{08DBA767-AD08-4879-A00D-9E797AC71549}"/>
    <cellStyle name="20% - Accent1 7 4_Exh G" xfId="2035" xr:uid="{00000000-0005-0000-0000-0000CA050000}"/>
    <cellStyle name="20% - Accent1 7 5" xfId="1087" xr:uid="{00000000-0005-0000-0000-0000CB050000}"/>
    <cellStyle name="20% - Accent1 7 5 2" xfId="4614" xr:uid="{00000000-0005-0000-0000-0000CC050000}"/>
    <cellStyle name="20% - Accent1 7 5 2 2" xfId="8205" xr:uid="{00000000-0005-0000-0000-0000CD050000}"/>
    <cellStyle name="20% - Accent1 7 5 2 2 2" xfId="16175" xr:uid="{00000000-0005-0000-0000-0000CE050000}"/>
    <cellStyle name="20% - Accent1 7 5 2 2 2 2" xfId="40017" xr:uid="{42517C97-7A72-408F-8035-0ADA5A829CB6}"/>
    <cellStyle name="20% - Accent1 7 5 2 2 3" xfId="24121" xr:uid="{00000000-0005-0000-0000-0000CF050000}"/>
    <cellStyle name="20% - Accent1 7 5 2 2 3 2" xfId="47953" xr:uid="{F654229E-FBB8-4F92-8015-3F204143A9C4}"/>
    <cellStyle name="20% - Accent1 7 5 2 2 4" xfId="32076" xr:uid="{0599B620-3297-413C-B9F2-C1360925A033}"/>
    <cellStyle name="20% - Accent1 7 5 2 3" xfId="12637" xr:uid="{00000000-0005-0000-0000-0000D0050000}"/>
    <cellStyle name="20% - Accent1 7 5 2 3 2" xfId="36486" xr:uid="{34834540-5B24-4B2D-B1F9-2B2F32BEFF29}"/>
    <cellStyle name="20% - Accent1 7 5 2 4" xfId="20592" xr:uid="{00000000-0005-0000-0000-0000D1050000}"/>
    <cellStyle name="20% - Accent1 7 5 2 4 2" xfId="44424" xr:uid="{07F1BE1C-AA29-4728-B07F-92814E5DB99F}"/>
    <cellStyle name="20% - Accent1 7 5 2 5" xfId="28545" xr:uid="{067AECF2-7CD0-457D-BB0E-C5869BFC51DA}"/>
    <cellStyle name="20% - Accent1 7 5 3" xfId="6446" xr:uid="{00000000-0005-0000-0000-0000D2050000}"/>
    <cellStyle name="20% - Accent1 7 5 3 2" xfId="14417" xr:uid="{00000000-0005-0000-0000-0000D3050000}"/>
    <cellStyle name="20% - Accent1 7 5 3 2 2" xfId="38259" xr:uid="{F8A53409-A59E-41F8-A15E-AC44229BA366}"/>
    <cellStyle name="20% - Accent1 7 5 3 3" xfId="22364" xr:uid="{00000000-0005-0000-0000-0000D4050000}"/>
    <cellStyle name="20% - Accent1 7 5 3 3 2" xfId="46196" xr:uid="{0C150667-D690-423E-B115-C1225DD67FA0}"/>
    <cellStyle name="20% - Accent1 7 5 3 4" xfId="30318" xr:uid="{5E578A47-3118-4372-A1F8-14DD644F4999}"/>
    <cellStyle name="20% - Accent1 7 5 4" xfId="10881" xr:uid="{00000000-0005-0000-0000-0000D5050000}"/>
    <cellStyle name="20% - Accent1 7 5 4 2" xfId="34730" xr:uid="{94DB0F71-54F0-4F38-B8EF-D321DF18C67F}"/>
    <cellStyle name="20% - Accent1 7 5 5" xfId="18836" xr:uid="{00000000-0005-0000-0000-0000D6050000}"/>
    <cellStyle name="20% - Accent1 7 5 5 2" xfId="42668" xr:uid="{79A52A4E-EE05-4E50-9D3C-5E9783479405}"/>
    <cellStyle name="20% - Accent1 7 5 6" xfId="26788" xr:uid="{8EFD029C-1511-4C09-A513-4AE1267BECD7}"/>
    <cellStyle name="20% - Accent1 7 5_Exh G" xfId="2037" xr:uid="{00000000-0005-0000-0000-0000D7050000}"/>
    <cellStyle name="20% - Accent1 7 6" xfId="3735" xr:uid="{00000000-0005-0000-0000-0000D8050000}"/>
    <cellStyle name="20% - Accent1 7 6 2" xfId="7327" xr:uid="{00000000-0005-0000-0000-0000D9050000}"/>
    <cellStyle name="20% - Accent1 7 6 2 2" xfId="15297" xr:uid="{00000000-0005-0000-0000-0000DA050000}"/>
    <cellStyle name="20% - Accent1 7 6 2 2 2" xfId="39139" xr:uid="{9CFD8489-D16F-4EDF-A45F-C5D72ECE9F61}"/>
    <cellStyle name="20% - Accent1 7 6 2 3" xfId="23243" xr:uid="{00000000-0005-0000-0000-0000DB050000}"/>
    <cellStyle name="20% - Accent1 7 6 2 3 2" xfId="47075" xr:uid="{F04576A7-EE1E-407F-BB40-B7AA589F0889}"/>
    <cellStyle name="20% - Accent1 7 6 2 4" xfId="31198" xr:uid="{77418B58-C7DB-4B73-AFA3-2D07DE79D984}"/>
    <cellStyle name="20% - Accent1 7 6 3" xfId="11759" xr:uid="{00000000-0005-0000-0000-0000DC050000}"/>
    <cellStyle name="20% - Accent1 7 6 3 2" xfId="35608" xr:uid="{6B9B14FB-64CA-4ACB-8EC5-72C7FB176C98}"/>
    <cellStyle name="20% - Accent1 7 6 4" xfId="19714" xr:uid="{00000000-0005-0000-0000-0000DD050000}"/>
    <cellStyle name="20% - Accent1 7 6 4 2" xfId="43546" xr:uid="{63FB8229-5DA9-45B7-B8E9-7696F66AE044}"/>
    <cellStyle name="20% - Accent1 7 6 5" xfId="27667" xr:uid="{9EF8AA9A-F72F-481B-BE3C-13280D78EDAC}"/>
    <cellStyle name="20% - Accent1 7 7" xfId="5555" xr:uid="{00000000-0005-0000-0000-0000DE050000}"/>
    <cellStyle name="20% - Accent1 7 7 2" xfId="13538" xr:uid="{00000000-0005-0000-0000-0000DF050000}"/>
    <cellStyle name="20% - Accent1 7 7 2 2" xfId="37381" xr:uid="{93D26076-E302-4C9B-99DB-F61A49A2F110}"/>
    <cellStyle name="20% - Accent1 7 7 3" xfId="21486" xr:uid="{00000000-0005-0000-0000-0000E0050000}"/>
    <cellStyle name="20% - Accent1 7 7 3 2" xfId="45318" xr:uid="{8B0F5E70-D723-4D30-9F5B-1CC1D09450B2}"/>
    <cellStyle name="20% - Accent1 7 7 4" xfId="29440" xr:uid="{FBBE3211-6B2B-4283-B276-CB170D34B5F1}"/>
    <cellStyle name="20% - Accent1 7 8" xfId="9107" xr:uid="{00000000-0005-0000-0000-0000E1050000}"/>
    <cellStyle name="20% - Accent1 7 8 2" xfId="17065" xr:uid="{00000000-0005-0000-0000-0000E2050000}"/>
    <cellStyle name="20% - Accent1 7 8 2 2" xfId="40905" xr:uid="{BD008684-5A8C-41BE-96D4-1843A5167572}"/>
    <cellStyle name="20% - Accent1 7 8 3" xfId="25009" xr:uid="{00000000-0005-0000-0000-0000E3050000}"/>
    <cellStyle name="20% - Accent1 7 8 3 2" xfId="48841" xr:uid="{E9175A57-C9AC-409B-8118-740BC25DE1AC}"/>
    <cellStyle name="20% - Accent1 7 8 4" xfId="32964" xr:uid="{B69DBA2F-447F-47A7-9B51-0FC7246A2BC0}"/>
    <cellStyle name="20% - Accent1 7 9" xfId="10003" xr:uid="{00000000-0005-0000-0000-0000E4050000}"/>
    <cellStyle name="20% - Accent1 7 9 2" xfId="33852" xr:uid="{65A0D1A8-6E30-4642-A055-0E11DA1015B9}"/>
    <cellStyle name="20% - Accent1 7_Exh G" xfId="2028" xr:uid="{00000000-0005-0000-0000-0000E5050000}"/>
    <cellStyle name="20% - Accent1 8" xfId="65" xr:uid="{00000000-0005-0000-0000-0000E6050000}"/>
    <cellStyle name="20% - Accent1 8 10" xfId="17962" xr:uid="{00000000-0005-0000-0000-0000E7050000}"/>
    <cellStyle name="20% - Accent1 8 10 2" xfId="41794" xr:uid="{5E172279-3A1F-4876-947F-21703E6F7F44}"/>
    <cellStyle name="20% - Accent1 8 11" xfId="25914" xr:uid="{983E21EF-22F7-4C7D-82B7-EB029E8A97B8}"/>
    <cellStyle name="20% - Accent1 8 2" xfId="66" xr:uid="{00000000-0005-0000-0000-0000E8050000}"/>
    <cellStyle name="20% - Accent1 8 2 2" xfId="67" xr:uid="{00000000-0005-0000-0000-0000E9050000}"/>
    <cellStyle name="20% - Accent1 8 2 2 2" xfId="1093" xr:uid="{00000000-0005-0000-0000-0000EA050000}"/>
    <cellStyle name="20% - Accent1 8 2 2 2 2" xfId="4620" xr:uid="{00000000-0005-0000-0000-0000EB050000}"/>
    <cellStyle name="20% - Accent1 8 2 2 2 2 2" xfId="8211" xr:uid="{00000000-0005-0000-0000-0000EC050000}"/>
    <cellStyle name="20% - Accent1 8 2 2 2 2 2 2" xfId="16181" xr:uid="{00000000-0005-0000-0000-0000ED050000}"/>
    <cellStyle name="20% - Accent1 8 2 2 2 2 2 2 2" xfId="40023" xr:uid="{41C7C33F-24E4-46F1-919A-76DCC1A52435}"/>
    <cellStyle name="20% - Accent1 8 2 2 2 2 2 3" xfId="24127" xr:uid="{00000000-0005-0000-0000-0000EE050000}"/>
    <cellStyle name="20% - Accent1 8 2 2 2 2 2 3 2" xfId="47959" xr:uid="{51F31017-C870-4B90-87A3-7A88E454BB5D}"/>
    <cellStyle name="20% - Accent1 8 2 2 2 2 2 4" xfId="32082" xr:uid="{06034D46-C9C7-48E7-965E-E3DBA80CC29F}"/>
    <cellStyle name="20% - Accent1 8 2 2 2 2 3" xfId="12643" xr:uid="{00000000-0005-0000-0000-0000EF050000}"/>
    <cellStyle name="20% - Accent1 8 2 2 2 2 3 2" xfId="36492" xr:uid="{DBAC2121-F206-4F1C-A3DD-56D195B61950}"/>
    <cellStyle name="20% - Accent1 8 2 2 2 2 4" xfId="20598" xr:uid="{00000000-0005-0000-0000-0000F0050000}"/>
    <cellStyle name="20% - Accent1 8 2 2 2 2 4 2" xfId="44430" xr:uid="{139A6CC9-DF47-4DAE-BA58-95B8B0BA76A8}"/>
    <cellStyle name="20% - Accent1 8 2 2 2 2 5" xfId="28551" xr:uid="{1A3455E9-0DF4-4767-A452-8CFD48B76AF2}"/>
    <cellStyle name="20% - Accent1 8 2 2 2 3" xfId="6452" xr:uid="{00000000-0005-0000-0000-0000F1050000}"/>
    <cellStyle name="20% - Accent1 8 2 2 2 3 2" xfId="14423" xr:uid="{00000000-0005-0000-0000-0000F2050000}"/>
    <cellStyle name="20% - Accent1 8 2 2 2 3 2 2" xfId="38265" xr:uid="{4163B645-2454-4375-AB73-F01DD25A0326}"/>
    <cellStyle name="20% - Accent1 8 2 2 2 3 3" xfId="22370" xr:uid="{00000000-0005-0000-0000-0000F3050000}"/>
    <cellStyle name="20% - Accent1 8 2 2 2 3 3 2" xfId="46202" xr:uid="{4203C255-54AF-4B2F-8E09-AD51CD0F2734}"/>
    <cellStyle name="20% - Accent1 8 2 2 2 3 4" xfId="30324" xr:uid="{510CBD9C-FBAE-4D0E-A4DA-8D9F860FF629}"/>
    <cellStyle name="20% - Accent1 8 2 2 2 4" xfId="10887" xr:uid="{00000000-0005-0000-0000-0000F4050000}"/>
    <cellStyle name="20% - Accent1 8 2 2 2 4 2" xfId="34736" xr:uid="{32FBF6A0-8E34-4218-B2A6-7CDDC99D780B}"/>
    <cellStyle name="20% - Accent1 8 2 2 2 5" xfId="18842" xr:uid="{00000000-0005-0000-0000-0000F5050000}"/>
    <cellStyle name="20% - Accent1 8 2 2 2 5 2" xfId="42674" xr:uid="{488A6D4B-79EE-4C28-A671-A5138D125C63}"/>
    <cellStyle name="20% - Accent1 8 2 2 2 6" xfId="26794" xr:uid="{B4C5C29E-CFE3-4EA5-B141-6AC6F0954E08}"/>
    <cellStyle name="20% - Accent1 8 2 2 2_Exh G" xfId="2041" xr:uid="{00000000-0005-0000-0000-0000F6050000}"/>
    <cellStyle name="20% - Accent1 8 2 2 3" xfId="3741" xr:uid="{00000000-0005-0000-0000-0000F7050000}"/>
    <cellStyle name="20% - Accent1 8 2 2 3 2" xfId="7333" xr:uid="{00000000-0005-0000-0000-0000F8050000}"/>
    <cellStyle name="20% - Accent1 8 2 2 3 2 2" xfId="15303" xr:uid="{00000000-0005-0000-0000-0000F9050000}"/>
    <cellStyle name="20% - Accent1 8 2 2 3 2 2 2" xfId="39145" xr:uid="{155B72C1-D0AD-4510-B382-214A6172F221}"/>
    <cellStyle name="20% - Accent1 8 2 2 3 2 3" xfId="23249" xr:uid="{00000000-0005-0000-0000-0000FA050000}"/>
    <cellStyle name="20% - Accent1 8 2 2 3 2 3 2" xfId="47081" xr:uid="{A752F173-0196-4A92-BD5B-103EA7B7951C}"/>
    <cellStyle name="20% - Accent1 8 2 2 3 2 4" xfId="31204" xr:uid="{B4FDBB69-9D8A-42A9-ADFE-660D6F3B5347}"/>
    <cellStyle name="20% - Accent1 8 2 2 3 3" xfId="11765" xr:uid="{00000000-0005-0000-0000-0000FB050000}"/>
    <cellStyle name="20% - Accent1 8 2 2 3 3 2" xfId="35614" xr:uid="{9AA4C35A-BFF0-46E3-988A-71105C01657A}"/>
    <cellStyle name="20% - Accent1 8 2 2 3 4" xfId="19720" xr:uid="{00000000-0005-0000-0000-0000FC050000}"/>
    <cellStyle name="20% - Accent1 8 2 2 3 4 2" xfId="43552" xr:uid="{2A0B3619-B59C-444F-BB5D-F26E0CB90B90}"/>
    <cellStyle name="20% - Accent1 8 2 2 3 5" xfId="27673" xr:uid="{F14696C8-0BDD-4A92-812C-AF00BA7C826B}"/>
    <cellStyle name="20% - Accent1 8 2 2 4" xfId="5561" xr:uid="{00000000-0005-0000-0000-0000FD050000}"/>
    <cellStyle name="20% - Accent1 8 2 2 4 2" xfId="13544" xr:uid="{00000000-0005-0000-0000-0000FE050000}"/>
    <cellStyle name="20% - Accent1 8 2 2 4 2 2" xfId="37387" xr:uid="{54E8D3D3-6D54-4150-8EC3-9012E2C6AD89}"/>
    <cellStyle name="20% - Accent1 8 2 2 4 3" xfId="21492" xr:uid="{00000000-0005-0000-0000-0000FF050000}"/>
    <cellStyle name="20% - Accent1 8 2 2 4 3 2" xfId="45324" xr:uid="{38280551-7A6B-4F9A-8AD6-BFDF3AED9636}"/>
    <cellStyle name="20% - Accent1 8 2 2 4 4" xfId="29446" xr:uid="{F50A6415-F321-45E7-945F-71E2C9B0ADF4}"/>
    <cellStyle name="20% - Accent1 8 2 2 5" xfId="9113" xr:uid="{00000000-0005-0000-0000-000000060000}"/>
    <cellStyle name="20% - Accent1 8 2 2 5 2" xfId="17071" xr:uid="{00000000-0005-0000-0000-000001060000}"/>
    <cellStyle name="20% - Accent1 8 2 2 5 2 2" xfId="40911" xr:uid="{6CB5A510-5E4F-46A7-AAF6-9216425860DA}"/>
    <cellStyle name="20% - Accent1 8 2 2 5 3" xfId="25015" xr:uid="{00000000-0005-0000-0000-000002060000}"/>
    <cellStyle name="20% - Accent1 8 2 2 5 3 2" xfId="48847" xr:uid="{8C935992-567C-4909-8889-51DA804E5915}"/>
    <cellStyle name="20% - Accent1 8 2 2 5 4" xfId="32970" xr:uid="{C67CD7E2-2B84-4807-A9EC-18CD1A35B8A3}"/>
    <cellStyle name="20% - Accent1 8 2 2 6" xfId="10009" xr:uid="{00000000-0005-0000-0000-000003060000}"/>
    <cellStyle name="20% - Accent1 8 2 2 6 2" xfId="33858" xr:uid="{AB9FA0D6-5CCC-43EC-8213-6F4EDB536BB2}"/>
    <cellStyle name="20% - Accent1 8 2 2 7" xfId="17964" xr:uid="{00000000-0005-0000-0000-000004060000}"/>
    <cellStyle name="20% - Accent1 8 2 2 7 2" xfId="41796" xr:uid="{C5BAE61D-F246-4C0A-9DC9-AB928DF7FFA5}"/>
    <cellStyle name="20% - Accent1 8 2 2 8" xfId="25916" xr:uid="{50483BA2-1F26-45AA-8D27-13BD711F78E5}"/>
    <cellStyle name="20% - Accent1 8 2 2_Exh G" xfId="2040" xr:uid="{00000000-0005-0000-0000-000005060000}"/>
    <cellStyle name="20% - Accent1 8 2 3" xfId="1092" xr:uid="{00000000-0005-0000-0000-000006060000}"/>
    <cellStyle name="20% - Accent1 8 2 3 2" xfId="4619" xr:uid="{00000000-0005-0000-0000-000007060000}"/>
    <cellStyle name="20% - Accent1 8 2 3 2 2" xfId="8210" xr:uid="{00000000-0005-0000-0000-000008060000}"/>
    <cellStyle name="20% - Accent1 8 2 3 2 2 2" xfId="16180" xr:uid="{00000000-0005-0000-0000-000009060000}"/>
    <cellStyle name="20% - Accent1 8 2 3 2 2 2 2" xfId="40022" xr:uid="{FF64A4D6-67F0-48AB-9C0A-9D237931B589}"/>
    <cellStyle name="20% - Accent1 8 2 3 2 2 3" xfId="24126" xr:uid="{00000000-0005-0000-0000-00000A060000}"/>
    <cellStyle name="20% - Accent1 8 2 3 2 2 3 2" xfId="47958" xr:uid="{8EC5003E-661F-491F-AD4B-1278A21AFEA1}"/>
    <cellStyle name="20% - Accent1 8 2 3 2 2 4" xfId="32081" xr:uid="{A1337A20-A4CC-4144-A751-17566E46AD46}"/>
    <cellStyle name="20% - Accent1 8 2 3 2 3" xfId="12642" xr:uid="{00000000-0005-0000-0000-00000B060000}"/>
    <cellStyle name="20% - Accent1 8 2 3 2 3 2" xfId="36491" xr:uid="{D2C80419-AD79-4334-8C4E-D3B44E860940}"/>
    <cellStyle name="20% - Accent1 8 2 3 2 4" xfId="20597" xr:uid="{00000000-0005-0000-0000-00000C060000}"/>
    <cellStyle name="20% - Accent1 8 2 3 2 4 2" xfId="44429" xr:uid="{743588EC-811E-473D-88C3-815CB9A227AD}"/>
    <cellStyle name="20% - Accent1 8 2 3 2 5" xfId="28550" xr:uid="{4720EF00-7A06-478F-B65E-E23E391B38A9}"/>
    <cellStyle name="20% - Accent1 8 2 3 3" xfId="6451" xr:uid="{00000000-0005-0000-0000-00000D060000}"/>
    <cellStyle name="20% - Accent1 8 2 3 3 2" xfId="14422" xr:uid="{00000000-0005-0000-0000-00000E060000}"/>
    <cellStyle name="20% - Accent1 8 2 3 3 2 2" xfId="38264" xr:uid="{8C31725B-D06B-4424-9A96-7AF466014529}"/>
    <cellStyle name="20% - Accent1 8 2 3 3 3" xfId="22369" xr:uid="{00000000-0005-0000-0000-00000F060000}"/>
    <cellStyle name="20% - Accent1 8 2 3 3 3 2" xfId="46201" xr:uid="{82F4C01F-9EBC-4D04-A478-EC99BF4CF1F3}"/>
    <cellStyle name="20% - Accent1 8 2 3 3 4" xfId="30323" xr:uid="{2B3A6271-5D70-40F2-86A5-7AABB546A425}"/>
    <cellStyle name="20% - Accent1 8 2 3 4" xfId="10886" xr:uid="{00000000-0005-0000-0000-000010060000}"/>
    <cellStyle name="20% - Accent1 8 2 3 4 2" xfId="34735" xr:uid="{0642DB2E-16F3-4716-A0F2-8BEC7C1D704C}"/>
    <cellStyle name="20% - Accent1 8 2 3 5" xfId="18841" xr:uid="{00000000-0005-0000-0000-000011060000}"/>
    <cellStyle name="20% - Accent1 8 2 3 5 2" xfId="42673" xr:uid="{2DBA7F05-C5D3-4D41-B825-BBA94AC47B78}"/>
    <cellStyle name="20% - Accent1 8 2 3 6" xfId="26793" xr:uid="{9E3A4E29-BDA7-466A-B3C5-E84A82025A09}"/>
    <cellStyle name="20% - Accent1 8 2 3_Exh G" xfId="2042" xr:uid="{00000000-0005-0000-0000-000012060000}"/>
    <cellStyle name="20% - Accent1 8 2 4" xfId="3740" xr:uid="{00000000-0005-0000-0000-000013060000}"/>
    <cellStyle name="20% - Accent1 8 2 4 2" xfId="7332" xr:uid="{00000000-0005-0000-0000-000014060000}"/>
    <cellStyle name="20% - Accent1 8 2 4 2 2" xfId="15302" xr:uid="{00000000-0005-0000-0000-000015060000}"/>
    <cellStyle name="20% - Accent1 8 2 4 2 2 2" xfId="39144" xr:uid="{B41DE2F4-CEFA-4462-A90B-AF0AA5E33536}"/>
    <cellStyle name="20% - Accent1 8 2 4 2 3" xfId="23248" xr:uid="{00000000-0005-0000-0000-000016060000}"/>
    <cellStyle name="20% - Accent1 8 2 4 2 3 2" xfId="47080" xr:uid="{C9AD24B5-3B0D-46E6-91A4-E2C521186277}"/>
    <cellStyle name="20% - Accent1 8 2 4 2 4" xfId="31203" xr:uid="{AC8BE8EA-C64F-4467-8B6B-0FC3388CFD7E}"/>
    <cellStyle name="20% - Accent1 8 2 4 3" xfId="11764" xr:uid="{00000000-0005-0000-0000-000017060000}"/>
    <cellStyle name="20% - Accent1 8 2 4 3 2" xfId="35613" xr:uid="{F9970EC5-8181-4078-A274-2FBDBE5DDB10}"/>
    <cellStyle name="20% - Accent1 8 2 4 4" xfId="19719" xr:uid="{00000000-0005-0000-0000-000018060000}"/>
    <cellStyle name="20% - Accent1 8 2 4 4 2" xfId="43551" xr:uid="{5B64AEF9-CD2C-4064-9FAA-D0A3FAB90747}"/>
    <cellStyle name="20% - Accent1 8 2 4 5" xfId="27672" xr:uid="{73B15E26-1832-4346-B2D0-7546B7CE0C3A}"/>
    <cellStyle name="20% - Accent1 8 2 5" xfId="5560" xr:uid="{00000000-0005-0000-0000-000019060000}"/>
    <cellStyle name="20% - Accent1 8 2 5 2" xfId="13543" xr:uid="{00000000-0005-0000-0000-00001A060000}"/>
    <cellStyle name="20% - Accent1 8 2 5 2 2" xfId="37386" xr:uid="{1FEA7AA4-DBEC-4746-999D-E6E52A0F4CB8}"/>
    <cellStyle name="20% - Accent1 8 2 5 3" xfId="21491" xr:uid="{00000000-0005-0000-0000-00001B060000}"/>
    <cellStyle name="20% - Accent1 8 2 5 3 2" xfId="45323" xr:uid="{839A5C0E-87E8-4190-AD9A-875BA7264E04}"/>
    <cellStyle name="20% - Accent1 8 2 5 4" xfId="29445" xr:uid="{5B47A3B9-64BA-4FD9-BE05-5D0FA175AE61}"/>
    <cellStyle name="20% - Accent1 8 2 6" xfId="9112" xr:uid="{00000000-0005-0000-0000-00001C060000}"/>
    <cellStyle name="20% - Accent1 8 2 6 2" xfId="17070" xr:uid="{00000000-0005-0000-0000-00001D060000}"/>
    <cellStyle name="20% - Accent1 8 2 6 2 2" xfId="40910" xr:uid="{51905035-DD8E-46A0-929D-1E0D2A8C0D2E}"/>
    <cellStyle name="20% - Accent1 8 2 6 3" xfId="25014" xr:uid="{00000000-0005-0000-0000-00001E060000}"/>
    <cellStyle name="20% - Accent1 8 2 6 3 2" xfId="48846" xr:uid="{5F353729-16FE-4B8C-9F61-2C22BB6B550E}"/>
    <cellStyle name="20% - Accent1 8 2 6 4" xfId="32969" xr:uid="{45199DA5-C87F-4A2C-BAAB-BD3029F422EE}"/>
    <cellStyle name="20% - Accent1 8 2 7" xfId="10008" xr:uid="{00000000-0005-0000-0000-00001F060000}"/>
    <cellStyle name="20% - Accent1 8 2 7 2" xfId="33857" xr:uid="{CC61F0BE-459B-4912-907D-16580D20D088}"/>
    <cellStyle name="20% - Accent1 8 2 8" xfId="17963" xr:uid="{00000000-0005-0000-0000-000020060000}"/>
    <cellStyle name="20% - Accent1 8 2 8 2" xfId="41795" xr:uid="{F102DE52-70AB-40B4-BDED-ABE9CA154D8D}"/>
    <cellStyle name="20% - Accent1 8 2 9" xfId="25915" xr:uid="{5839C61A-4276-4F05-946D-957405BB95BE}"/>
    <cellStyle name="20% - Accent1 8 2_Exh G" xfId="2039" xr:uid="{00000000-0005-0000-0000-000021060000}"/>
    <cellStyle name="20% - Accent1 8 3" xfId="68" xr:uid="{00000000-0005-0000-0000-000022060000}"/>
    <cellStyle name="20% - Accent1 8 3 2" xfId="1094" xr:uid="{00000000-0005-0000-0000-000023060000}"/>
    <cellStyle name="20% - Accent1 8 3 2 2" xfId="4621" xr:uid="{00000000-0005-0000-0000-000024060000}"/>
    <cellStyle name="20% - Accent1 8 3 2 2 2" xfId="8212" xr:uid="{00000000-0005-0000-0000-000025060000}"/>
    <cellStyle name="20% - Accent1 8 3 2 2 2 2" xfId="16182" xr:uid="{00000000-0005-0000-0000-000026060000}"/>
    <cellStyle name="20% - Accent1 8 3 2 2 2 2 2" xfId="40024" xr:uid="{576E0DA6-461C-4758-8E77-0D5CE904F9B3}"/>
    <cellStyle name="20% - Accent1 8 3 2 2 2 3" xfId="24128" xr:uid="{00000000-0005-0000-0000-000027060000}"/>
    <cellStyle name="20% - Accent1 8 3 2 2 2 3 2" xfId="47960" xr:uid="{ED266B81-0378-4EB5-9518-4A017595BDB2}"/>
    <cellStyle name="20% - Accent1 8 3 2 2 2 4" xfId="32083" xr:uid="{0B2E4255-DF7A-46AF-9018-82C85071D678}"/>
    <cellStyle name="20% - Accent1 8 3 2 2 3" xfId="12644" xr:uid="{00000000-0005-0000-0000-000028060000}"/>
    <cellStyle name="20% - Accent1 8 3 2 2 3 2" xfId="36493" xr:uid="{B1B95754-6916-411E-9C87-AA401E7E9EFA}"/>
    <cellStyle name="20% - Accent1 8 3 2 2 4" xfId="20599" xr:uid="{00000000-0005-0000-0000-000029060000}"/>
    <cellStyle name="20% - Accent1 8 3 2 2 4 2" xfId="44431" xr:uid="{A44CBA14-FB79-4FC0-BA4D-D1C5C33D79FC}"/>
    <cellStyle name="20% - Accent1 8 3 2 2 5" xfId="28552" xr:uid="{9B52D2EF-655B-41DF-B615-B3E4254D0BEA}"/>
    <cellStyle name="20% - Accent1 8 3 2 3" xfId="6453" xr:uid="{00000000-0005-0000-0000-00002A060000}"/>
    <cellStyle name="20% - Accent1 8 3 2 3 2" xfId="14424" xr:uid="{00000000-0005-0000-0000-00002B060000}"/>
    <cellStyle name="20% - Accent1 8 3 2 3 2 2" xfId="38266" xr:uid="{62E37ABD-55B6-44C8-A844-EAB620048D88}"/>
    <cellStyle name="20% - Accent1 8 3 2 3 3" xfId="22371" xr:uid="{00000000-0005-0000-0000-00002C060000}"/>
    <cellStyle name="20% - Accent1 8 3 2 3 3 2" xfId="46203" xr:uid="{62854326-825D-40C7-B6F3-4601A8B793F9}"/>
    <cellStyle name="20% - Accent1 8 3 2 3 4" xfId="30325" xr:uid="{1B723C7A-81E5-48FC-AFEA-61258FE3F5C6}"/>
    <cellStyle name="20% - Accent1 8 3 2 4" xfId="10888" xr:uid="{00000000-0005-0000-0000-00002D060000}"/>
    <cellStyle name="20% - Accent1 8 3 2 4 2" xfId="34737" xr:uid="{454C8DA4-E7F6-4C1A-B648-9FCD604E1F0B}"/>
    <cellStyle name="20% - Accent1 8 3 2 5" xfId="18843" xr:uid="{00000000-0005-0000-0000-00002E060000}"/>
    <cellStyle name="20% - Accent1 8 3 2 5 2" xfId="42675" xr:uid="{DC0EF1B0-EFA7-44C5-9640-504F79B7F02A}"/>
    <cellStyle name="20% - Accent1 8 3 2 6" xfId="26795" xr:uid="{57042850-1DF5-47CA-B7F9-5B2391DDA261}"/>
    <cellStyle name="20% - Accent1 8 3 2_Exh G" xfId="2044" xr:uid="{00000000-0005-0000-0000-00002F060000}"/>
    <cellStyle name="20% - Accent1 8 3 3" xfId="3742" xr:uid="{00000000-0005-0000-0000-000030060000}"/>
    <cellStyle name="20% - Accent1 8 3 3 2" xfId="7334" xr:uid="{00000000-0005-0000-0000-000031060000}"/>
    <cellStyle name="20% - Accent1 8 3 3 2 2" xfId="15304" xr:uid="{00000000-0005-0000-0000-000032060000}"/>
    <cellStyle name="20% - Accent1 8 3 3 2 2 2" xfId="39146" xr:uid="{DFF6A0B3-025D-42D0-B2E0-E6DE926949A5}"/>
    <cellStyle name="20% - Accent1 8 3 3 2 3" xfId="23250" xr:uid="{00000000-0005-0000-0000-000033060000}"/>
    <cellStyle name="20% - Accent1 8 3 3 2 3 2" xfId="47082" xr:uid="{2BB33D47-64F4-4742-94E0-37E6E83961B0}"/>
    <cellStyle name="20% - Accent1 8 3 3 2 4" xfId="31205" xr:uid="{F2BB6851-8E5D-4E85-9BE7-83E1F06F0603}"/>
    <cellStyle name="20% - Accent1 8 3 3 3" xfId="11766" xr:uid="{00000000-0005-0000-0000-000034060000}"/>
    <cellStyle name="20% - Accent1 8 3 3 3 2" xfId="35615" xr:uid="{8229586F-BFB8-4791-A7F8-EE7AC989AA23}"/>
    <cellStyle name="20% - Accent1 8 3 3 4" xfId="19721" xr:uid="{00000000-0005-0000-0000-000035060000}"/>
    <cellStyle name="20% - Accent1 8 3 3 4 2" xfId="43553" xr:uid="{175CBB00-AEBC-4668-B181-1C307B913CFE}"/>
    <cellStyle name="20% - Accent1 8 3 3 5" xfId="27674" xr:uid="{45E11451-DA44-4F92-900D-1FE23825DE8B}"/>
    <cellStyle name="20% - Accent1 8 3 4" xfId="5562" xr:uid="{00000000-0005-0000-0000-000036060000}"/>
    <cellStyle name="20% - Accent1 8 3 4 2" xfId="13545" xr:uid="{00000000-0005-0000-0000-000037060000}"/>
    <cellStyle name="20% - Accent1 8 3 4 2 2" xfId="37388" xr:uid="{DF3340DB-69FA-4024-9107-4F518A5B9C35}"/>
    <cellStyle name="20% - Accent1 8 3 4 3" xfId="21493" xr:uid="{00000000-0005-0000-0000-000038060000}"/>
    <cellStyle name="20% - Accent1 8 3 4 3 2" xfId="45325" xr:uid="{051DDFA3-FD9C-4CEC-8154-244F4CAE22C1}"/>
    <cellStyle name="20% - Accent1 8 3 4 4" xfId="29447" xr:uid="{E744E6D8-ED15-4763-A9B4-04B78C3DCC78}"/>
    <cellStyle name="20% - Accent1 8 3 5" xfId="9114" xr:uid="{00000000-0005-0000-0000-000039060000}"/>
    <cellStyle name="20% - Accent1 8 3 5 2" xfId="17072" xr:uid="{00000000-0005-0000-0000-00003A060000}"/>
    <cellStyle name="20% - Accent1 8 3 5 2 2" xfId="40912" xr:uid="{59EA337D-A7C7-4793-88EF-A9397CC50D27}"/>
    <cellStyle name="20% - Accent1 8 3 5 3" xfId="25016" xr:uid="{00000000-0005-0000-0000-00003B060000}"/>
    <cellStyle name="20% - Accent1 8 3 5 3 2" xfId="48848" xr:uid="{8D495EA2-8EB5-4A9F-ABD2-420D1607F85F}"/>
    <cellStyle name="20% - Accent1 8 3 5 4" xfId="32971" xr:uid="{29D46C98-8417-466C-914D-F735E461CA30}"/>
    <cellStyle name="20% - Accent1 8 3 6" xfId="10010" xr:uid="{00000000-0005-0000-0000-00003C060000}"/>
    <cellStyle name="20% - Accent1 8 3 6 2" xfId="33859" xr:uid="{AF4BF050-823D-4D2E-BFA6-6A64C1D570C7}"/>
    <cellStyle name="20% - Accent1 8 3 7" xfId="17965" xr:uid="{00000000-0005-0000-0000-00003D060000}"/>
    <cellStyle name="20% - Accent1 8 3 7 2" xfId="41797" xr:uid="{FF02CAA9-056E-45DF-AB2D-EDB040BE1BB3}"/>
    <cellStyle name="20% - Accent1 8 3 8" xfId="25917" xr:uid="{B88032D5-E361-4DC6-93BE-2BB02973DDB4}"/>
    <cellStyle name="20% - Accent1 8 3_Exh G" xfId="2043" xr:uid="{00000000-0005-0000-0000-00003E060000}"/>
    <cellStyle name="20% - Accent1 8 4" xfId="869" xr:uid="{00000000-0005-0000-0000-00003F060000}"/>
    <cellStyle name="20% - Accent1 8 4 2" xfId="1800" xr:uid="{00000000-0005-0000-0000-000040060000}"/>
    <cellStyle name="20% - Accent1 8 4 2 2" xfId="5317" xr:uid="{00000000-0005-0000-0000-000041060000}"/>
    <cellStyle name="20% - Accent1 8 4 2 2 2" xfId="8908" xr:uid="{00000000-0005-0000-0000-000042060000}"/>
    <cellStyle name="20% - Accent1 8 4 2 2 2 2" xfId="16878" xr:uid="{00000000-0005-0000-0000-000043060000}"/>
    <cellStyle name="20% - Accent1 8 4 2 2 2 2 2" xfId="40720" xr:uid="{D8D89ED9-27FD-41CA-A369-F28403CA0445}"/>
    <cellStyle name="20% - Accent1 8 4 2 2 2 3" xfId="24824" xr:uid="{00000000-0005-0000-0000-000044060000}"/>
    <cellStyle name="20% - Accent1 8 4 2 2 2 3 2" xfId="48656" xr:uid="{E9A928E5-11EE-44A9-A7F4-C9CBCB941909}"/>
    <cellStyle name="20% - Accent1 8 4 2 2 2 4" xfId="32779" xr:uid="{3A4884D0-397A-4690-87BD-0AA5CD25A945}"/>
    <cellStyle name="20% - Accent1 8 4 2 2 3" xfId="13340" xr:uid="{00000000-0005-0000-0000-000045060000}"/>
    <cellStyle name="20% - Accent1 8 4 2 2 3 2" xfId="37189" xr:uid="{1A67A57D-764B-4E18-AF29-F548C772B687}"/>
    <cellStyle name="20% - Accent1 8 4 2 2 4" xfId="21295" xr:uid="{00000000-0005-0000-0000-000046060000}"/>
    <cellStyle name="20% - Accent1 8 4 2 2 4 2" xfId="45127" xr:uid="{19587CE1-11C3-4711-AB79-6C0171E76D49}"/>
    <cellStyle name="20% - Accent1 8 4 2 2 5" xfId="29248" xr:uid="{DCEA6DEB-B8B1-4E81-BCD9-10C731DE4A16}"/>
    <cellStyle name="20% - Accent1 8 4 2 3" xfId="7149" xr:uid="{00000000-0005-0000-0000-000047060000}"/>
    <cellStyle name="20% - Accent1 8 4 2 3 2" xfId="15120" xr:uid="{00000000-0005-0000-0000-000048060000}"/>
    <cellStyle name="20% - Accent1 8 4 2 3 2 2" xfId="38962" xr:uid="{8350DB27-116E-423E-A269-CFA5541F1CDF}"/>
    <cellStyle name="20% - Accent1 8 4 2 3 3" xfId="23067" xr:uid="{00000000-0005-0000-0000-000049060000}"/>
    <cellStyle name="20% - Accent1 8 4 2 3 3 2" xfId="46899" xr:uid="{7A8ED615-FBA5-4702-A48A-9763D7B54832}"/>
    <cellStyle name="20% - Accent1 8 4 2 3 4" xfId="31021" xr:uid="{943C7A20-0F55-4F82-BC69-F98587B61434}"/>
    <cellStyle name="20% - Accent1 8 4 2 4" xfId="11584" xr:uid="{00000000-0005-0000-0000-00004A060000}"/>
    <cellStyle name="20% - Accent1 8 4 2 4 2" xfId="35433" xr:uid="{9F49BA60-5A2D-44B4-B74E-692136434AF9}"/>
    <cellStyle name="20% - Accent1 8 4 2 5" xfId="19539" xr:uid="{00000000-0005-0000-0000-00004B060000}"/>
    <cellStyle name="20% - Accent1 8 4 2 5 2" xfId="43371" xr:uid="{F43D9041-B95D-4653-94B5-F82FA72B05BF}"/>
    <cellStyle name="20% - Accent1 8 4 2 6" xfId="27491" xr:uid="{266BCBA4-992C-4711-8411-C68C5015D4ED}"/>
    <cellStyle name="20% - Accent1 8 4 2_Exh G" xfId="2046" xr:uid="{00000000-0005-0000-0000-00004C060000}"/>
    <cellStyle name="20% - Accent1 8 4 3" xfId="4438" xr:uid="{00000000-0005-0000-0000-00004D060000}"/>
    <cellStyle name="20% - Accent1 8 4 3 2" xfId="8030" xr:uid="{00000000-0005-0000-0000-00004E060000}"/>
    <cellStyle name="20% - Accent1 8 4 3 2 2" xfId="16000" xr:uid="{00000000-0005-0000-0000-00004F060000}"/>
    <cellStyle name="20% - Accent1 8 4 3 2 2 2" xfId="39842" xr:uid="{5CFFD6D9-D14F-419A-988E-51A36A6AB931}"/>
    <cellStyle name="20% - Accent1 8 4 3 2 3" xfId="23946" xr:uid="{00000000-0005-0000-0000-000050060000}"/>
    <cellStyle name="20% - Accent1 8 4 3 2 3 2" xfId="47778" xr:uid="{38B3C01E-B2AD-40A9-8363-8BFCDF47FFA9}"/>
    <cellStyle name="20% - Accent1 8 4 3 2 4" xfId="31901" xr:uid="{906D6FE6-D6D9-4EE6-BD22-6A6EF398A691}"/>
    <cellStyle name="20% - Accent1 8 4 3 3" xfId="12462" xr:uid="{00000000-0005-0000-0000-000051060000}"/>
    <cellStyle name="20% - Accent1 8 4 3 3 2" xfId="36311" xr:uid="{C508EC42-FCBD-4C47-901C-0D20F1165DDA}"/>
    <cellStyle name="20% - Accent1 8 4 3 4" xfId="20417" xr:uid="{00000000-0005-0000-0000-000052060000}"/>
    <cellStyle name="20% - Accent1 8 4 3 4 2" xfId="44249" xr:uid="{57FD4E82-DA2D-45A4-A5F0-04C23D79594D}"/>
    <cellStyle name="20% - Accent1 8 4 3 5" xfId="28370" xr:uid="{D1F332AC-5FFB-49FC-ABB1-E2E9C7BAAA61}"/>
    <cellStyle name="20% - Accent1 8 4 4" xfId="6268" xr:uid="{00000000-0005-0000-0000-000053060000}"/>
    <cellStyle name="20% - Accent1 8 4 4 2" xfId="14242" xr:uid="{00000000-0005-0000-0000-000054060000}"/>
    <cellStyle name="20% - Accent1 8 4 4 2 2" xfId="38084" xr:uid="{5DE01CC9-6F1A-427F-A136-114D9CB24B32}"/>
    <cellStyle name="20% - Accent1 8 4 4 3" xfId="22189" xr:uid="{00000000-0005-0000-0000-000055060000}"/>
    <cellStyle name="20% - Accent1 8 4 4 3 2" xfId="46021" xr:uid="{A121F175-3B36-401C-B8AE-25E914AF9499}"/>
    <cellStyle name="20% - Accent1 8 4 4 4" xfId="30143" xr:uid="{EC699838-34C9-4727-AAB7-9054FBB9DBAF}"/>
    <cellStyle name="20% - Accent1 8 4 5" xfId="9810" xr:uid="{00000000-0005-0000-0000-000056060000}"/>
    <cellStyle name="20% - Accent1 8 4 5 2" xfId="17768" xr:uid="{00000000-0005-0000-0000-000057060000}"/>
    <cellStyle name="20% - Accent1 8 4 5 2 2" xfId="41608" xr:uid="{95BEFB51-E06A-4321-A794-A70C0D2E0465}"/>
    <cellStyle name="20% - Accent1 8 4 5 3" xfId="25712" xr:uid="{00000000-0005-0000-0000-000058060000}"/>
    <cellStyle name="20% - Accent1 8 4 5 3 2" xfId="49544" xr:uid="{E92DD9E1-98BD-4974-BF7B-D825DE2D8A30}"/>
    <cellStyle name="20% - Accent1 8 4 5 4" xfId="33667" xr:uid="{D748B27D-088C-49CD-A938-D15594B46B27}"/>
    <cellStyle name="20% - Accent1 8 4 6" xfId="10706" xr:uid="{00000000-0005-0000-0000-000059060000}"/>
    <cellStyle name="20% - Accent1 8 4 6 2" xfId="34555" xr:uid="{0E725316-F345-462C-BC07-B81D546799F4}"/>
    <cellStyle name="20% - Accent1 8 4 7" xfId="18661" xr:uid="{00000000-0005-0000-0000-00005A060000}"/>
    <cellStyle name="20% - Accent1 8 4 7 2" xfId="42493" xr:uid="{3280B4EF-558F-408E-A4F6-658B1F236A64}"/>
    <cellStyle name="20% - Accent1 8 4 8" xfId="26613" xr:uid="{CC018903-AEF1-4661-8880-E88BFD870CCE}"/>
    <cellStyle name="20% - Accent1 8 4_Exh G" xfId="2045" xr:uid="{00000000-0005-0000-0000-00005B060000}"/>
    <cellStyle name="20% - Accent1 8 5" xfId="1091" xr:uid="{00000000-0005-0000-0000-00005C060000}"/>
    <cellStyle name="20% - Accent1 8 5 2" xfId="4618" xr:uid="{00000000-0005-0000-0000-00005D060000}"/>
    <cellStyle name="20% - Accent1 8 5 2 2" xfId="8209" xr:uid="{00000000-0005-0000-0000-00005E060000}"/>
    <cellStyle name="20% - Accent1 8 5 2 2 2" xfId="16179" xr:uid="{00000000-0005-0000-0000-00005F060000}"/>
    <cellStyle name="20% - Accent1 8 5 2 2 2 2" xfId="40021" xr:uid="{497A12D5-2CD5-4CC1-9E30-47B7050BA174}"/>
    <cellStyle name="20% - Accent1 8 5 2 2 3" xfId="24125" xr:uid="{00000000-0005-0000-0000-000060060000}"/>
    <cellStyle name="20% - Accent1 8 5 2 2 3 2" xfId="47957" xr:uid="{02247130-879C-4D05-91FB-DE7B87C9D5AD}"/>
    <cellStyle name="20% - Accent1 8 5 2 2 4" xfId="32080" xr:uid="{6BD9406F-0C38-413E-8FB2-31CA71EADDD2}"/>
    <cellStyle name="20% - Accent1 8 5 2 3" xfId="12641" xr:uid="{00000000-0005-0000-0000-000061060000}"/>
    <cellStyle name="20% - Accent1 8 5 2 3 2" xfId="36490" xr:uid="{C1EB4040-D2E2-4B83-9FC4-F07FF81C0E81}"/>
    <cellStyle name="20% - Accent1 8 5 2 4" xfId="20596" xr:uid="{00000000-0005-0000-0000-000062060000}"/>
    <cellStyle name="20% - Accent1 8 5 2 4 2" xfId="44428" xr:uid="{C8F4788D-3855-486E-840A-7D6EF1E2B4E8}"/>
    <cellStyle name="20% - Accent1 8 5 2 5" xfId="28549" xr:uid="{CEB2FC98-EEA8-4922-9474-F0308470741C}"/>
    <cellStyle name="20% - Accent1 8 5 3" xfId="6450" xr:uid="{00000000-0005-0000-0000-000063060000}"/>
    <cellStyle name="20% - Accent1 8 5 3 2" xfId="14421" xr:uid="{00000000-0005-0000-0000-000064060000}"/>
    <cellStyle name="20% - Accent1 8 5 3 2 2" xfId="38263" xr:uid="{EB6935E7-3925-4C49-BA8D-F4598E2C4E05}"/>
    <cellStyle name="20% - Accent1 8 5 3 3" xfId="22368" xr:uid="{00000000-0005-0000-0000-000065060000}"/>
    <cellStyle name="20% - Accent1 8 5 3 3 2" xfId="46200" xr:uid="{5A70BEE2-E1D5-4D3F-9D9D-C88328C1CC72}"/>
    <cellStyle name="20% - Accent1 8 5 3 4" xfId="30322" xr:uid="{A05DC744-9830-4FE4-B2F2-1F55689A6E12}"/>
    <cellStyle name="20% - Accent1 8 5 4" xfId="10885" xr:uid="{00000000-0005-0000-0000-000066060000}"/>
    <cellStyle name="20% - Accent1 8 5 4 2" xfId="34734" xr:uid="{786F5E45-A54F-46BA-BA1E-213F60E04339}"/>
    <cellStyle name="20% - Accent1 8 5 5" xfId="18840" xr:uid="{00000000-0005-0000-0000-000067060000}"/>
    <cellStyle name="20% - Accent1 8 5 5 2" xfId="42672" xr:uid="{6504672E-C639-4A92-83B3-2B7F922990D4}"/>
    <cellStyle name="20% - Accent1 8 5 6" xfId="26792" xr:uid="{D249A901-A2A5-4136-93E6-19EAA015411C}"/>
    <cellStyle name="20% - Accent1 8 5_Exh G" xfId="2047" xr:uid="{00000000-0005-0000-0000-000068060000}"/>
    <cellStyle name="20% - Accent1 8 6" xfId="3739" xr:uid="{00000000-0005-0000-0000-000069060000}"/>
    <cellStyle name="20% - Accent1 8 6 2" xfId="7331" xr:uid="{00000000-0005-0000-0000-00006A060000}"/>
    <cellStyle name="20% - Accent1 8 6 2 2" xfId="15301" xr:uid="{00000000-0005-0000-0000-00006B060000}"/>
    <cellStyle name="20% - Accent1 8 6 2 2 2" xfId="39143" xr:uid="{ABBCD24B-B882-4206-9334-CB591C4F46C3}"/>
    <cellStyle name="20% - Accent1 8 6 2 3" xfId="23247" xr:uid="{00000000-0005-0000-0000-00006C060000}"/>
    <cellStyle name="20% - Accent1 8 6 2 3 2" xfId="47079" xr:uid="{1F84B77D-9679-4241-8D25-DEB5FC4B6E97}"/>
    <cellStyle name="20% - Accent1 8 6 2 4" xfId="31202" xr:uid="{649BA497-83EB-43FE-99AB-AE08B7770AC8}"/>
    <cellStyle name="20% - Accent1 8 6 3" xfId="11763" xr:uid="{00000000-0005-0000-0000-00006D060000}"/>
    <cellStyle name="20% - Accent1 8 6 3 2" xfId="35612" xr:uid="{94D9FFA5-48F8-4EFB-973A-52C7ACFA6C32}"/>
    <cellStyle name="20% - Accent1 8 6 4" xfId="19718" xr:uid="{00000000-0005-0000-0000-00006E060000}"/>
    <cellStyle name="20% - Accent1 8 6 4 2" xfId="43550" xr:uid="{7019F636-1263-4558-A827-F1D65193F886}"/>
    <cellStyle name="20% - Accent1 8 6 5" xfId="27671" xr:uid="{11001278-EF6D-41EE-92AE-64BF0A02A4B1}"/>
    <cellStyle name="20% - Accent1 8 7" xfId="5559" xr:uid="{00000000-0005-0000-0000-00006F060000}"/>
    <cellStyle name="20% - Accent1 8 7 2" xfId="13542" xr:uid="{00000000-0005-0000-0000-000070060000}"/>
    <cellStyle name="20% - Accent1 8 7 2 2" xfId="37385" xr:uid="{C5279F98-B470-48D1-A960-495F604BAD28}"/>
    <cellStyle name="20% - Accent1 8 7 3" xfId="21490" xr:uid="{00000000-0005-0000-0000-000071060000}"/>
    <cellStyle name="20% - Accent1 8 7 3 2" xfId="45322" xr:uid="{E7F0A5E5-1407-47E9-B18E-349B2023E25D}"/>
    <cellStyle name="20% - Accent1 8 7 4" xfId="29444" xr:uid="{EA65AAC9-024A-4C1E-B29A-EEFEE7DC8F78}"/>
    <cellStyle name="20% - Accent1 8 8" xfId="9111" xr:uid="{00000000-0005-0000-0000-000072060000}"/>
    <cellStyle name="20% - Accent1 8 8 2" xfId="17069" xr:uid="{00000000-0005-0000-0000-000073060000}"/>
    <cellStyle name="20% - Accent1 8 8 2 2" xfId="40909" xr:uid="{2F2D751A-AA4D-4DA5-8B17-49ED7108CA37}"/>
    <cellStyle name="20% - Accent1 8 8 3" xfId="25013" xr:uid="{00000000-0005-0000-0000-000074060000}"/>
    <cellStyle name="20% - Accent1 8 8 3 2" xfId="48845" xr:uid="{8F027CA9-2589-4A93-B4AF-02BB6EE8114F}"/>
    <cellStyle name="20% - Accent1 8 8 4" xfId="32968" xr:uid="{D992764E-D7E4-465C-886E-12A44D53F860}"/>
    <cellStyle name="20% - Accent1 8 9" xfId="10007" xr:uid="{00000000-0005-0000-0000-000075060000}"/>
    <cellStyle name="20% - Accent1 8 9 2" xfId="33856" xr:uid="{37421DFB-BDA7-4C12-B68E-A7479BE533B5}"/>
    <cellStyle name="20% - Accent1 8_Exh G" xfId="2038" xr:uid="{00000000-0005-0000-0000-000076060000}"/>
    <cellStyle name="20% - Accent1 9" xfId="69" xr:uid="{00000000-0005-0000-0000-000077060000}"/>
    <cellStyle name="20% - Accent1 9 10" xfId="17966" xr:uid="{00000000-0005-0000-0000-000078060000}"/>
    <cellStyle name="20% - Accent1 9 10 2" xfId="41798" xr:uid="{5CE264C7-3DF7-4FF8-A9B0-22D899F39C4B}"/>
    <cellStyle name="20% - Accent1 9 11" xfId="25918" xr:uid="{D00EF97B-6AE7-476E-B426-429FBB85C80F}"/>
    <cellStyle name="20% - Accent1 9 2" xfId="70" xr:uid="{00000000-0005-0000-0000-000079060000}"/>
    <cellStyle name="20% - Accent1 9 2 2" xfId="71" xr:uid="{00000000-0005-0000-0000-00007A060000}"/>
    <cellStyle name="20% - Accent1 9 2 2 2" xfId="1097" xr:uid="{00000000-0005-0000-0000-00007B060000}"/>
    <cellStyle name="20% - Accent1 9 2 2 2 2" xfId="4624" xr:uid="{00000000-0005-0000-0000-00007C060000}"/>
    <cellStyle name="20% - Accent1 9 2 2 2 2 2" xfId="8215" xr:uid="{00000000-0005-0000-0000-00007D060000}"/>
    <cellStyle name="20% - Accent1 9 2 2 2 2 2 2" xfId="16185" xr:uid="{00000000-0005-0000-0000-00007E060000}"/>
    <cellStyle name="20% - Accent1 9 2 2 2 2 2 2 2" xfId="40027" xr:uid="{055E963F-21F5-433F-931D-EBE8F69F3AFB}"/>
    <cellStyle name="20% - Accent1 9 2 2 2 2 2 3" xfId="24131" xr:uid="{00000000-0005-0000-0000-00007F060000}"/>
    <cellStyle name="20% - Accent1 9 2 2 2 2 2 3 2" xfId="47963" xr:uid="{FFB1A735-300A-4871-BF3F-ABB6E0DF188F}"/>
    <cellStyle name="20% - Accent1 9 2 2 2 2 2 4" xfId="32086" xr:uid="{B3B6E932-AB1E-4787-973D-1D38A0BC3C55}"/>
    <cellStyle name="20% - Accent1 9 2 2 2 2 3" xfId="12647" xr:uid="{00000000-0005-0000-0000-000080060000}"/>
    <cellStyle name="20% - Accent1 9 2 2 2 2 3 2" xfId="36496" xr:uid="{F30B7A51-D640-4BD8-9F05-B041540828B2}"/>
    <cellStyle name="20% - Accent1 9 2 2 2 2 4" xfId="20602" xr:uid="{00000000-0005-0000-0000-000081060000}"/>
    <cellStyle name="20% - Accent1 9 2 2 2 2 4 2" xfId="44434" xr:uid="{794CB63B-5A57-45DD-B473-16211CE49041}"/>
    <cellStyle name="20% - Accent1 9 2 2 2 2 5" xfId="28555" xr:uid="{7EBE9250-103F-4D8D-8803-7D41B1E6E822}"/>
    <cellStyle name="20% - Accent1 9 2 2 2 3" xfId="6456" xr:uid="{00000000-0005-0000-0000-000082060000}"/>
    <cellStyle name="20% - Accent1 9 2 2 2 3 2" xfId="14427" xr:uid="{00000000-0005-0000-0000-000083060000}"/>
    <cellStyle name="20% - Accent1 9 2 2 2 3 2 2" xfId="38269" xr:uid="{F1427B12-7797-4554-8F54-8BB29359A025}"/>
    <cellStyle name="20% - Accent1 9 2 2 2 3 3" xfId="22374" xr:uid="{00000000-0005-0000-0000-000084060000}"/>
    <cellStyle name="20% - Accent1 9 2 2 2 3 3 2" xfId="46206" xr:uid="{2DC968A0-8BE4-4248-A094-AF5B87478A7F}"/>
    <cellStyle name="20% - Accent1 9 2 2 2 3 4" xfId="30328" xr:uid="{5585E1ED-85C9-474C-A72E-60D9FF854E10}"/>
    <cellStyle name="20% - Accent1 9 2 2 2 4" xfId="10891" xr:uid="{00000000-0005-0000-0000-000085060000}"/>
    <cellStyle name="20% - Accent1 9 2 2 2 4 2" xfId="34740" xr:uid="{8A20BF14-CC3A-4E22-8773-9DD01A400EAE}"/>
    <cellStyle name="20% - Accent1 9 2 2 2 5" xfId="18846" xr:uid="{00000000-0005-0000-0000-000086060000}"/>
    <cellStyle name="20% - Accent1 9 2 2 2 5 2" xfId="42678" xr:uid="{C23C65B3-8057-4E24-B57F-3280945472A2}"/>
    <cellStyle name="20% - Accent1 9 2 2 2 6" xfId="26798" xr:uid="{AAA41650-24F7-4B1C-B620-128CEB028C00}"/>
    <cellStyle name="20% - Accent1 9 2 2 2_Exh G" xfId="2051" xr:uid="{00000000-0005-0000-0000-000087060000}"/>
    <cellStyle name="20% - Accent1 9 2 2 3" xfId="3745" xr:uid="{00000000-0005-0000-0000-000088060000}"/>
    <cellStyle name="20% - Accent1 9 2 2 3 2" xfId="7337" xr:uid="{00000000-0005-0000-0000-000089060000}"/>
    <cellStyle name="20% - Accent1 9 2 2 3 2 2" xfId="15307" xr:uid="{00000000-0005-0000-0000-00008A060000}"/>
    <cellStyle name="20% - Accent1 9 2 2 3 2 2 2" xfId="39149" xr:uid="{8788B1F1-1AD0-49FB-A936-90AF9B02E221}"/>
    <cellStyle name="20% - Accent1 9 2 2 3 2 3" xfId="23253" xr:uid="{00000000-0005-0000-0000-00008B060000}"/>
    <cellStyle name="20% - Accent1 9 2 2 3 2 3 2" xfId="47085" xr:uid="{9E067F77-D929-4B3E-BA6B-1F4C361470D6}"/>
    <cellStyle name="20% - Accent1 9 2 2 3 2 4" xfId="31208" xr:uid="{80CB9B7F-C8F9-4F03-BB23-0B7374FEB8D0}"/>
    <cellStyle name="20% - Accent1 9 2 2 3 3" xfId="11769" xr:uid="{00000000-0005-0000-0000-00008C060000}"/>
    <cellStyle name="20% - Accent1 9 2 2 3 3 2" xfId="35618" xr:uid="{952EFE71-9C53-4ADB-89A3-B56B26406DF0}"/>
    <cellStyle name="20% - Accent1 9 2 2 3 4" xfId="19724" xr:uid="{00000000-0005-0000-0000-00008D060000}"/>
    <cellStyle name="20% - Accent1 9 2 2 3 4 2" xfId="43556" xr:uid="{10BEF184-C797-429A-AB21-982651D53CC6}"/>
    <cellStyle name="20% - Accent1 9 2 2 3 5" xfId="27677" xr:uid="{6D390BC5-B206-4F4F-91A7-19915D97A5E2}"/>
    <cellStyle name="20% - Accent1 9 2 2 4" xfId="5565" xr:uid="{00000000-0005-0000-0000-00008E060000}"/>
    <cellStyle name="20% - Accent1 9 2 2 4 2" xfId="13548" xr:uid="{00000000-0005-0000-0000-00008F060000}"/>
    <cellStyle name="20% - Accent1 9 2 2 4 2 2" xfId="37391" xr:uid="{6A2C420D-110F-4EF8-B991-B4FD74CBDC26}"/>
    <cellStyle name="20% - Accent1 9 2 2 4 3" xfId="21496" xr:uid="{00000000-0005-0000-0000-000090060000}"/>
    <cellStyle name="20% - Accent1 9 2 2 4 3 2" xfId="45328" xr:uid="{95633E1B-D3AF-4968-89F3-4BB4603EE578}"/>
    <cellStyle name="20% - Accent1 9 2 2 4 4" xfId="29450" xr:uid="{4E56B6DD-E80E-4E2B-9695-9FC2E3ABD7BE}"/>
    <cellStyle name="20% - Accent1 9 2 2 5" xfId="9117" xr:uid="{00000000-0005-0000-0000-000091060000}"/>
    <cellStyle name="20% - Accent1 9 2 2 5 2" xfId="17075" xr:uid="{00000000-0005-0000-0000-000092060000}"/>
    <cellStyle name="20% - Accent1 9 2 2 5 2 2" xfId="40915" xr:uid="{716FA175-8858-4FE6-BB3C-8A132DE67EC5}"/>
    <cellStyle name="20% - Accent1 9 2 2 5 3" xfId="25019" xr:uid="{00000000-0005-0000-0000-000093060000}"/>
    <cellStyle name="20% - Accent1 9 2 2 5 3 2" xfId="48851" xr:uid="{3B3F9620-BA57-4CCD-B91E-812A3CE709D8}"/>
    <cellStyle name="20% - Accent1 9 2 2 5 4" xfId="32974" xr:uid="{3A3CEB89-3291-43AB-A6B1-5F80DD4F36A3}"/>
    <cellStyle name="20% - Accent1 9 2 2 6" xfId="10013" xr:uid="{00000000-0005-0000-0000-000094060000}"/>
    <cellStyle name="20% - Accent1 9 2 2 6 2" xfId="33862" xr:uid="{F00B2DA2-DBE8-45FE-AE34-E0B7E1423A8B}"/>
    <cellStyle name="20% - Accent1 9 2 2 7" xfId="17968" xr:uid="{00000000-0005-0000-0000-000095060000}"/>
    <cellStyle name="20% - Accent1 9 2 2 7 2" xfId="41800" xr:uid="{EAB607C9-BBFE-4E15-AB7C-C1F8563E12DE}"/>
    <cellStyle name="20% - Accent1 9 2 2 8" xfId="25920" xr:uid="{5BCADB13-D912-42B3-B594-32557F3BB983}"/>
    <cellStyle name="20% - Accent1 9 2 2_Exh G" xfId="2050" xr:uid="{00000000-0005-0000-0000-000096060000}"/>
    <cellStyle name="20% - Accent1 9 2 3" xfId="1096" xr:uid="{00000000-0005-0000-0000-000097060000}"/>
    <cellStyle name="20% - Accent1 9 2 3 2" xfId="4623" xr:uid="{00000000-0005-0000-0000-000098060000}"/>
    <cellStyle name="20% - Accent1 9 2 3 2 2" xfId="8214" xr:uid="{00000000-0005-0000-0000-000099060000}"/>
    <cellStyle name="20% - Accent1 9 2 3 2 2 2" xfId="16184" xr:uid="{00000000-0005-0000-0000-00009A060000}"/>
    <cellStyle name="20% - Accent1 9 2 3 2 2 2 2" xfId="40026" xr:uid="{8D6E7FAC-FEF8-445D-97D0-D3CE1B7AC195}"/>
    <cellStyle name="20% - Accent1 9 2 3 2 2 3" xfId="24130" xr:uid="{00000000-0005-0000-0000-00009B060000}"/>
    <cellStyle name="20% - Accent1 9 2 3 2 2 3 2" xfId="47962" xr:uid="{37B50C3D-20B2-4A7B-AE2D-D98CEF84B560}"/>
    <cellStyle name="20% - Accent1 9 2 3 2 2 4" xfId="32085" xr:uid="{365F5058-7F2B-44BA-8147-A36944BE82C9}"/>
    <cellStyle name="20% - Accent1 9 2 3 2 3" xfId="12646" xr:uid="{00000000-0005-0000-0000-00009C060000}"/>
    <cellStyle name="20% - Accent1 9 2 3 2 3 2" xfId="36495" xr:uid="{723DF72D-B384-41C5-A9DD-2694C261F86F}"/>
    <cellStyle name="20% - Accent1 9 2 3 2 4" xfId="20601" xr:uid="{00000000-0005-0000-0000-00009D060000}"/>
    <cellStyle name="20% - Accent1 9 2 3 2 4 2" xfId="44433" xr:uid="{D3C82303-D265-4536-8384-7B596353FD76}"/>
    <cellStyle name="20% - Accent1 9 2 3 2 5" xfId="28554" xr:uid="{C82DC239-A627-4443-BCE5-E89804235BF2}"/>
    <cellStyle name="20% - Accent1 9 2 3 3" xfId="6455" xr:uid="{00000000-0005-0000-0000-00009E060000}"/>
    <cellStyle name="20% - Accent1 9 2 3 3 2" xfId="14426" xr:uid="{00000000-0005-0000-0000-00009F060000}"/>
    <cellStyle name="20% - Accent1 9 2 3 3 2 2" xfId="38268" xr:uid="{F432C1D6-8F2F-4EBB-BF7E-7C5D524CDD2B}"/>
    <cellStyle name="20% - Accent1 9 2 3 3 3" xfId="22373" xr:uid="{00000000-0005-0000-0000-0000A0060000}"/>
    <cellStyle name="20% - Accent1 9 2 3 3 3 2" xfId="46205" xr:uid="{42D1A948-74E1-483B-9FC2-D351944F83C7}"/>
    <cellStyle name="20% - Accent1 9 2 3 3 4" xfId="30327" xr:uid="{B8DBFE2C-FB05-410C-A9FD-597BA7556AA5}"/>
    <cellStyle name="20% - Accent1 9 2 3 4" xfId="10890" xr:uid="{00000000-0005-0000-0000-0000A1060000}"/>
    <cellStyle name="20% - Accent1 9 2 3 4 2" xfId="34739" xr:uid="{F5CBAFCA-9EC9-43CF-8930-8CE006386327}"/>
    <cellStyle name="20% - Accent1 9 2 3 5" xfId="18845" xr:uid="{00000000-0005-0000-0000-0000A2060000}"/>
    <cellStyle name="20% - Accent1 9 2 3 5 2" xfId="42677" xr:uid="{07741977-4B9E-4C04-9707-8FB7511C0AF3}"/>
    <cellStyle name="20% - Accent1 9 2 3 6" xfId="26797" xr:uid="{F839F7BD-D6F4-41EB-B11B-F8B0E1C8E92A}"/>
    <cellStyle name="20% - Accent1 9 2 3_Exh G" xfId="2052" xr:uid="{00000000-0005-0000-0000-0000A3060000}"/>
    <cellStyle name="20% - Accent1 9 2 4" xfId="3744" xr:uid="{00000000-0005-0000-0000-0000A4060000}"/>
    <cellStyle name="20% - Accent1 9 2 4 2" xfId="7336" xr:uid="{00000000-0005-0000-0000-0000A5060000}"/>
    <cellStyle name="20% - Accent1 9 2 4 2 2" xfId="15306" xr:uid="{00000000-0005-0000-0000-0000A6060000}"/>
    <cellStyle name="20% - Accent1 9 2 4 2 2 2" xfId="39148" xr:uid="{67920D1E-2343-44AC-BF76-80D94D460FC6}"/>
    <cellStyle name="20% - Accent1 9 2 4 2 3" xfId="23252" xr:uid="{00000000-0005-0000-0000-0000A7060000}"/>
    <cellStyle name="20% - Accent1 9 2 4 2 3 2" xfId="47084" xr:uid="{F367FDDB-7C0C-485C-85F1-BE9FFA579011}"/>
    <cellStyle name="20% - Accent1 9 2 4 2 4" xfId="31207" xr:uid="{63591028-EB5B-49AC-A539-3DF05AB22329}"/>
    <cellStyle name="20% - Accent1 9 2 4 3" xfId="11768" xr:uid="{00000000-0005-0000-0000-0000A8060000}"/>
    <cellStyle name="20% - Accent1 9 2 4 3 2" xfId="35617" xr:uid="{7E6B2F2C-6056-428D-8955-BCFD7091C484}"/>
    <cellStyle name="20% - Accent1 9 2 4 4" xfId="19723" xr:uid="{00000000-0005-0000-0000-0000A9060000}"/>
    <cellStyle name="20% - Accent1 9 2 4 4 2" xfId="43555" xr:uid="{4BF2B86C-0F7D-4FCD-A0EE-0BE0EDB19644}"/>
    <cellStyle name="20% - Accent1 9 2 4 5" xfId="27676" xr:uid="{C3C4E179-17CC-442D-A6B3-7C7BD3ECD175}"/>
    <cellStyle name="20% - Accent1 9 2 5" xfId="5564" xr:uid="{00000000-0005-0000-0000-0000AA060000}"/>
    <cellStyle name="20% - Accent1 9 2 5 2" xfId="13547" xr:uid="{00000000-0005-0000-0000-0000AB060000}"/>
    <cellStyle name="20% - Accent1 9 2 5 2 2" xfId="37390" xr:uid="{0EE8ADA5-8EF9-4278-B2F0-37B64E0CFC19}"/>
    <cellStyle name="20% - Accent1 9 2 5 3" xfId="21495" xr:uid="{00000000-0005-0000-0000-0000AC060000}"/>
    <cellStyle name="20% - Accent1 9 2 5 3 2" xfId="45327" xr:uid="{F8C25512-965B-4ECF-8977-419EFA68B98A}"/>
    <cellStyle name="20% - Accent1 9 2 5 4" xfId="29449" xr:uid="{7AAC9A57-3D05-47EC-9054-DFBE250DED1C}"/>
    <cellStyle name="20% - Accent1 9 2 6" xfId="9116" xr:uid="{00000000-0005-0000-0000-0000AD060000}"/>
    <cellStyle name="20% - Accent1 9 2 6 2" xfId="17074" xr:uid="{00000000-0005-0000-0000-0000AE060000}"/>
    <cellStyle name="20% - Accent1 9 2 6 2 2" xfId="40914" xr:uid="{24EF1745-0051-4AB8-99EC-A66CD1BBF851}"/>
    <cellStyle name="20% - Accent1 9 2 6 3" xfId="25018" xr:uid="{00000000-0005-0000-0000-0000AF060000}"/>
    <cellStyle name="20% - Accent1 9 2 6 3 2" xfId="48850" xr:uid="{F696BCC6-E8D5-438A-93C6-9EA39C0A1A62}"/>
    <cellStyle name="20% - Accent1 9 2 6 4" xfId="32973" xr:uid="{B62A7E3F-28B6-492C-9134-2D19815642B6}"/>
    <cellStyle name="20% - Accent1 9 2 7" xfId="10012" xr:uid="{00000000-0005-0000-0000-0000B0060000}"/>
    <cellStyle name="20% - Accent1 9 2 7 2" xfId="33861" xr:uid="{BC7716EF-6A5B-4ACD-ACAA-ECF871AB44E7}"/>
    <cellStyle name="20% - Accent1 9 2 8" xfId="17967" xr:uid="{00000000-0005-0000-0000-0000B1060000}"/>
    <cellStyle name="20% - Accent1 9 2 8 2" xfId="41799" xr:uid="{99BB3050-CA32-43B6-A099-CD22AC1092E8}"/>
    <cellStyle name="20% - Accent1 9 2 9" xfId="25919" xr:uid="{DFECE31F-2E6E-4FE9-B4DE-9FC445E5385B}"/>
    <cellStyle name="20% - Accent1 9 2_Exh G" xfId="2049" xr:uid="{00000000-0005-0000-0000-0000B2060000}"/>
    <cellStyle name="20% - Accent1 9 3" xfId="72" xr:uid="{00000000-0005-0000-0000-0000B3060000}"/>
    <cellStyle name="20% - Accent1 9 3 2" xfId="1098" xr:uid="{00000000-0005-0000-0000-0000B4060000}"/>
    <cellStyle name="20% - Accent1 9 3 2 2" xfId="4625" xr:uid="{00000000-0005-0000-0000-0000B5060000}"/>
    <cellStyle name="20% - Accent1 9 3 2 2 2" xfId="8216" xr:uid="{00000000-0005-0000-0000-0000B6060000}"/>
    <cellStyle name="20% - Accent1 9 3 2 2 2 2" xfId="16186" xr:uid="{00000000-0005-0000-0000-0000B7060000}"/>
    <cellStyle name="20% - Accent1 9 3 2 2 2 2 2" xfId="40028" xr:uid="{1C285B62-4BBA-48A4-92D7-853248C7B4BA}"/>
    <cellStyle name="20% - Accent1 9 3 2 2 2 3" xfId="24132" xr:uid="{00000000-0005-0000-0000-0000B8060000}"/>
    <cellStyle name="20% - Accent1 9 3 2 2 2 3 2" xfId="47964" xr:uid="{4007ABC5-9229-4700-927E-5B06F7D2F72F}"/>
    <cellStyle name="20% - Accent1 9 3 2 2 2 4" xfId="32087" xr:uid="{9EA59C6F-57E7-439C-B62E-2EB8D080E450}"/>
    <cellStyle name="20% - Accent1 9 3 2 2 3" xfId="12648" xr:uid="{00000000-0005-0000-0000-0000B9060000}"/>
    <cellStyle name="20% - Accent1 9 3 2 2 3 2" xfId="36497" xr:uid="{F4B844DE-A186-4F9E-BCAF-F988060C79B5}"/>
    <cellStyle name="20% - Accent1 9 3 2 2 4" xfId="20603" xr:uid="{00000000-0005-0000-0000-0000BA060000}"/>
    <cellStyle name="20% - Accent1 9 3 2 2 4 2" xfId="44435" xr:uid="{88DCBBC8-76A4-4FC7-A237-7AF9A51EA96F}"/>
    <cellStyle name="20% - Accent1 9 3 2 2 5" xfId="28556" xr:uid="{18828389-70C4-485C-9D66-C170EE87749A}"/>
    <cellStyle name="20% - Accent1 9 3 2 3" xfId="6457" xr:uid="{00000000-0005-0000-0000-0000BB060000}"/>
    <cellStyle name="20% - Accent1 9 3 2 3 2" xfId="14428" xr:uid="{00000000-0005-0000-0000-0000BC060000}"/>
    <cellStyle name="20% - Accent1 9 3 2 3 2 2" xfId="38270" xr:uid="{956A05F9-7299-4171-BE0F-ED53BCFEC25B}"/>
    <cellStyle name="20% - Accent1 9 3 2 3 3" xfId="22375" xr:uid="{00000000-0005-0000-0000-0000BD060000}"/>
    <cellStyle name="20% - Accent1 9 3 2 3 3 2" xfId="46207" xr:uid="{D0952827-D206-4AE0-A080-F1A0AA0452CC}"/>
    <cellStyle name="20% - Accent1 9 3 2 3 4" xfId="30329" xr:uid="{B15E0BCF-E92E-4DE7-B1C5-EF54F3BCBBAB}"/>
    <cellStyle name="20% - Accent1 9 3 2 4" xfId="10892" xr:uid="{00000000-0005-0000-0000-0000BE060000}"/>
    <cellStyle name="20% - Accent1 9 3 2 4 2" xfId="34741" xr:uid="{D6328596-41EA-43ED-8AF0-5A8583D786C5}"/>
    <cellStyle name="20% - Accent1 9 3 2 5" xfId="18847" xr:uid="{00000000-0005-0000-0000-0000BF060000}"/>
    <cellStyle name="20% - Accent1 9 3 2 5 2" xfId="42679" xr:uid="{F6D4D74E-3252-4BB1-AC76-D4F58F76A0F3}"/>
    <cellStyle name="20% - Accent1 9 3 2 6" xfId="26799" xr:uid="{41D0F5E3-6B25-41E9-9004-18153D970B30}"/>
    <cellStyle name="20% - Accent1 9 3 2_Exh G" xfId="2054" xr:uid="{00000000-0005-0000-0000-0000C0060000}"/>
    <cellStyle name="20% - Accent1 9 3 3" xfId="3746" xr:uid="{00000000-0005-0000-0000-0000C1060000}"/>
    <cellStyle name="20% - Accent1 9 3 3 2" xfId="7338" xr:uid="{00000000-0005-0000-0000-0000C2060000}"/>
    <cellStyle name="20% - Accent1 9 3 3 2 2" xfId="15308" xr:uid="{00000000-0005-0000-0000-0000C3060000}"/>
    <cellStyle name="20% - Accent1 9 3 3 2 2 2" xfId="39150" xr:uid="{7B586D59-D362-4186-ADB5-20D6BB2C1B7E}"/>
    <cellStyle name="20% - Accent1 9 3 3 2 3" xfId="23254" xr:uid="{00000000-0005-0000-0000-0000C4060000}"/>
    <cellStyle name="20% - Accent1 9 3 3 2 3 2" xfId="47086" xr:uid="{A212BC75-440A-469F-9D57-604C25372A31}"/>
    <cellStyle name="20% - Accent1 9 3 3 2 4" xfId="31209" xr:uid="{E2C2AFEA-59E9-4457-B865-6B06CAFBA91C}"/>
    <cellStyle name="20% - Accent1 9 3 3 3" xfId="11770" xr:uid="{00000000-0005-0000-0000-0000C5060000}"/>
    <cellStyle name="20% - Accent1 9 3 3 3 2" xfId="35619" xr:uid="{F0398D94-658B-4953-AAC7-5E8153AA0927}"/>
    <cellStyle name="20% - Accent1 9 3 3 4" xfId="19725" xr:uid="{00000000-0005-0000-0000-0000C6060000}"/>
    <cellStyle name="20% - Accent1 9 3 3 4 2" xfId="43557" xr:uid="{0B0DF2A6-ADEC-4F19-B2BA-78CBDD12C833}"/>
    <cellStyle name="20% - Accent1 9 3 3 5" xfId="27678" xr:uid="{A3496501-6F0A-4976-B6A8-F93C9D368B9D}"/>
    <cellStyle name="20% - Accent1 9 3 4" xfId="5566" xr:uid="{00000000-0005-0000-0000-0000C7060000}"/>
    <cellStyle name="20% - Accent1 9 3 4 2" xfId="13549" xr:uid="{00000000-0005-0000-0000-0000C8060000}"/>
    <cellStyle name="20% - Accent1 9 3 4 2 2" xfId="37392" xr:uid="{0EEEC193-ACC8-4DD9-83DE-65BE79822CE9}"/>
    <cellStyle name="20% - Accent1 9 3 4 3" xfId="21497" xr:uid="{00000000-0005-0000-0000-0000C9060000}"/>
    <cellStyle name="20% - Accent1 9 3 4 3 2" xfId="45329" xr:uid="{747301F3-295B-4615-AEBF-354787CD5F1D}"/>
    <cellStyle name="20% - Accent1 9 3 4 4" xfId="29451" xr:uid="{B6B4D32F-1A05-4DE3-B377-918C62472DEC}"/>
    <cellStyle name="20% - Accent1 9 3 5" xfId="9118" xr:uid="{00000000-0005-0000-0000-0000CA060000}"/>
    <cellStyle name="20% - Accent1 9 3 5 2" xfId="17076" xr:uid="{00000000-0005-0000-0000-0000CB060000}"/>
    <cellStyle name="20% - Accent1 9 3 5 2 2" xfId="40916" xr:uid="{F4F513B7-43C8-4B2F-A29F-E9AB01A14361}"/>
    <cellStyle name="20% - Accent1 9 3 5 3" xfId="25020" xr:uid="{00000000-0005-0000-0000-0000CC060000}"/>
    <cellStyle name="20% - Accent1 9 3 5 3 2" xfId="48852" xr:uid="{C58D1745-D581-44E7-9AE8-3F9E2483F64D}"/>
    <cellStyle name="20% - Accent1 9 3 5 4" xfId="32975" xr:uid="{7C1B6E0E-6723-4340-955F-B60C9F44215B}"/>
    <cellStyle name="20% - Accent1 9 3 6" xfId="10014" xr:uid="{00000000-0005-0000-0000-0000CD060000}"/>
    <cellStyle name="20% - Accent1 9 3 6 2" xfId="33863" xr:uid="{80D0243A-D17E-4B54-B903-2B736B38A438}"/>
    <cellStyle name="20% - Accent1 9 3 7" xfId="17969" xr:uid="{00000000-0005-0000-0000-0000CE060000}"/>
    <cellStyle name="20% - Accent1 9 3 7 2" xfId="41801" xr:uid="{AAAA000D-EDAA-4371-8EC8-3165266636D9}"/>
    <cellStyle name="20% - Accent1 9 3 8" xfId="25921" xr:uid="{D54BD04D-1FC1-4061-BF89-2A9573A2252A}"/>
    <cellStyle name="20% - Accent1 9 3_Exh G" xfId="2053" xr:uid="{00000000-0005-0000-0000-0000CF060000}"/>
    <cellStyle name="20% - Accent1 9 4" xfId="870" xr:uid="{00000000-0005-0000-0000-0000D0060000}"/>
    <cellStyle name="20% - Accent1 9 4 2" xfId="1801" xr:uid="{00000000-0005-0000-0000-0000D1060000}"/>
    <cellStyle name="20% - Accent1 9 4 2 2" xfId="5318" xr:uid="{00000000-0005-0000-0000-0000D2060000}"/>
    <cellStyle name="20% - Accent1 9 4 2 2 2" xfId="8909" xr:uid="{00000000-0005-0000-0000-0000D3060000}"/>
    <cellStyle name="20% - Accent1 9 4 2 2 2 2" xfId="16879" xr:uid="{00000000-0005-0000-0000-0000D4060000}"/>
    <cellStyle name="20% - Accent1 9 4 2 2 2 2 2" xfId="40721" xr:uid="{98E47717-731A-4394-A906-9403C60CA285}"/>
    <cellStyle name="20% - Accent1 9 4 2 2 2 3" xfId="24825" xr:uid="{00000000-0005-0000-0000-0000D5060000}"/>
    <cellStyle name="20% - Accent1 9 4 2 2 2 3 2" xfId="48657" xr:uid="{012ECB60-71A7-417D-8ABF-6859036C9C45}"/>
    <cellStyle name="20% - Accent1 9 4 2 2 2 4" xfId="32780" xr:uid="{11AB9524-1F51-42EE-B7BB-0372E286FBBC}"/>
    <cellStyle name="20% - Accent1 9 4 2 2 3" xfId="13341" xr:uid="{00000000-0005-0000-0000-0000D6060000}"/>
    <cellStyle name="20% - Accent1 9 4 2 2 3 2" xfId="37190" xr:uid="{F5555320-8A1C-4D00-B9ED-16F76B35426A}"/>
    <cellStyle name="20% - Accent1 9 4 2 2 4" xfId="21296" xr:uid="{00000000-0005-0000-0000-0000D7060000}"/>
    <cellStyle name="20% - Accent1 9 4 2 2 4 2" xfId="45128" xr:uid="{60398728-7322-4B0E-AF28-E67B2AC50B5F}"/>
    <cellStyle name="20% - Accent1 9 4 2 2 5" xfId="29249" xr:uid="{316BDC73-CAF3-4402-B229-D2B8C51E9CE8}"/>
    <cellStyle name="20% - Accent1 9 4 2 3" xfId="7150" xr:uid="{00000000-0005-0000-0000-0000D8060000}"/>
    <cellStyle name="20% - Accent1 9 4 2 3 2" xfId="15121" xr:uid="{00000000-0005-0000-0000-0000D9060000}"/>
    <cellStyle name="20% - Accent1 9 4 2 3 2 2" xfId="38963" xr:uid="{DAF20204-968A-42FA-A0B4-817A3A308DB9}"/>
    <cellStyle name="20% - Accent1 9 4 2 3 3" xfId="23068" xr:uid="{00000000-0005-0000-0000-0000DA060000}"/>
    <cellStyle name="20% - Accent1 9 4 2 3 3 2" xfId="46900" xr:uid="{C45D9EB7-DCDE-443A-AD84-644F56C08BD7}"/>
    <cellStyle name="20% - Accent1 9 4 2 3 4" xfId="31022" xr:uid="{B1BA71AA-8429-4789-99D8-2AD05C293315}"/>
    <cellStyle name="20% - Accent1 9 4 2 4" xfId="11585" xr:uid="{00000000-0005-0000-0000-0000DB060000}"/>
    <cellStyle name="20% - Accent1 9 4 2 4 2" xfId="35434" xr:uid="{CFD489A9-D87A-4D60-A29C-68B40449147F}"/>
    <cellStyle name="20% - Accent1 9 4 2 5" xfId="19540" xr:uid="{00000000-0005-0000-0000-0000DC060000}"/>
    <cellStyle name="20% - Accent1 9 4 2 5 2" xfId="43372" xr:uid="{74ED6920-D85F-4107-81D4-7BA92EFF96F1}"/>
    <cellStyle name="20% - Accent1 9 4 2 6" xfId="27492" xr:uid="{5BF3B362-DF70-4EBA-8BC7-18827CDD9B8F}"/>
    <cellStyle name="20% - Accent1 9 4 2_Exh G" xfId="2056" xr:uid="{00000000-0005-0000-0000-0000DD060000}"/>
    <cellStyle name="20% - Accent1 9 4 3" xfId="4439" xr:uid="{00000000-0005-0000-0000-0000DE060000}"/>
    <cellStyle name="20% - Accent1 9 4 3 2" xfId="8031" xr:uid="{00000000-0005-0000-0000-0000DF060000}"/>
    <cellStyle name="20% - Accent1 9 4 3 2 2" xfId="16001" xr:uid="{00000000-0005-0000-0000-0000E0060000}"/>
    <cellStyle name="20% - Accent1 9 4 3 2 2 2" xfId="39843" xr:uid="{7FD20639-989C-490B-A15F-B2BE7BE20C3D}"/>
    <cellStyle name="20% - Accent1 9 4 3 2 3" xfId="23947" xr:uid="{00000000-0005-0000-0000-0000E1060000}"/>
    <cellStyle name="20% - Accent1 9 4 3 2 3 2" xfId="47779" xr:uid="{9F99FE83-AD1D-49E6-8B06-76EE7A7E56A4}"/>
    <cellStyle name="20% - Accent1 9 4 3 2 4" xfId="31902" xr:uid="{AD6BBA3E-1000-4DC0-A15E-21F5B47023C3}"/>
    <cellStyle name="20% - Accent1 9 4 3 3" xfId="12463" xr:uid="{00000000-0005-0000-0000-0000E2060000}"/>
    <cellStyle name="20% - Accent1 9 4 3 3 2" xfId="36312" xr:uid="{8FC422C4-C0F0-4982-97A4-0D8158600CFE}"/>
    <cellStyle name="20% - Accent1 9 4 3 4" xfId="20418" xr:uid="{00000000-0005-0000-0000-0000E3060000}"/>
    <cellStyle name="20% - Accent1 9 4 3 4 2" xfId="44250" xr:uid="{F4D37FBE-B81A-4057-B52F-102917EB1534}"/>
    <cellStyle name="20% - Accent1 9 4 3 5" xfId="28371" xr:uid="{24B12E27-817E-4E08-A764-66D1BB6557AA}"/>
    <cellStyle name="20% - Accent1 9 4 4" xfId="6269" xr:uid="{00000000-0005-0000-0000-0000E4060000}"/>
    <cellStyle name="20% - Accent1 9 4 4 2" xfId="14243" xr:uid="{00000000-0005-0000-0000-0000E5060000}"/>
    <cellStyle name="20% - Accent1 9 4 4 2 2" xfId="38085" xr:uid="{C9FA761E-CB2B-4188-ABB4-E7ECDAE2C217}"/>
    <cellStyle name="20% - Accent1 9 4 4 3" xfId="22190" xr:uid="{00000000-0005-0000-0000-0000E6060000}"/>
    <cellStyle name="20% - Accent1 9 4 4 3 2" xfId="46022" xr:uid="{995C580F-AF38-46B6-933C-629DE04CD8D6}"/>
    <cellStyle name="20% - Accent1 9 4 4 4" xfId="30144" xr:uid="{C25D8EA1-5D77-42A8-BCA6-D70EE88EDB2A}"/>
    <cellStyle name="20% - Accent1 9 4 5" xfId="9811" xr:uid="{00000000-0005-0000-0000-0000E7060000}"/>
    <cellStyle name="20% - Accent1 9 4 5 2" xfId="17769" xr:uid="{00000000-0005-0000-0000-0000E8060000}"/>
    <cellStyle name="20% - Accent1 9 4 5 2 2" xfId="41609" xr:uid="{FA64B08D-ADB9-4C40-BBF9-6DEEBF69D28D}"/>
    <cellStyle name="20% - Accent1 9 4 5 3" xfId="25713" xr:uid="{00000000-0005-0000-0000-0000E9060000}"/>
    <cellStyle name="20% - Accent1 9 4 5 3 2" xfId="49545" xr:uid="{8C1B0B7C-4B07-4DD0-A80E-2A560530A34E}"/>
    <cellStyle name="20% - Accent1 9 4 5 4" xfId="33668" xr:uid="{B40A4BC3-B30A-47C9-8583-8CFFF09C9839}"/>
    <cellStyle name="20% - Accent1 9 4 6" xfId="10707" xr:uid="{00000000-0005-0000-0000-0000EA060000}"/>
    <cellStyle name="20% - Accent1 9 4 6 2" xfId="34556" xr:uid="{35A964A0-A65E-4506-98C6-B9420CCC491A}"/>
    <cellStyle name="20% - Accent1 9 4 7" xfId="18662" xr:uid="{00000000-0005-0000-0000-0000EB060000}"/>
    <cellStyle name="20% - Accent1 9 4 7 2" xfId="42494" xr:uid="{05FA5ADA-EEFC-4248-B80F-8F7C1CCEC174}"/>
    <cellStyle name="20% - Accent1 9 4 8" xfId="26614" xr:uid="{B950427B-75DF-42F5-98A2-C63304A2A444}"/>
    <cellStyle name="20% - Accent1 9 4_Exh G" xfId="2055" xr:uid="{00000000-0005-0000-0000-0000EC060000}"/>
    <cellStyle name="20% - Accent1 9 5" xfId="1095" xr:uid="{00000000-0005-0000-0000-0000ED060000}"/>
    <cellStyle name="20% - Accent1 9 5 2" xfId="4622" xr:uid="{00000000-0005-0000-0000-0000EE060000}"/>
    <cellStyle name="20% - Accent1 9 5 2 2" xfId="8213" xr:uid="{00000000-0005-0000-0000-0000EF060000}"/>
    <cellStyle name="20% - Accent1 9 5 2 2 2" xfId="16183" xr:uid="{00000000-0005-0000-0000-0000F0060000}"/>
    <cellStyle name="20% - Accent1 9 5 2 2 2 2" xfId="40025" xr:uid="{2C3225DA-5E51-4F64-9684-F3F77613CE66}"/>
    <cellStyle name="20% - Accent1 9 5 2 2 3" xfId="24129" xr:uid="{00000000-0005-0000-0000-0000F1060000}"/>
    <cellStyle name="20% - Accent1 9 5 2 2 3 2" xfId="47961" xr:uid="{BBC319A9-D3B7-4836-9F6D-E0FE80D48B83}"/>
    <cellStyle name="20% - Accent1 9 5 2 2 4" xfId="32084" xr:uid="{1FE37605-CE73-4A3F-A2E4-2E191D7350AF}"/>
    <cellStyle name="20% - Accent1 9 5 2 3" xfId="12645" xr:uid="{00000000-0005-0000-0000-0000F2060000}"/>
    <cellStyle name="20% - Accent1 9 5 2 3 2" xfId="36494" xr:uid="{0C594072-1971-4A07-8104-F135133414B2}"/>
    <cellStyle name="20% - Accent1 9 5 2 4" xfId="20600" xr:uid="{00000000-0005-0000-0000-0000F3060000}"/>
    <cellStyle name="20% - Accent1 9 5 2 4 2" xfId="44432" xr:uid="{5F04E985-A7E3-4150-AA91-848270FEC2F0}"/>
    <cellStyle name="20% - Accent1 9 5 2 5" xfId="28553" xr:uid="{89C2E08A-579A-4EC9-9883-3DD297C9E9CD}"/>
    <cellStyle name="20% - Accent1 9 5 3" xfId="6454" xr:uid="{00000000-0005-0000-0000-0000F4060000}"/>
    <cellStyle name="20% - Accent1 9 5 3 2" xfId="14425" xr:uid="{00000000-0005-0000-0000-0000F5060000}"/>
    <cellStyle name="20% - Accent1 9 5 3 2 2" xfId="38267" xr:uid="{BE110A8D-6ABE-4B34-97DB-EB01C9DD98E0}"/>
    <cellStyle name="20% - Accent1 9 5 3 3" xfId="22372" xr:uid="{00000000-0005-0000-0000-0000F6060000}"/>
    <cellStyle name="20% - Accent1 9 5 3 3 2" xfId="46204" xr:uid="{34B0E8E0-D534-4E89-B028-C4AAEAD04E4D}"/>
    <cellStyle name="20% - Accent1 9 5 3 4" xfId="30326" xr:uid="{27FDE367-CE93-4E36-8F6B-F22B2AD8CDBE}"/>
    <cellStyle name="20% - Accent1 9 5 4" xfId="10889" xr:uid="{00000000-0005-0000-0000-0000F7060000}"/>
    <cellStyle name="20% - Accent1 9 5 4 2" xfId="34738" xr:uid="{C22D8A12-9A71-4018-A6DA-BBB60BE960FD}"/>
    <cellStyle name="20% - Accent1 9 5 5" xfId="18844" xr:uid="{00000000-0005-0000-0000-0000F8060000}"/>
    <cellStyle name="20% - Accent1 9 5 5 2" xfId="42676" xr:uid="{716D48C7-643B-4657-BFDB-E59874449F08}"/>
    <cellStyle name="20% - Accent1 9 5 6" xfId="26796" xr:uid="{D9C7DFFA-B1E4-4513-AB0A-919C109E5F7B}"/>
    <cellStyle name="20% - Accent1 9 5_Exh G" xfId="2057" xr:uid="{00000000-0005-0000-0000-0000F9060000}"/>
    <cellStyle name="20% - Accent1 9 6" xfId="3743" xr:uid="{00000000-0005-0000-0000-0000FA060000}"/>
    <cellStyle name="20% - Accent1 9 6 2" xfId="7335" xr:uid="{00000000-0005-0000-0000-0000FB060000}"/>
    <cellStyle name="20% - Accent1 9 6 2 2" xfId="15305" xr:uid="{00000000-0005-0000-0000-0000FC060000}"/>
    <cellStyle name="20% - Accent1 9 6 2 2 2" xfId="39147" xr:uid="{C7E6FE19-3137-45F5-AADE-B759D1F75BDA}"/>
    <cellStyle name="20% - Accent1 9 6 2 3" xfId="23251" xr:uid="{00000000-0005-0000-0000-0000FD060000}"/>
    <cellStyle name="20% - Accent1 9 6 2 3 2" xfId="47083" xr:uid="{7AE2A0A5-601B-424F-99C4-73CD6FD02A60}"/>
    <cellStyle name="20% - Accent1 9 6 2 4" xfId="31206" xr:uid="{ECFCA466-B43D-4F72-8984-7A8AAD06D3DD}"/>
    <cellStyle name="20% - Accent1 9 6 3" xfId="11767" xr:uid="{00000000-0005-0000-0000-0000FE060000}"/>
    <cellStyle name="20% - Accent1 9 6 3 2" xfId="35616" xr:uid="{CFA798A1-AAA9-422F-B47F-74A310280F4B}"/>
    <cellStyle name="20% - Accent1 9 6 4" xfId="19722" xr:uid="{00000000-0005-0000-0000-0000FF060000}"/>
    <cellStyle name="20% - Accent1 9 6 4 2" xfId="43554" xr:uid="{95D3FB8A-AAF7-4066-BB91-653536A2E860}"/>
    <cellStyle name="20% - Accent1 9 6 5" xfId="27675" xr:uid="{A475127F-990B-4A19-8A92-E1ACB117F641}"/>
    <cellStyle name="20% - Accent1 9 7" xfId="5563" xr:uid="{00000000-0005-0000-0000-000000070000}"/>
    <cellStyle name="20% - Accent1 9 7 2" xfId="13546" xr:uid="{00000000-0005-0000-0000-000001070000}"/>
    <cellStyle name="20% - Accent1 9 7 2 2" xfId="37389" xr:uid="{B5ECD730-CE3E-438E-9B38-74E3EDA63367}"/>
    <cellStyle name="20% - Accent1 9 7 3" xfId="21494" xr:uid="{00000000-0005-0000-0000-000002070000}"/>
    <cellStyle name="20% - Accent1 9 7 3 2" xfId="45326" xr:uid="{72BD08CF-D1A3-4F0F-B6EA-4DBB9F99B857}"/>
    <cellStyle name="20% - Accent1 9 7 4" xfId="29448" xr:uid="{A99BA08C-ED6B-4152-B376-141994A741FD}"/>
    <cellStyle name="20% - Accent1 9 8" xfId="9115" xr:uid="{00000000-0005-0000-0000-000003070000}"/>
    <cellStyle name="20% - Accent1 9 8 2" xfId="17073" xr:uid="{00000000-0005-0000-0000-000004070000}"/>
    <cellStyle name="20% - Accent1 9 8 2 2" xfId="40913" xr:uid="{15E53FF1-26AC-46CD-A0CB-11C5A5AF6323}"/>
    <cellStyle name="20% - Accent1 9 8 3" xfId="25017" xr:uid="{00000000-0005-0000-0000-000005070000}"/>
    <cellStyle name="20% - Accent1 9 8 3 2" xfId="48849" xr:uid="{3AD3557A-EDBE-4297-9035-DB07DB797FD5}"/>
    <cellStyle name="20% - Accent1 9 8 4" xfId="32972" xr:uid="{692BA542-4F52-4B64-858E-1FDC3AED6479}"/>
    <cellStyle name="20% - Accent1 9 9" xfId="10011" xr:uid="{00000000-0005-0000-0000-000006070000}"/>
    <cellStyle name="20% - Accent1 9 9 2" xfId="33860" xr:uid="{73B465AA-2900-459D-A5E6-836A4536287A}"/>
    <cellStyle name="20% - Accent1 9_Exh G" xfId="2048" xr:uid="{00000000-0005-0000-0000-000007070000}"/>
    <cellStyle name="20% - Accent2" xfId="49687" builtinId="34" customBuiltin="1"/>
    <cellStyle name="20% - Accent2 10" xfId="73" xr:uid="{00000000-0005-0000-0000-000008070000}"/>
    <cellStyle name="20% - Accent2 10 10" xfId="17970" xr:uid="{00000000-0005-0000-0000-000009070000}"/>
    <cellStyle name="20% - Accent2 10 10 2" xfId="41802" xr:uid="{69C9839A-0A72-4D59-A784-DFC4AE8B6D02}"/>
    <cellStyle name="20% - Accent2 10 11" xfId="25922" xr:uid="{4D4CDCFF-2F1F-4783-A533-1EF606B9A213}"/>
    <cellStyle name="20% - Accent2 10 2" xfId="74" xr:uid="{00000000-0005-0000-0000-00000A070000}"/>
    <cellStyle name="20% - Accent2 10 2 2" xfId="75" xr:uid="{00000000-0005-0000-0000-00000B070000}"/>
    <cellStyle name="20% - Accent2 10 2 2 2" xfId="1101" xr:uid="{00000000-0005-0000-0000-00000C070000}"/>
    <cellStyle name="20% - Accent2 10 2 2 2 2" xfId="4628" xr:uid="{00000000-0005-0000-0000-00000D070000}"/>
    <cellStyle name="20% - Accent2 10 2 2 2 2 2" xfId="8219" xr:uid="{00000000-0005-0000-0000-00000E070000}"/>
    <cellStyle name="20% - Accent2 10 2 2 2 2 2 2" xfId="16189" xr:uid="{00000000-0005-0000-0000-00000F070000}"/>
    <cellStyle name="20% - Accent2 10 2 2 2 2 2 2 2" xfId="40031" xr:uid="{ECAA5275-F1DD-4F65-905D-1BD2D7AA8F41}"/>
    <cellStyle name="20% - Accent2 10 2 2 2 2 2 3" xfId="24135" xr:uid="{00000000-0005-0000-0000-000010070000}"/>
    <cellStyle name="20% - Accent2 10 2 2 2 2 2 3 2" xfId="47967" xr:uid="{2A05A29E-2DBA-423E-8293-AC1FE252B565}"/>
    <cellStyle name="20% - Accent2 10 2 2 2 2 2 4" xfId="32090" xr:uid="{2B51E44E-D208-4914-BE42-36A04AFFFA39}"/>
    <cellStyle name="20% - Accent2 10 2 2 2 2 3" xfId="12651" xr:uid="{00000000-0005-0000-0000-000011070000}"/>
    <cellStyle name="20% - Accent2 10 2 2 2 2 3 2" xfId="36500" xr:uid="{688CFEE9-979C-4470-BDDC-6D4ED4D334B1}"/>
    <cellStyle name="20% - Accent2 10 2 2 2 2 4" xfId="20606" xr:uid="{00000000-0005-0000-0000-000012070000}"/>
    <cellStyle name="20% - Accent2 10 2 2 2 2 4 2" xfId="44438" xr:uid="{0F8D9686-E32B-4539-A206-7DAA69413ED4}"/>
    <cellStyle name="20% - Accent2 10 2 2 2 2 5" xfId="28559" xr:uid="{76B820BC-5579-49C1-9509-3E6D3CFE22A4}"/>
    <cellStyle name="20% - Accent2 10 2 2 2 3" xfId="6460" xr:uid="{00000000-0005-0000-0000-000013070000}"/>
    <cellStyle name="20% - Accent2 10 2 2 2 3 2" xfId="14431" xr:uid="{00000000-0005-0000-0000-000014070000}"/>
    <cellStyle name="20% - Accent2 10 2 2 2 3 2 2" xfId="38273" xr:uid="{85703F6C-1473-42D3-B741-EE7FC90BC837}"/>
    <cellStyle name="20% - Accent2 10 2 2 2 3 3" xfId="22378" xr:uid="{00000000-0005-0000-0000-000015070000}"/>
    <cellStyle name="20% - Accent2 10 2 2 2 3 3 2" xfId="46210" xr:uid="{8C620D93-DB56-4918-AD89-C9185B12D0EA}"/>
    <cellStyle name="20% - Accent2 10 2 2 2 3 4" xfId="30332" xr:uid="{A54FC5AF-1FF3-46D0-88BE-56E9833135AF}"/>
    <cellStyle name="20% - Accent2 10 2 2 2 4" xfId="10895" xr:uid="{00000000-0005-0000-0000-000016070000}"/>
    <cellStyle name="20% - Accent2 10 2 2 2 4 2" xfId="34744" xr:uid="{E2C90D92-62C9-4BD5-9703-6D1218C852CC}"/>
    <cellStyle name="20% - Accent2 10 2 2 2 5" xfId="18850" xr:uid="{00000000-0005-0000-0000-000017070000}"/>
    <cellStyle name="20% - Accent2 10 2 2 2 5 2" xfId="42682" xr:uid="{1B7B67E7-CCC7-4AC0-910B-6F5029191A2B}"/>
    <cellStyle name="20% - Accent2 10 2 2 2 6" xfId="26802" xr:uid="{254EA27D-88AA-439A-AE61-7D3B90690862}"/>
    <cellStyle name="20% - Accent2 10 2 2 2_Exh G" xfId="2061" xr:uid="{00000000-0005-0000-0000-000018070000}"/>
    <cellStyle name="20% - Accent2 10 2 2 3" xfId="3749" xr:uid="{00000000-0005-0000-0000-000019070000}"/>
    <cellStyle name="20% - Accent2 10 2 2 3 2" xfId="7341" xr:uid="{00000000-0005-0000-0000-00001A070000}"/>
    <cellStyle name="20% - Accent2 10 2 2 3 2 2" xfId="15311" xr:uid="{00000000-0005-0000-0000-00001B070000}"/>
    <cellStyle name="20% - Accent2 10 2 2 3 2 2 2" xfId="39153" xr:uid="{6B84D9AE-61A2-4F26-A0E2-EA55419D55E9}"/>
    <cellStyle name="20% - Accent2 10 2 2 3 2 3" xfId="23257" xr:uid="{00000000-0005-0000-0000-00001C070000}"/>
    <cellStyle name="20% - Accent2 10 2 2 3 2 3 2" xfId="47089" xr:uid="{967FEB6F-6093-4327-A5E7-310A9AF598B4}"/>
    <cellStyle name="20% - Accent2 10 2 2 3 2 4" xfId="31212" xr:uid="{3C5E7163-D138-43CB-9945-B1AD0F9E521C}"/>
    <cellStyle name="20% - Accent2 10 2 2 3 3" xfId="11773" xr:uid="{00000000-0005-0000-0000-00001D070000}"/>
    <cellStyle name="20% - Accent2 10 2 2 3 3 2" xfId="35622" xr:uid="{69409D6A-A32D-459A-BE1F-70E6E865C9C6}"/>
    <cellStyle name="20% - Accent2 10 2 2 3 4" xfId="19728" xr:uid="{00000000-0005-0000-0000-00001E070000}"/>
    <cellStyle name="20% - Accent2 10 2 2 3 4 2" xfId="43560" xr:uid="{42EF103C-7E70-4107-A787-07A1E2D5A991}"/>
    <cellStyle name="20% - Accent2 10 2 2 3 5" xfId="27681" xr:uid="{98728628-4974-420B-BFA6-4CBEBE75574D}"/>
    <cellStyle name="20% - Accent2 10 2 2 4" xfId="5569" xr:uid="{00000000-0005-0000-0000-00001F070000}"/>
    <cellStyle name="20% - Accent2 10 2 2 4 2" xfId="13552" xr:uid="{00000000-0005-0000-0000-000020070000}"/>
    <cellStyle name="20% - Accent2 10 2 2 4 2 2" xfId="37395" xr:uid="{9BF65781-FE72-469A-BCAC-575EEF413267}"/>
    <cellStyle name="20% - Accent2 10 2 2 4 3" xfId="21500" xr:uid="{00000000-0005-0000-0000-000021070000}"/>
    <cellStyle name="20% - Accent2 10 2 2 4 3 2" xfId="45332" xr:uid="{A41C1A87-FCF9-46C8-BB2E-12ECD147629E}"/>
    <cellStyle name="20% - Accent2 10 2 2 4 4" xfId="29454" xr:uid="{F6EA7B92-1236-4265-AEF5-A330509C984B}"/>
    <cellStyle name="20% - Accent2 10 2 2 5" xfId="9121" xr:uid="{00000000-0005-0000-0000-000022070000}"/>
    <cellStyle name="20% - Accent2 10 2 2 5 2" xfId="17079" xr:uid="{00000000-0005-0000-0000-000023070000}"/>
    <cellStyle name="20% - Accent2 10 2 2 5 2 2" xfId="40919" xr:uid="{B23CF43D-CEC7-4956-BA39-7B15B36BA895}"/>
    <cellStyle name="20% - Accent2 10 2 2 5 3" xfId="25023" xr:uid="{00000000-0005-0000-0000-000024070000}"/>
    <cellStyle name="20% - Accent2 10 2 2 5 3 2" xfId="48855" xr:uid="{2373E329-9623-48F9-953F-E7478ED99A2D}"/>
    <cellStyle name="20% - Accent2 10 2 2 5 4" xfId="32978" xr:uid="{86CFDB2F-82BD-486C-A904-0D3EA1809C7D}"/>
    <cellStyle name="20% - Accent2 10 2 2 6" xfId="10017" xr:uid="{00000000-0005-0000-0000-000025070000}"/>
    <cellStyle name="20% - Accent2 10 2 2 6 2" xfId="33866" xr:uid="{2E095DFF-3A75-4D8C-AD51-FF3F073E3236}"/>
    <cellStyle name="20% - Accent2 10 2 2 7" xfId="17972" xr:uid="{00000000-0005-0000-0000-000026070000}"/>
    <cellStyle name="20% - Accent2 10 2 2 7 2" xfId="41804" xr:uid="{6992944E-3024-49E5-8FB2-4DB6C82CCBAC}"/>
    <cellStyle name="20% - Accent2 10 2 2 8" xfId="25924" xr:uid="{57D54106-9804-405F-A5B3-AAF06B874CDA}"/>
    <cellStyle name="20% - Accent2 10 2 2_Exh G" xfId="2060" xr:uid="{00000000-0005-0000-0000-000027070000}"/>
    <cellStyle name="20% - Accent2 10 2 3" xfId="1100" xr:uid="{00000000-0005-0000-0000-000028070000}"/>
    <cellStyle name="20% - Accent2 10 2 3 2" xfId="4627" xr:uid="{00000000-0005-0000-0000-000029070000}"/>
    <cellStyle name="20% - Accent2 10 2 3 2 2" xfId="8218" xr:uid="{00000000-0005-0000-0000-00002A070000}"/>
    <cellStyle name="20% - Accent2 10 2 3 2 2 2" xfId="16188" xr:uid="{00000000-0005-0000-0000-00002B070000}"/>
    <cellStyle name="20% - Accent2 10 2 3 2 2 2 2" xfId="40030" xr:uid="{987E9A95-BAC0-494E-B324-9213C2E89835}"/>
    <cellStyle name="20% - Accent2 10 2 3 2 2 3" xfId="24134" xr:uid="{00000000-0005-0000-0000-00002C070000}"/>
    <cellStyle name="20% - Accent2 10 2 3 2 2 3 2" xfId="47966" xr:uid="{DF136430-3FE2-47F4-B86D-8FCA183FBD1E}"/>
    <cellStyle name="20% - Accent2 10 2 3 2 2 4" xfId="32089" xr:uid="{59131B2B-25FE-454F-B34D-C24BCFFC6CC3}"/>
    <cellStyle name="20% - Accent2 10 2 3 2 3" xfId="12650" xr:uid="{00000000-0005-0000-0000-00002D070000}"/>
    <cellStyle name="20% - Accent2 10 2 3 2 3 2" xfId="36499" xr:uid="{5C6FC0FB-6F3D-4E9F-A891-DB3A5A94B340}"/>
    <cellStyle name="20% - Accent2 10 2 3 2 4" xfId="20605" xr:uid="{00000000-0005-0000-0000-00002E070000}"/>
    <cellStyle name="20% - Accent2 10 2 3 2 4 2" xfId="44437" xr:uid="{6F1C50A1-E90A-4DDD-A19F-85D50623E32F}"/>
    <cellStyle name="20% - Accent2 10 2 3 2 5" xfId="28558" xr:uid="{CC952F32-ACA7-4278-B475-F1C0BC26EBDE}"/>
    <cellStyle name="20% - Accent2 10 2 3 3" xfId="6459" xr:uid="{00000000-0005-0000-0000-00002F070000}"/>
    <cellStyle name="20% - Accent2 10 2 3 3 2" xfId="14430" xr:uid="{00000000-0005-0000-0000-000030070000}"/>
    <cellStyle name="20% - Accent2 10 2 3 3 2 2" xfId="38272" xr:uid="{8D02962B-0ABA-49E0-B4E7-9594B7D057FA}"/>
    <cellStyle name="20% - Accent2 10 2 3 3 3" xfId="22377" xr:uid="{00000000-0005-0000-0000-000031070000}"/>
    <cellStyle name="20% - Accent2 10 2 3 3 3 2" xfId="46209" xr:uid="{F5DE3824-95A6-4264-8B12-605C2795DFD6}"/>
    <cellStyle name="20% - Accent2 10 2 3 3 4" xfId="30331" xr:uid="{3655C210-F209-49E5-A371-4B9F03564B5E}"/>
    <cellStyle name="20% - Accent2 10 2 3 4" xfId="10894" xr:uid="{00000000-0005-0000-0000-000032070000}"/>
    <cellStyle name="20% - Accent2 10 2 3 4 2" xfId="34743" xr:uid="{BD1209AD-7F2C-45E9-AD6F-2F33D56CD457}"/>
    <cellStyle name="20% - Accent2 10 2 3 5" xfId="18849" xr:uid="{00000000-0005-0000-0000-000033070000}"/>
    <cellStyle name="20% - Accent2 10 2 3 5 2" xfId="42681" xr:uid="{84C7D83A-7DE8-466D-9CC6-68290CE1697F}"/>
    <cellStyle name="20% - Accent2 10 2 3 6" xfId="26801" xr:uid="{711E0AE3-7A04-43C1-84AF-64622FD2DECA}"/>
    <cellStyle name="20% - Accent2 10 2 3_Exh G" xfId="2062" xr:uid="{00000000-0005-0000-0000-000034070000}"/>
    <cellStyle name="20% - Accent2 10 2 4" xfId="3748" xr:uid="{00000000-0005-0000-0000-000035070000}"/>
    <cellStyle name="20% - Accent2 10 2 4 2" xfId="7340" xr:uid="{00000000-0005-0000-0000-000036070000}"/>
    <cellStyle name="20% - Accent2 10 2 4 2 2" xfId="15310" xr:uid="{00000000-0005-0000-0000-000037070000}"/>
    <cellStyle name="20% - Accent2 10 2 4 2 2 2" xfId="39152" xr:uid="{11645824-A201-4C31-9766-9AB6E691F865}"/>
    <cellStyle name="20% - Accent2 10 2 4 2 3" xfId="23256" xr:uid="{00000000-0005-0000-0000-000038070000}"/>
    <cellStyle name="20% - Accent2 10 2 4 2 3 2" xfId="47088" xr:uid="{2067AF19-F3E8-46F0-9740-B9297A745114}"/>
    <cellStyle name="20% - Accent2 10 2 4 2 4" xfId="31211" xr:uid="{30552F35-9534-4CE1-A3AF-B7D95A6E7CBB}"/>
    <cellStyle name="20% - Accent2 10 2 4 3" xfId="11772" xr:uid="{00000000-0005-0000-0000-000039070000}"/>
    <cellStyle name="20% - Accent2 10 2 4 3 2" xfId="35621" xr:uid="{B4C7035E-0B67-478C-B8E0-3A8CD80F1486}"/>
    <cellStyle name="20% - Accent2 10 2 4 4" xfId="19727" xr:uid="{00000000-0005-0000-0000-00003A070000}"/>
    <cellStyle name="20% - Accent2 10 2 4 4 2" xfId="43559" xr:uid="{DD0CFBEE-D383-4899-ACE4-5CE68EC221DD}"/>
    <cellStyle name="20% - Accent2 10 2 4 5" xfId="27680" xr:uid="{7DE0F90B-1474-4393-A1D4-B99E3C6E37A6}"/>
    <cellStyle name="20% - Accent2 10 2 5" xfId="5568" xr:uid="{00000000-0005-0000-0000-00003B070000}"/>
    <cellStyle name="20% - Accent2 10 2 5 2" xfId="13551" xr:uid="{00000000-0005-0000-0000-00003C070000}"/>
    <cellStyle name="20% - Accent2 10 2 5 2 2" xfId="37394" xr:uid="{8A39FF74-BF20-4C7F-AF67-68AD373ACAF4}"/>
    <cellStyle name="20% - Accent2 10 2 5 3" xfId="21499" xr:uid="{00000000-0005-0000-0000-00003D070000}"/>
    <cellStyle name="20% - Accent2 10 2 5 3 2" xfId="45331" xr:uid="{DE30677C-7632-4335-8822-F42529054845}"/>
    <cellStyle name="20% - Accent2 10 2 5 4" xfId="29453" xr:uid="{E0ED3C2E-D50B-461B-A893-0A0C14B59B9C}"/>
    <cellStyle name="20% - Accent2 10 2 6" xfId="9120" xr:uid="{00000000-0005-0000-0000-00003E070000}"/>
    <cellStyle name="20% - Accent2 10 2 6 2" xfId="17078" xr:uid="{00000000-0005-0000-0000-00003F070000}"/>
    <cellStyle name="20% - Accent2 10 2 6 2 2" xfId="40918" xr:uid="{4C2D49D0-D599-460C-8B64-B2464C537C07}"/>
    <cellStyle name="20% - Accent2 10 2 6 3" xfId="25022" xr:uid="{00000000-0005-0000-0000-000040070000}"/>
    <cellStyle name="20% - Accent2 10 2 6 3 2" xfId="48854" xr:uid="{0CD1CEEB-1BE1-4AC3-AF19-7280A576A64C}"/>
    <cellStyle name="20% - Accent2 10 2 6 4" xfId="32977" xr:uid="{F656F2BB-E138-4225-8765-CD9619462321}"/>
    <cellStyle name="20% - Accent2 10 2 7" xfId="10016" xr:uid="{00000000-0005-0000-0000-000041070000}"/>
    <cellStyle name="20% - Accent2 10 2 7 2" xfId="33865" xr:uid="{32D241B6-DEDD-4910-A5FE-9DFF3A1D3C95}"/>
    <cellStyle name="20% - Accent2 10 2 8" xfId="17971" xr:uid="{00000000-0005-0000-0000-000042070000}"/>
    <cellStyle name="20% - Accent2 10 2 8 2" xfId="41803" xr:uid="{3854A1FF-D3D6-4D4B-87A7-B102B5C9ED8C}"/>
    <cellStyle name="20% - Accent2 10 2 9" xfId="25923" xr:uid="{090DD8E8-53A3-46E5-B420-CFBFC85B063E}"/>
    <cellStyle name="20% - Accent2 10 2_Exh G" xfId="2059" xr:uid="{00000000-0005-0000-0000-000043070000}"/>
    <cellStyle name="20% - Accent2 10 3" xfId="76" xr:uid="{00000000-0005-0000-0000-000044070000}"/>
    <cellStyle name="20% - Accent2 10 3 2" xfId="1102" xr:uid="{00000000-0005-0000-0000-000045070000}"/>
    <cellStyle name="20% - Accent2 10 3 2 2" xfId="4629" xr:uid="{00000000-0005-0000-0000-000046070000}"/>
    <cellStyle name="20% - Accent2 10 3 2 2 2" xfId="8220" xr:uid="{00000000-0005-0000-0000-000047070000}"/>
    <cellStyle name="20% - Accent2 10 3 2 2 2 2" xfId="16190" xr:uid="{00000000-0005-0000-0000-000048070000}"/>
    <cellStyle name="20% - Accent2 10 3 2 2 2 2 2" xfId="40032" xr:uid="{74F22069-DEE9-44B9-820B-361A8D67A2CC}"/>
    <cellStyle name="20% - Accent2 10 3 2 2 2 3" xfId="24136" xr:uid="{00000000-0005-0000-0000-000049070000}"/>
    <cellStyle name="20% - Accent2 10 3 2 2 2 3 2" xfId="47968" xr:uid="{A62C7441-CD97-47AF-9CF8-25E7F4008A63}"/>
    <cellStyle name="20% - Accent2 10 3 2 2 2 4" xfId="32091" xr:uid="{39329C56-47D7-449C-BE82-C63F6E2B2ED2}"/>
    <cellStyle name="20% - Accent2 10 3 2 2 3" xfId="12652" xr:uid="{00000000-0005-0000-0000-00004A070000}"/>
    <cellStyle name="20% - Accent2 10 3 2 2 3 2" xfId="36501" xr:uid="{D6C48B43-DA5B-475E-BB0C-91A3D4ED2734}"/>
    <cellStyle name="20% - Accent2 10 3 2 2 4" xfId="20607" xr:uid="{00000000-0005-0000-0000-00004B070000}"/>
    <cellStyle name="20% - Accent2 10 3 2 2 4 2" xfId="44439" xr:uid="{12051B97-09CB-4E10-998D-818DCBB0AB87}"/>
    <cellStyle name="20% - Accent2 10 3 2 2 5" xfId="28560" xr:uid="{37B078D1-8DAE-4A28-BEF5-FA4AF8ABDB21}"/>
    <cellStyle name="20% - Accent2 10 3 2 3" xfId="6461" xr:uid="{00000000-0005-0000-0000-00004C070000}"/>
    <cellStyle name="20% - Accent2 10 3 2 3 2" xfId="14432" xr:uid="{00000000-0005-0000-0000-00004D070000}"/>
    <cellStyle name="20% - Accent2 10 3 2 3 2 2" xfId="38274" xr:uid="{E609EF29-6BE5-49E0-9B4B-08217CCC2C1F}"/>
    <cellStyle name="20% - Accent2 10 3 2 3 3" xfId="22379" xr:uid="{00000000-0005-0000-0000-00004E070000}"/>
    <cellStyle name="20% - Accent2 10 3 2 3 3 2" xfId="46211" xr:uid="{F73C7859-A699-44A6-8A76-B1C182891FC9}"/>
    <cellStyle name="20% - Accent2 10 3 2 3 4" xfId="30333" xr:uid="{9D89C7DF-EC5E-407E-ACF8-5F9F5F13F589}"/>
    <cellStyle name="20% - Accent2 10 3 2 4" xfId="10896" xr:uid="{00000000-0005-0000-0000-00004F070000}"/>
    <cellStyle name="20% - Accent2 10 3 2 4 2" xfId="34745" xr:uid="{2E7BA9C6-33DE-48CF-B6CE-810CF92678DB}"/>
    <cellStyle name="20% - Accent2 10 3 2 5" xfId="18851" xr:uid="{00000000-0005-0000-0000-000050070000}"/>
    <cellStyle name="20% - Accent2 10 3 2 5 2" xfId="42683" xr:uid="{B74B1692-6935-4D0B-A549-19E4EAF8A939}"/>
    <cellStyle name="20% - Accent2 10 3 2 6" xfId="26803" xr:uid="{2AA07F38-DB54-4D64-A175-7A2DD7DB7965}"/>
    <cellStyle name="20% - Accent2 10 3 2_Exh G" xfId="2064" xr:uid="{00000000-0005-0000-0000-000051070000}"/>
    <cellStyle name="20% - Accent2 10 3 3" xfId="3750" xr:uid="{00000000-0005-0000-0000-000052070000}"/>
    <cellStyle name="20% - Accent2 10 3 3 2" xfId="7342" xr:uid="{00000000-0005-0000-0000-000053070000}"/>
    <cellStyle name="20% - Accent2 10 3 3 2 2" xfId="15312" xr:uid="{00000000-0005-0000-0000-000054070000}"/>
    <cellStyle name="20% - Accent2 10 3 3 2 2 2" xfId="39154" xr:uid="{ECC36E1F-8844-47B0-89B3-33C46E760FB7}"/>
    <cellStyle name="20% - Accent2 10 3 3 2 3" xfId="23258" xr:uid="{00000000-0005-0000-0000-000055070000}"/>
    <cellStyle name="20% - Accent2 10 3 3 2 3 2" xfId="47090" xr:uid="{6359ADCC-B1E1-4572-83B1-B812A9A800D7}"/>
    <cellStyle name="20% - Accent2 10 3 3 2 4" xfId="31213" xr:uid="{7F43A1EF-BE80-4276-AE13-924764962B4E}"/>
    <cellStyle name="20% - Accent2 10 3 3 3" xfId="11774" xr:uid="{00000000-0005-0000-0000-000056070000}"/>
    <cellStyle name="20% - Accent2 10 3 3 3 2" xfId="35623" xr:uid="{B489E044-3EE2-4376-88BE-9C40E3F2CBB1}"/>
    <cellStyle name="20% - Accent2 10 3 3 4" xfId="19729" xr:uid="{00000000-0005-0000-0000-000057070000}"/>
    <cellStyle name="20% - Accent2 10 3 3 4 2" xfId="43561" xr:uid="{C0D5CBE6-9E32-49BA-ADC3-06606AF83C84}"/>
    <cellStyle name="20% - Accent2 10 3 3 5" xfId="27682" xr:uid="{EBFAD0A5-61A0-413C-88D6-A759602C9532}"/>
    <cellStyle name="20% - Accent2 10 3 4" xfId="5570" xr:uid="{00000000-0005-0000-0000-000058070000}"/>
    <cellStyle name="20% - Accent2 10 3 4 2" xfId="13553" xr:uid="{00000000-0005-0000-0000-000059070000}"/>
    <cellStyle name="20% - Accent2 10 3 4 2 2" xfId="37396" xr:uid="{58A21787-342F-4776-912E-9EBE6C23A115}"/>
    <cellStyle name="20% - Accent2 10 3 4 3" xfId="21501" xr:uid="{00000000-0005-0000-0000-00005A070000}"/>
    <cellStyle name="20% - Accent2 10 3 4 3 2" xfId="45333" xr:uid="{552667F4-7979-4AC1-A926-45F35160CA79}"/>
    <cellStyle name="20% - Accent2 10 3 4 4" xfId="29455" xr:uid="{BB0090D1-8422-4B2C-A837-0C83B8F93009}"/>
    <cellStyle name="20% - Accent2 10 3 5" xfId="9122" xr:uid="{00000000-0005-0000-0000-00005B070000}"/>
    <cellStyle name="20% - Accent2 10 3 5 2" xfId="17080" xr:uid="{00000000-0005-0000-0000-00005C070000}"/>
    <cellStyle name="20% - Accent2 10 3 5 2 2" xfId="40920" xr:uid="{D79B3228-78BD-4000-9A99-B0B4DE1E0CB6}"/>
    <cellStyle name="20% - Accent2 10 3 5 3" xfId="25024" xr:uid="{00000000-0005-0000-0000-00005D070000}"/>
    <cellStyle name="20% - Accent2 10 3 5 3 2" xfId="48856" xr:uid="{501617E7-2DBA-4009-BCCF-C4564864B3FC}"/>
    <cellStyle name="20% - Accent2 10 3 5 4" xfId="32979" xr:uid="{A29561AE-F590-472E-9AFB-CD72976F9EE7}"/>
    <cellStyle name="20% - Accent2 10 3 6" xfId="10018" xr:uid="{00000000-0005-0000-0000-00005E070000}"/>
    <cellStyle name="20% - Accent2 10 3 6 2" xfId="33867" xr:uid="{8044AFAA-E187-4258-ADA0-E21CAC7914DC}"/>
    <cellStyle name="20% - Accent2 10 3 7" xfId="17973" xr:uid="{00000000-0005-0000-0000-00005F070000}"/>
    <cellStyle name="20% - Accent2 10 3 7 2" xfId="41805" xr:uid="{40750E8B-9CEB-486C-A09C-D9DEFBC09889}"/>
    <cellStyle name="20% - Accent2 10 3 8" xfId="25925" xr:uid="{3BDAFDC6-305A-4EA4-BE68-92E6E5343660}"/>
    <cellStyle name="20% - Accent2 10 3_Exh G" xfId="2063" xr:uid="{00000000-0005-0000-0000-000060070000}"/>
    <cellStyle name="20% - Accent2 10 4" xfId="871" xr:uid="{00000000-0005-0000-0000-000061070000}"/>
    <cellStyle name="20% - Accent2 10 5" xfId="1099" xr:uid="{00000000-0005-0000-0000-000062070000}"/>
    <cellStyle name="20% - Accent2 10 5 2" xfId="4626" xr:uid="{00000000-0005-0000-0000-000063070000}"/>
    <cellStyle name="20% - Accent2 10 5 2 2" xfId="8217" xr:uid="{00000000-0005-0000-0000-000064070000}"/>
    <cellStyle name="20% - Accent2 10 5 2 2 2" xfId="16187" xr:uid="{00000000-0005-0000-0000-000065070000}"/>
    <cellStyle name="20% - Accent2 10 5 2 2 2 2" xfId="40029" xr:uid="{2852A212-3700-4A65-B06B-2A17034D6535}"/>
    <cellStyle name="20% - Accent2 10 5 2 2 3" xfId="24133" xr:uid="{00000000-0005-0000-0000-000066070000}"/>
    <cellStyle name="20% - Accent2 10 5 2 2 3 2" xfId="47965" xr:uid="{CD52D992-FC2A-48B7-BDB3-4DDFCA89C24E}"/>
    <cellStyle name="20% - Accent2 10 5 2 2 4" xfId="32088" xr:uid="{88915016-5C48-4AA2-8C21-4A6898F79F71}"/>
    <cellStyle name="20% - Accent2 10 5 2 3" xfId="12649" xr:uid="{00000000-0005-0000-0000-000067070000}"/>
    <cellStyle name="20% - Accent2 10 5 2 3 2" xfId="36498" xr:uid="{136C3F3B-7477-431F-8053-5C727F494354}"/>
    <cellStyle name="20% - Accent2 10 5 2 4" xfId="20604" xr:uid="{00000000-0005-0000-0000-000068070000}"/>
    <cellStyle name="20% - Accent2 10 5 2 4 2" xfId="44436" xr:uid="{9C9C9331-BFCF-4C38-B83D-E5042E688342}"/>
    <cellStyle name="20% - Accent2 10 5 2 5" xfId="28557" xr:uid="{3CE35814-3FAF-4437-9687-29E0411A510B}"/>
    <cellStyle name="20% - Accent2 10 5 3" xfId="6458" xr:uid="{00000000-0005-0000-0000-000069070000}"/>
    <cellStyle name="20% - Accent2 10 5 3 2" xfId="14429" xr:uid="{00000000-0005-0000-0000-00006A070000}"/>
    <cellStyle name="20% - Accent2 10 5 3 2 2" xfId="38271" xr:uid="{004650B3-25A3-490F-84B2-23B0B4BF295E}"/>
    <cellStyle name="20% - Accent2 10 5 3 3" xfId="22376" xr:uid="{00000000-0005-0000-0000-00006B070000}"/>
    <cellStyle name="20% - Accent2 10 5 3 3 2" xfId="46208" xr:uid="{A6377EF4-8B8A-43EB-96E2-B78E079E4DE6}"/>
    <cellStyle name="20% - Accent2 10 5 3 4" xfId="30330" xr:uid="{2472A4CB-0AA2-45B0-BE25-90875114F96B}"/>
    <cellStyle name="20% - Accent2 10 5 4" xfId="10893" xr:uid="{00000000-0005-0000-0000-00006C070000}"/>
    <cellStyle name="20% - Accent2 10 5 4 2" xfId="34742" xr:uid="{7E89CFB5-1575-4DF2-BCF3-C510CADC9ACD}"/>
    <cellStyle name="20% - Accent2 10 5 5" xfId="18848" xr:uid="{00000000-0005-0000-0000-00006D070000}"/>
    <cellStyle name="20% - Accent2 10 5 5 2" xfId="42680" xr:uid="{2432D45F-A95A-45FF-B151-6AD27D18400C}"/>
    <cellStyle name="20% - Accent2 10 5 6" xfId="26800" xr:uid="{6FE485D4-DB82-4950-B8B2-09723BEE1002}"/>
    <cellStyle name="20% - Accent2 10 5_Exh G" xfId="2065" xr:uid="{00000000-0005-0000-0000-00006E070000}"/>
    <cellStyle name="20% - Accent2 10 6" xfId="3747" xr:uid="{00000000-0005-0000-0000-00006F070000}"/>
    <cellStyle name="20% - Accent2 10 6 2" xfId="7339" xr:uid="{00000000-0005-0000-0000-000070070000}"/>
    <cellStyle name="20% - Accent2 10 6 2 2" xfId="15309" xr:uid="{00000000-0005-0000-0000-000071070000}"/>
    <cellStyle name="20% - Accent2 10 6 2 2 2" xfId="39151" xr:uid="{613C8DC9-F52A-47FD-92F7-1E517066A74C}"/>
    <cellStyle name="20% - Accent2 10 6 2 3" xfId="23255" xr:uid="{00000000-0005-0000-0000-000072070000}"/>
    <cellStyle name="20% - Accent2 10 6 2 3 2" xfId="47087" xr:uid="{F5E392F1-0F68-4DB9-9550-D0FA5B07A467}"/>
    <cellStyle name="20% - Accent2 10 6 2 4" xfId="31210" xr:uid="{35924FD8-9309-4097-A924-08A5184C609B}"/>
    <cellStyle name="20% - Accent2 10 6 3" xfId="11771" xr:uid="{00000000-0005-0000-0000-000073070000}"/>
    <cellStyle name="20% - Accent2 10 6 3 2" xfId="35620" xr:uid="{0D5575BB-16E5-460C-B4E4-2266933C249C}"/>
    <cellStyle name="20% - Accent2 10 6 4" xfId="19726" xr:uid="{00000000-0005-0000-0000-000074070000}"/>
    <cellStyle name="20% - Accent2 10 6 4 2" xfId="43558" xr:uid="{28C56133-6593-41D8-BED4-CDE17D3DA3EB}"/>
    <cellStyle name="20% - Accent2 10 6 5" xfId="27679" xr:uid="{4F6B3FB1-39BB-425D-9506-B4F34F3314F5}"/>
    <cellStyle name="20% - Accent2 10 7" xfId="5567" xr:uid="{00000000-0005-0000-0000-000075070000}"/>
    <cellStyle name="20% - Accent2 10 7 2" xfId="13550" xr:uid="{00000000-0005-0000-0000-000076070000}"/>
    <cellStyle name="20% - Accent2 10 7 2 2" xfId="37393" xr:uid="{B450000B-EC22-47E2-9D3A-2856D750CD67}"/>
    <cellStyle name="20% - Accent2 10 7 3" xfId="21498" xr:uid="{00000000-0005-0000-0000-000077070000}"/>
    <cellStyle name="20% - Accent2 10 7 3 2" xfId="45330" xr:uid="{29AB985B-CC36-49E8-ABD5-07D16D33CBED}"/>
    <cellStyle name="20% - Accent2 10 7 4" xfId="29452" xr:uid="{6DFB4AD9-34C7-4F67-B01F-5446CD238C24}"/>
    <cellStyle name="20% - Accent2 10 8" xfId="9119" xr:uid="{00000000-0005-0000-0000-000078070000}"/>
    <cellStyle name="20% - Accent2 10 8 2" xfId="17077" xr:uid="{00000000-0005-0000-0000-000079070000}"/>
    <cellStyle name="20% - Accent2 10 8 2 2" xfId="40917" xr:uid="{9A662306-BAE5-4B28-8C0A-599C3A90D48B}"/>
    <cellStyle name="20% - Accent2 10 8 3" xfId="25021" xr:uid="{00000000-0005-0000-0000-00007A070000}"/>
    <cellStyle name="20% - Accent2 10 8 3 2" xfId="48853" xr:uid="{F5978A84-0D75-4F35-9F45-2BD679CC9A0D}"/>
    <cellStyle name="20% - Accent2 10 8 4" xfId="32976" xr:uid="{75EEEDF7-C6B6-42F0-B7ED-8978D81CF052}"/>
    <cellStyle name="20% - Accent2 10 9" xfId="10015" xr:uid="{00000000-0005-0000-0000-00007B070000}"/>
    <cellStyle name="20% - Accent2 10 9 2" xfId="33864" xr:uid="{D89246AC-DEA7-42C0-834B-7951205665B6}"/>
    <cellStyle name="20% - Accent2 10_Exh G" xfId="2058" xr:uid="{00000000-0005-0000-0000-00007C070000}"/>
    <cellStyle name="20% - Accent2 11" xfId="77" xr:uid="{00000000-0005-0000-0000-00007D070000}"/>
    <cellStyle name="20% - Accent2 11 10" xfId="25926" xr:uid="{449FF441-0D71-4E4C-8371-1252FD9E8BE7}"/>
    <cellStyle name="20% - Accent2 11 2" xfId="78" xr:uid="{00000000-0005-0000-0000-00007E070000}"/>
    <cellStyle name="20% - Accent2 11 2 2" xfId="79" xr:uid="{00000000-0005-0000-0000-00007F070000}"/>
    <cellStyle name="20% - Accent2 11 2 2 2" xfId="1105" xr:uid="{00000000-0005-0000-0000-000080070000}"/>
    <cellStyle name="20% - Accent2 11 2 2 2 2" xfId="4632" xr:uid="{00000000-0005-0000-0000-000081070000}"/>
    <cellStyle name="20% - Accent2 11 2 2 2 2 2" xfId="8223" xr:uid="{00000000-0005-0000-0000-000082070000}"/>
    <cellStyle name="20% - Accent2 11 2 2 2 2 2 2" xfId="16193" xr:uid="{00000000-0005-0000-0000-000083070000}"/>
    <cellStyle name="20% - Accent2 11 2 2 2 2 2 2 2" xfId="40035" xr:uid="{C457D7EA-7C8D-4369-AA17-9A9E1696566C}"/>
    <cellStyle name="20% - Accent2 11 2 2 2 2 2 3" xfId="24139" xr:uid="{00000000-0005-0000-0000-000084070000}"/>
    <cellStyle name="20% - Accent2 11 2 2 2 2 2 3 2" xfId="47971" xr:uid="{E9E04251-24C7-4D3F-B7DC-7BD534136CAB}"/>
    <cellStyle name="20% - Accent2 11 2 2 2 2 2 4" xfId="32094" xr:uid="{B4CB7D0F-4415-4B1C-AE17-4A75AD3EBAA2}"/>
    <cellStyle name="20% - Accent2 11 2 2 2 2 3" xfId="12655" xr:uid="{00000000-0005-0000-0000-000085070000}"/>
    <cellStyle name="20% - Accent2 11 2 2 2 2 3 2" xfId="36504" xr:uid="{1E0FD7BF-5003-4736-9AF4-64B332C6BC0F}"/>
    <cellStyle name="20% - Accent2 11 2 2 2 2 4" xfId="20610" xr:uid="{00000000-0005-0000-0000-000086070000}"/>
    <cellStyle name="20% - Accent2 11 2 2 2 2 4 2" xfId="44442" xr:uid="{F646FBD8-0FCC-4626-94DA-4A1CFB174D7D}"/>
    <cellStyle name="20% - Accent2 11 2 2 2 2 5" xfId="28563" xr:uid="{10690D10-0C60-4E50-9C37-C44B777CC69E}"/>
    <cellStyle name="20% - Accent2 11 2 2 2 3" xfId="6464" xr:uid="{00000000-0005-0000-0000-000087070000}"/>
    <cellStyle name="20% - Accent2 11 2 2 2 3 2" xfId="14435" xr:uid="{00000000-0005-0000-0000-000088070000}"/>
    <cellStyle name="20% - Accent2 11 2 2 2 3 2 2" xfId="38277" xr:uid="{E4E70345-89A2-4C43-99CE-7A36E9A1CD96}"/>
    <cellStyle name="20% - Accent2 11 2 2 2 3 3" xfId="22382" xr:uid="{00000000-0005-0000-0000-000089070000}"/>
    <cellStyle name="20% - Accent2 11 2 2 2 3 3 2" xfId="46214" xr:uid="{AE9A109E-2137-43E9-9A12-C38259409A75}"/>
    <cellStyle name="20% - Accent2 11 2 2 2 3 4" xfId="30336" xr:uid="{32A59E4C-75B5-4D2D-B632-7A3B5114ADC4}"/>
    <cellStyle name="20% - Accent2 11 2 2 2 4" xfId="10899" xr:uid="{00000000-0005-0000-0000-00008A070000}"/>
    <cellStyle name="20% - Accent2 11 2 2 2 4 2" xfId="34748" xr:uid="{7DFE9F76-3CF0-49BD-8729-F058AAED0A54}"/>
    <cellStyle name="20% - Accent2 11 2 2 2 5" xfId="18854" xr:uid="{00000000-0005-0000-0000-00008B070000}"/>
    <cellStyle name="20% - Accent2 11 2 2 2 5 2" xfId="42686" xr:uid="{3231A7DB-D8A3-4CFF-90AB-E809D23255EF}"/>
    <cellStyle name="20% - Accent2 11 2 2 2 6" xfId="26806" xr:uid="{E43737DD-B900-4B5E-989A-900344C59B1F}"/>
    <cellStyle name="20% - Accent2 11 2 2 2_Exh G" xfId="2069" xr:uid="{00000000-0005-0000-0000-00008C070000}"/>
    <cellStyle name="20% - Accent2 11 2 2 3" xfId="3753" xr:uid="{00000000-0005-0000-0000-00008D070000}"/>
    <cellStyle name="20% - Accent2 11 2 2 3 2" xfId="7345" xr:uid="{00000000-0005-0000-0000-00008E070000}"/>
    <cellStyle name="20% - Accent2 11 2 2 3 2 2" xfId="15315" xr:uid="{00000000-0005-0000-0000-00008F070000}"/>
    <cellStyle name="20% - Accent2 11 2 2 3 2 2 2" xfId="39157" xr:uid="{625A2220-7A63-4040-B825-B16C577CF4DF}"/>
    <cellStyle name="20% - Accent2 11 2 2 3 2 3" xfId="23261" xr:uid="{00000000-0005-0000-0000-000090070000}"/>
    <cellStyle name="20% - Accent2 11 2 2 3 2 3 2" xfId="47093" xr:uid="{F2E868DA-E6EC-497B-9EFE-31269B4E78D9}"/>
    <cellStyle name="20% - Accent2 11 2 2 3 2 4" xfId="31216" xr:uid="{D8D3B81B-8326-4C2D-80BF-FF5EF9A9F078}"/>
    <cellStyle name="20% - Accent2 11 2 2 3 3" xfId="11777" xr:uid="{00000000-0005-0000-0000-000091070000}"/>
    <cellStyle name="20% - Accent2 11 2 2 3 3 2" xfId="35626" xr:uid="{E164739B-42AC-4981-A9AB-866F0CD15E7D}"/>
    <cellStyle name="20% - Accent2 11 2 2 3 4" xfId="19732" xr:uid="{00000000-0005-0000-0000-000092070000}"/>
    <cellStyle name="20% - Accent2 11 2 2 3 4 2" xfId="43564" xr:uid="{CE04FDBA-DC08-4B87-8CA8-8F93CEB8BF08}"/>
    <cellStyle name="20% - Accent2 11 2 2 3 5" xfId="27685" xr:uid="{AE3AD303-8633-496A-A81C-C685FCC8E4EE}"/>
    <cellStyle name="20% - Accent2 11 2 2 4" xfId="5573" xr:uid="{00000000-0005-0000-0000-000093070000}"/>
    <cellStyle name="20% - Accent2 11 2 2 4 2" xfId="13556" xr:uid="{00000000-0005-0000-0000-000094070000}"/>
    <cellStyle name="20% - Accent2 11 2 2 4 2 2" xfId="37399" xr:uid="{2FC82E29-DBA3-49D8-98BA-266EA0A98448}"/>
    <cellStyle name="20% - Accent2 11 2 2 4 3" xfId="21504" xr:uid="{00000000-0005-0000-0000-000095070000}"/>
    <cellStyle name="20% - Accent2 11 2 2 4 3 2" xfId="45336" xr:uid="{67CADB17-6AF3-4AC8-8113-D087D22381D3}"/>
    <cellStyle name="20% - Accent2 11 2 2 4 4" xfId="29458" xr:uid="{7F9B56D6-DD1F-4E50-861A-58BECA6CE8A4}"/>
    <cellStyle name="20% - Accent2 11 2 2 5" xfId="9125" xr:uid="{00000000-0005-0000-0000-000096070000}"/>
    <cellStyle name="20% - Accent2 11 2 2 5 2" xfId="17083" xr:uid="{00000000-0005-0000-0000-000097070000}"/>
    <cellStyle name="20% - Accent2 11 2 2 5 2 2" xfId="40923" xr:uid="{4A1BCED6-E245-4C8E-880E-AC5BA17E5DA8}"/>
    <cellStyle name="20% - Accent2 11 2 2 5 3" xfId="25027" xr:uid="{00000000-0005-0000-0000-000098070000}"/>
    <cellStyle name="20% - Accent2 11 2 2 5 3 2" xfId="48859" xr:uid="{BCBB6134-3368-489F-94A6-6E5F07D7D654}"/>
    <cellStyle name="20% - Accent2 11 2 2 5 4" xfId="32982" xr:uid="{655748E5-08B5-4226-9E6C-C1A497204084}"/>
    <cellStyle name="20% - Accent2 11 2 2 6" xfId="10021" xr:uid="{00000000-0005-0000-0000-000099070000}"/>
    <cellStyle name="20% - Accent2 11 2 2 6 2" xfId="33870" xr:uid="{F76893EC-A947-4671-8D63-2B316C447A64}"/>
    <cellStyle name="20% - Accent2 11 2 2 7" xfId="17976" xr:uid="{00000000-0005-0000-0000-00009A070000}"/>
    <cellStyle name="20% - Accent2 11 2 2 7 2" xfId="41808" xr:uid="{6BA4E3AC-7409-42C6-861C-EC446F6FC73B}"/>
    <cellStyle name="20% - Accent2 11 2 2 8" xfId="25928" xr:uid="{A16E3CEC-97CA-4054-89A7-55330ED1CE5B}"/>
    <cellStyle name="20% - Accent2 11 2 2_Exh G" xfId="2068" xr:uid="{00000000-0005-0000-0000-00009B070000}"/>
    <cellStyle name="20% - Accent2 11 2 3" xfId="1104" xr:uid="{00000000-0005-0000-0000-00009C070000}"/>
    <cellStyle name="20% - Accent2 11 2 3 2" xfId="4631" xr:uid="{00000000-0005-0000-0000-00009D070000}"/>
    <cellStyle name="20% - Accent2 11 2 3 2 2" xfId="8222" xr:uid="{00000000-0005-0000-0000-00009E070000}"/>
    <cellStyle name="20% - Accent2 11 2 3 2 2 2" xfId="16192" xr:uid="{00000000-0005-0000-0000-00009F070000}"/>
    <cellStyle name="20% - Accent2 11 2 3 2 2 2 2" xfId="40034" xr:uid="{108F5644-9E7B-44BD-8640-290F1D1BCEC9}"/>
    <cellStyle name="20% - Accent2 11 2 3 2 2 3" xfId="24138" xr:uid="{00000000-0005-0000-0000-0000A0070000}"/>
    <cellStyle name="20% - Accent2 11 2 3 2 2 3 2" xfId="47970" xr:uid="{029D68A7-3ED7-49B2-99F8-BD07448AB32C}"/>
    <cellStyle name="20% - Accent2 11 2 3 2 2 4" xfId="32093" xr:uid="{86DBB9A6-24FD-4825-A620-764B30491E81}"/>
    <cellStyle name="20% - Accent2 11 2 3 2 3" xfId="12654" xr:uid="{00000000-0005-0000-0000-0000A1070000}"/>
    <cellStyle name="20% - Accent2 11 2 3 2 3 2" xfId="36503" xr:uid="{C419CEFF-13A8-441D-814B-54EEEBA474D0}"/>
    <cellStyle name="20% - Accent2 11 2 3 2 4" xfId="20609" xr:uid="{00000000-0005-0000-0000-0000A2070000}"/>
    <cellStyle name="20% - Accent2 11 2 3 2 4 2" xfId="44441" xr:uid="{779F521D-10EB-48A9-929B-4D07EDA50067}"/>
    <cellStyle name="20% - Accent2 11 2 3 2 5" xfId="28562" xr:uid="{7E0F78F1-F36D-47C3-A30D-FE9CD387B15C}"/>
    <cellStyle name="20% - Accent2 11 2 3 3" xfId="6463" xr:uid="{00000000-0005-0000-0000-0000A3070000}"/>
    <cellStyle name="20% - Accent2 11 2 3 3 2" xfId="14434" xr:uid="{00000000-0005-0000-0000-0000A4070000}"/>
    <cellStyle name="20% - Accent2 11 2 3 3 2 2" xfId="38276" xr:uid="{CA2DA119-E122-42F0-ABF3-2783CA3163AF}"/>
    <cellStyle name="20% - Accent2 11 2 3 3 3" xfId="22381" xr:uid="{00000000-0005-0000-0000-0000A5070000}"/>
    <cellStyle name="20% - Accent2 11 2 3 3 3 2" xfId="46213" xr:uid="{3562CD54-71EC-4F6C-BE0E-11A33455B2E4}"/>
    <cellStyle name="20% - Accent2 11 2 3 3 4" xfId="30335" xr:uid="{35BA3E7E-AD85-4132-B01A-DAF47129AAF3}"/>
    <cellStyle name="20% - Accent2 11 2 3 4" xfId="10898" xr:uid="{00000000-0005-0000-0000-0000A6070000}"/>
    <cellStyle name="20% - Accent2 11 2 3 4 2" xfId="34747" xr:uid="{B19E4338-ADBC-47B6-8550-539281034C4D}"/>
    <cellStyle name="20% - Accent2 11 2 3 5" xfId="18853" xr:uid="{00000000-0005-0000-0000-0000A7070000}"/>
    <cellStyle name="20% - Accent2 11 2 3 5 2" xfId="42685" xr:uid="{127EA460-FD4A-4C37-83BB-8851CDF5C0D4}"/>
    <cellStyle name="20% - Accent2 11 2 3 6" xfId="26805" xr:uid="{58DD1D55-7177-447F-B17A-AADD3382CF29}"/>
    <cellStyle name="20% - Accent2 11 2 3_Exh G" xfId="2070" xr:uid="{00000000-0005-0000-0000-0000A8070000}"/>
    <cellStyle name="20% - Accent2 11 2 4" xfId="3752" xr:uid="{00000000-0005-0000-0000-0000A9070000}"/>
    <cellStyle name="20% - Accent2 11 2 4 2" xfId="7344" xr:uid="{00000000-0005-0000-0000-0000AA070000}"/>
    <cellStyle name="20% - Accent2 11 2 4 2 2" xfId="15314" xr:uid="{00000000-0005-0000-0000-0000AB070000}"/>
    <cellStyle name="20% - Accent2 11 2 4 2 2 2" xfId="39156" xr:uid="{DA29032E-A91E-41EF-9D67-B9B694B90922}"/>
    <cellStyle name="20% - Accent2 11 2 4 2 3" xfId="23260" xr:uid="{00000000-0005-0000-0000-0000AC070000}"/>
    <cellStyle name="20% - Accent2 11 2 4 2 3 2" xfId="47092" xr:uid="{25F174DA-481A-4998-BB76-FEE727811F33}"/>
    <cellStyle name="20% - Accent2 11 2 4 2 4" xfId="31215" xr:uid="{74E8EE03-0C2D-4DF9-BD62-4918DAA52E6F}"/>
    <cellStyle name="20% - Accent2 11 2 4 3" xfId="11776" xr:uid="{00000000-0005-0000-0000-0000AD070000}"/>
    <cellStyle name="20% - Accent2 11 2 4 3 2" xfId="35625" xr:uid="{DFF02E38-0C94-4489-BD58-CE6778137EEB}"/>
    <cellStyle name="20% - Accent2 11 2 4 4" xfId="19731" xr:uid="{00000000-0005-0000-0000-0000AE070000}"/>
    <cellStyle name="20% - Accent2 11 2 4 4 2" xfId="43563" xr:uid="{CAAECE05-5938-4945-B9C3-AB32216457F8}"/>
    <cellStyle name="20% - Accent2 11 2 4 5" xfId="27684" xr:uid="{5DCB1C21-9020-4005-B54D-0FCE9576334F}"/>
    <cellStyle name="20% - Accent2 11 2 5" xfId="5572" xr:uid="{00000000-0005-0000-0000-0000AF070000}"/>
    <cellStyle name="20% - Accent2 11 2 5 2" xfId="13555" xr:uid="{00000000-0005-0000-0000-0000B0070000}"/>
    <cellStyle name="20% - Accent2 11 2 5 2 2" xfId="37398" xr:uid="{64D25A7A-D097-4012-80E5-91B31FCBC2BD}"/>
    <cellStyle name="20% - Accent2 11 2 5 3" xfId="21503" xr:uid="{00000000-0005-0000-0000-0000B1070000}"/>
    <cellStyle name="20% - Accent2 11 2 5 3 2" xfId="45335" xr:uid="{05041630-70F6-403E-ABE1-603617C7A634}"/>
    <cellStyle name="20% - Accent2 11 2 5 4" xfId="29457" xr:uid="{ACF3298D-3DAE-4403-9B87-661C7A0F345C}"/>
    <cellStyle name="20% - Accent2 11 2 6" xfId="9124" xr:uid="{00000000-0005-0000-0000-0000B2070000}"/>
    <cellStyle name="20% - Accent2 11 2 6 2" xfId="17082" xr:uid="{00000000-0005-0000-0000-0000B3070000}"/>
    <cellStyle name="20% - Accent2 11 2 6 2 2" xfId="40922" xr:uid="{289D5429-5799-44E8-888C-0911FBE60769}"/>
    <cellStyle name="20% - Accent2 11 2 6 3" xfId="25026" xr:uid="{00000000-0005-0000-0000-0000B4070000}"/>
    <cellStyle name="20% - Accent2 11 2 6 3 2" xfId="48858" xr:uid="{0CD13BF2-1419-4D9E-963F-3F9C565CCA06}"/>
    <cellStyle name="20% - Accent2 11 2 6 4" xfId="32981" xr:uid="{3F1B77C6-36EF-41E3-9297-FF34B1616AEA}"/>
    <cellStyle name="20% - Accent2 11 2 7" xfId="10020" xr:uid="{00000000-0005-0000-0000-0000B5070000}"/>
    <cellStyle name="20% - Accent2 11 2 7 2" xfId="33869" xr:uid="{88A649DD-8352-4DED-AAFD-E6BDB6D00CF9}"/>
    <cellStyle name="20% - Accent2 11 2 8" xfId="17975" xr:uid="{00000000-0005-0000-0000-0000B6070000}"/>
    <cellStyle name="20% - Accent2 11 2 8 2" xfId="41807" xr:uid="{2C234D04-E2CD-4E41-854C-D76CBDF48048}"/>
    <cellStyle name="20% - Accent2 11 2 9" xfId="25927" xr:uid="{5D498C95-E466-4D01-9A39-32477C14F466}"/>
    <cellStyle name="20% - Accent2 11 2_Exh G" xfId="2067" xr:uid="{00000000-0005-0000-0000-0000B7070000}"/>
    <cellStyle name="20% - Accent2 11 3" xfId="80" xr:uid="{00000000-0005-0000-0000-0000B8070000}"/>
    <cellStyle name="20% - Accent2 11 3 2" xfId="1106" xr:uid="{00000000-0005-0000-0000-0000B9070000}"/>
    <cellStyle name="20% - Accent2 11 3 2 2" xfId="4633" xr:uid="{00000000-0005-0000-0000-0000BA070000}"/>
    <cellStyle name="20% - Accent2 11 3 2 2 2" xfId="8224" xr:uid="{00000000-0005-0000-0000-0000BB070000}"/>
    <cellStyle name="20% - Accent2 11 3 2 2 2 2" xfId="16194" xr:uid="{00000000-0005-0000-0000-0000BC070000}"/>
    <cellStyle name="20% - Accent2 11 3 2 2 2 2 2" xfId="40036" xr:uid="{B401285D-4294-4056-8D95-802F95295869}"/>
    <cellStyle name="20% - Accent2 11 3 2 2 2 3" xfId="24140" xr:uid="{00000000-0005-0000-0000-0000BD070000}"/>
    <cellStyle name="20% - Accent2 11 3 2 2 2 3 2" xfId="47972" xr:uid="{8713B703-FFAB-465A-83F5-F98744EAEBDA}"/>
    <cellStyle name="20% - Accent2 11 3 2 2 2 4" xfId="32095" xr:uid="{5F9EDFF4-806C-4A01-93B4-418CBDE470A5}"/>
    <cellStyle name="20% - Accent2 11 3 2 2 3" xfId="12656" xr:uid="{00000000-0005-0000-0000-0000BE070000}"/>
    <cellStyle name="20% - Accent2 11 3 2 2 3 2" xfId="36505" xr:uid="{B5E91A6D-0012-4840-8C4C-BE3BDF5F2D22}"/>
    <cellStyle name="20% - Accent2 11 3 2 2 4" xfId="20611" xr:uid="{00000000-0005-0000-0000-0000BF070000}"/>
    <cellStyle name="20% - Accent2 11 3 2 2 4 2" xfId="44443" xr:uid="{92727839-E7B3-4045-9D57-1E1B1743410B}"/>
    <cellStyle name="20% - Accent2 11 3 2 2 5" xfId="28564" xr:uid="{A7083473-5139-44A9-BE1D-0C50F362EA70}"/>
    <cellStyle name="20% - Accent2 11 3 2 3" xfId="6465" xr:uid="{00000000-0005-0000-0000-0000C0070000}"/>
    <cellStyle name="20% - Accent2 11 3 2 3 2" xfId="14436" xr:uid="{00000000-0005-0000-0000-0000C1070000}"/>
    <cellStyle name="20% - Accent2 11 3 2 3 2 2" xfId="38278" xr:uid="{6E3C938F-E8DA-4D23-B15E-59E164C111FD}"/>
    <cellStyle name="20% - Accent2 11 3 2 3 3" xfId="22383" xr:uid="{00000000-0005-0000-0000-0000C2070000}"/>
    <cellStyle name="20% - Accent2 11 3 2 3 3 2" xfId="46215" xr:uid="{08A5FC41-74E2-4E92-A251-FC2AA2A6AAEA}"/>
    <cellStyle name="20% - Accent2 11 3 2 3 4" xfId="30337" xr:uid="{212A1D1D-0259-4CD9-92F2-89108C448479}"/>
    <cellStyle name="20% - Accent2 11 3 2 4" xfId="10900" xr:uid="{00000000-0005-0000-0000-0000C3070000}"/>
    <cellStyle name="20% - Accent2 11 3 2 4 2" xfId="34749" xr:uid="{00363A4C-5B44-4E7F-9A93-4B237564BBDC}"/>
    <cellStyle name="20% - Accent2 11 3 2 5" xfId="18855" xr:uid="{00000000-0005-0000-0000-0000C4070000}"/>
    <cellStyle name="20% - Accent2 11 3 2 5 2" xfId="42687" xr:uid="{58E5FEE5-D3BF-4623-A730-1840031FB4F4}"/>
    <cellStyle name="20% - Accent2 11 3 2 6" xfId="26807" xr:uid="{5A544F6A-7D94-421C-9BBB-023EF0545A8B}"/>
    <cellStyle name="20% - Accent2 11 3 2_Exh G" xfId="2072" xr:uid="{00000000-0005-0000-0000-0000C5070000}"/>
    <cellStyle name="20% - Accent2 11 3 3" xfId="3754" xr:uid="{00000000-0005-0000-0000-0000C6070000}"/>
    <cellStyle name="20% - Accent2 11 3 3 2" xfId="7346" xr:uid="{00000000-0005-0000-0000-0000C7070000}"/>
    <cellStyle name="20% - Accent2 11 3 3 2 2" xfId="15316" xr:uid="{00000000-0005-0000-0000-0000C8070000}"/>
    <cellStyle name="20% - Accent2 11 3 3 2 2 2" xfId="39158" xr:uid="{B9D415D1-2564-4559-AF65-4A3B0C1A8271}"/>
    <cellStyle name="20% - Accent2 11 3 3 2 3" xfId="23262" xr:uid="{00000000-0005-0000-0000-0000C9070000}"/>
    <cellStyle name="20% - Accent2 11 3 3 2 3 2" xfId="47094" xr:uid="{E8DE9BA5-57A7-458B-AF1D-AE3CEB4B98CB}"/>
    <cellStyle name="20% - Accent2 11 3 3 2 4" xfId="31217" xr:uid="{75DF0CB5-2CA2-46B9-A77C-5001513DB39F}"/>
    <cellStyle name="20% - Accent2 11 3 3 3" xfId="11778" xr:uid="{00000000-0005-0000-0000-0000CA070000}"/>
    <cellStyle name="20% - Accent2 11 3 3 3 2" xfId="35627" xr:uid="{014E54D9-D6BF-4341-948C-CD0D3DC81166}"/>
    <cellStyle name="20% - Accent2 11 3 3 4" xfId="19733" xr:uid="{00000000-0005-0000-0000-0000CB070000}"/>
    <cellStyle name="20% - Accent2 11 3 3 4 2" xfId="43565" xr:uid="{6159D94A-9005-4EC3-8ABE-4BD8A23C8737}"/>
    <cellStyle name="20% - Accent2 11 3 3 5" xfId="27686" xr:uid="{CF02372D-2E06-49B5-931E-944310494BF6}"/>
    <cellStyle name="20% - Accent2 11 3 4" xfId="5574" xr:uid="{00000000-0005-0000-0000-0000CC070000}"/>
    <cellStyle name="20% - Accent2 11 3 4 2" xfId="13557" xr:uid="{00000000-0005-0000-0000-0000CD070000}"/>
    <cellStyle name="20% - Accent2 11 3 4 2 2" xfId="37400" xr:uid="{F9EA4F2E-9851-4DA2-937C-BF75F9880E8D}"/>
    <cellStyle name="20% - Accent2 11 3 4 3" xfId="21505" xr:uid="{00000000-0005-0000-0000-0000CE070000}"/>
    <cellStyle name="20% - Accent2 11 3 4 3 2" xfId="45337" xr:uid="{E5C59431-24E4-49CA-AED3-7E5AE69E23D5}"/>
    <cellStyle name="20% - Accent2 11 3 4 4" xfId="29459" xr:uid="{F9CF8104-9536-40BD-AC98-9715215DE448}"/>
    <cellStyle name="20% - Accent2 11 3 5" xfId="9126" xr:uid="{00000000-0005-0000-0000-0000CF070000}"/>
    <cellStyle name="20% - Accent2 11 3 5 2" xfId="17084" xr:uid="{00000000-0005-0000-0000-0000D0070000}"/>
    <cellStyle name="20% - Accent2 11 3 5 2 2" xfId="40924" xr:uid="{44D6747B-EDA6-4C52-9E8D-F8141119B3C2}"/>
    <cellStyle name="20% - Accent2 11 3 5 3" xfId="25028" xr:uid="{00000000-0005-0000-0000-0000D1070000}"/>
    <cellStyle name="20% - Accent2 11 3 5 3 2" xfId="48860" xr:uid="{EB0EDED5-D737-483E-ABF3-F604789580A8}"/>
    <cellStyle name="20% - Accent2 11 3 5 4" xfId="32983" xr:uid="{96148B68-B325-4BAE-890D-3AE08DF01771}"/>
    <cellStyle name="20% - Accent2 11 3 6" xfId="10022" xr:uid="{00000000-0005-0000-0000-0000D2070000}"/>
    <cellStyle name="20% - Accent2 11 3 6 2" xfId="33871" xr:uid="{BCEDB0A7-2A64-46E6-A6CE-3FDA4C086FBA}"/>
    <cellStyle name="20% - Accent2 11 3 7" xfId="17977" xr:uid="{00000000-0005-0000-0000-0000D3070000}"/>
    <cellStyle name="20% - Accent2 11 3 7 2" xfId="41809" xr:uid="{FBAB009D-81DC-4183-A1B7-768CB0914C72}"/>
    <cellStyle name="20% - Accent2 11 3 8" xfId="25929" xr:uid="{8788FE28-80AC-4748-AD14-2F7D22A96657}"/>
    <cellStyle name="20% - Accent2 11 3_Exh G" xfId="2071" xr:uid="{00000000-0005-0000-0000-0000D4070000}"/>
    <cellStyle name="20% - Accent2 11 4" xfId="1103" xr:uid="{00000000-0005-0000-0000-0000D5070000}"/>
    <cellStyle name="20% - Accent2 11 4 2" xfId="4630" xr:uid="{00000000-0005-0000-0000-0000D6070000}"/>
    <cellStyle name="20% - Accent2 11 4 2 2" xfId="8221" xr:uid="{00000000-0005-0000-0000-0000D7070000}"/>
    <cellStyle name="20% - Accent2 11 4 2 2 2" xfId="16191" xr:uid="{00000000-0005-0000-0000-0000D8070000}"/>
    <cellStyle name="20% - Accent2 11 4 2 2 2 2" xfId="40033" xr:uid="{C7E19D93-FFEC-4A20-B8FE-FF9A08393015}"/>
    <cellStyle name="20% - Accent2 11 4 2 2 3" xfId="24137" xr:uid="{00000000-0005-0000-0000-0000D9070000}"/>
    <cellStyle name="20% - Accent2 11 4 2 2 3 2" xfId="47969" xr:uid="{32EE202B-4D79-47D5-A586-85BA71E8CB60}"/>
    <cellStyle name="20% - Accent2 11 4 2 2 4" xfId="32092" xr:uid="{760DA7F1-0846-49A6-A287-0131347C9E60}"/>
    <cellStyle name="20% - Accent2 11 4 2 3" xfId="12653" xr:uid="{00000000-0005-0000-0000-0000DA070000}"/>
    <cellStyle name="20% - Accent2 11 4 2 3 2" xfId="36502" xr:uid="{90C16CDC-CA23-4BA3-958C-FE277215B737}"/>
    <cellStyle name="20% - Accent2 11 4 2 4" xfId="20608" xr:uid="{00000000-0005-0000-0000-0000DB070000}"/>
    <cellStyle name="20% - Accent2 11 4 2 4 2" xfId="44440" xr:uid="{9BA8635A-C710-4179-8E4C-A52108B5F321}"/>
    <cellStyle name="20% - Accent2 11 4 2 5" xfId="28561" xr:uid="{12B156BF-CA69-481B-8F4C-55E7BDF97926}"/>
    <cellStyle name="20% - Accent2 11 4 3" xfId="6462" xr:uid="{00000000-0005-0000-0000-0000DC070000}"/>
    <cellStyle name="20% - Accent2 11 4 3 2" xfId="14433" xr:uid="{00000000-0005-0000-0000-0000DD070000}"/>
    <cellStyle name="20% - Accent2 11 4 3 2 2" xfId="38275" xr:uid="{9E1C0D7C-F7B8-455C-8631-75DA5305DDFA}"/>
    <cellStyle name="20% - Accent2 11 4 3 3" xfId="22380" xr:uid="{00000000-0005-0000-0000-0000DE070000}"/>
    <cellStyle name="20% - Accent2 11 4 3 3 2" xfId="46212" xr:uid="{44B26313-899F-4165-BE45-166C34742D55}"/>
    <cellStyle name="20% - Accent2 11 4 3 4" xfId="30334" xr:uid="{FBB19154-EF02-40C7-95D6-F0EDA0560020}"/>
    <cellStyle name="20% - Accent2 11 4 4" xfId="10897" xr:uid="{00000000-0005-0000-0000-0000DF070000}"/>
    <cellStyle name="20% - Accent2 11 4 4 2" xfId="34746" xr:uid="{63BC194C-298A-45D3-8111-965FF265F03B}"/>
    <cellStyle name="20% - Accent2 11 4 5" xfId="18852" xr:uid="{00000000-0005-0000-0000-0000E0070000}"/>
    <cellStyle name="20% - Accent2 11 4 5 2" xfId="42684" xr:uid="{08A95A7F-E3B5-47E0-A69F-B52064FB2175}"/>
    <cellStyle name="20% - Accent2 11 4 6" xfId="26804" xr:uid="{19D94CE3-06E9-44E7-B170-1ED750AC729E}"/>
    <cellStyle name="20% - Accent2 11 4_Exh G" xfId="2073" xr:uid="{00000000-0005-0000-0000-0000E1070000}"/>
    <cellStyle name="20% - Accent2 11 5" xfId="3751" xr:uid="{00000000-0005-0000-0000-0000E2070000}"/>
    <cellStyle name="20% - Accent2 11 5 2" xfId="7343" xr:uid="{00000000-0005-0000-0000-0000E3070000}"/>
    <cellStyle name="20% - Accent2 11 5 2 2" xfId="15313" xr:uid="{00000000-0005-0000-0000-0000E4070000}"/>
    <cellStyle name="20% - Accent2 11 5 2 2 2" xfId="39155" xr:uid="{EF836533-7156-4C03-9ECB-9E900B628A93}"/>
    <cellStyle name="20% - Accent2 11 5 2 3" xfId="23259" xr:uid="{00000000-0005-0000-0000-0000E5070000}"/>
    <cellStyle name="20% - Accent2 11 5 2 3 2" xfId="47091" xr:uid="{015DA167-10B1-4B74-9F59-274A2C223F04}"/>
    <cellStyle name="20% - Accent2 11 5 2 4" xfId="31214" xr:uid="{D65D54AB-2943-40AF-AAC5-8B27E6389A92}"/>
    <cellStyle name="20% - Accent2 11 5 3" xfId="11775" xr:uid="{00000000-0005-0000-0000-0000E6070000}"/>
    <cellStyle name="20% - Accent2 11 5 3 2" xfId="35624" xr:uid="{D76A3886-402F-47EC-87EB-CCA613581446}"/>
    <cellStyle name="20% - Accent2 11 5 4" xfId="19730" xr:uid="{00000000-0005-0000-0000-0000E7070000}"/>
    <cellStyle name="20% - Accent2 11 5 4 2" xfId="43562" xr:uid="{9ACD6F8C-4D7F-4E0D-B64E-0FABFC88E519}"/>
    <cellStyle name="20% - Accent2 11 5 5" xfId="27683" xr:uid="{7D8E12DB-AF59-4495-9652-FAA9701EE2CC}"/>
    <cellStyle name="20% - Accent2 11 6" xfId="5571" xr:uid="{00000000-0005-0000-0000-0000E8070000}"/>
    <cellStyle name="20% - Accent2 11 6 2" xfId="13554" xr:uid="{00000000-0005-0000-0000-0000E9070000}"/>
    <cellStyle name="20% - Accent2 11 6 2 2" xfId="37397" xr:uid="{F27FD7DE-3D47-440F-A157-B41DFEA2CB8B}"/>
    <cellStyle name="20% - Accent2 11 6 3" xfId="21502" xr:uid="{00000000-0005-0000-0000-0000EA070000}"/>
    <cellStyle name="20% - Accent2 11 6 3 2" xfId="45334" xr:uid="{CD8117DD-9A86-4E6B-8371-BED2F696DD78}"/>
    <cellStyle name="20% - Accent2 11 6 4" xfId="29456" xr:uid="{0A360734-BB90-4FFF-9F1D-6E72E1D63B9A}"/>
    <cellStyle name="20% - Accent2 11 7" xfId="9123" xr:uid="{00000000-0005-0000-0000-0000EB070000}"/>
    <cellStyle name="20% - Accent2 11 7 2" xfId="17081" xr:uid="{00000000-0005-0000-0000-0000EC070000}"/>
    <cellStyle name="20% - Accent2 11 7 2 2" xfId="40921" xr:uid="{F2989880-8053-481C-A887-4985441377A4}"/>
    <cellStyle name="20% - Accent2 11 7 3" xfId="25025" xr:uid="{00000000-0005-0000-0000-0000ED070000}"/>
    <cellStyle name="20% - Accent2 11 7 3 2" xfId="48857" xr:uid="{70C2A6F4-DA69-4E67-8978-3F27BFC45DD1}"/>
    <cellStyle name="20% - Accent2 11 7 4" xfId="32980" xr:uid="{AB15E4FA-AEFB-458F-B332-8F114D59226D}"/>
    <cellStyle name="20% - Accent2 11 8" xfId="10019" xr:uid="{00000000-0005-0000-0000-0000EE070000}"/>
    <cellStyle name="20% - Accent2 11 8 2" xfId="33868" xr:uid="{F4D807B1-B7B4-40F9-B513-0568BC7077D5}"/>
    <cellStyle name="20% - Accent2 11 9" xfId="17974" xr:uid="{00000000-0005-0000-0000-0000EF070000}"/>
    <cellStyle name="20% - Accent2 11 9 2" xfId="41806" xr:uid="{0AFCB255-78BE-4FEB-B9B2-D5387EBD2BD5}"/>
    <cellStyle name="20% - Accent2 11_Exh G" xfId="2066" xr:uid="{00000000-0005-0000-0000-0000F0070000}"/>
    <cellStyle name="20% - Accent2 12" xfId="81" xr:uid="{00000000-0005-0000-0000-0000F1070000}"/>
    <cellStyle name="20% - Accent2 12 10" xfId="25930" xr:uid="{26AA032C-D1E9-4052-BA2B-21FC74D27CB6}"/>
    <cellStyle name="20% - Accent2 12 2" xfId="82" xr:uid="{00000000-0005-0000-0000-0000F2070000}"/>
    <cellStyle name="20% - Accent2 12 2 2" xfId="83" xr:uid="{00000000-0005-0000-0000-0000F3070000}"/>
    <cellStyle name="20% - Accent2 12 2 2 2" xfId="1109" xr:uid="{00000000-0005-0000-0000-0000F4070000}"/>
    <cellStyle name="20% - Accent2 12 2 2 2 2" xfId="4636" xr:uid="{00000000-0005-0000-0000-0000F5070000}"/>
    <cellStyle name="20% - Accent2 12 2 2 2 2 2" xfId="8227" xr:uid="{00000000-0005-0000-0000-0000F6070000}"/>
    <cellStyle name="20% - Accent2 12 2 2 2 2 2 2" xfId="16197" xr:uid="{00000000-0005-0000-0000-0000F7070000}"/>
    <cellStyle name="20% - Accent2 12 2 2 2 2 2 2 2" xfId="40039" xr:uid="{2C8B2577-1B25-4981-9E59-F28F9AA0E5A9}"/>
    <cellStyle name="20% - Accent2 12 2 2 2 2 2 3" xfId="24143" xr:uid="{00000000-0005-0000-0000-0000F8070000}"/>
    <cellStyle name="20% - Accent2 12 2 2 2 2 2 3 2" xfId="47975" xr:uid="{68298987-3E62-4A18-8A8D-104ABC762B88}"/>
    <cellStyle name="20% - Accent2 12 2 2 2 2 2 4" xfId="32098" xr:uid="{DEF90F9E-BA28-44E3-B3A7-6D46615FC433}"/>
    <cellStyle name="20% - Accent2 12 2 2 2 2 3" xfId="12659" xr:uid="{00000000-0005-0000-0000-0000F9070000}"/>
    <cellStyle name="20% - Accent2 12 2 2 2 2 3 2" xfId="36508" xr:uid="{B174219F-7769-4852-ACFF-BC3C832C4AD5}"/>
    <cellStyle name="20% - Accent2 12 2 2 2 2 4" xfId="20614" xr:uid="{00000000-0005-0000-0000-0000FA070000}"/>
    <cellStyle name="20% - Accent2 12 2 2 2 2 4 2" xfId="44446" xr:uid="{10573EA6-7235-427C-81D7-941F61372952}"/>
    <cellStyle name="20% - Accent2 12 2 2 2 2 5" xfId="28567" xr:uid="{AD305763-7E56-4234-A175-7FAF9CFDFC55}"/>
    <cellStyle name="20% - Accent2 12 2 2 2 3" xfId="6468" xr:uid="{00000000-0005-0000-0000-0000FB070000}"/>
    <cellStyle name="20% - Accent2 12 2 2 2 3 2" xfId="14439" xr:uid="{00000000-0005-0000-0000-0000FC070000}"/>
    <cellStyle name="20% - Accent2 12 2 2 2 3 2 2" xfId="38281" xr:uid="{C1CF7E3A-F457-4C46-A7F3-817D64F14398}"/>
    <cellStyle name="20% - Accent2 12 2 2 2 3 3" xfId="22386" xr:uid="{00000000-0005-0000-0000-0000FD070000}"/>
    <cellStyle name="20% - Accent2 12 2 2 2 3 3 2" xfId="46218" xr:uid="{DDC7F14A-DEE2-41E5-8D8C-205ACAAEC7FE}"/>
    <cellStyle name="20% - Accent2 12 2 2 2 3 4" xfId="30340" xr:uid="{89A2EF23-FF04-41E1-80F2-B1F3A1C3F6AD}"/>
    <cellStyle name="20% - Accent2 12 2 2 2 4" xfId="10903" xr:uid="{00000000-0005-0000-0000-0000FE070000}"/>
    <cellStyle name="20% - Accent2 12 2 2 2 4 2" xfId="34752" xr:uid="{A6F61EAD-A8F6-49C6-BC76-E185B3CF187B}"/>
    <cellStyle name="20% - Accent2 12 2 2 2 5" xfId="18858" xr:uid="{00000000-0005-0000-0000-0000FF070000}"/>
    <cellStyle name="20% - Accent2 12 2 2 2 5 2" xfId="42690" xr:uid="{CBB84A9F-0FFD-483B-A45B-800C30C29961}"/>
    <cellStyle name="20% - Accent2 12 2 2 2 6" xfId="26810" xr:uid="{3D573F71-ACCD-431D-A774-CA96FE2DFEB7}"/>
    <cellStyle name="20% - Accent2 12 2 2 2_Exh G" xfId="2077" xr:uid="{00000000-0005-0000-0000-000000080000}"/>
    <cellStyle name="20% - Accent2 12 2 2 3" xfId="3757" xr:uid="{00000000-0005-0000-0000-000001080000}"/>
    <cellStyle name="20% - Accent2 12 2 2 3 2" xfId="7349" xr:uid="{00000000-0005-0000-0000-000002080000}"/>
    <cellStyle name="20% - Accent2 12 2 2 3 2 2" xfId="15319" xr:uid="{00000000-0005-0000-0000-000003080000}"/>
    <cellStyle name="20% - Accent2 12 2 2 3 2 2 2" xfId="39161" xr:uid="{35F648D0-4859-4D5B-9540-71BCC0F450FB}"/>
    <cellStyle name="20% - Accent2 12 2 2 3 2 3" xfId="23265" xr:uid="{00000000-0005-0000-0000-000004080000}"/>
    <cellStyle name="20% - Accent2 12 2 2 3 2 3 2" xfId="47097" xr:uid="{12015781-211C-431A-A415-431EF635B968}"/>
    <cellStyle name="20% - Accent2 12 2 2 3 2 4" xfId="31220" xr:uid="{674A265C-59E1-426F-8284-718E1576FE4C}"/>
    <cellStyle name="20% - Accent2 12 2 2 3 3" xfId="11781" xr:uid="{00000000-0005-0000-0000-000005080000}"/>
    <cellStyle name="20% - Accent2 12 2 2 3 3 2" xfId="35630" xr:uid="{93935DFB-60FB-4292-8753-422ACB02342A}"/>
    <cellStyle name="20% - Accent2 12 2 2 3 4" xfId="19736" xr:uid="{00000000-0005-0000-0000-000006080000}"/>
    <cellStyle name="20% - Accent2 12 2 2 3 4 2" xfId="43568" xr:uid="{983992AA-D88C-4D18-A31B-865C554049C7}"/>
    <cellStyle name="20% - Accent2 12 2 2 3 5" xfId="27689" xr:uid="{27CF2DA4-E8A6-4A44-BCA0-35974D0567EF}"/>
    <cellStyle name="20% - Accent2 12 2 2 4" xfId="5577" xr:uid="{00000000-0005-0000-0000-000007080000}"/>
    <cellStyle name="20% - Accent2 12 2 2 4 2" xfId="13560" xr:uid="{00000000-0005-0000-0000-000008080000}"/>
    <cellStyle name="20% - Accent2 12 2 2 4 2 2" xfId="37403" xr:uid="{C11FE3AE-A856-4BB8-B7B2-71ED3769F391}"/>
    <cellStyle name="20% - Accent2 12 2 2 4 3" xfId="21508" xr:uid="{00000000-0005-0000-0000-000009080000}"/>
    <cellStyle name="20% - Accent2 12 2 2 4 3 2" xfId="45340" xr:uid="{2F263718-A4A2-4455-A4C2-EF54F32F725A}"/>
    <cellStyle name="20% - Accent2 12 2 2 4 4" xfId="29462" xr:uid="{1B9208EC-71C1-4F78-A7B2-D97B78504DCE}"/>
    <cellStyle name="20% - Accent2 12 2 2 5" xfId="9129" xr:uid="{00000000-0005-0000-0000-00000A080000}"/>
    <cellStyle name="20% - Accent2 12 2 2 5 2" xfId="17087" xr:uid="{00000000-0005-0000-0000-00000B080000}"/>
    <cellStyle name="20% - Accent2 12 2 2 5 2 2" xfId="40927" xr:uid="{2A687E19-C1CE-4482-BE2E-2E561D40ECAF}"/>
    <cellStyle name="20% - Accent2 12 2 2 5 3" xfId="25031" xr:uid="{00000000-0005-0000-0000-00000C080000}"/>
    <cellStyle name="20% - Accent2 12 2 2 5 3 2" xfId="48863" xr:uid="{8598D528-2DC8-4431-BD45-D9D7C20636EE}"/>
    <cellStyle name="20% - Accent2 12 2 2 5 4" xfId="32986" xr:uid="{64C89FF9-EFAE-4DAD-86EF-A16534C18825}"/>
    <cellStyle name="20% - Accent2 12 2 2 6" xfId="10025" xr:uid="{00000000-0005-0000-0000-00000D080000}"/>
    <cellStyle name="20% - Accent2 12 2 2 6 2" xfId="33874" xr:uid="{48AF8CED-2F00-4AAD-8362-EFB8EC59805A}"/>
    <cellStyle name="20% - Accent2 12 2 2 7" xfId="17980" xr:uid="{00000000-0005-0000-0000-00000E080000}"/>
    <cellStyle name="20% - Accent2 12 2 2 7 2" xfId="41812" xr:uid="{3CD37506-43CA-44AC-953C-57CEE2C42750}"/>
    <cellStyle name="20% - Accent2 12 2 2 8" xfId="25932" xr:uid="{65275631-843C-4C43-844C-B19F4470998A}"/>
    <cellStyle name="20% - Accent2 12 2 2_Exh G" xfId="2076" xr:uid="{00000000-0005-0000-0000-00000F080000}"/>
    <cellStyle name="20% - Accent2 12 2 3" xfId="1108" xr:uid="{00000000-0005-0000-0000-000010080000}"/>
    <cellStyle name="20% - Accent2 12 2 3 2" xfId="4635" xr:uid="{00000000-0005-0000-0000-000011080000}"/>
    <cellStyle name="20% - Accent2 12 2 3 2 2" xfId="8226" xr:uid="{00000000-0005-0000-0000-000012080000}"/>
    <cellStyle name="20% - Accent2 12 2 3 2 2 2" xfId="16196" xr:uid="{00000000-0005-0000-0000-000013080000}"/>
    <cellStyle name="20% - Accent2 12 2 3 2 2 2 2" xfId="40038" xr:uid="{C68A4417-9151-4DF4-8DC5-6F9AC83E2546}"/>
    <cellStyle name="20% - Accent2 12 2 3 2 2 3" xfId="24142" xr:uid="{00000000-0005-0000-0000-000014080000}"/>
    <cellStyle name="20% - Accent2 12 2 3 2 2 3 2" xfId="47974" xr:uid="{794C7F59-A767-49A0-8F9B-F0EE2611DB39}"/>
    <cellStyle name="20% - Accent2 12 2 3 2 2 4" xfId="32097" xr:uid="{6140CA86-A608-40CD-AE66-5AD18ED0B523}"/>
    <cellStyle name="20% - Accent2 12 2 3 2 3" xfId="12658" xr:uid="{00000000-0005-0000-0000-000015080000}"/>
    <cellStyle name="20% - Accent2 12 2 3 2 3 2" xfId="36507" xr:uid="{7905AEBA-4088-43F6-8D30-E7D4D6D5FC3A}"/>
    <cellStyle name="20% - Accent2 12 2 3 2 4" xfId="20613" xr:uid="{00000000-0005-0000-0000-000016080000}"/>
    <cellStyle name="20% - Accent2 12 2 3 2 4 2" xfId="44445" xr:uid="{F92B5C46-674D-4A61-94AF-962EC9F7830F}"/>
    <cellStyle name="20% - Accent2 12 2 3 2 5" xfId="28566" xr:uid="{6C9064A7-1BF7-4789-B30F-6E51C191525E}"/>
    <cellStyle name="20% - Accent2 12 2 3 3" xfId="6467" xr:uid="{00000000-0005-0000-0000-000017080000}"/>
    <cellStyle name="20% - Accent2 12 2 3 3 2" xfId="14438" xr:uid="{00000000-0005-0000-0000-000018080000}"/>
    <cellStyle name="20% - Accent2 12 2 3 3 2 2" xfId="38280" xr:uid="{E7903638-8AC1-4645-A911-88C8E117B3A4}"/>
    <cellStyle name="20% - Accent2 12 2 3 3 3" xfId="22385" xr:uid="{00000000-0005-0000-0000-000019080000}"/>
    <cellStyle name="20% - Accent2 12 2 3 3 3 2" xfId="46217" xr:uid="{A064F4D4-5E1A-49D2-AF17-1B595B43F217}"/>
    <cellStyle name="20% - Accent2 12 2 3 3 4" xfId="30339" xr:uid="{616B6908-FD13-4A6D-932E-10253F11FDAB}"/>
    <cellStyle name="20% - Accent2 12 2 3 4" xfId="10902" xr:uid="{00000000-0005-0000-0000-00001A080000}"/>
    <cellStyle name="20% - Accent2 12 2 3 4 2" xfId="34751" xr:uid="{86E61DC4-CC54-4242-84ED-409624659367}"/>
    <cellStyle name="20% - Accent2 12 2 3 5" xfId="18857" xr:uid="{00000000-0005-0000-0000-00001B080000}"/>
    <cellStyle name="20% - Accent2 12 2 3 5 2" xfId="42689" xr:uid="{E65058BD-0FE9-42DE-9481-1091A712F67A}"/>
    <cellStyle name="20% - Accent2 12 2 3 6" xfId="26809" xr:uid="{09399603-3B59-4FD2-BE52-8558901A19C6}"/>
    <cellStyle name="20% - Accent2 12 2 3_Exh G" xfId="2078" xr:uid="{00000000-0005-0000-0000-00001C080000}"/>
    <cellStyle name="20% - Accent2 12 2 4" xfId="3756" xr:uid="{00000000-0005-0000-0000-00001D080000}"/>
    <cellStyle name="20% - Accent2 12 2 4 2" xfId="7348" xr:uid="{00000000-0005-0000-0000-00001E080000}"/>
    <cellStyle name="20% - Accent2 12 2 4 2 2" xfId="15318" xr:uid="{00000000-0005-0000-0000-00001F080000}"/>
    <cellStyle name="20% - Accent2 12 2 4 2 2 2" xfId="39160" xr:uid="{068213F0-9E3A-462E-8671-6284EA02D729}"/>
    <cellStyle name="20% - Accent2 12 2 4 2 3" xfId="23264" xr:uid="{00000000-0005-0000-0000-000020080000}"/>
    <cellStyle name="20% - Accent2 12 2 4 2 3 2" xfId="47096" xr:uid="{306B5CA0-E919-4E27-9EA5-4DD393AF2480}"/>
    <cellStyle name="20% - Accent2 12 2 4 2 4" xfId="31219" xr:uid="{11C31DDB-69A8-48CF-BA7D-FAC5E5C484C2}"/>
    <cellStyle name="20% - Accent2 12 2 4 3" xfId="11780" xr:uid="{00000000-0005-0000-0000-000021080000}"/>
    <cellStyle name="20% - Accent2 12 2 4 3 2" xfId="35629" xr:uid="{A6127530-C392-4E41-B9D6-D271A4E7200F}"/>
    <cellStyle name="20% - Accent2 12 2 4 4" xfId="19735" xr:uid="{00000000-0005-0000-0000-000022080000}"/>
    <cellStyle name="20% - Accent2 12 2 4 4 2" xfId="43567" xr:uid="{24194FC3-D001-4868-82BC-1F02570B8197}"/>
    <cellStyle name="20% - Accent2 12 2 4 5" xfId="27688" xr:uid="{32F7449A-5C6A-4E14-8805-F520A4502F1D}"/>
    <cellStyle name="20% - Accent2 12 2 5" xfId="5576" xr:uid="{00000000-0005-0000-0000-000023080000}"/>
    <cellStyle name="20% - Accent2 12 2 5 2" xfId="13559" xr:uid="{00000000-0005-0000-0000-000024080000}"/>
    <cellStyle name="20% - Accent2 12 2 5 2 2" xfId="37402" xr:uid="{1FE70FB7-512E-4564-BA2D-181DCF388C1C}"/>
    <cellStyle name="20% - Accent2 12 2 5 3" xfId="21507" xr:uid="{00000000-0005-0000-0000-000025080000}"/>
    <cellStyle name="20% - Accent2 12 2 5 3 2" xfId="45339" xr:uid="{A92669EE-3598-47B7-B9E8-D15D6C82DF4D}"/>
    <cellStyle name="20% - Accent2 12 2 5 4" xfId="29461" xr:uid="{94F6385C-6C0D-4FD0-A3DA-7748410F31DA}"/>
    <cellStyle name="20% - Accent2 12 2 6" xfId="9128" xr:uid="{00000000-0005-0000-0000-000026080000}"/>
    <cellStyle name="20% - Accent2 12 2 6 2" xfId="17086" xr:uid="{00000000-0005-0000-0000-000027080000}"/>
    <cellStyle name="20% - Accent2 12 2 6 2 2" xfId="40926" xr:uid="{89A3DD7E-7D12-417A-A494-8DB32F8373E2}"/>
    <cellStyle name="20% - Accent2 12 2 6 3" xfId="25030" xr:uid="{00000000-0005-0000-0000-000028080000}"/>
    <cellStyle name="20% - Accent2 12 2 6 3 2" xfId="48862" xr:uid="{4DB9D488-E74F-4FF4-9244-595567BD8CE1}"/>
    <cellStyle name="20% - Accent2 12 2 6 4" xfId="32985" xr:uid="{D4E98A5C-D2E4-4477-9F5E-AFDAB6326A8D}"/>
    <cellStyle name="20% - Accent2 12 2 7" xfId="10024" xr:uid="{00000000-0005-0000-0000-000029080000}"/>
    <cellStyle name="20% - Accent2 12 2 7 2" xfId="33873" xr:uid="{6A1B0E63-3B5C-4620-A549-CF8550485F03}"/>
    <cellStyle name="20% - Accent2 12 2 8" xfId="17979" xr:uid="{00000000-0005-0000-0000-00002A080000}"/>
    <cellStyle name="20% - Accent2 12 2 8 2" xfId="41811" xr:uid="{F236D661-0862-44A9-89B9-C1F6C2D1B35E}"/>
    <cellStyle name="20% - Accent2 12 2 9" xfId="25931" xr:uid="{BF7BCB63-1849-4A69-8DFF-90CF4E1FBA4F}"/>
    <cellStyle name="20% - Accent2 12 2_Exh G" xfId="2075" xr:uid="{00000000-0005-0000-0000-00002B080000}"/>
    <cellStyle name="20% - Accent2 12 3" xfId="84" xr:uid="{00000000-0005-0000-0000-00002C080000}"/>
    <cellStyle name="20% - Accent2 12 3 2" xfId="1110" xr:uid="{00000000-0005-0000-0000-00002D080000}"/>
    <cellStyle name="20% - Accent2 12 3 2 2" xfId="4637" xr:uid="{00000000-0005-0000-0000-00002E080000}"/>
    <cellStyle name="20% - Accent2 12 3 2 2 2" xfId="8228" xr:uid="{00000000-0005-0000-0000-00002F080000}"/>
    <cellStyle name="20% - Accent2 12 3 2 2 2 2" xfId="16198" xr:uid="{00000000-0005-0000-0000-000030080000}"/>
    <cellStyle name="20% - Accent2 12 3 2 2 2 2 2" xfId="40040" xr:uid="{EEA28B64-59DD-4633-B8A7-8535ABA6BE73}"/>
    <cellStyle name="20% - Accent2 12 3 2 2 2 3" xfId="24144" xr:uid="{00000000-0005-0000-0000-000031080000}"/>
    <cellStyle name="20% - Accent2 12 3 2 2 2 3 2" xfId="47976" xr:uid="{AE4E6F56-20F7-4598-AB25-C07E57A01E0E}"/>
    <cellStyle name="20% - Accent2 12 3 2 2 2 4" xfId="32099" xr:uid="{67D9241E-152F-43C1-ACF2-68957A6F7BBA}"/>
    <cellStyle name="20% - Accent2 12 3 2 2 3" xfId="12660" xr:uid="{00000000-0005-0000-0000-000032080000}"/>
    <cellStyle name="20% - Accent2 12 3 2 2 3 2" xfId="36509" xr:uid="{8425D5EB-6794-4D8C-8451-E6588E8F078B}"/>
    <cellStyle name="20% - Accent2 12 3 2 2 4" xfId="20615" xr:uid="{00000000-0005-0000-0000-000033080000}"/>
    <cellStyle name="20% - Accent2 12 3 2 2 4 2" xfId="44447" xr:uid="{957AE13A-D68B-41A7-AEC7-95C0E41CAA48}"/>
    <cellStyle name="20% - Accent2 12 3 2 2 5" xfId="28568" xr:uid="{9A87EB85-1168-4DB5-810B-EA964A10B51D}"/>
    <cellStyle name="20% - Accent2 12 3 2 3" xfId="6469" xr:uid="{00000000-0005-0000-0000-000034080000}"/>
    <cellStyle name="20% - Accent2 12 3 2 3 2" xfId="14440" xr:uid="{00000000-0005-0000-0000-000035080000}"/>
    <cellStyle name="20% - Accent2 12 3 2 3 2 2" xfId="38282" xr:uid="{0DEFCA89-65FB-4B6B-A6D3-C5DEC4763FA6}"/>
    <cellStyle name="20% - Accent2 12 3 2 3 3" xfId="22387" xr:uid="{00000000-0005-0000-0000-000036080000}"/>
    <cellStyle name="20% - Accent2 12 3 2 3 3 2" xfId="46219" xr:uid="{78E37F05-B5DC-4E95-8B8B-6CB9D2C9DCF3}"/>
    <cellStyle name="20% - Accent2 12 3 2 3 4" xfId="30341" xr:uid="{A94F2000-35C8-406E-8BEE-BCEF748BD91F}"/>
    <cellStyle name="20% - Accent2 12 3 2 4" xfId="10904" xr:uid="{00000000-0005-0000-0000-000037080000}"/>
    <cellStyle name="20% - Accent2 12 3 2 4 2" xfId="34753" xr:uid="{77CC2BFF-F6E1-411E-8C25-FDD3B04FD2E8}"/>
    <cellStyle name="20% - Accent2 12 3 2 5" xfId="18859" xr:uid="{00000000-0005-0000-0000-000038080000}"/>
    <cellStyle name="20% - Accent2 12 3 2 5 2" xfId="42691" xr:uid="{4CF082E8-561A-402C-95C1-038521D0F4A6}"/>
    <cellStyle name="20% - Accent2 12 3 2 6" xfId="26811" xr:uid="{856F3034-F691-44E2-AAC5-E5930803E954}"/>
    <cellStyle name="20% - Accent2 12 3 2_Exh G" xfId="2080" xr:uid="{00000000-0005-0000-0000-000039080000}"/>
    <cellStyle name="20% - Accent2 12 3 3" xfId="3758" xr:uid="{00000000-0005-0000-0000-00003A080000}"/>
    <cellStyle name="20% - Accent2 12 3 3 2" xfId="7350" xr:uid="{00000000-0005-0000-0000-00003B080000}"/>
    <cellStyle name="20% - Accent2 12 3 3 2 2" xfId="15320" xr:uid="{00000000-0005-0000-0000-00003C080000}"/>
    <cellStyle name="20% - Accent2 12 3 3 2 2 2" xfId="39162" xr:uid="{248F6B0F-C19A-4A1D-AA8D-29BF79A3F267}"/>
    <cellStyle name="20% - Accent2 12 3 3 2 3" xfId="23266" xr:uid="{00000000-0005-0000-0000-00003D080000}"/>
    <cellStyle name="20% - Accent2 12 3 3 2 3 2" xfId="47098" xr:uid="{CEB336E8-6A6C-4470-99DE-8D113D0A988D}"/>
    <cellStyle name="20% - Accent2 12 3 3 2 4" xfId="31221" xr:uid="{80F25D8F-FF45-48BF-8A02-686F497168CD}"/>
    <cellStyle name="20% - Accent2 12 3 3 3" xfId="11782" xr:uid="{00000000-0005-0000-0000-00003E080000}"/>
    <cellStyle name="20% - Accent2 12 3 3 3 2" xfId="35631" xr:uid="{D81B9779-F239-488D-8B59-3D6C1F41362D}"/>
    <cellStyle name="20% - Accent2 12 3 3 4" xfId="19737" xr:uid="{00000000-0005-0000-0000-00003F080000}"/>
    <cellStyle name="20% - Accent2 12 3 3 4 2" xfId="43569" xr:uid="{FC1EAA2B-C0AA-47BB-B836-8A79AD6A634D}"/>
    <cellStyle name="20% - Accent2 12 3 3 5" xfId="27690" xr:uid="{66092FBA-11A9-4D37-851C-9BF44D7365BF}"/>
    <cellStyle name="20% - Accent2 12 3 4" xfId="5578" xr:uid="{00000000-0005-0000-0000-000040080000}"/>
    <cellStyle name="20% - Accent2 12 3 4 2" xfId="13561" xr:uid="{00000000-0005-0000-0000-000041080000}"/>
    <cellStyle name="20% - Accent2 12 3 4 2 2" xfId="37404" xr:uid="{5CA3C947-665C-4352-86A3-1CE60374BBFC}"/>
    <cellStyle name="20% - Accent2 12 3 4 3" xfId="21509" xr:uid="{00000000-0005-0000-0000-000042080000}"/>
    <cellStyle name="20% - Accent2 12 3 4 3 2" xfId="45341" xr:uid="{BE029425-013E-4388-878F-A80949FA1F8C}"/>
    <cellStyle name="20% - Accent2 12 3 4 4" xfId="29463" xr:uid="{DD773A41-29B7-4089-934A-A762081BA8E6}"/>
    <cellStyle name="20% - Accent2 12 3 5" xfId="9130" xr:uid="{00000000-0005-0000-0000-000043080000}"/>
    <cellStyle name="20% - Accent2 12 3 5 2" xfId="17088" xr:uid="{00000000-0005-0000-0000-000044080000}"/>
    <cellStyle name="20% - Accent2 12 3 5 2 2" xfId="40928" xr:uid="{FD44D127-87EB-4AA7-AE05-7E0D29D72A1E}"/>
    <cellStyle name="20% - Accent2 12 3 5 3" xfId="25032" xr:uid="{00000000-0005-0000-0000-000045080000}"/>
    <cellStyle name="20% - Accent2 12 3 5 3 2" xfId="48864" xr:uid="{BB4EB76E-76B7-4E02-BAE7-5D54A6532028}"/>
    <cellStyle name="20% - Accent2 12 3 5 4" xfId="32987" xr:uid="{8BAE4D8F-24C4-4F5A-A234-F347DF133BF0}"/>
    <cellStyle name="20% - Accent2 12 3 6" xfId="10026" xr:uid="{00000000-0005-0000-0000-000046080000}"/>
    <cellStyle name="20% - Accent2 12 3 6 2" xfId="33875" xr:uid="{3AA79171-EEE9-4510-AEA1-BDDC54ABE07C}"/>
    <cellStyle name="20% - Accent2 12 3 7" xfId="17981" xr:uid="{00000000-0005-0000-0000-000047080000}"/>
    <cellStyle name="20% - Accent2 12 3 7 2" xfId="41813" xr:uid="{2A97CE21-2DB2-4E5C-A609-91CE5185D131}"/>
    <cellStyle name="20% - Accent2 12 3 8" xfId="25933" xr:uid="{E7B8F61A-7B5D-43EC-B129-8C7BBEAD8220}"/>
    <cellStyle name="20% - Accent2 12 3_Exh G" xfId="2079" xr:uid="{00000000-0005-0000-0000-000048080000}"/>
    <cellStyle name="20% - Accent2 12 4" xfId="1107" xr:uid="{00000000-0005-0000-0000-000049080000}"/>
    <cellStyle name="20% - Accent2 12 4 2" xfId="4634" xr:uid="{00000000-0005-0000-0000-00004A080000}"/>
    <cellStyle name="20% - Accent2 12 4 2 2" xfId="8225" xr:uid="{00000000-0005-0000-0000-00004B080000}"/>
    <cellStyle name="20% - Accent2 12 4 2 2 2" xfId="16195" xr:uid="{00000000-0005-0000-0000-00004C080000}"/>
    <cellStyle name="20% - Accent2 12 4 2 2 2 2" xfId="40037" xr:uid="{16BFA0B2-7216-4567-AFBD-EDD130AD73D4}"/>
    <cellStyle name="20% - Accent2 12 4 2 2 3" xfId="24141" xr:uid="{00000000-0005-0000-0000-00004D080000}"/>
    <cellStyle name="20% - Accent2 12 4 2 2 3 2" xfId="47973" xr:uid="{3AFB8441-DB8B-4FC1-84FC-3CA2395F7A8E}"/>
    <cellStyle name="20% - Accent2 12 4 2 2 4" xfId="32096" xr:uid="{565DEFB2-AE17-487A-B603-78C156B78ED9}"/>
    <cellStyle name="20% - Accent2 12 4 2 3" xfId="12657" xr:uid="{00000000-0005-0000-0000-00004E080000}"/>
    <cellStyle name="20% - Accent2 12 4 2 3 2" xfId="36506" xr:uid="{DA829A0D-133D-41D9-89DA-FB044E5975EE}"/>
    <cellStyle name="20% - Accent2 12 4 2 4" xfId="20612" xr:uid="{00000000-0005-0000-0000-00004F080000}"/>
    <cellStyle name="20% - Accent2 12 4 2 4 2" xfId="44444" xr:uid="{6D818DA6-A742-424C-940D-6EFF08B7CF61}"/>
    <cellStyle name="20% - Accent2 12 4 2 5" xfId="28565" xr:uid="{67EA8298-C584-470E-9493-3AC825863532}"/>
    <cellStyle name="20% - Accent2 12 4 3" xfId="6466" xr:uid="{00000000-0005-0000-0000-000050080000}"/>
    <cellStyle name="20% - Accent2 12 4 3 2" xfId="14437" xr:uid="{00000000-0005-0000-0000-000051080000}"/>
    <cellStyle name="20% - Accent2 12 4 3 2 2" xfId="38279" xr:uid="{D80ED4DA-9FDB-4646-9463-4F4203E5BB60}"/>
    <cellStyle name="20% - Accent2 12 4 3 3" xfId="22384" xr:uid="{00000000-0005-0000-0000-000052080000}"/>
    <cellStyle name="20% - Accent2 12 4 3 3 2" xfId="46216" xr:uid="{E4AE05E1-6509-4176-81D9-C800E10D30A4}"/>
    <cellStyle name="20% - Accent2 12 4 3 4" xfId="30338" xr:uid="{09D4E156-D7A3-4779-B6B5-282C79846BBE}"/>
    <cellStyle name="20% - Accent2 12 4 4" xfId="10901" xr:uid="{00000000-0005-0000-0000-000053080000}"/>
    <cellStyle name="20% - Accent2 12 4 4 2" xfId="34750" xr:uid="{F283D460-C7FC-4682-996D-9F500767E642}"/>
    <cellStyle name="20% - Accent2 12 4 5" xfId="18856" xr:uid="{00000000-0005-0000-0000-000054080000}"/>
    <cellStyle name="20% - Accent2 12 4 5 2" xfId="42688" xr:uid="{3CA7A81B-FDDA-43E7-8B97-32DE3D606B6D}"/>
    <cellStyle name="20% - Accent2 12 4 6" xfId="26808" xr:uid="{F314E17F-000F-4263-9258-ACF1515D762D}"/>
    <cellStyle name="20% - Accent2 12 4_Exh G" xfId="2081" xr:uid="{00000000-0005-0000-0000-000055080000}"/>
    <cellStyle name="20% - Accent2 12 5" xfId="3755" xr:uid="{00000000-0005-0000-0000-000056080000}"/>
    <cellStyle name="20% - Accent2 12 5 2" xfId="7347" xr:uid="{00000000-0005-0000-0000-000057080000}"/>
    <cellStyle name="20% - Accent2 12 5 2 2" xfId="15317" xr:uid="{00000000-0005-0000-0000-000058080000}"/>
    <cellStyle name="20% - Accent2 12 5 2 2 2" xfId="39159" xr:uid="{DD00CF78-9393-47A8-8A4E-4D1EF5874705}"/>
    <cellStyle name="20% - Accent2 12 5 2 3" xfId="23263" xr:uid="{00000000-0005-0000-0000-000059080000}"/>
    <cellStyle name="20% - Accent2 12 5 2 3 2" xfId="47095" xr:uid="{69464ABC-40F5-4562-A4EE-5509AB812854}"/>
    <cellStyle name="20% - Accent2 12 5 2 4" xfId="31218" xr:uid="{2608BD43-5B56-4CE8-8A67-EF57FF40E534}"/>
    <cellStyle name="20% - Accent2 12 5 3" xfId="11779" xr:uid="{00000000-0005-0000-0000-00005A080000}"/>
    <cellStyle name="20% - Accent2 12 5 3 2" xfId="35628" xr:uid="{14622E8A-2580-4023-A59A-5A3624135D04}"/>
    <cellStyle name="20% - Accent2 12 5 4" xfId="19734" xr:uid="{00000000-0005-0000-0000-00005B080000}"/>
    <cellStyle name="20% - Accent2 12 5 4 2" xfId="43566" xr:uid="{3449B977-BE57-475F-B432-B41328E25BF1}"/>
    <cellStyle name="20% - Accent2 12 5 5" xfId="27687" xr:uid="{0DC3CFBD-27B6-4031-9B2D-14EF94379631}"/>
    <cellStyle name="20% - Accent2 12 6" xfId="5575" xr:uid="{00000000-0005-0000-0000-00005C080000}"/>
    <cellStyle name="20% - Accent2 12 6 2" xfId="13558" xr:uid="{00000000-0005-0000-0000-00005D080000}"/>
    <cellStyle name="20% - Accent2 12 6 2 2" xfId="37401" xr:uid="{2851A503-F2E7-4C74-90E3-7D115F7E4A8E}"/>
    <cellStyle name="20% - Accent2 12 6 3" xfId="21506" xr:uid="{00000000-0005-0000-0000-00005E080000}"/>
    <cellStyle name="20% - Accent2 12 6 3 2" xfId="45338" xr:uid="{6812A477-CF48-45E7-85CD-3D33E508513A}"/>
    <cellStyle name="20% - Accent2 12 6 4" xfId="29460" xr:uid="{CA1C8630-9A03-4177-B95A-8645EB114DD6}"/>
    <cellStyle name="20% - Accent2 12 7" xfId="9127" xr:uid="{00000000-0005-0000-0000-00005F080000}"/>
    <cellStyle name="20% - Accent2 12 7 2" xfId="17085" xr:uid="{00000000-0005-0000-0000-000060080000}"/>
    <cellStyle name="20% - Accent2 12 7 2 2" xfId="40925" xr:uid="{0F40CF1B-E45B-4603-87AB-8C91CB926366}"/>
    <cellStyle name="20% - Accent2 12 7 3" xfId="25029" xr:uid="{00000000-0005-0000-0000-000061080000}"/>
    <cellStyle name="20% - Accent2 12 7 3 2" xfId="48861" xr:uid="{6C1AA045-7C6B-47A1-9BD8-519B7DD87AEA}"/>
    <cellStyle name="20% - Accent2 12 7 4" xfId="32984" xr:uid="{54009C6D-D273-42BB-AF7E-455BA1BE4126}"/>
    <cellStyle name="20% - Accent2 12 8" xfId="10023" xr:uid="{00000000-0005-0000-0000-000062080000}"/>
    <cellStyle name="20% - Accent2 12 8 2" xfId="33872" xr:uid="{FC3E6207-3B84-40B9-8070-4ECACF12DFC8}"/>
    <cellStyle name="20% - Accent2 12 9" xfId="17978" xr:uid="{00000000-0005-0000-0000-000063080000}"/>
    <cellStyle name="20% - Accent2 12 9 2" xfId="41810" xr:uid="{E78EEB1D-6696-4E18-80D4-2F1390AD3F53}"/>
    <cellStyle name="20% - Accent2 12_Exh G" xfId="2074" xr:uid="{00000000-0005-0000-0000-000064080000}"/>
    <cellStyle name="20% - Accent2 13" xfId="85" xr:uid="{00000000-0005-0000-0000-000065080000}"/>
    <cellStyle name="20% - Accent2 13 10" xfId="25934" xr:uid="{9C2D83CE-D1F4-44FE-8A4C-75E1335F8532}"/>
    <cellStyle name="20% - Accent2 13 2" xfId="86" xr:uid="{00000000-0005-0000-0000-000066080000}"/>
    <cellStyle name="20% - Accent2 13 2 2" xfId="87" xr:uid="{00000000-0005-0000-0000-000067080000}"/>
    <cellStyle name="20% - Accent2 13 2 2 2" xfId="1113" xr:uid="{00000000-0005-0000-0000-000068080000}"/>
    <cellStyle name="20% - Accent2 13 2 2 2 2" xfId="4640" xr:uid="{00000000-0005-0000-0000-000069080000}"/>
    <cellStyle name="20% - Accent2 13 2 2 2 2 2" xfId="8231" xr:uid="{00000000-0005-0000-0000-00006A080000}"/>
    <cellStyle name="20% - Accent2 13 2 2 2 2 2 2" xfId="16201" xr:uid="{00000000-0005-0000-0000-00006B080000}"/>
    <cellStyle name="20% - Accent2 13 2 2 2 2 2 2 2" xfId="40043" xr:uid="{AED9F3E9-2C7C-4050-AF74-C2D14B0643A1}"/>
    <cellStyle name="20% - Accent2 13 2 2 2 2 2 3" xfId="24147" xr:uid="{00000000-0005-0000-0000-00006C080000}"/>
    <cellStyle name="20% - Accent2 13 2 2 2 2 2 3 2" xfId="47979" xr:uid="{40F36081-CEBF-4166-8793-E92505D3AA5D}"/>
    <cellStyle name="20% - Accent2 13 2 2 2 2 2 4" xfId="32102" xr:uid="{6E13E938-6CDE-4875-AC01-A0DB28426616}"/>
    <cellStyle name="20% - Accent2 13 2 2 2 2 3" xfId="12663" xr:uid="{00000000-0005-0000-0000-00006D080000}"/>
    <cellStyle name="20% - Accent2 13 2 2 2 2 3 2" xfId="36512" xr:uid="{196EF54B-7DE7-470C-8047-378047A55BFD}"/>
    <cellStyle name="20% - Accent2 13 2 2 2 2 4" xfId="20618" xr:uid="{00000000-0005-0000-0000-00006E080000}"/>
    <cellStyle name="20% - Accent2 13 2 2 2 2 4 2" xfId="44450" xr:uid="{C93F3766-F375-4A30-8F8F-D400039B7845}"/>
    <cellStyle name="20% - Accent2 13 2 2 2 2 5" xfId="28571" xr:uid="{598F1EA6-22B1-42A4-8CCE-99051FA264EE}"/>
    <cellStyle name="20% - Accent2 13 2 2 2 3" xfId="6472" xr:uid="{00000000-0005-0000-0000-00006F080000}"/>
    <cellStyle name="20% - Accent2 13 2 2 2 3 2" xfId="14443" xr:uid="{00000000-0005-0000-0000-000070080000}"/>
    <cellStyle name="20% - Accent2 13 2 2 2 3 2 2" xfId="38285" xr:uid="{4D316B75-2F60-4CA2-BC5E-5452A28FF321}"/>
    <cellStyle name="20% - Accent2 13 2 2 2 3 3" xfId="22390" xr:uid="{00000000-0005-0000-0000-000071080000}"/>
    <cellStyle name="20% - Accent2 13 2 2 2 3 3 2" xfId="46222" xr:uid="{0C5A2ED4-B292-4191-B2D2-5C06600BD074}"/>
    <cellStyle name="20% - Accent2 13 2 2 2 3 4" xfId="30344" xr:uid="{CD8A5B4E-C997-4DB8-8B3E-41631457150A}"/>
    <cellStyle name="20% - Accent2 13 2 2 2 4" xfId="10907" xr:uid="{00000000-0005-0000-0000-000072080000}"/>
    <cellStyle name="20% - Accent2 13 2 2 2 4 2" xfId="34756" xr:uid="{7A5A8AE2-5048-4584-AE8B-22C27F4E1332}"/>
    <cellStyle name="20% - Accent2 13 2 2 2 5" xfId="18862" xr:uid="{00000000-0005-0000-0000-000073080000}"/>
    <cellStyle name="20% - Accent2 13 2 2 2 5 2" xfId="42694" xr:uid="{CC43635D-0668-44F0-ADED-213ADD5A30CD}"/>
    <cellStyle name="20% - Accent2 13 2 2 2 6" xfId="26814" xr:uid="{02530059-2172-47D0-9132-A8AD28A7F45D}"/>
    <cellStyle name="20% - Accent2 13 2 2 2_Exh G" xfId="2085" xr:uid="{00000000-0005-0000-0000-000074080000}"/>
    <cellStyle name="20% - Accent2 13 2 2 3" xfId="3761" xr:uid="{00000000-0005-0000-0000-000075080000}"/>
    <cellStyle name="20% - Accent2 13 2 2 3 2" xfId="7353" xr:uid="{00000000-0005-0000-0000-000076080000}"/>
    <cellStyle name="20% - Accent2 13 2 2 3 2 2" xfId="15323" xr:uid="{00000000-0005-0000-0000-000077080000}"/>
    <cellStyle name="20% - Accent2 13 2 2 3 2 2 2" xfId="39165" xr:uid="{77C78D63-C3AC-46AB-94D9-D51EA5FE39AA}"/>
    <cellStyle name="20% - Accent2 13 2 2 3 2 3" xfId="23269" xr:uid="{00000000-0005-0000-0000-000078080000}"/>
    <cellStyle name="20% - Accent2 13 2 2 3 2 3 2" xfId="47101" xr:uid="{0D645EB8-4134-46FC-B674-DE27D84D2AE2}"/>
    <cellStyle name="20% - Accent2 13 2 2 3 2 4" xfId="31224" xr:uid="{CBF9F668-9DC8-4F0E-ACCB-F24FA6AFEE89}"/>
    <cellStyle name="20% - Accent2 13 2 2 3 3" xfId="11785" xr:uid="{00000000-0005-0000-0000-000079080000}"/>
    <cellStyle name="20% - Accent2 13 2 2 3 3 2" xfId="35634" xr:uid="{FD56095C-7EB9-40CF-B1BE-B7349D637027}"/>
    <cellStyle name="20% - Accent2 13 2 2 3 4" xfId="19740" xr:uid="{00000000-0005-0000-0000-00007A080000}"/>
    <cellStyle name="20% - Accent2 13 2 2 3 4 2" xfId="43572" xr:uid="{0B2B8B2E-5496-4D94-B9C2-A06C010A1991}"/>
    <cellStyle name="20% - Accent2 13 2 2 3 5" xfId="27693" xr:uid="{570BFDB6-F39F-40EC-85B1-F8B32CBF033F}"/>
    <cellStyle name="20% - Accent2 13 2 2 4" xfId="5581" xr:uid="{00000000-0005-0000-0000-00007B080000}"/>
    <cellStyle name="20% - Accent2 13 2 2 4 2" xfId="13564" xr:uid="{00000000-0005-0000-0000-00007C080000}"/>
    <cellStyle name="20% - Accent2 13 2 2 4 2 2" xfId="37407" xr:uid="{5799E57E-388A-46AA-8871-E757D17B9468}"/>
    <cellStyle name="20% - Accent2 13 2 2 4 3" xfId="21512" xr:uid="{00000000-0005-0000-0000-00007D080000}"/>
    <cellStyle name="20% - Accent2 13 2 2 4 3 2" xfId="45344" xr:uid="{746F6877-6ACD-4987-BAEC-F164232363EC}"/>
    <cellStyle name="20% - Accent2 13 2 2 4 4" xfId="29466" xr:uid="{7A195C65-AF02-4AAF-B90B-7DDCF80FE71F}"/>
    <cellStyle name="20% - Accent2 13 2 2 5" xfId="9133" xr:uid="{00000000-0005-0000-0000-00007E080000}"/>
    <cellStyle name="20% - Accent2 13 2 2 5 2" xfId="17091" xr:uid="{00000000-0005-0000-0000-00007F080000}"/>
    <cellStyle name="20% - Accent2 13 2 2 5 2 2" xfId="40931" xr:uid="{6F5EB8C1-7D75-40D6-98AF-CA88134AA666}"/>
    <cellStyle name="20% - Accent2 13 2 2 5 3" xfId="25035" xr:uid="{00000000-0005-0000-0000-000080080000}"/>
    <cellStyle name="20% - Accent2 13 2 2 5 3 2" xfId="48867" xr:uid="{0FCF70FC-A8E6-4F66-8DD6-C8DDEA54863A}"/>
    <cellStyle name="20% - Accent2 13 2 2 5 4" xfId="32990" xr:uid="{129E5EBF-A43B-4123-BFEE-D91B6F3E632F}"/>
    <cellStyle name="20% - Accent2 13 2 2 6" xfId="10029" xr:uid="{00000000-0005-0000-0000-000081080000}"/>
    <cellStyle name="20% - Accent2 13 2 2 6 2" xfId="33878" xr:uid="{0E7BF761-E0EA-4BD1-A206-764D210E1271}"/>
    <cellStyle name="20% - Accent2 13 2 2 7" xfId="17984" xr:uid="{00000000-0005-0000-0000-000082080000}"/>
    <cellStyle name="20% - Accent2 13 2 2 7 2" xfId="41816" xr:uid="{140C1403-366D-492D-A497-C8E132D24C90}"/>
    <cellStyle name="20% - Accent2 13 2 2 8" xfId="25936" xr:uid="{19453550-E800-43AB-82C3-139ED4920112}"/>
    <cellStyle name="20% - Accent2 13 2 2_Exh G" xfId="2084" xr:uid="{00000000-0005-0000-0000-000083080000}"/>
    <cellStyle name="20% - Accent2 13 2 3" xfId="1112" xr:uid="{00000000-0005-0000-0000-000084080000}"/>
    <cellStyle name="20% - Accent2 13 2 3 2" xfId="4639" xr:uid="{00000000-0005-0000-0000-000085080000}"/>
    <cellStyle name="20% - Accent2 13 2 3 2 2" xfId="8230" xr:uid="{00000000-0005-0000-0000-000086080000}"/>
    <cellStyle name="20% - Accent2 13 2 3 2 2 2" xfId="16200" xr:uid="{00000000-0005-0000-0000-000087080000}"/>
    <cellStyle name="20% - Accent2 13 2 3 2 2 2 2" xfId="40042" xr:uid="{F19F1529-39AB-4809-9323-CAC68558EBD0}"/>
    <cellStyle name="20% - Accent2 13 2 3 2 2 3" xfId="24146" xr:uid="{00000000-0005-0000-0000-000088080000}"/>
    <cellStyle name="20% - Accent2 13 2 3 2 2 3 2" xfId="47978" xr:uid="{66590B54-7DEB-4870-BF97-8C32A5F4ED93}"/>
    <cellStyle name="20% - Accent2 13 2 3 2 2 4" xfId="32101" xr:uid="{580549B3-0982-437D-ADD1-605C58C4D2FB}"/>
    <cellStyle name="20% - Accent2 13 2 3 2 3" xfId="12662" xr:uid="{00000000-0005-0000-0000-000089080000}"/>
    <cellStyle name="20% - Accent2 13 2 3 2 3 2" xfId="36511" xr:uid="{F73DB968-5067-4F7D-B80E-7B1D348137A3}"/>
    <cellStyle name="20% - Accent2 13 2 3 2 4" xfId="20617" xr:uid="{00000000-0005-0000-0000-00008A080000}"/>
    <cellStyle name="20% - Accent2 13 2 3 2 4 2" xfId="44449" xr:uid="{738403EF-23FA-47CC-AE9A-4B69077F6938}"/>
    <cellStyle name="20% - Accent2 13 2 3 2 5" xfId="28570" xr:uid="{4B5DB05E-890E-4BCA-BE73-6FDA5F8D0690}"/>
    <cellStyle name="20% - Accent2 13 2 3 3" xfId="6471" xr:uid="{00000000-0005-0000-0000-00008B080000}"/>
    <cellStyle name="20% - Accent2 13 2 3 3 2" xfId="14442" xr:uid="{00000000-0005-0000-0000-00008C080000}"/>
    <cellStyle name="20% - Accent2 13 2 3 3 2 2" xfId="38284" xr:uid="{2D6ADA7A-C084-43F4-8881-25B009548D6B}"/>
    <cellStyle name="20% - Accent2 13 2 3 3 3" xfId="22389" xr:uid="{00000000-0005-0000-0000-00008D080000}"/>
    <cellStyle name="20% - Accent2 13 2 3 3 3 2" xfId="46221" xr:uid="{C6C841D2-EA97-4A86-BA18-E7891297BB76}"/>
    <cellStyle name="20% - Accent2 13 2 3 3 4" xfId="30343" xr:uid="{79E148AB-D7F8-4079-82A8-938AF132692F}"/>
    <cellStyle name="20% - Accent2 13 2 3 4" xfId="10906" xr:uid="{00000000-0005-0000-0000-00008E080000}"/>
    <cellStyle name="20% - Accent2 13 2 3 4 2" xfId="34755" xr:uid="{F86FD041-AD43-4908-9BB4-1C0A2575962A}"/>
    <cellStyle name="20% - Accent2 13 2 3 5" xfId="18861" xr:uid="{00000000-0005-0000-0000-00008F080000}"/>
    <cellStyle name="20% - Accent2 13 2 3 5 2" xfId="42693" xr:uid="{90B3CE93-BE2F-4F94-A559-1D03B936EBE2}"/>
    <cellStyle name="20% - Accent2 13 2 3 6" xfId="26813" xr:uid="{8A9B1DFC-8F4C-4778-8F73-FE831678037C}"/>
    <cellStyle name="20% - Accent2 13 2 3_Exh G" xfId="2086" xr:uid="{00000000-0005-0000-0000-000090080000}"/>
    <cellStyle name="20% - Accent2 13 2 4" xfId="3760" xr:uid="{00000000-0005-0000-0000-000091080000}"/>
    <cellStyle name="20% - Accent2 13 2 4 2" xfId="7352" xr:uid="{00000000-0005-0000-0000-000092080000}"/>
    <cellStyle name="20% - Accent2 13 2 4 2 2" xfId="15322" xr:uid="{00000000-0005-0000-0000-000093080000}"/>
    <cellStyle name="20% - Accent2 13 2 4 2 2 2" xfId="39164" xr:uid="{B2CE9ED3-523A-4415-AA14-4DF1BF59CF58}"/>
    <cellStyle name="20% - Accent2 13 2 4 2 3" xfId="23268" xr:uid="{00000000-0005-0000-0000-000094080000}"/>
    <cellStyle name="20% - Accent2 13 2 4 2 3 2" xfId="47100" xr:uid="{CD7BF69E-4C31-4BEC-8CFA-677AA740356E}"/>
    <cellStyle name="20% - Accent2 13 2 4 2 4" xfId="31223" xr:uid="{0396AE0E-A572-4992-9A8E-022376616B6B}"/>
    <cellStyle name="20% - Accent2 13 2 4 3" xfId="11784" xr:uid="{00000000-0005-0000-0000-000095080000}"/>
    <cellStyle name="20% - Accent2 13 2 4 3 2" xfId="35633" xr:uid="{B60480ED-C2A7-4335-A7AF-E1C31E823131}"/>
    <cellStyle name="20% - Accent2 13 2 4 4" xfId="19739" xr:uid="{00000000-0005-0000-0000-000096080000}"/>
    <cellStyle name="20% - Accent2 13 2 4 4 2" xfId="43571" xr:uid="{14084C7F-E5DA-482A-B8BB-DB38CD8B6885}"/>
    <cellStyle name="20% - Accent2 13 2 4 5" xfId="27692" xr:uid="{78275610-34E7-40F8-A1F7-8FB0B5B0498E}"/>
    <cellStyle name="20% - Accent2 13 2 5" xfId="5580" xr:uid="{00000000-0005-0000-0000-000097080000}"/>
    <cellStyle name="20% - Accent2 13 2 5 2" xfId="13563" xr:uid="{00000000-0005-0000-0000-000098080000}"/>
    <cellStyle name="20% - Accent2 13 2 5 2 2" xfId="37406" xr:uid="{0C702A0C-8BE4-4BE4-8C8E-3CE9B23D1129}"/>
    <cellStyle name="20% - Accent2 13 2 5 3" xfId="21511" xr:uid="{00000000-0005-0000-0000-000099080000}"/>
    <cellStyle name="20% - Accent2 13 2 5 3 2" xfId="45343" xr:uid="{876AEDD8-2109-48F3-BB64-8A4058856B37}"/>
    <cellStyle name="20% - Accent2 13 2 5 4" xfId="29465" xr:uid="{579F650E-5374-407F-BAA4-C7A013C6A1FF}"/>
    <cellStyle name="20% - Accent2 13 2 6" xfId="9132" xr:uid="{00000000-0005-0000-0000-00009A080000}"/>
    <cellStyle name="20% - Accent2 13 2 6 2" xfId="17090" xr:uid="{00000000-0005-0000-0000-00009B080000}"/>
    <cellStyle name="20% - Accent2 13 2 6 2 2" xfId="40930" xr:uid="{F5A2C394-97F8-4105-96C3-35CFE10C89ED}"/>
    <cellStyle name="20% - Accent2 13 2 6 3" xfId="25034" xr:uid="{00000000-0005-0000-0000-00009C080000}"/>
    <cellStyle name="20% - Accent2 13 2 6 3 2" xfId="48866" xr:uid="{0BA132A3-A4C2-49C9-B4EE-01E22FC231F5}"/>
    <cellStyle name="20% - Accent2 13 2 6 4" xfId="32989" xr:uid="{C69E6235-8479-41A7-9E79-F14C0FB06672}"/>
    <cellStyle name="20% - Accent2 13 2 7" xfId="10028" xr:uid="{00000000-0005-0000-0000-00009D080000}"/>
    <cellStyle name="20% - Accent2 13 2 7 2" xfId="33877" xr:uid="{F7E56A2B-CB2A-4992-8112-6442BD7A4DB6}"/>
    <cellStyle name="20% - Accent2 13 2 8" xfId="17983" xr:uid="{00000000-0005-0000-0000-00009E080000}"/>
    <cellStyle name="20% - Accent2 13 2 8 2" xfId="41815" xr:uid="{62C8459F-F04F-4FF6-9DE3-978F87F618D7}"/>
    <cellStyle name="20% - Accent2 13 2 9" xfId="25935" xr:uid="{568A96BB-7842-4977-B422-748E24F5DE09}"/>
    <cellStyle name="20% - Accent2 13 2_Exh G" xfId="2083" xr:uid="{00000000-0005-0000-0000-00009F080000}"/>
    <cellStyle name="20% - Accent2 13 3" xfId="88" xr:uid="{00000000-0005-0000-0000-0000A0080000}"/>
    <cellStyle name="20% - Accent2 13 3 2" xfId="1114" xr:uid="{00000000-0005-0000-0000-0000A1080000}"/>
    <cellStyle name="20% - Accent2 13 3 2 2" xfId="4641" xr:uid="{00000000-0005-0000-0000-0000A2080000}"/>
    <cellStyle name="20% - Accent2 13 3 2 2 2" xfId="8232" xr:uid="{00000000-0005-0000-0000-0000A3080000}"/>
    <cellStyle name="20% - Accent2 13 3 2 2 2 2" xfId="16202" xr:uid="{00000000-0005-0000-0000-0000A4080000}"/>
    <cellStyle name="20% - Accent2 13 3 2 2 2 2 2" xfId="40044" xr:uid="{6716D002-7393-4398-81EF-BEC32B859BB2}"/>
    <cellStyle name="20% - Accent2 13 3 2 2 2 3" xfId="24148" xr:uid="{00000000-0005-0000-0000-0000A5080000}"/>
    <cellStyle name="20% - Accent2 13 3 2 2 2 3 2" xfId="47980" xr:uid="{BCEC88FB-6B48-4B40-90ED-E625F4B9BFCD}"/>
    <cellStyle name="20% - Accent2 13 3 2 2 2 4" xfId="32103" xr:uid="{39DAE36D-6E56-40C3-A52F-34D37A6B64D1}"/>
    <cellStyle name="20% - Accent2 13 3 2 2 3" xfId="12664" xr:uid="{00000000-0005-0000-0000-0000A6080000}"/>
    <cellStyle name="20% - Accent2 13 3 2 2 3 2" xfId="36513" xr:uid="{2FB747D1-CEC9-4FE4-A9FC-DEE24B66A07E}"/>
    <cellStyle name="20% - Accent2 13 3 2 2 4" xfId="20619" xr:uid="{00000000-0005-0000-0000-0000A7080000}"/>
    <cellStyle name="20% - Accent2 13 3 2 2 4 2" xfId="44451" xr:uid="{53C2ACFF-17F3-4AE7-B6BA-9E3F05302536}"/>
    <cellStyle name="20% - Accent2 13 3 2 2 5" xfId="28572" xr:uid="{CB5ACD10-39FA-421C-88D5-E2CFE005EF96}"/>
    <cellStyle name="20% - Accent2 13 3 2 3" xfId="6473" xr:uid="{00000000-0005-0000-0000-0000A8080000}"/>
    <cellStyle name="20% - Accent2 13 3 2 3 2" xfId="14444" xr:uid="{00000000-0005-0000-0000-0000A9080000}"/>
    <cellStyle name="20% - Accent2 13 3 2 3 2 2" xfId="38286" xr:uid="{576DF8E7-5B11-474C-9D8F-DEBB045EB4D2}"/>
    <cellStyle name="20% - Accent2 13 3 2 3 3" xfId="22391" xr:uid="{00000000-0005-0000-0000-0000AA080000}"/>
    <cellStyle name="20% - Accent2 13 3 2 3 3 2" xfId="46223" xr:uid="{F5361A23-018B-46A1-940F-5CDA174C5C37}"/>
    <cellStyle name="20% - Accent2 13 3 2 3 4" xfId="30345" xr:uid="{0F9DBD44-C1F9-4800-A313-D85A3EDEC456}"/>
    <cellStyle name="20% - Accent2 13 3 2 4" xfId="10908" xr:uid="{00000000-0005-0000-0000-0000AB080000}"/>
    <cellStyle name="20% - Accent2 13 3 2 4 2" xfId="34757" xr:uid="{EEC45AF8-E411-4EEC-9BF3-A63F17D9B39F}"/>
    <cellStyle name="20% - Accent2 13 3 2 5" xfId="18863" xr:uid="{00000000-0005-0000-0000-0000AC080000}"/>
    <cellStyle name="20% - Accent2 13 3 2 5 2" xfId="42695" xr:uid="{86F6D109-AF59-40C4-B219-C44A3D309DB8}"/>
    <cellStyle name="20% - Accent2 13 3 2 6" xfId="26815" xr:uid="{00FB9279-8E7B-4676-999D-D3DD3A2CEA47}"/>
    <cellStyle name="20% - Accent2 13 3 2_Exh G" xfId="2088" xr:uid="{00000000-0005-0000-0000-0000AD080000}"/>
    <cellStyle name="20% - Accent2 13 3 3" xfId="3762" xr:uid="{00000000-0005-0000-0000-0000AE080000}"/>
    <cellStyle name="20% - Accent2 13 3 3 2" xfId="7354" xr:uid="{00000000-0005-0000-0000-0000AF080000}"/>
    <cellStyle name="20% - Accent2 13 3 3 2 2" xfId="15324" xr:uid="{00000000-0005-0000-0000-0000B0080000}"/>
    <cellStyle name="20% - Accent2 13 3 3 2 2 2" xfId="39166" xr:uid="{DCA9D86C-B9AA-49C0-9913-534707B48D32}"/>
    <cellStyle name="20% - Accent2 13 3 3 2 3" xfId="23270" xr:uid="{00000000-0005-0000-0000-0000B1080000}"/>
    <cellStyle name="20% - Accent2 13 3 3 2 3 2" xfId="47102" xr:uid="{A941008C-C9FB-42B3-88F5-21C1F8E7B95A}"/>
    <cellStyle name="20% - Accent2 13 3 3 2 4" xfId="31225" xr:uid="{35AA7F71-9177-4DCE-9660-5ABE4A9A760B}"/>
    <cellStyle name="20% - Accent2 13 3 3 3" xfId="11786" xr:uid="{00000000-0005-0000-0000-0000B2080000}"/>
    <cellStyle name="20% - Accent2 13 3 3 3 2" xfId="35635" xr:uid="{C5BABAAF-DD6E-4780-90E9-F1ECEA70C8F5}"/>
    <cellStyle name="20% - Accent2 13 3 3 4" xfId="19741" xr:uid="{00000000-0005-0000-0000-0000B3080000}"/>
    <cellStyle name="20% - Accent2 13 3 3 4 2" xfId="43573" xr:uid="{434000DF-6A36-408B-8D51-14F97942C2B2}"/>
    <cellStyle name="20% - Accent2 13 3 3 5" xfId="27694" xr:uid="{7D9A5179-44A6-4A0D-91E3-7C4DDD626B53}"/>
    <cellStyle name="20% - Accent2 13 3 4" xfId="5582" xr:uid="{00000000-0005-0000-0000-0000B4080000}"/>
    <cellStyle name="20% - Accent2 13 3 4 2" xfId="13565" xr:uid="{00000000-0005-0000-0000-0000B5080000}"/>
    <cellStyle name="20% - Accent2 13 3 4 2 2" xfId="37408" xr:uid="{4CC73FC4-BBDA-47B8-B3C4-7736FAD7C213}"/>
    <cellStyle name="20% - Accent2 13 3 4 3" xfId="21513" xr:uid="{00000000-0005-0000-0000-0000B6080000}"/>
    <cellStyle name="20% - Accent2 13 3 4 3 2" xfId="45345" xr:uid="{2DDC5FBF-F7C5-4BAE-BC4A-5EF06F62EE48}"/>
    <cellStyle name="20% - Accent2 13 3 4 4" xfId="29467" xr:uid="{87D53354-4535-4532-86D2-65F53CBC0508}"/>
    <cellStyle name="20% - Accent2 13 3 5" xfId="9134" xr:uid="{00000000-0005-0000-0000-0000B7080000}"/>
    <cellStyle name="20% - Accent2 13 3 5 2" xfId="17092" xr:uid="{00000000-0005-0000-0000-0000B8080000}"/>
    <cellStyle name="20% - Accent2 13 3 5 2 2" xfId="40932" xr:uid="{2BC10805-1682-48FB-9865-583D2E082318}"/>
    <cellStyle name="20% - Accent2 13 3 5 3" xfId="25036" xr:uid="{00000000-0005-0000-0000-0000B9080000}"/>
    <cellStyle name="20% - Accent2 13 3 5 3 2" xfId="48868" xr:uid="{CC9925F6-70D3-4521-BBC1-DA3757A76E14}"/>
    <cellStyle name="20% - Accent2 13 3 5 4" xfId="32991" xr:uid="{8B84A8F2-72E8-46C3-876E-180FBC8EACD4}"/>
    <cellStyle name="20% - Accent2 13 3 6" xfId="10030" xr:uid="{00000000-0005-0000-0000-0000BA080000}"/>
    <cellStyle name="20% - Accent2 13 3 6 2" xfId="33879" xr:uid="{79AAD0C0-AAE2-4697-A3C1-62A2CFEECC4F}"/>
    <cellStyle name="20% - Accent2 13 3 7" xfId="17985" xr:uid="{00000000-0005-0000-0000-0000BB080000}"/>
    <cellStyle name="20% - Accent2 13 3 7 2" xfId="41817" xr:uid="{6C0C8FFD-80F6-49A0-A6A4-A8178996D3C5}"/>
    <cellStyle name="20% - Accent2 13 3 8" xfId="25937" xr:uid="{108337D7-5AF1-4774-B90B-954CD226813F}"/>
    <cellStyle name="20% - Accent2 13 3_Exh G" xfId="2087" xr:uid="{00000000-0005-0000-0000-0000BC080000}"/>
    <cellStyle name="20% - Accent2 13 4" xfId="1111" xr:uid="{00000000-0005-0000-0000-0000BD080000}"/>
    <cellStyle name="20% - Accent2 13 4 2" xfId="4638" xr:uid="{00000000-0005-0000-0000-0000BE080000}"/>
    <cellStyle name="20% - Accent2 13 4 2 2" xfId="8229" xr:uid="{00000000-0005-0000-0000-0000BF080000}"/>
    <cellStyle name="20% - Accent2 13 4 2 2 2" xfId="16199" xr:uid="{00000000-0005-0000-0000-0000C0080000}"/>
    <cellStyle name="20% - Accent2 13 4 2 2 2 2" xfId="40041" xr:uid="{D2129FDF-F1D9-41E0-8BED-E1BAE4979DAC}"/>
    <cellStyle name="20% - Accent2 13 4 2 2 3" xfId="24145" xr:uid="{00000000-0005-0000-0000-0000C1080000}"/>
    <cellStyle name="20% - Accent2 13 4 2 2 3 2" xfId="47977" xr:uid="{EB63A0C5-E262-4B30-BA31-E347D6D32D88}"/>
    <cellStyle name="20% - Accent2 13 4 2 2 4" xfId="32100" xr:uid="{E500DDD0-5D03-4DAA-9775-E51091B6D56D}"/>
    <cellStyle name="20% - Accent2 13 4 2 3" xfId="12661" xr:uid="{00000000-0005-0000-0000-0000C2080000}"/>
    <cellStyle name="20% - Accent2 13 4 2 3 2" xfId="36510" xr:uid="{59F4DBEF-75CC-493A-849E-BF55DD0D2297}"/>
    <cellStyle name="20% - Accent2 13 4 2 4" xfId="20616" xr:uid="{00000000-0005-0000-0000-0000C3080000}"/>
    <cellStyle name="20% - Accent2 13 4 2 4 2" xfId="44448" xr:uid="{7A073476-6F5D-44BE-940A-5EBC2DCBECB9}"/>
    <cellStyle name="20% - Accent2 13 4 2 5" xfId="28569" xr:uid="{89385DB9-9568-4DA2-9727-8AC89455FB7C}"/>
    <cellStyle name="20% - Accent2 13 4 3" xfId="6470" xr:uid="{00000000-0005-0000-0000-0000C4080000}"/>
    <cellStyle name="20% - Accent2 13 4 3 2" xfId="14441" xr:uid="{00000000-0005-0000-0000-0000C5080000}"/>
    <cellStyle name="20% - Accent2 13 4 3 2 2" xfId="38283" xr:uid="{19FB687A-C949-41BA-814B-15CB364C167E}"/>
    <cellStyle name="20% - Accent2 13 4 3 3" xfId="22388" xr:uid="{00000000-0005-0000-0000-0000C6080000}"/>
    <cellStyle name="20% - Accent2 13 4 3 3 2" xfId="46220" xr:uid="{80B72399-743A-4D56-BE7A-39AFF6962042}"/>
    <cellStyle name="20% - Accent2 13 4 3 4" xfId="30342" xr:uid="{6BED423B-1DE4-4E01-BFD6-20270EF2490A}"/>
    <cellStyle name="20% - Accent2 13 4 4" xfId="10905" xr:uid="{00000000-0005-0000-0000-0000C7080000}"/>
    <cellStyle name="20% - Accent2 13 4 4 2" xfId="34754" xr:uid="{F984843B-D4B2-4B01-9936-FCEC2BD46FC2}"/>
    <cellStyle name="20% - Accent2 13 4 5" xfId="18860" xr:uid="{00000000-0005-0000-0000-0000C8080000}"/>
    <cellStyle name="20% - Accent2 13 4 5 2" xfId="42692" xr:uid="{8F4BFC8F-8D9A-4CF3-B1D9-5DBA0106DF13}"/>
    <cellStyle name="20% - Accent2 13 4 6" xfId="26812" xr:uid="{50DFBF94-B08F-4C79-9A01-106D1F9B0221}"/>
    <cellStyle name="20% - Accent2 13 4_Exh G" xfId="2089" xr:uid="{00000000-0005-0000-0000-0000C9080000}"/>
    <cellStyle name="20% - Accent2 13 5" xfId="3759" xr:uid="{00000000-0005-0000-0000-0000CA080000}"/>
    <cellStyle name="20% - Accent2 13 5 2" xfId="7351" xr:uid="{00000000-0005-0000-0000-0000CB080000}"/>
    <cellStyle name="20% - Accent2 13 5 2 2" xfId="15321" xr:uid="{00000000-0005-0000-0000-0000CC080000}"/>
    <cellStyle name="20% - Accent2 13 5 2 2 2" xfId="39163" xr:uid="{4196426C-5253-40F7-9124-1175E68B282B}"/>
    <cellStyle name="20% - Accent2 13 5 2 3" xfId="23267" xr:uid="{00000000-0005-0000-0000-0000CD080000}"/>
    <cellStyle name="20% - Accent2 13 5 2 3 2" xfId="47099" xr:uid="{929DF4FC-3CA5-409D-BF2F-E5CC9711B84A}"/>
    <cellStyle name="20% - Accent2 13 5 2 4" xfId="31222" xr:uid="{74FD9C90-5D15-4990-8601-21E86C53E9A5}"/>
    <cellStyle name="20% - Accent2 13 5 3" xfId="11783" xr:uid="{00000000-0005-0000-0000-0000CE080000}"/>
    <cellStyle name="20% - Accent2 13 5 3 2" xfId="35632" xr:uid="{74B472BD-5B0B-4EEF-AB41-48ADA4536726}"/>
    <cellStyle name="20% - Accent2 13 5 4" xfId="19738" xr:uid="{00000000-0005-0000-0000-0000CF080000}"/>
    <cellStyle name="20% - Accent2 13 5 4 2" xfId="43570" xr:uid="{91D840AD-87F0-411E-A8E0-4F3B88BA6BC6}"/>
    <cellStyle name="20% - Accent2 13 5 5" xfId="27691" xr:uid="{E655F3B8-6723-425C-BAD3-1A4393963CFE}"/>
    <cellStyle name="20% - Accent2 13 6" xfId="5579" xr:uid="{00000000-0005-0000-0000-0000D0080000}"/>
    <cellStyle name="20% - Accent2 13 6 2" xfId="13562" xr:uid="{00000000-0005-0000-0000-0000D1080000}"/>
    <cellStyle name="20% - Accent2 13 6 2 2" xfId="37405" xr:uid="{2FF69DDA-4B44-4201-93A6-BB4DECB0D703}"/>
    <cellStyle name="20% - Accent2 13 6 3" xfId="21510" xr:uid="{00000000-0005-0000-0000-0000D2080000}"/>
    <cellStyle name="20% - Accent2 13 6 3 2" xfId="45342" xr:uid="{FFF443F4-5347-423E-8F38-7FE505A503E2}"/>
    <cellStyle name="20% - Accent2 13 6 4" xfId="29464" xr:uid="{20FE7E71-CB35-4DA6-9051-19C8771F3434}"/>
    <cellStyle name="20% - Accent2 13 7" xfId="9131" xr:uid="{00000000-0005-0000-0000-0000D3080000}"/>
    <cellStyle name="20% - Accent2 13 7 2" xfId="17089" xr:uid="{00000000-0005-0000-0000-0000D4080000}"/>
    <cellStyle name="20% - Accent2 13 7 2 2" xfId="40929" xr:uid="{E774FD97-0584-4BDE-8BBC-07DD412DF488}"/>
    <cellStyle name="20% - Accent2 13 7 3" xfId="25033" xr:uid="{00000000-0005-0000-0000-0000D5080000}"/>
    <cellStyle name="20% - Accent2 13 7 3 2" xfId="48865" xr:uid="{B942FD7C-FDDB-4D46-BCC2-13DA936D10DC}"/>
    <cellStyle name="20% - Accent2 13 7 4" xfId="32988" xr:uid="{5D1664E9-6281-4A2D-8076-5B1AA7EF5C7F}"/>
    <cellStyle name="20% - Accent2 13 8" xfId="10027" xr:uid="{00000000-0005-0000-0000-0000D6080000}"/>
    <cellStyle name="20% - Accent2 13 8 2" xfId="33876" xr:uid="{7816787D-D425-43B3-A34C-0564376990F3}"/>
    <cellStyle name="20% - Accent2 13 9" xfId="17982" xr:uid="{00000000-0005-0000-0000-0000D7080000}"/>
    <cellStyle name="20% - Accent2 13 9 2" xfId="41814" xr:uid="{17173AAD-73D6-4DE2-A69B-B27120988BC1}"/>
    <cellStyle name="20% - Accent2 13_Exh G" xfId="2082" xr:uid="{00000000-0005-0000-0000-0000D8080000}"/>
    <cellStyle name="20% - Accent2 14" xfId="89" xr:uid="{00000000-0005-0000-0000-0000D9080000}"/>
    <cellStyle name="20% - Accent2 14 2" xfId="90" xr:uid="{00000000-0005-0000-0000-0000DA080000}"/>
    <cellStyle name="20% - Accent2 14 2 2" xfId="1116" xr:uid="{00000000-0005-0000-0000-0000DB080000}"/>
    <cellStyle name="20% - Accent2 14 2 2 2" xfId="4643" xr:uid="{00000000-0005-0000-0000-0000DC080000}"/>
    <cellStyle name="20% - Accent2 14 2 2 2 2" xfId="8234" xr:uid="{00000000-0005-0000-0000-0000DD080000}"/>
    <cellStyle name="20% - Accent2 14 2 2 2 2 2" xfId="16204" xr:uid="{00000000-0005-0000-0000-0000DE080000}"/>
    <cellStyle name="20% - Accent2 14 2 2 2 2 2 2" xfId="40046" xr:uid="{F94866CB-1C27-4244-8633-567CC39D7B19}"/>
    <cellStyle name="20% - Accent2 14 2 2 2 2 3" xfId="24150" xr:uid="{00000000-0005-0000-0000-0000DF080000}"/>
    <cellStyle name="20% - Accent2 14 2 2 2 2 3 2" xfId="47982" xr:uid="{052D2455-B639-4F82-9539-28F16BEE4CEF}"/>
    <cellStyle name="20% - Accent2 14 2 2 2 2 4" xfId="32105" xr:uid="{46760C0C-42CD-49B1-B4BA-E8DE55D5CE67}"/>
    <cellStyle name="20% - Accent2 14 2 2 2 3" xfId="12666" xr:uid="{00000000-0005-0000-0000-0000E0080000}"/>
    <cellStyle name="20% - Accent2 14 2 2 2 3 2" xfId="36515" xr:uid="{DA061CBE-0D8F-4124-A540-3DA479F00C1D}"/>
    <cellStyle name="20% - Accent2 14 2 2 2 4" xfId="20621" xr:uid="{00000000-0005-0000-0000-0000E1080000}"/>
    <cellStyle name="20% - Accent2 14 2 2 2 4 2" xfId="44453" xr:uid="{6B2ADE0E-0244-4961-8D1B-4E6632B25139}"/>
    <cellStyle name="20% - Accent2 14 2 2 2 5" xfId="28574" xr:uid="{0E233360-E67E-4C03-949D-85DB64566A8E}"/>
    <cellStyle name="20% - Accent2 14 2 2 3" xfId="6475" xr:uid="{00000000-0005-0000-0000-0000E2080000}"/>
    <cellStyle name="20% - Accent2 14 2 2 3 2" xfId="14446" xr:uid="{00000000-0005-0000-0000-0000E3080000}"/>
    <cellStyle name="20% - Accent2 14 2 2 3 2 2" xfId="38288" xr:uid="{A2D24AA5-6195-4379-97D3-0F140D2F1479}"/>
    <cellStyle name="20% - Accent2 14 2 2 3 3" xfId="22393" xr:uid="{00000000-0005-0000-0000-0000E4080000}"/>
    <cellStyle name="20% - Accent2 14 2 2 3 3 2" xfId="46225" xr:uid="{D404FDC8-6BFF-4B09-9AA3-0F0866B9032E}"/>
    <cellStyle name="20% - Accent2 14 2 2 3 4" xfId="30347" xr:uid="{9EB946BB-68D9-4D3B-8B9E-EB03F4F22A8F}"/>
    <cellStyle name="20% - Accent2 14 2 2 4" xfId="10910" xr:uid="{00000000-0005-0000-0000-0000E5080000}"/>
    <cellStyle name="20% - Accent2 14 2 2 4 2" xfId="34759" xr:uid="{1DB14AB3-CED7-4D7C-AACC-41C96DF352DB}"/>
    <cellStyle name="20% - Accent2 14 2 2 5" xfId="18865" xr:uid="{00000000-0005-0000-0000-0000E6080000}"/>
    <cellStyle name="20% - Accent2 14 2 2 5 2" xfId="42697" xr:uid="{604BCC70-FED9-4F81-9943-8E9430935204}"/>
    <cellStyle name="20% - Accent2 14 2 2 6" xfId="26817" xr:uid="{FB2F8571-9105-4D0E-8004-5BF73F152B98}"/>
    <cellStyle name="20% - Accent2 14 2 2_Exh G" xfId="2092" xr:uid="{00000000-0005-0000-0000-0000E7080000}"/>
    <cellStyle name="20% - Accent2 14 2 3" xfId="3764" xr:uid="{00000000-0005-0000-0000-0000E8080000}"/>
    <cellStyle name="20% - Accent2 14 2 3 2" xfId="7356" xr:uid="{00000000-0005-0000-0000-0000E9080000}"/>
    <cellStyle name="20% - Accent2 14 2 3 2 2" xfId="15326" xr:uid="{00000000-0005-0000-0000-0000EA080000}"/>
    <cellStyle name="20% - Accent2 14 2 3 2 2 2" xfId="39168" xr:uid="{68504B5D-3510-46DD-BEC0-DBBF320E07F0}"/>
    <cellStyle name="20% - Accent2 14 2 3 2 3" xfId="23272" xr:uid="{00000000-0005-0000-0000-0000EB080000}"/>
    <cellStyle name="20% - Accent2 14 2 3 2 3 2" xfId="47104" xr:uid="{20B83249-F88B-4A36-8E10-43708DE069C3}"/>
    <cellStyle name="20% - Accent2 14 2 3 2 4" xfId="31227" xr:uid="{C36DDF53-8797-4C1A-A4BB-3F794B093662}"/>
    <cellStyle name="20% - Accent2 14 2 3 3" xfId="11788" xr:uid="{00000000-0005-0000-0000-0000EC080000}"/>
    <cellStyle name="20% - Accent2 14 2 3 3 2" xfId="35637" xr:uid="{9F3AA41D-E9A4-4695-8140-E5BB0032A2E3}"/>
    <cellStyle name="20% - Accent2 14 2 3 4" xfId="19743" xr:uid="{00000000-0005-0000-0000-0000ED080000}"/>
    <cellStyle name="20% - Accent2 14 2 3 4 2" xfId="43575" xr:uid="{61CECD77-6061-46C4-AB97-CECCDBE35222}"/>
    <cellStyle name="20% - Accent2 14 2 3 5" xfId="27696" xr:uid="{9524F23A-A85D-4EED-A809-4B4762235C86}"/>
    <cellStyle name="20% - Accent2 14 2 4" xfId="5584" xr:uid="{00000000-0005-0000-0000-0000EE080000}"/>
    <cellStyle name="20% - Accent2 14 2 4 2" xfId="13567" xr:uid="{00000000-0005-0000-0000-0000EF080000}"/>
    <cellStyle name="20% - Accent2 14 2 4 2 2" xfId="37410" xr:uid="{2458676F-4D3F-42E5-8E8C-E7E5D8577F1D}"/>
    <cellStyle name="20% - Accent2 14 2 4 3" xfId="21515" xr:uid="{00000000-0005-0000-0000-0000F0080000}"/>
    <cellStyle name="20% - Accent2 14 2 4 3 2" xfId="45347" xr:uid="{02C20C9B-C27F-40E4-8431-6E76ADDAF4BF}"/>
    <cellStyle name="20% - Accent2 14 2 4 4" xfId="29469" xr:uid="{91C15FEA-74F2-4775-A876-3779031083B1}"/>
    <cellStyle name="20% - Accent2 14 2 5" xfId="9136" xr:uid="{00000000-0005-0000-0000-0000F1080000}"/>
    <cellStyle name="20% - Accent2 14 2 5 2" xfId="17094" xr:uid="{00000000-0005-0000-0000-0000F2080000}"/>
    <cellStyle name="20% - Accent2 14 2 5 2 2" xfId="40934" xr:uid="{F4C1AD27-8E8C-4AAE-B9BC-6868399C2551}"/>
    <cellStyle name="20% - Accent2 14 2 5 3" xfId="25038" xr:uid="{00000000-0005-0000-0000-0000F3080000}"/>
    <cellStyle name="20% - Accent2 14 2 5 3 2" xfId="48870" xr:uid="{1F6C1151-19C8-4982-88A1-60367C3F2FAA}"/>
    <cellStyle name="20% - Accent2 14 2 5 4" xfId="32993" xr:uid="{2326C91C-98A8-4D38-BBA3-5594A39821EE}"/>
    <cellStyle name="20% - Accent2 14 2 6" xfId="10032" xr:uid="{00000000-0005-0000-0000-0000F4080000}"/>
    <cellStyle name="20% - Accent2 14 2 6 2" xfId="33881" xr:uid="{7E24A471-D4DE-43B0-A352-D5ABCD94FC44}"/>
    <cellStyle name="20% - Accent2 14 2 7" xfId="17987" xr:uid="{00000000-0005-0000-0000-0000F5080000}"/>
    <cellStyle name="20% - Accent2 14 2 7 2" xfId="41819" xr:uid="{9D2FCB47-9ADA-4B50-992F-9652EB3DCB52}"/>
    <cellStyle name="20% - Accent2 14 2 8" xfId="25939" xr:uid="{8A6A1D89-B514-404D-B233-DA4F308AB532}"/>
    <cellStyle name="20% - Accent2 14 2_Exh G" xfId="2091" xr:uid="{00000000-0005-0000-0000-0000F6080000}"/>
    <cellStyle name="20% - Accent2 14 3" xfId="1115" xr:uid="{00000000-0005-0000-0000-0000F7080000}"/>
    <cellStyle name="20% - Accent2 14 3 2" xfId="4642" xr:uid="{00000000-0005-0000-0000-0000F8080000}"/>
    <cellStyle name="20% - Accent2 14 3 2 2" xfId="8233" xr:uid="{00000000-0005-0000-0000-0000F9080000}"/>
    <cellStyle name="20% - Accent2 14 3 2 2 2" xfId="16203" xr:uid="{00000000-0005-0000-0000-0000FA080000}"/>
    <cellStyle name="20% - Accent2 14 3 2 2 2 2" xfId="40045" xr:uid="{CFB09188-9F62-41A1-97C1-A583720D4A34}"/>
    <cellStyle name="20% - Accent2 14 3 2 2 3" xfId="24149" xr:uid="{00000000-0005-0000-0000-0000FB080000}"/>
    <cellStyle name="20% - Accent2 14 3 2 2 3 2" xfId="47981" xr:uid="{131940F8-114C-4459-A6F1-213C820AE9D0}"/>
    <cellStyle name="20% - Accent2 14 3 2 2 4" xfId="32104" xr:uid="{24A9058C-12B2-40A3-98CA-7767BD2D6B21}"/>
    <cellStyle name="20% - Accent2 14 3 2 3" xfId="12665" xr:uid="{00000000-0005-0000-0000-0000FC080000}"/>
    <cellStyle name="20% - Accent2 14 3 2 3 2" xfId="36514" xr:uid="{7DCA4A5C-8360-42AA-8D3C-46D09BBF3EBE}"/>
    <cellStyle name="20% - Accent2 14 3 2 4" xfId="20620" xr:uid="{00000000-0005-0000-0000-0000FD080000}"/>
    <cellStyle name="20% - Accent2 14 3 2 4 2" xfId="44452" xr:uid="{9247886A-95E0-4250-BD64-B10F7F133FD0}"/>
    <cellStyle name="20% - Accent2 14 3 2 5" xfId="28573" xr:uid="{EE10E683-993B-4E97-A1CE-8EFA5EF5D048}"/>
    <cellStyle name="20% - Accent2 14 3 3" xfId="6474" xr:uid="{00000000-0005-0000-0000-0000FE080000}"/>
    <cellStyle name="20% - Accent2 14 3 3 2" xfId="14445" xr:uid="{00000000-0005-0000-0000-0000FF080000}"/>
    <cellStyle name="20% - Accent2 14 3 3 2 2" xfId="38287" xr:uid="{4246929D-02D4-46CE-9B95-2363D57C2CB8}"/>
    <cellStyle name="20% - Accent2 14 3 3 3" xfId="22392" xr:uid="{00000000-0005-0000-0000-000000090000}"/>
    <cellStyle name="20% - Accent2 14 3 3 3 2" xfId="46224" xr:uid="{21CDAADA-9E47-47BF-B0D1-6F3CA79EC00F}"/>
    <cellStyle name="20% - Accent2 14 3 3 4" xfId="30346" xr:uid="{DF37BF46-685F-4BFD-BCBA-74154EDD231C}"/>
    <cellStyle name="20% - Accent2 14 3 4" xfId="10909" xr:uid="{00000000-0005-0000-0000-000001090000}"/>
    <cellStyle name="20% - Accent2 14 3 4 2" xfId="34758" xr:uid="{55270472-ADC2-47DC-9334-B06AF2E35B37}"/>
    <cellStyle name="20% - Accent2 14 3 5" xfId="18864" xr:uid="{00000000-0005-0000-0000-000002090000}"/>
    <cellStyle name="20% - Accent2 14 3 5 2" xfId="42696" xr:uid="{2719D107-8650-4F6A-BAAD-589DFBD8ADAF}"/>
    <cellStyle name="20% - Accent2 14 3 6" xfId="26816" xr:uid="{1E4EFAC9-4F3A-4EBA-B8FE-97E90E1E1D46}"/>
    <cellStyle name="20% - Accent2 14 3_Exh G" xfId="2093" xr:uid="{00000000-0005-0000-0000-000003090000}"/>
    <cellStyle name="20% - Accent2 14 4" xfId="3763" xr:uid="{00000000-0005-0000-0000-000004090000}"/>
    <cellStyle name="20% - Accent2 14 4 2" xfId="7355" xr:uid="{00000000-0005-0000-0000-000005090000}"/>
    <cellStyle name="20% - Accent2 14 4 2 2" xfId="15325" xr:uid="{00000000-0005-0000-0000-000006090000}"/>
    <cellStyle name="20% - Accent2 14 4 2 2 2" xfId="39167" xr:uid="{39CBBEF7-5B30-4BC8-843B-37112161B2B3}"/>
    <cellStyle name="20% - Accent2 14 4 2 3" xfId="23271" xr:uid="{00000000-0005-0000-0000-000007090000}"/>
    <cellStyle name="20% - Accent2 14 4 2 3 2" xfId="47103" xr:uid="{BC7F6283-B22E-41F4-ACC2-5E1CE28E0AD7}"/>
    <cellStyle name="20% - Accent2 14 4 2 4" xfId="31226" xr:uid="{8F22CED1-0014-47B6-871D-447A6480DD5C}"/>
    <cellStyle name="20% - Accent2 14 4 3" xfId="11787" xr:uid="{00000000-0005-0000-0000-000008090000}"/>
    <cellStyle name="20% - Accent2 14 4 3 2" xfId="35636" xr:uid="{DF25D89D-9559-4AEB-9C8B-CE8C29AA0C65}"/>
    <cellStyle name="20% - Accent2 14 4 4" xfId="19742" xr:uid="{00000000-0005-0000-0000-000009090000}"/>
    <cellStyle name="20% - Accent2 14 4 4 2" xfId="43574" xr:uid="{2F8AD000-6540-4898-A617-1F76D9DF2D62}"/>
    <cellStyle name="20% - Accent2 14 4 5" xfId="27695" xr:uid="{47462099-7FBF-4451-8D93-6400D2E37E64}"/>
    <cellStyle name="20% - Accent2 14 5" xfId="5583" xr:uid="{00000000-0005-0000-0000-00000A090000}"/>
    <cellStyle name="20% - Accent2 14 5 2" xfId="13566" xr:uid="{00000000-0005-0000-0000-00000B090000}"/>
    <cellStyle name="20% - Accent2 14 5 2 2" xfId="37409" xr:uid="{9006D200-BF9C-461F-8F2A-F400AB130A30}"/>
    <cellStyle name="20% - Accent2 14 5 3" xfId="21514" xr:uid="{00000000-0005-0000-0000-00000C090000}"/>
    <cellStyle name="20% - Accent2 14 5 3 2" xfId="45346" xr:uid="{9A5966D9-0ED6-4ACE-975E-D58BB4AC2632}"/>
    <cellStyle name="20% - Accent2 14 5 4" xfId="29468" xr:uid="{5DC05951-86DA-4FA7-9804-3F993DC6CE66}"/>
    <cellStyle name="20% - Accent2 14 6" xfId="9135" xr:uid="{00000000-0005-0000-0000-00000D090000}"/>
    <cellStyle name="20% - Accent2 14 6 2" xfId="17093" xr:uid="{00000000-0005-0000-0000-00000E090000}"/>
    <cellStyle name="20% - Accent2 14 6 2 2" xfId="40933" xr:uid="{E9A05DE2-5728-4791-8587-6EE47E775FB9}"/>
    <cellStyle name="20% - Accent2 14 6 3" xfId="25037" xr:uid="{00000000-0005-0000-0000-00000F090000}"/>
    <cellStyle name="20% - Accent2 14 6 3 2" xfId="48869" xr:uid="{296E8A67-6671-4EFB-9B81-DA1ACEDFB0C6}"/>
    <cellStyle name="20% - Accent2 14 6 4" xfId="32992" xr:uid="{529F54B8-E247-44C6-8302-E3D17E9DFE20}"/>
    <cellStyle name="20% - Accent2 14 7" xfId="10031" xr:uid="{00000000-0005-0000-0000-000010090000}"/>
    <cellStyle name="20% - Accent2 14 7 2" xfId="33880" xr:uid="{6381C96B-D9B2-4795-878A-71064B6FBDED}"/>
    <cellStyle name="20% - Accent2 14 8" xfId="17986" xr:uid="{00000000-0005-0000-0000-000011090000}"/>
    <cellStyle name="20% - Accent2 14 8 2" xfId="41818" xr:uid="{91550148-2700-4615-BD2D-D4A21F445864}"/>
    <cellStyle name="20% - Accent2 14 9" xfId="25938" xr:uid="{95DAEE8D-BC5C-4766-B461-0B8E37E92A4F}"/>
    <cellStyle name="20% - Accent2 14_Exh G" xfId="2090" xr:uid="{00000000-0005-0000-0000-000012090000}"/>
    <cellStyle name="20% - Accent2 15" xfId="91" xr:uid="{00000000-0005-0000-0000-000013090000}"/>
    <cellStyle name="20% - Accent2 15 2" xfId="1117" xr:uid="{00000000-0005-0000-0000-000014090000}"/>
    <cellStyle name="20% - Accent2 15 2 2" xfId="4644" xr:uid="{00000000-0005-0000-0000-000015090000}"/>
    <cellStyle name="20% - Accent2 15 2 2 2" xfId="8235" xr:uid="{00000000-0005-0000-0000-000016090000}"/>
    <cellStyle name="20% - Accent2 15 2 2 2 2" xfId="16205" xr:uid="{00000000-0005-0000-0000-000017090000}"/>
    <cellStyle name="20% - Accent2 15 2 2 2 2 2" xfId="40047" xr:uid="{F3CBAF79-91F7-4CBC-99B4-D67BD3B2F8A8}"/>
    <cellStyle name="20% - Accent2 15 2 2 2 3" xfId="24151" xr:uid="{00000000-0005-0000-0000-000018090000}"/>
    <cellStyle name="20% - Accent2 15 2 2 2 3 2" xfId="47983" xr:uid="{F532752E-A6AD-441E-8E2C-D94E5794D401}"/>
    <cellStyle name="20% - Accent2 15 2 2 2 4" xfId="32106" xr:uid="{E431BA6A-351A-482D-A65F-E1EBBF55A77F}"/>
    <cellStyle name="20% - Accent2 15 2 2 3" xfId="12667" xr:uid="{00000000-0005-0000-0000-000019090000}"/>
    <cellStyle name="20% - Accent2 15 2 2 3 2" xfId="36516" xr:uid="{8EF075D0-1118-42E2-8128-9CC9280337B4}"/>
    <cellStyle name="20% - Accent2 15 2 2 4" xfId="20622" xr:uid="{00000000-0005-0000-0000-00001A090000}"/>
    <cellStyle name="20% - Accent2 15 2 2 4 2" xfId="44454" xr:uid="{528A845E-DD5C-4C59-8CE6-C77A0640ED50}"/>
    <cellStyle name="20% - Accent2 15 2 2 5" xfId="28575" xr:uid="{AC7E528B-2860-4890-BFFE-D4BDB89402E3}"/>
    <cellStyle name="20% - Accent2 15 2 3" xfId="6476" xr:uid="{00000000-0005-0000-0000-00001B090000}"/>
    <cellStyle name="20% - Accent2 15 2 3 2" xfId="14447" xr:uid="{00000000-0005-0000-0000-00001C090000}"/>
    <cellStyle name="20% - Accent2 15 2 3 2 2" xfId="38289" xr:uid="{F81CEDE9-9812-4BA0-B882-E1EF5B4E0540}"/>
    <cellStyle name="20% - Accent2 15 2 3 3" xfId="22394" xr:uid="{00000000-0005-0000-0000-00001D090000}"/>
    <cellStyle name="20% - Accent2 15 2 3 3 2" xfId="46226" xr:uid="{77F017F1-C0AA-41A8-88D7-CF2ED1823DD7}"/>
    <cellStyle name="20% - Accent2 15 2 3 4" xfId="30348" xr:uid="{23AA6F0E-A058-4BAD-A7B4-7DA35CA31350}"/>
    <cellStyle name="20% - Accent2 15 2 4" xfId="10911" xr:uid="{00000000-0005-0000-0000-00001E090000}"/>
    <cellStyle name="20% - Accent2 15 2 4 2" xfId="34760" xr:uid="{ACF5D73D-FC92-4AF4-82CD-F3A39D78CE60}"/>
    <cellStyle name="20% - Accent2 15 2 5" xfId="18866" xr:uid="{00000000-0005-0000-0000-00001F090000}"/>
    <cellStyle name="20% - Accent2 15 2 5 2" xfId="42698" xr:uid="{04118BA3-3D21-47FF-9A5B-2D068C29063B}"/>
    <cellStyle name="20% - Accent2 15 2 6" xfId="26818" xr:uid="{E4275F01-DD3F-4B27-B143-932F00D41885}"/>
    <cellStyle name="20% - Accent2 15 2_Exh G" xfId="2095" xr:uid="{00000000-0005-0000-0000-000020090000}"/>
    <cellStyle name="20% - Accent2 15 3" xfId="3765" xr:uid="{00000000-0005-0000-0000-000021090000}"/>
    <cellStyle name="20% - Accent2 15 3 2" xfId="7357" xr:uid="{00000000-0005-0000-0000-000022090000}"/>
    <cellStyle name="20% - Accent2 15 3 2 2" xfId="15327" xr:uid="{00000000-0005-0000-0000-000023090000}"/>
    <cellStyle name="20% - Accent2 15 3 2 2 2" xfId="39169" xr:uid="{001FC855-4AF5-4812-887C-E4123D8D01D1}"/>
    <cellStyle name="20% - Accent2 15 3 2 3" xfId="23273" xr:uid="{00000000-0005-0000-0000-000024090000}"/>
    <cellStyle name="20% - Accent2 15 3 2 3 2" xfId="47105" xr:uid="{1ED05611-80F6-477F-AD1B-E8EA8E64BA63}"/>
    <cellStyle name="20% - Accent2 15 3 2 4" xfId="31228" xr:uid="{B306A7FB-6E4F-4163-96A0-DFB7C2CD26DC}"/>
    <cellStyle name="20% - Accent2 15 3 3" xfId="11789" xr:uid="{00000000-0005-0000-0000-000025090000}"/>
    <cellStyle name="20% - Accent2 15 3 3 2" xfId="35638" xr:uid="{67CE3A4B-CD23-4FFC-A57D-948EE35AB6C7}"/>
    <cellStyle name="20% - Accent2 15 3 4" xfId="19744" xr:uid="{00000000-0005-0000-0000-000026090000}"/>
    <cellStyle name="20% - Accent2 15 3 4 2" xfId="43576" xr:uid="{64AB6DF5-483F-44B5-B30D-33F5935ECA79}"/>
    <cellStyle name="20% - Accent2 15 3 5" xfId="27697" xr:uid="{D513E091-016C-4150-A716-666CA1B44B77}"/>
    <cellStyle name="20% - Accent2 15 4" xfId="5585" xr:uid="{00000000-0005-0000-0000-000027090000}"/>
    <cellStyle name="20% - Accent2 15 4 2" xfId="13568" xr:uid="{00000000-0005-0000-0000-000028090000}"/>
    <cellStyle name="20% - Accent2 15 4 2 2" xfId="37411" xr:uid="{40AA3E76-4017-4DD3-A2FB-B68849CFB825}"/>
    <cellStyle name="20% - Accent2 15 4 3" xfId="21516" xr:uid="{00000000-0005-0000-0000-000029090000}"/>
    <cellStyle name="20% - Accent2 15 4 3 2" xfId="45348" xr:uid="{38FC74B0-FDD5-4739-9B6A-B8F1A821F257}"/>
    <cellStyle name="20% - Accent2 15 4 4" xfId="29470" xr:uid="{B905AADA-BB3B-4A62-B46E-7029D255C878}"/>
    <cellStyle name="20% - Accent2 15 5" xfId="9137" xr:uid="{00000000-0005-0000-0000-00002A090000}"/>
    <cellStyle name="20% - Accent2 15 5 2" xfId="17095" xr:uid="{00000000-0005-0000-0000-00002B090000}"/>
    <cellStyle name="20% - Accent2 15 5 2 2" xfId="40935" xr:uid="{F6649381-9BA6-4047-8669-5738C08FDEB3}"/>
    <cellStyle name="20% - Accent2 15 5 3" xfId="25039" xr:uid="{00000000-0005-0000-0000-00002C090000}"/>
    <cellStyle name="20% - Accent2 15 5 3 2" xfId="48871" xr:uid="{D784FB9D-9DB1-489D-8122-A03271A72CD2}"/>
    <cellStyle name="20% - Accent2 15 5 4" xfId="32994" xr:uid="{265B7E53-F7EA-4625-BA13-D8859178AF37}"/>
    <cellStyle name="20% - Accent2 15 6" xfId="10033" xr:uid="{00000000-0005-0000-0000-00002D090000}"/>
    <cellStyle name="20% - Accent2 15 6 2" xfId="33882" xr:uid="{A9B29B9F-5BD0-44A0-A85F-A1BCDE5E4D21}"/>
    <cellStyle name="20% - Accent2 15 7" xfId="17988" xr:uid="{00000000-0005-0000-0000-00002E090000}"/>
    <cellStyle name="20% - Accent2 15 7 2" xfId="41820" xr:uid="{43DE55EE-C114-4D60-BD3A-AEBDF72D6D5D}"/>
    <cellStyle name="20% - Accent2 15 8" xfId="25940" xr:uid="{9B62E8BD-D01B-44F3-8246-E09ED7F2AA55}"/>
    <cellStyle name="20% - Accent2 15_Exh G" xfId="2094" xr:uid="{00000000-0005-0000-0000-00002F090000}"/>
    <cellStyle name="20% - Accent2 16" xfId="841" xr:uid="{00000000-0005-0000-0000-000030090000}"/>
    <cellStyle name="20% - Accent2 16 2" xfId="1776" xr:uid="{00000000-0005-0000-0000-000031090000}"/>
    <cellStyle name="20% - Accent2 16 2 2" xfId="5296" xr:uid="{00000000-0005-0000-0000-000032090000}"/>
    <cellStyle name="20% - Accent2 16 2 2 2" xfId="8887" xr:uid="{00000000-0005-0000-0000-000033090000}"/>
    <cellStyle name="20% - Accent2 16 2 2 2 2" xfId="16857" xr:uid="{00000000-0005-0000-0000-000034090000}"/>
    <cellStyle name="20% - Accent2 16 2 2 2 2 2" xfId="40699" xr:uid="{6B5167F6-640A-4646-98B2-F77A2744DF27}"/>
    <cellStyle name="20% - Accent2 16 2 2 2 3" xfId="24803" xr:uid="{00000000-0005-0000-0000-000035090000}"/>
    <cellStyle name="20% - Accent2 16 2 2 2 3 2" xfId="48635" xr:uid="{E4AFC725-3A99-484C-B60F-2E97F8E498C8}"/>
    <cellStyle name="20% - Accent2 16 2 2 2 4" xfId="32758" xr:uid="{70891E5C-628E-415F-9C29-6A1BD29F41CB}"/>
    <cellStyle name="20% - Accent2 16 2 2 3" xfId="13319" xr:uid="{00000000-0005-0000-0000-000036090000}"/>
    <cellStyle name="20% - Accent2 16 2 2 3 2" xfId="37168" xr:uid="{E015548F-3BAA-4A50-A1B9-59CDC8EA302C}"/>
    <cellStyle name="20% - Accent2 16 2 2 4" xfId="21274" xr:uid="{00000000-0005-0000-0000-000037090000}"/>
    <cellStyle name="20% - Accent2 16 2 2 4 2" xfId="45106" xr:uid="{B467A9D2-2288-47B1-B142-B828C67D3C0B}"/>
    <cellStyle name="20% - Accent2 16 2 2 5" xfId="29227" xr:uid="{D96D2F2A-4BDC-45AA-9798-889A79F40C47}"/>
    <cellStyle name="20% - Accent2 16 2 3" xfId="7128" xr:uid="{00000000-0005-0000-0000-000038090000}"/>
    <cellStyle name="20% - Accent2 16 2 3 2" xfId="15099" xr:uid="{00000000-0005-0000-0000-000039090000}"/>
    <cellStyle name="20% - Accent2 16 2 3 2 2" xfId="38941" xr:uid="{01779BD4-5FB8-42C2-BB1E-14C7A8177F27}"/>
    <cellStyle name="20% - Accent2 16 2 3 3" xfId="23046" xr:uid="{00000000-0005-0000-0000-00003A090000}"/>
    <cellStyle name="20% - Accent2 16 2 3 3 2" xfId="46878" xr:uid="{D12B392C-CEE4-4974-8561-F207C6F903A6}"/>
    <cellStyle name="20% - Accent2 16 2 3 4" xfId="31000" xr:uid="{D07867FD-0535-4BF6-A40E-B35814814B44}"/>
    <cellStyle name="20% - Accent2 16 2 4" xfId="11563" xr:uid="{00000000-0005-0000-0000-00003B090000}"/>
    <cellStyle name="20% - Accent2 16 2 4 2" xfId="35412" xr:uid="{C0D10362-BE1B-4A52-A511-4E974144E743}"/>
    <cellStyle name="20% - Accent2 16 2 5" xfId="19518" xr:uid="{00000000-0005-0000-0000-00003C090000}"/>
    <cellStyle name="20% - Accent2 16 2 5 2" xfId="43350" xr:uid="{CCE0283F-4431-49AA-B5E5-88591A4AF6B4}"/>
    <cellStyle name="20% - Accent2 16 2 6" xfId="27470" xr:uid="{419BE7D4-5073-483D-9E3A-A0EBE5D0E6BD}"/>
    <cellStyle name="20% - Accent2 16 2_Exh G" xfId="2097" xr:uid="{00000000-0005-0000-0000-00003D090000}"/>
    <cellStyle name="20% - Accent2 16 3" xfId="4417" xr:uid="{00000000-0005-0000-0000-00003E090000}"/>
    <cellStyle name="20% - Accent2 16 3 2" xfId="8009" xr:uid="{00000000-0005-0000-0000-00003F090000}"/>
    <cellStyle name="20% - Accent2 16 3 2 2" xfId="15979" xr:uid="{00000000-0005-0000-0000-000040090000}"/>
    <cellStyle name="20% - Accent2 16 3 2 2 2" xfId="39821" xr:uid="{AB993AF4-A918-410A-B696-4F9609BFD1A5}"/>
    <cellStyle name="20% - Accent2 16 3 2 3" xfId="23925" xr:uid="{00000000-0005-0000-0000-000041090000}"/>
    <cellStyle name="20% - Accent2 16 3 2 3 2" xfId="47757" xr:uid="{C8BFD86E-65AA-4E58-9224-09B7B5AA1A6E}"/>
    <cellStyle name="20% - Accent2 16 3 2 4" xfId="31880" xr:uid="{0F55B395-377C-4043-89CB-619B667848A5}"/>
    <cellStyle name="20% - Accent2 16 3 3" xfId="12441" xr:uid="{00000000-0005-0000-0000-000042090000}"/>
    <cellStyle name="20% - Accent2 16 3 3 2" xfId="36290" xr:uid="{32F66E6A-FDCA-4DBC-A1E2-552874290F79}"/>
    <cellStyle name="20% - Accent2 16 3 4" xfId="20396" xr:uid="{00000000-0005-0000-0000-000043090000}"/>
    <cellStyle name="20% - Accent2 16 3 4 2" xfId="44228" xr:uid="{22922669-505A-4547-93C7-235AE16C8CE8}"/>
    <cellStyle name="20% - Accent2 16 3 5" xfId="28349" xr:uid="{BC1D0BFB-0437-4A9D-8BE1-E8E8780FCDB8}"/>
    <cellStyle name="20% - Accent2 16 4" xfId="6247" xr:uid="{00000000-0005-0000-0000-000044090000}"/>
    <cellStyle name="20% - Accent2 16 4 2" xfId="14221" xr:uid="{00000000-0005-0000-0000-000045090000}"/>
    <cellStyle name="20% - Accent2 16 4 2 2" xfId="38063" xr:uid="{414207EF-EEB2-4CFC-87FA-54793439B276}"/>
    <cellStyle name="20% - Accent2 16 4 3" xfId="22168" xr:uid="{00000000-0005-0000-0000-000046090000}"/>
    <cellStyle name="20% - Accent2 16 4 3 2" xfId="46000" xr:uid="{E3DF8871-B86A-4E9A-882C-B615687C37B1}"/>
    <cellStyle name="20% - Accent2 16 4 4" xfId="30122" xr:uid="{86A0C5F8-4C14-4355-AAFB-F0C48A4448A8}"/>
    <cellStyle name="20% - Accent2 16 5" xfId="9789" xr:uid="{00000000-0005-0000-0000-000047090000}"/>
    <cellStyle name="20% - Accent2 16 5 2" xfId="17747" xr:uid="{00000000-0005-0000-0000-000048090000}"/>
    <cellStyle name="20% - Accent2 16 5 2 2" xfId="41587" xr:uid="{5C43ABB8-4CA8-42FE-92CA-41D1EC30319B}"/>
    <cellStyle name="20% - Accent2 16 5 3" xfId="25691" xr:uid="{00000000-0005-0000-0000-000049090000}"/>
    <cellStyle name="20% - Accent2 16 5 3 2" xfId="49523" xr:uid="{9358ABEA-B740-4765-95DE-93D6100DE68E}"/>
    <cellStyle name="20% - Accent2 16 5 4" xfId="33646" xr:uid="{E852A7C1-D02F-4027-9705-C62103022656}"/>
    <cellStyle name="20% - Accent2 16 6" xfId="10685" xr:uid="{00000000-0005-0000-0000-00004A090000}"/>
    <cellStyle name="20% - Accent2 16 6 2" xfId="34534" xr:uid="{14FACD26-A376-4D5A-AC45-4E468ABCD987}"/>
    <cellStyle name="20% - Accent2 16 7" xfId="18640" xr:uid="{00000000-0005-0000-0000-00004B090000}"/>
    <cellStyle name="20% - Accent2 16 7 2" xfId="42472" xr:uid="{CD32E002-6D38-4361-A31C-85E46E2E8878}"/>
    <cellStyle name="20% - Accent2 16 8" xfId="26592" xr:uid="{05D09AED-372E-4987-BE54-7D3F61535D76}"/>
    <cellStyle name="20% - Accent2 16_Exh G" xfId="2096" xr:uid="{00000000-0005-0000-0000-00004C090000}"/>
    <cellStyle name="20% - Accent2 17" xfId="49785" xr:uid="{4EA6636B-C334-4ADA-B3CB-2D061A0EA5F7}"/>
    <cellStyle name="20% - Accent2 18" xfId="49825" xr:uid="{5E272441-C727-4E64-8C64-1AA74DACAC2B}"/>
    <cellStyle name="20% - Accent2 2" xfId="92" xr:uid="{00000000-0005-0000-0000-00004D090000}"/>
    <cellStyle name="20% - Accent2 2 10" xfId="17989" xr:uid="{00000000-0005-0000-0000-00004E090000}"/>
    <cellStyle name="20% - Accent2 2 10 2" xfId="41821" xr:uid="{31D6298C-143C-4A5C-9BCB-558C9841609D}"/>
    <cellStyle name="20% - Accent2 2 11" xfId="25941" xr:uid="{0168BF12-BF8D-4057-984A-CD3BCF609A5C}"/>
    <cellStyle name="20% - Accent2 2 12" xfId="49770" xr:uid="{4962DD1E-A98E-4B5C-BB81-6DB015CCF39F}"/>
    <cellStyle name="20% - Accent2 2 13" xfId="49798" xr:uid="{51AB3F9F-C239-4278-A4F8-72E29BD372DC}"/>
    <cellStyle name="20% - Accent2 2 14" xfId="49839" xr:uid="{6179E35A-8423-402B-A005-8C69CED0649E}"/>
    <cellStyle name="20% - Accent2 2 2" xfId="93" xr:uid="{00000000-0005-0000-0000-00004F090000}"/>
    <cellStyle name="20% - Accent2 2 2 10" xfId="25942" xr:uid="{BC0F7A98-DDD4-4CF4-AD24-2790E008D62F}"/>
    <cellStyle name="20% - Accent2 2 2 2" xfId="94" xr:uid="{00000000-0005-0000-0000-000050090000}"/>
    <cellStyle name="20% - Accent2 2 2 2 2" xfId="1120" xr:uid="{00000000-0005-0000-0000-000051090000}"/>
    <cellStyle name="20% - Accent2 2 2 2 2 2" xfId="4647" xr:uid="{00000000-0005-0000-0000-000052090000}"/>
    <cellStyle name="20% - Accent2 2 2 2 2 2 2" xfId="8238" xr:uid="{00000000-0005-0000-0000-000053090000}"/>
    <cellStyle name="20% - Accent2 2 2 2 2 2 2 2" xfId="16208" xr:uid="{00000000-0005-0000-0000-000054090000}"/>
    <cellStyle name="20% - Accent2 2 2 2 2 2 2 2 2" xfId="40050" xr:uid="{01296FB3-B098-4AFD-88CA-8D2A6E611FDF}"/>
    <cellStyle name="20% - Accent2 2 2 2 2 2 2 3" xfId="24154" xr:uid="{00000000-0005-0000-0000-000055090000}"/>
    <cellStyle name="20% - Accent2 2 2 2 2 2 2 3 2" xfId="47986" xr:uid="{315DF634-E3C6-45B0-B1CF-6CAFAFD3AC22}"/>
    <cellStyle name="20% - Accent2 2 2 2 2 2 2 4" xfId="32109" xr:uid="{8B4D9C88-A8AA-45AD-91DA-42916756FF6D}"/>
    <cellStyle name="20% - Accent2 2 2 2 2 2 3" xfId="12670" xr:uid="{00000000-0005-0000-0000-000056090000}"/>
    <cellStyle name="20% - Accent2 2 2 2 2 2 3 2" xfId="36519" xr:uid="{511A3E73-BFF4-490F-A930-622FB1604D86}"/>
    <cellStyle name="20% - Accent2 2 2 2 2 2 4" xfId="20625" xr:uid="{00000000-0005-0000-0000-000057090000}"/>
    <cellStyle name="20% - Accent2 2 2 2 2 2 4 2" xfId="44457" xr:uid="{26C3C5FE-E3E1-4D42-94CC-0EBE0D3DBC68}"/>
    <cellStyle name="20% - Accent2 2 2 2 2 2 5" xfId="28578" xr:uid="{44F0B204-24BF-4F31-BF02-2676BE9B373F}"/>
    <cellStyle name="20% - Accent2 2 2 2 2 3" xfId="6479" xr:uid="{00000000-0005-0000-0000-000058090000}"/>
    <cellStyle name="20% - Accent2 2 2 2 2 3 2" xfId="14450" xr:uid="{00000000-0005-0000-0000-000059090000}"/>
    <cellStyle name="20% - Accent2 2 2 2 2 3 2 2" xfId="38292" xr:uid="{F8D57828-A0B8-4261-8E0C-EDC1F0C3177C}"/>
    <cellStyle name="20% - Accent2 2 2 2 2 3 3" xfId="22397" xr:uid="{00000000-0005-0000-0000-00005A090000}"/>
    <cellStyle name="20% - Accent2 2 2 2 2 3 3 2" xfId="46229" xr:uid="{D3DFCDCD-7B75-4BF0-A6CB-CFE64EC2725A}"/>
    <cellStyle name="20% - Accent2 2 2 2 2 3 4" xfId="30351" xr:uid="{8A6CA0C4-1BCF-4EA6-9093-B147A51E53EB}"/>
    <cellStyle name="20% - Accent2 2 2 2 2 4" xfId="10914" xr:uid="{00000000-0005-0000-0000-00005B090000}"/>
    <cellStyle name="20% - Accent2 2 2 2 2 4 2" xfId="34763" xr:uid="{64804109-30FD-47C4-BF5D-533413D45CB2}"/>
    <cellStyle name="20% - Accent2 2 2 2 2 5" xfId="18869" xr:uid="{00000000-0005-0000-0000-00005C090000}"/>
    <cellStyle name="20% - Accent2 2 2 2 2 5 2" xfId="42701" xr:uid="{932F370C-0AF0-499A-BB78-C0A09C15DD85}"/>
    <cellStyle name="20% - Accent2 2 2 2 2 6" xfId="26821" xr:uid="{70C5BF1F-71A6-48D2-AADD-EF33E24DE10B}"/>
    <cellStyle name="20% - Accent2 2 2 2 2_Exh G" xfId="2101" xr:uid="{00000000-0005-0000-0000-00005D090000}"/>
    <cellStyle name="20% - Accent2 2 2 2 3" xfId="3768" xr:uid="{00000000-0005-0000-0000-00005E090000}"/>
    <cellStyle name="20% - Accent2 2 2 2 3 2" xfId="7360" xr:uid="{00000000-0005-0000-0000-00005F090000}"/>
    <cellStyle name="20% - Accent2 2 2 2 3 2 2" xfId="15330" xr:uid="{00000000-0005-0000-0000-000060090000}"/>
    <cellStyle name="20% - Accent2 2 2 2 3 2 2 2" xfId="39172" xr:uid="{255ADC1B-C161-49E0-BB24-4C8A9E26ED4B}"/>
    <cellStyle name="20% - Accent2 2 2 2 3 2 3" xfId="23276" xr:uid="{00000000-0005-0000-0000-000061090000}"/>
    <cellStyle name="20% - Accent2 2 2 2 3 2 3 2" xfId="47108" xr:uid="{3E93AEB6-C098-485E-A43E-32937D2EA59B}"/>
    <cellStyle name="20% - Accent2 2 2 2 3 2 4" xfId="31231" xr:uid="{38E64546-1071-42F3-A853-89A936E9D027}"/>
    <cellStyle name="20% - Accent2 2 2 2 3 3" xfId="11792" xr:uid="{00000000-0005-0000-0000-000062090000}"/>
    <cellStyle name="20% - Accent2 2 2 2 3 3 2" xfId="35641" xr:uid="{94FE0F94-3E1A-46F3-A9FA-057C55F9F5AF}"/>
    <cellStyle name="20% - Accent2 2 2 2 3 4" xfId="19747" xr:uid="{00000000-0005-0000-0000-000063090000}"/>
    <cellStyle name="20% - Accent2 2 2 2 3 4 2" xfId="43579" xr:uid="{3102E853-0BAE-4E1E-BBB5-AA9A6A5663BC}"/>
    <cellStyle name="20% - Accent2 2 2 2 3 5" xfId="27700" xr:uid="{AE56C487-5D83-49E1-BDD4-876A89D10840}"/>
    <cellStyle name="20% - Accent2 2 2 2 4" xfId="5588" xr:uid="{00000000-0005-0000-0000-000064090000}"/>
    <cellStyle name="20% - Accent2 2 2 2 4 2" xfId="13571" xr:uid="{00000000-0005-0000-0000-000065090000}"/>
    <cellStyle name="20% - Accent2 2 2 2 4 2 2" xfId="37414" xr:uid="{0ECDB4C4-C23E-4833-82C7-597CC0494463}"/>
    <cellStyle name="20% - Accent2 2 2 2 4 3" xfId="21519" xr:uid="{00000000-0005-0000-0000-000066090000}"/>
    <cellStyle name="20% - Accent2 2 2 2 4 3 2" xfId="45351" xr:uid="{42E9C925-BD7E-4183-94AD-51DA29AA5A57}"/>
    <cellStyle name="20% - Accent2 2 2 2 4 4" xfId="29473" xr:uid="{5427FFC9-D7C1-4528-A16D-8964B031BD48}"/>
    <cellStyle name="20% - Accent2 2 2 2 5" xfId="9140" xr:uid="{00000000-0005-0000-0000-000067090000}"/>
    <cellStyle name="20% - Accent2 2 2 2 5 2" xfId="17098" xr:uid="{00000000-0005-0000-0000-000068090000}"/>
    <cellStyle name="20% - Accent2 2 2 2 5 2 2" xfId="40938" xr:uid="{69FCB6E1-BC42-44B0-A8A3-CFC5A25569E1}"/>
    <cellStyle name="20% - Accent2 2 2 2 5 3" xfId="25042" xr:uid="{00000000-0005-0000-0000-000069090000}"/>
    <cellStyle name="20% - Accent2 2 2 2 5 3 2" xfId="48874" xr:uid="{4ABF78A2-592F-44C1-95B5-0A5084ECE2D4}"/>
    <cellStyle name="20% - Accent2 2 2 2 5 4" xfId="32997" xr:uid="{5BE4F90C-E6FB-4019-8F4F-2C908085A037}"/>
    <cellStyle name="20% - Accent2 2 2 2 6" xfId="10036" xr:uid="{00000000-0005-0000-0000-00006A090000}"/>
    <cellStyle name="20% - Accent2 2 2 2 6 2" xfId="33885" xr:uid="{7CB95DFD-E6AE-4587-A628-4CE001A88ABA}"/>
    <cellStyle name="20% - Accent2 2 2 2 7" xfId="17991" xr:uid="{00000000-0005-0000-0000-00006B090000}"/>
    <cellStyle name="20% - Accent2 2 2 2 7 2" xfId="41823" xr:uid="{60529DC0-29F8-4473-BEDA-D1A9E71EAB42}"/>
    <cellStyle name="20% - Accent2 2 2 2 8" xfId="25943" xr:uid="{75C046BA-CF20-4492-846E-E0E4791D52EA}"/>
    <cellStyle name="20% - Accent2 2 2 2_Exh G" xfId="2100" xr:uid="{00000000-0005-0000-0000-00006C090000}"/>
    <cellStyle name="20% - Accent2 2 2 3" xfId="873" xr:uid="{00000000-0005-0000-0000-00006D090000}"/>
    <cellStyle name="20% - Accent2 2 2 3 2" xfId="1803" xr:uid="{00000000-0005-0000-0000-00006E090000}"/>
    <cellStyle name="20% - Accent2 2 2 3 2 2" xfId="5320" xr:uid="{00000000-0005-0000-0000-00006F090000}"/>
    <cellStyle name="20% - Accent2 2 2 3 2 2 2" xfId="8911" xr:uid="{00000000-0005-0000-0000-000070090000}"/>
    <cellStyle name="20% - Accent2 2 2 3 2 2 2 2" xfId="16881" xr:uid="{00000000-0005-0000-0000-000071090000}"/>
    <cellStyle name="20% - Accent2 2 2 3 2 2 2 2 2" xfId="40723" xr:uid="{C1A3508B-6900-43A4-86D9-881CFE9485F2}"/>
    <cellStyle name="20% - Accent2 2 2 3 2 2 2 3" xfId="24827" xr:uid="{00000000-0005-0000-0000-000072090000}"/>
    <cellStyle name="20% - Accent2 2 2 3 2 2 2 3 2" xfId="48659" xr:uid="{9485495B-7EDB-4648-85EC-7CE60E0917DF}"/>
    <cellStyle name="20% - Accent2 2 2 3 2 2 2 4" xfId="32782" xr:uid="{260BDEAA-4F38-48E1-B584-5E67C82D0D91}"/>
    <cellStyle name="20% - Accent2 2 2 3 2 2 3" xfId="13343" xr:uid="{00000000-0005-0000-0000-000073090000}"/>
    <cellStyle name="20% - Accent2 2 2 3 2 2 3 2" xfId="37192" xr:uid="{0D5AFAF2-B660-4B46-827D-B93E347C9A69}"/>
    <cellStyle name="20% - Accent2 2 2 3 2 2 4" xfId="21298" xr:uid="{00000000-0005-0000-0000-000074090000}"/>
    <cellStyle name="20% - Accent2 2 2 3 2 2 4 2" xfId="45130" xr:uid="{71F470C7-A4BE-4532-9C4B-60F14A3B44F3}"/>
    <cellStyle name="20% - Accent2 2 2 3 2 2 5" xfId="29251" xr:uid="{2954EA88-8BA2-44C4-9A12-2E2D3E41F750}"/>
    <cellStyle name="20% - Accent2 2 2 3 2 3" xfId="7152" xr:uid="{00000000-0005-0000-0000-000075090000}"/>
    <cellStyle name="20% - Accent2 2 2 3 2 3 2" xfId="15123" xr:uid="{00000000-0005-0000-0000-000076090000}"/>
    <cellStyle name="20% - Accent2 2 2 3 2 3 2 2" xfId="38965" xr:uid="{EE425FEF-BF68-4235-81F1-B7A965E15BFF}"/>
    <cellStyle name="20% - Accent2 2 2 3 2 3 3" xfId="23070" xr:uid="{00000000-0005-0000-0000-000077090000}"/>
    <cellStyle name="20% - Accent2 2 2 3 2 3 3 2" xfId="46902" xr:uid="{7586F0C1-1E71-4F35-B40F-EAE15BD7E02A}"/>
    <cellStyle name="20% - Accent2 2 2 3 2 3 4" xfId="31024" xr:uid="{85108F0B-C059-4D69-ABE0-F2C2CC57CBE9}"/>
    <cellStyle name="20% - Accent2 2 2 3 2 4" xfId="11587" xr:uid="{00000000-0005-0000-0000-000078090000}"/>
    <cellStyle name="20% - Accent2 2 2 3 2 4 2" xfId="35436" xr:uid="{BE78169D-D52F-40AD-BDF9-F6747EAB4A65}"/>
    <cellStyle name="20% - Accent2 2 2 3 2 5" xfId="19542" xr:uid="{00000000-0005-0000-0000-000079090000}"/>
    <cellStyle name="20% - Accent2 2 2 3 2 5 2" xfId="43374" xr:uid="{F2DF711D-0F82-4B61-A881-5022DCB24A01}"/>
    <cellStyle name="20% - Accent2 2 2 3 2 6" xfId="27494" xr:uid="{18F8F47A-560A-4AD5-9B63-24179297847D}"/>
    <cellStyle name="20% - Accent2 2 2 3 2_Exh G" xfId="2103" xr:uid="{00000000-0005-0000-0000-00007A090000}"/>
    <cellStyle name="20% - Accent2 2 2 3 3" xfId="4441" xr:uid="{00000000-0005-0000-0000-00007B090000}"/>
    <cellStyle name="20% - Accent2 2 2 3 3 2" xfId="8033" xr:uid="{00000000-0005-0000-0000-00007C090000}"/>
    <cellStyle name="20% - Accent2 2 2 3 3 2 2" xfId="16003" xr:uid="{00000000-0005-0000-0000-00007D090000}"/>
    <cellStyle name="20% - Accent2 2 2 3 3 2 2 2" xfId="39845" xr:uid="{45311173-F03F-4AC9-A1FE-774A1AC8CE22}"/>
    <cellStyle name="20% - Accent2 2 2 3 3 2 3" xfId="23949" xr:uid="{00000000-0005-0000-0000-00007E090000}"/>
    <cellStyle name="20% - Accent2 2 2 3 3 2 3 2" xfId="47781" xr:uid="{5B43EC0E-CA5F-4850-B97B-F8A7EB582F95}"/>
    <cellStyle name="20% - Accent2 2 2 3 3 2 4" xfId="31904" xr:uid="{2ADC6FA2-68CC-49BA-A386-F8A305CB8447}"/>
    <cellStyle name="20% - Accent2 2 2 3 3 3" xfId="12465" xr:uid="{00000000-0005-0000-0000-00007F090000}"/>
    <cellStyle name="20% - Accent2 2 2 3 3 3 2" xfId="36314" xr:uid="{3BB032EB-540C-48E3-AB6E-8F94F4149AC0}"/>
    <cellStyle name="20% - Accent2 2 2 3 3 4" xfId="20420" xr:uid="{00000000-0005-0000-0000-000080090000}"/>
    <cellStyle name="20% - Accent2 2 2 3 3 4 2" xfId="44252" xr:uid="{4BF269F6-EBB0-48BB-8C45-B283E527AE7D}"/>
    <cellStyle name="20% - Accent2 2 2 3 3 5" xfId="28373" xr:uid="{9B61F414-4427-404A-8E9A-E4D0F9D01C46}"/>
    <cellStyle name="20% - Accent2 2 2 3 4" xfId="6271" xr:uid="{00000000-0005-0000-0000-000081090000}"/>
    <cellStyle name="20% - Accent2 2 2 3 4 2" xfId="14245" xr:uid="{00000000-0005-0000-0000-000082090000}"/>
    <cellStyle name="20% - Accent2 2 2 3 4 2 2" xfId="38087" xr:uid="{C6DF676B-34BE-4C67-BBE3-96BEAC0D6672}"/>
    <cellStyle name="20% - Accent2 2 2 3 4 3" xfId="22192" xr:uid="{00000000-0005-0000-0000-000083090000}"/>
    <cellStyle name="20% - Accent2 2 2 3 4 3 2" xfId="46024" xr:uid="{919A4AE0-0099-4B81-9267-D7E1123A1F95}"/>
    <cellStyle name="20% - Accent2 2 2 3 4 4" xfId="30146" xr:uid="{107FD317-CC10-4B8D-B09B-47412D9C6D15}"/>
    <cellStyle name="20% - Accent2 2 2 3 5" xfId="9813" xr:uid="{00000000-0005-0000-0000-000084090000}"/>
    <cellStyle name="20% - Accent2 2 2 3 5 2" xfId="17771" xr:uid="{00000000-0005-0000-0000-000085090000}"/>
    <cellStyle name="20% - Accent2 2 2 3 5 2 2" xfId="41611" xr:uid="{32BF9799-D721-4A61-94B3-0B3DE485485D}"/>
    <cellStyle name="20% - Accent2 2 2 3 5 3" xfId="25715" xr:uid="{00000000-0005-0000-0000-000086090000}"/>
    <cellStyle name="20% - Accent2 2 2 3 5 3 2" xfId="49547" xr:uid="{67BBC0A6-BAEC-4134-9254-A1560C8E3C1B}"/>
    <cellStyle name="20% - Accent2 2 2 3 5 4" xfId="33670" xr:uid="{CDA60CC9-5848-421B-A692-EF3B3A85188C}"/>
    <cellStyle name="20% - Accent2 2 2 3 6" xfId="10709" xr:uid="{00000000-0005-0000-0000-000087090000}"/>
    <cellStyle name="20% - Accent2 2 2 3 6 2" xfId="34558" xr:uid="{EAC6A21B-A7C9-4378-B168-D4CEE1DC1D36}"/>
    <cellStyle name="20% - Accent2 2 2 3 7" xfId="18664" xr:uid="{00000000-0005-0000-0000-000088090000}"/>
    <cellStyle name="20% - Accent2 2 2 3 7 2" xfId="42496" xr:uid="{C601EE66-6FF3-4EEE-8CA5-539792011199}"/>
    <cellStyle name="20% - Accent2 2 2 3 8" xfId="26616" xr:uid="{6A1CACF0-A163-48CA-9116-993A4D883801}"/>
    <cellStyle name="20% - Accent2 2 2 3_Exh G" xfId="2102" xr:uid="{00000000-0005-0000-0000-000089090000}"/>
    <cellStyle name="20% - Accent2 2 2 4" xfId="1119" xr:uid="{00000000-0005-0000-0000-00008A090000}"/>
    <cellStyle name="20% - Accent2 2 2 4 2" xfId="4646" xr:uid="{00000000-0005-0000-0000-00008B090000}"/>
    <cellStyle name="20% - Accent2 2 2 4 2 2" xfId="8237" xr:uid="{00000000-0005-0000-0000-00008C090000}"/>
    <cellStyle name="20% - Accent2 2 2 4 2 2 2" xfId="16207" xr:uid="{00000000-0005-0000-0000-00008D090000}"/>
    <cellStyle name="20% - Accent2 2 2 4 2 2 2 2" xfId="40049" xr:uid="{DA2A9FA9-1898-4D51-AEF2-0B1A7E21663B}"/>
    <cellStyle name="20% - Accent2 2 2 4 2 2 3" xfId="24153" xr:uid="{00000000-0005-0000-0000-00008E090000}"/>
    <cellStyle name="20% - Accent2 2 2 4 2 2 3 2" xfId="47985" xr:uid="{521B4E99-8170-484B-BF22-952A3DA5337F}"/>
    <cellStyle name="20% - Accent2 2 2 4 2 2 4" xfId="32108" xr:uid="{992B17C9-00EF-4873-AAB1-94135DE1C1FA}"/>
    <cellStyle name="20% - Accent2 2 2 4 2 3" xfId="12669" xr:uid="{00000000-0005-0000-0000-00008F090000}"/>
    <cellStyle name="20% - Accent2 2 2 4 2 3 2" xfId="36518" xr:uid="{CC855AC9-7BAB-4FFD-9D0F-B897571AC908}"/>
    <cellStyle name="20% - Accent2 2 2 4 2 4" xfId="20624" xr:uid="{00000000-0005-0000-0000-000090090000}"/>
    <cellStyle name="20% - Accent2 2 2 4 2 4 2" xfId="44456" xr:uid="{0D594234-88D0-4E3B-9E05-43EE0C11ABBD}"/>
    <cellStyle name="20% - Accent2 2 2 4 2 5" xfId="28577" xr:uid="{895BDDE4-DC5D-44F8-9BE9-E410E1BB76F0}"/>
    <cellStyle name="20% - Accent2 2 2 4 3" xfId="6478" xr:uid="{00000000-0005-0000-0000-000091090000}"/>
    <cellStyle name="20% - Accent2 2 2 4 3 2" xfId="14449" xr:uid="{00000000-0005-0000-0000-000092090000}"/>
    <cellStyle name="20% - Accent2 2 2 4 3 2 2" xfId="38291" xr:uid="{06E4C057-BD9B-43DE-9518-127BF934C10F}"/>
    <cellStyle name="20% - Accent2 2 2 4 3 3" xfId="22396" xr:uid="{00000000-0005-0000-0000-000093090000}"/>
    <cellStyle name="20% - Accent2 2 2 4 3 3 2" xfId="46228" xr:uid="{D0CFFB02-1C73-46AC-B566-7450244BC078}"/>
    <cellStyle name="20% - Accent2 2 2 4 3 4" xfId="30350" xr:uid="{4737871F-7173-4A1E-B825-D3885F0FA66F}"/>
    <cellStyle name="20% - Accent2 2 2 4 4" xfId="10913" xr:uid="{00000000-0005-0000-0000-000094090000}"/>
    <cellStyle name="20% - Accent2 2 2 4 4 2" xfId="34762" xr:uid="{258C5833-E30A-4E87-9409-3F0AFCDBBED6}"/>
    <cellStyle name="20% - Accent2 2 2 4 5" xfId="18868" xr:uid="{00000000-0005-0000-0000-000095090000}"/>
    <cellStyle name="20% - Accent2 2 2 4 5 2" xfId="42700" xr:uid="{111163BD-DDA0-4F98-84FB-0C6B54D75060}"/>
    <cellStyle name="20% - Accent2 2 2 4 6" xfId="26820" xr:uid="{4D11E403-14D7-461D-97D4-36FBE80040BB}"/>
    <cellStyle name="20% - Accent2 2 2 4_Exh G" xfId="2104" xr:uid="{00000000-0005-0000-0000-000096090000}"/>
    <cellStyle name="20% - Accent2 2 2 5" xfId="3767" xr:uid="{00000000-0005-0000-0000-000097090000}"/>
    <cellStyle name="20% - Accent2 2 2 5 2" xfId="7359" xr:uid="{00000000-0005-0000-0000-000098090000}"/>
    <cellStyle name="20% - Accent2 2 2 5 2 2" xfId="15329" xr:uid="{00000000-0005-0000-0000-000099090000}"/>
    <cellStyle name="20% - Accent2 2 2 5 2 2 2" xfId="39171" xr:uid="{6400269A-6D60-4CB4-A543-6C74DBB06E4A}"/>
    <cellStyle name="20% - Accent2 2 2 5 2 3" xfId="23275" xr:uid="{00000000-0005-0000-0000-00009A090000}"/>
    <cellStyle name="20% - Accent2 2 2 5 2 3 2" xfId="47107" xr:uid="{395B70B8-2217-4770-9C49-163CDB5F3DFC}"/>
    <cellStyle name="20% - Accent2 2 2 5 2 4" xfId="31230" xr:uid="{EC6F15C1-3876-427F-818E-4D4FAE8418B7}"/>
    <cellStyle name="20% - Accent2 2 2 5 3" xfId="11791" xr:uid="{00000000-0005-0000-0000-00009B090000}"/>
    <cellStyle name="20% - Accent2 2 2 5 3 2" xfId="35640" xr:uid="{4213D3C0-CCF8-4704-B898-94E2C45B8BF9}"/>
    <cellStyle name="20% - Accent2 2 2 5 4" xfId="19746" xr:uid="{00000000-0005-0000-0000-00009C090000}"/>
    <cellStyle name="20% - Accent2 2 2 5 4 2" xfId="43578" xr:uid="{DA66DF40-295A-402F-91A4-D2BA636947F9}"/>
    <cellStyle name="20% - Accent2 2 2 5 5" xfId="27699" xr:uid="{F70C9346-0685-468E-8404-F1201BBE7A77}"/>
    <cellStyle name="20% - Accent2 2 2 6" xfId="5587" xr:uid="{00000000-0005-0000-0000-00009D090000}"/>
    <cellStyle name="20% - Accent2 2 2 6 2" xfId="13570" xr:uid="{00000000-0005-0000-0000-00009E090000}"/>
    <cellStyle name="20% - Accent2 2 2 6 2 2" xfId="37413" xr:uid="{E0B2EFCA-707C-4E44-8F8A-D889C5BA5080}"/>
    <cellStyle name="20% - Accent2 2 2 6 3" xfId="21518" xr:uid="{00000000-0005-0000-0000-00009F090000}"/>
    <cellStyle name="20% - Accent2 2 2 6 3 2" xfId="45350" xr:uid="{A8F98910-206E-4CE4-BAD7-9C11480F3D41}"/>
    <cellStyle name="20% - Accent2 2 2 6 4" xfId="29472" xr:uid="{1CCA26D2-653C-411A-B9E6-5D2F1A718846}"/>
    <cellStyle name="20% - Accent2 2 2 7" xfId="9139" xr:uid="{00000000-0005-0000-0000-0000A0090000}"/>
    <cellStyle name="20% - Accent2 2 2 7 2" xfId="17097" xr:uid="{00000000-0005-0000-0000-0000A1090000}"/>
    <cellStyle name="20% - Accent2 2 2 7 2 2" xfId="40937" xr:uid="{A6F86335-A022-480E-9883-74F3B742AA22}"/>
    <cellStyle name="20% - Accent2 2 2 7 3" xfId="25041" xr:uid="{00000000-0005-0000-0000-0000A2090000}"/>
    <cellStyle name="20% - Accent2 2 2 7 3 2" xfId="48873" xr:uid="{429AA5BC-B8F0-4039-B1D5-61108DB6CF91}"/>
    <cellStyle name="20% - Accent2 2 2 7 4" xfId="32996" xr:uid="{61DB9849-E8B4-43DF-B126-02AF15C41894}"/>
    <cellStyle name="20% - Accent2 2 2 8" xfId="10035" xr:uid="{00000000-0005-0000-0000-0000A3090000}"/>
    <cellStyle name="20% - Accent2 2 2 8 2" xfId="33884" xr:uid="{052E7F99-45AF-4B63-B3C1-8E8CCBA6A36A}"/>
    <cellStyle name="20% - Accent2 2 2 9" xfId="17990" xr:uid="{00000000-0005-0000-0000-0000A4090000}"/>
    <cellStyle name="20% - Accent2 2 2 9 2" xfId="41822" xr:uid="{9E4AEFF8-D412-48C7-A7BF-57BFD5437F71}"/>
    <cellStyle name="20% - Accent2 2 2_Exh G" xfId="2099" xr:uid="{00000000-0005-0000-0000-0000A5090000}"/>
    <cellStyle name="20% - Accent2 2 3" xfId="95" xr:uid="{00000000-0005-0000-0000-0000A6090000}"/>
    <cellStyle name="20% - Accent2 2 3 2" xfId="1121" xr:uid="{00000000-0005-0000-0000-0000A7090000}"/>
    <cellStyle name="20% - Accent2 2 3 2 2" xfId="4648" xr:uid="{00000000-0005-0000-0000-0000A8090000}"/>
    <cellStyle name="20% - Accent2 2 3 2 2 2" xfId="8239" xr:uid="{00000000-0005-0000-0000-0000A9090000}"/>
    <cellStyle name="20% - Accent2 2 3 2 2 2 2" xfId="16209" xr:uid="{00000000-0005-0000-0000-0000AA090000}"/>
    <cellStyle name="20% - Accent2 2 3 2 2 2 2 2" xfId="40051" xr:uid="{91D089FF-7485-43A9-932B-CC4FC2ED0495}"/>
    <cellStyle name="20% - Accent2 2 3 2 2 2 3" xfId="24155" xr:uid="{00000000-0005-0000-0000-0000AB090000}"/>
    <cellStyle name="20% - Accent2 2 3 2 2 2 3 2" xfId="47987" xr:uid="{C068EA44-2B95-48FA-A97F-A375185CE09C}"/>
    <cellStyle name="20% - Accent2 2 3 2 2 2 4" xfId="32110" xr:uid="{1909C751-AC92-4B1A-8608-1468E337F93C}"/>
    <cellStyle name="20% - Accent2 2 3 2 2 3" xfId="12671" xr:uid="{00000000-0005-0000-0000-0000AC090000}"/>
    <cellStyle name="20% - Accent2 2 3 2 2 3 2" xfId="36520" xr:uid="{903E00E3-13CC-4BF0-9BB4-F2BFA002970C}"/>
    <cellStyle name="20% - Accent2 2 3 2 2 4" xfId="20626" xr:uid="{00000000-0005-0000-0000-0000AD090000}"/>
    <cellStyle name="20% - Accent2 2 3 2 2 4 2" xfId="44458" xr:uid="{C900C358-A7A6-4E79-A969-1429217F0791}"/>
    <cellStyle name="20% - Accent2 2 3 2 2 5" xfId="28579" xr:uid="{1C13B172-4189-4A4D-85BC-27188A2EE52D}"/>
    <cellStyle name="20% - Accent2 2 3 2 3" xfId="6480" xr:uid="{00000000-0005-0000-0000-0000AE090000}"/>
    <cellStyle name="20% - Accent2 2 3 2 3 2" xfId="14451" xr:uid="{00000000-0005-0000-0000-0000AF090000}"/>
    <cellStyle name="20% - Accent2 2 3 2 3 2 2" xfId="38293" xr:uid="{7DBFF511-469B-4AAC-9687-AD433BFD7186}"/>
    <cellStyle name="20% - Accent2 2 3 2 3 3" xfId="22398" xr:uid="{00000000-0005-0000-0000-0000B0090000}"/>
    <cellStyle name="20% - Accent2 2 3 2 3 3 2" xfId="46230" xr:uid="{BFFA5E92-180B-4F7B-B457-08C36F301AE3}"/>
    <cellStyle name="20% - Accent2 2 3 2 3 4" xfId="30352" xr:uid="{B6355A2B-82C8-4EFD-A8DE-F9EBC8EE807A}"/>
    <cellStyle name="20% - Accent2 2 3 2 4" xfId="10915" xr:uid="{00000000-0005-0000-0000-0000B1090000}"/>
    <cellStyle name="20% - Accent2 2 3 2 4 2" xfId="34764" xr:uid="{9C182585-56C9-43A2-B473-CFD24B0B9430}"/>
    <cellStyle name="20% - Accent2 2 3 2 5" xfId="18870" xr:uid="{00000000-0005-0000-0000-0000B2090000}"/>
    <cellStyle name="20% - Accent2 2 3 2 5 2" xfId="42702" xr:uid="{089CD9AD-01D7-4593-8513-F30F5489D78B}"/>
    <cellStyle name="20% - Accent2 2 3 2 6" xfId="26822" xr:uid="{6EC70B1B-D281-489D-A245-D22086ED9D85}"/>
    <cellStyle name="20% - Accent2 2 3 2_Exh G" xfId="2106" xr:uid="{00000000-0005-0000-0000-0000B3090000}"/>
    <cellStyle name="20% - Accent2 2 3 3" xfId="3769" xr:uid="{00000000-0005-0000-0000-0000B4090000}"/>
    <cellStyle name="20% - Accent2 2 3 3 2" xfId="7361" xr:uid="{00000000-0005-0000-0000-0000B5090000}"/>
    <cellStyle name="20% - Accent2 2 3 3 2 2" xfId="15331" xr:uid="{00000000-0005-0000-0000-0000B6090000}"/>
    <cellStyle name="20% - Accent2 2 3 3 2 2 2" xfId="39173" xr:uid="{52C19177-9A20-4CBC-92A4-5F53AC18AA62}"/>
    <cellStyle name="20% - Accent2 2 3 3 2 3" xfId="23277" xr:uid="{00000000-0005-0000-0000-0000B7090000}"/>
    <cellStyle name="20% - Accent2 2 3 3 2 3 2" xfId="47109" xr:uid="{6A8ACDE0-2735-4F85-9FC5-0C527F0B079E}"/>
    <cellStyle name="20% - Accent2 2 3 3 2 4" xfId="31232" xr:uid="{C6404840-D8DA-49C3-9119-5864D115371E}"/>
    <cellStyle name="20% - Accent2 2 3 3 3" xfId="11793" xr:uid="{00000000-0005-0000-0000-0000B8090000}"/>
    <cellStyle name="20% - Accent2 2 3 3 3 2" xfId="35642" xr:uid="{BAF3ECA0-58D4-4E7D-9941-506F3E738AB4}"/>
    <cellStyle name="20% - Accent2 2 3 3 4" xfId="19748" xr:uid="{00000000-0005-0000-0000-0000B9090000}"/>
    <cellStyle name="20% - Accent2 2 3 3 4 2" xfId="43580" xr:uid="{7FD1C30B-2BD4-4BB4-942A-9E84D3912759}"/>
    <cellStyle name="20% - Accent2 2 3 3 5" xfId="27701" xr:uid="{881136C6-06F5-43D0-AD00-C494F2BE583A}"/>
    <cellStyle name="20% - Accent2 2 3 4" xfId="5589" xr:uid="{00000000-0005-0000-0000-0000BA090000}"/>
    <cellStyle name="20% - Accent2 2 3 4 2" xfId="13572" xr:uid="{00000000-0005-0000-0000-0000BB090000}"/>
    <cellStyle name="20% - Accent2 2 3 4 2 2" xfId="37415" xr:uid="{2340A8EC-8AB3-4F9B-BBBB-4EAE3CE7727A}"/>
    <cellStyle name="20% - Accent2 2 3 4 3" xfId="21520" xr:uid="{00000000-0005-0000-0000-0000BC090000}"/>
    <cellStyle name="20% - Accent2 2 3 4 3 2" xfId="45352" xr:uid="{AD7BC1FB-140D-4D9C-8145-1D8854B739EB}"/>
    <cellStyle name="20% - Accent2 2 3 4 4" xfId="29474" xr:uid="{F067DEAC-4943-4099-A080-4EB6ADE53422}"/>
    <cellStyle name="20% - Accent2 2 3 5" xfId="9141" xr:uid="{00000000-0005-0000-0000-0000BD090000}"/>
    <cellStyle name="20% - Accent2 2 3 5 2" xfId="17099" xr:uid="{00000000-0005-0000-0000-0000BE090000}"/>
    <cellStyle name="20% - Accent2 2 3 5 2 2" xfId="40939" xr:uid="{0A9E2876-4B89-460C-8E9E-8BB915DF3E91}"/>
    <cellStyle name="20% - Accent2 2 3 5 3" xfId="25043" xr:uid="{00000000-0005-0000-0000-0000BF090000}"/>
    <cellStyle name="20% - Accent2 2 3 5 3 2" xfId="48875" xr:uid="{B166943A-8759-4C28-83EB-1E128EF890D5}"/>
    <cellStyle name="20% - Accent2 2 3 5 4" xfId="32998" xr:uid="{8F55E208-7368-4AB6-9C5D-F40F38CB6A08}"/>
    <cellStyle name="20% - Accent2 2 3 6" xfId="10037" xr:uid="{00000000-0005-0000-0000-0000C0090000}"/>
    <cellStyle name="20% - Accent2 2 3 6 2" xfId="33886" xr:uid="{552D1D5C-5688-4ED5-9FD6-54933DCA878C}"/>
    <cellStyle name="20% - Accent2 2 3 7" xfId="17992" xr:uid="{00000000-0005-0000-0000-0000C1090000}"/>
    <cellStyle name="20% - Accent2 2 3 7 2" xfId="41824" xr:uid="{1650662F-6557-478D-9133-F332D94A273C}"/>
    <cellStyle name="20% - Accent2 2 3 8" xfId="25944" xr:uid="{A2658F5C-DFC1-4645-B1A9-A4C983344987}"/>
    <cellStyle name="20% - Accent2 2 3_Exh G" xfId="2105" xr:uid="{00000000-0005-0000-0000-0000C2090000}"/>
    <cellStyle name="20% - Accent2 2 4" xfId="872" xr:uid="{00000000-0005-0000-0000-0000C3090000}"/>
    <cellStyle name="20% - Accent2 2 4 2" xfId="1802" xr:uid="{00000000-0005-0000-0000-0000C4090000}"/>
    <cellStyle name="20% - Accent2 2 4 2 2" xfId="5319" xr:uid="{00000000-0005-0000-0000-0000C5090000}"/>
    <cellStyle name="20% - Accent2 2 4 2 2 2" xfId="8910" xr:uid="{00000000-0005-0000-0000-0000C6090000}"/>
    <cellStyle name="20% - Accent2 2 4 2 2 2 2" xfId="16880" xr:uid="{00000000-0005-0000-0000-0000C7090000}"/>
    <cellStyle name="20% - Accent2 2 4 2 2 2 2 2" xfId="40722" xr:uid="{783115BC-2E53-491C-847F-2E2BAECAA5D4}"/>
    <cellStyle name="20% - Accent2 2 4 2 2 2 3" xfId="24826" xr:uid="{00000000-0005-0000-0000-0000C8090000}"/>
    <cellStyle name="20% - Accent2 2 4 2 2 2 3 2" xfId="48658" xr:uid="{1BDACCED-7929-4127-A30C-AEFE4483224B}"/>
    <cellStyle name="20% - Accent2 2 4 2 2 2 4" xfId="32781" xr:uid="{C563A5F4-2E56-43BF-882F-3109021E66A3}"/>
    <cellStyle name="20% - Accent2 2 4 2 2 3" xfId="13342" xr:uid="{00000000-0005-0000-0000-0000C9090000}"/>
    <cellStyle name="20% - Accent2 2 4 2 2 3 2" xfId="37191" xr:uid="{F728A5CC-1AA8-4C3D-BB46-EC2C40789357}"/>
    <cellStyle name="20% - Accent2 2 4 2 2 4" xfId="21297" xr:uid="{00000000-0005-0000-0000-0000CA090000}"/>
    <cellStyle name="20% - Accent2 2 4 2 2 4 2" xfId="45129" xr:uid="{7E838F90-DDFE-4EE0-891C-34BED0BCC20A}"/>
    <cellStyle name="20% - Accent2 2 4 2 2 5" xfId="29250" xr:uid="{7A004A85-B6F8-4B40-95A0-BBE581F3E2FA}"/>
    <cellStyle name="20% - Accent2 2 4 2 3" xfId="7151" xr:uid="{00000000-0005-0000-0000-0000CB090000}"/>
    <cellStyle name="20% - Accent2 2 4 2 3 2" xfId="15122" xr:uid="{00000000-0005-0000-0000-0000CC090000}"/>
    <cellStyle name="20% - Accent2 2 4 2 3 2 2" xfId="38964" xr:uid="{F3A5450E-9347-4EDF-A7F6-89316CB26F17}"/>
    <cellStyle name="20% - Accent2 2 4 2 3 3" xfId="23069" xr:uid="{00000000-0005-0000-0000-0000CD090000}"/>
    <cellStyle name="20% - Accent2 2 4 2 3 3 2" xfId="46901" xr:uid="{61620C5B-C708-4F32-80AB-05F783D0FC10}"/>
    <cellStyle name="20% - Accent2 2 4 2 3 4" xfId="31023" xr:uid="{AF79688B-F862-4362-BC19-24716EBAE3B4}"/>
    <cellStyle name="20% - Accent2 2 4 2 4" xfId="11586" xr:uid="{00000000-0005-0000-0000-0000CE090000}"/>
    <cellStyle name="20% - Accent2 2 4 2 4 2" xfId="35435" xr:uid="{1DA5B527-6DFA-4426-8245-2B3E7C94A43E}"/>
    <cellStyle name="20% - Accent2 2 4 2 5" xfId="19541" xr:uid="{00000000-0005-0000-0000-0000CF090000}"/>
    <cellStyle name="20% - Accent2 2 4 2 5 2" xfId="43373" xr:uid="{24F984F5-C8B4-420B-8A79-B91D748850D3}"/>
    <cellStyle name="20% - Accent2 2 4 2 6" xfId="27493" xr:uid="{03C95B09-6F85-46FB-BB44-9A82DF2C00C3}"/>
    <cellStyle name="20% - Accent2 2 4 2_Exh G" xfId="2108" xr:uid="{00000000-0005-0000-0000-0000D0090000}"/>
    <cellStyle name="20% - Accent2 2 4 3" xfId="4440" xr:uid="{00000000-0005-0000-0000-0000D1090000}"/>
    <cellStyle name="20% - Accent2 2 4 3 2" xfId="8032" xr:uid="{00000000-0005-0000-0000-0000D2090000}"/>
    <cellStyle name="20% - Accent2 2 4 3 2 2" xfId="16002" xr:uid="{00000000-0005-0000-0000-0000D3090000}"/>
    <cellStyle name="20% - Accent2 2 4 3 2 2 2" xfId="39844" xr:uid="{94848219-B4F1-4268-B1B3-823B2D40256F}"/>
    <cellStyle name="20% - Accent2 2 4 3 2 3" xfId="23948" xr:uid="{00000000-0005-0000-0000-0000D4090000}"/>
    <cellStyle name="20% - Accent2 2 4 3 2 3 2" xfId="47780" xr:uid="{22623AB1-62FB-4732-8DBB-811E0CB8E5D0}"/>
    <cellStyle name="20% - Accent2 2 4 3 2 4" xfId="31903" xr:uid="{F430F31E-4787-4ECA-A847-3B77359BD786}"/>
    <cellStyle name="20% - Accent2 2 4 3 3" xfId="12464" xr:uid="{00000000-0005-0000-0000-0000D5090000}"/>
    <cellStyle name="20% - Accent2 2 4 3 3 2" xfId="36313" xr:uid="{95CBEDC8-832E-45B6-95A6-6F7DC322DEA0}"/>
    <cellStyle name="20% - Accent2 2 4 3 4" xfId="20419" xr:uid="{00000000-0005-0000-0000-0000D6090000}"/>
    <cellStyle name="20% - Accent2 2 4 3 4 2" xfId="44251" xr:uid="{3A6890DA-049C-4CBF-B80B-7D1FE781909E}"/>
    <cellStyle name="20% - Accent2 2 4 3 5" xfId="28372" xr:uid="{4CE0BB9E-952A-4DBB-B5A0-2A5B10FFEEC3}"/>
    <cellStyle name="20% - Accent2 2 4 4" xfId="6270" xr:uid="{00000000-0005-0000-0000-0000D7090000}"/>
    <cellStyle name="20% - Accent2 2 4 4 2" xfId="14244" xr:uid="{00000000-0005-0000-0000-0000D8090000}"/>
    <cellStyle name="20% - Accent2 2 4 4 2 2" xfId="38086" xr:uid="{C6D2437C-4B09-44A1-A71A-03739EAB0B5C}"/>
    <cellStyle name="20% - Accent2 2 4 4 3" xfId="22191" xr:uid="{00000000-0005-0000-0000-0000D9090000}"/>
    <cellStyle name="20% - Accent2 2 4 4 3 2" xfId="46023" xr:uid="{7F34920F-964C-4C31-ACF6-66911D244FAF}"/>
    <cellStyle name="20% - Accent2 2 4 4 4" xfId="30145" xr:uid="{41A0E84C-6CBC-45FD-9140-DE31EF20B99A}"/>
    <cellStyle name="20% - Accent2 2 4 5" xfId="9812" xr:uid="{00000000-0005-0000-0000-0000DA090000}"/>
    <cellStyle name="20% - Accent2 2 4 5 2" xfId="17770" xr:uid="{00000000-0005-0000-0000-0000DB090000}"/>
    <cellStyle name="20% - Accent2 2 4 5 2 2" xfId="41610" xr:uid="{F747468D-96EF-41A6-B6AD-A67A1E570F44}"/>
    <cellStyle name="20% - Accent2 2 4 5 3" xfId="25714" xr:uid="{00000000-0005-0000-0000-0000DC090000}"/>
    <cellStyle name="20% - Accent2 2 4 5 3 2" xfId="49546" xr:uid="{53181502-5775-43DE-97E2-7BD251CFFC90}"/>
    <cellStyle name="20% - Accent2 2 4 5 4" xfId="33669" xr:uid="{2667ACC4-06BA-4FE0-A4EB-950979BFBC8A}"/>
    <cellStyle name="20% - Accent2 2 4 6" xfId="10708" xr:uid="{00000000-0005-0000-0000-0000DD090000}"/>
    <cellStyle name="20% - Accent2 2 4 6 2" xfId="34557" xr:uid="{BA0D7F4D-4467-49A4-A652-55F5C63612F8}"/>
    <cellStyle name="20% - Accent2 2 4 7" xfId="18663" xr:uid="{00000000-0005-0000-0000-0000DE090000}"/>
    <cellStyle name="20% - Accent2 2 4 7 2" xfId="42495" xr:uid="{2598F4CB-268D-43E6-A989-70C1E4CAF0B3}"/>
    <cellStyle name="20% - Accent2 2 4 8" xfId="26615" xr:uid="{EAF73305-6466-4A13-8C25-B6DDFA0A0123}"/>
    <cellStyle name="20% - Accent2 2 4_Exh G" xfId="2107" xr:uid="{00000000-0005-0000-0000-0000DF090000}"/>
    <cellStyle name="20% - Accent2 2 5" xfId="1118" xr:uid="{00000000-0005-0000-0000-0000E0090000}"/>
    <cellStyle name="20% - Accent2 2 5 2" xfId="4645" xr:uid="{00000000-0005-0000-0000-0000E1090000}"/>
    <cellStyle name="20% - Accent2 2 5 2 2" xfId="8236" xr:uid="{00000000-0005-0000-0000-0000E2090000}"/>
    <cellStyle name="20% - Accent2 2 5 2 2 2" xfId="16206" xr:uid="{00000000-0005-0000-0000-0000E3090000}"/>
    <cellStyle name="20% - Accent2 2 5 2 2 2 2" xfId="40048" xr:uid="{EBE2E643-7370-40AC-9904-970D0E9277A5}"/>
    <cellStyle name="20% - Accent2 2 5 2 2 3" xfId="24152" xr:uid="{00000000-0005-0000-0000-0000E4090000}"/>
    <cellStyle name="20% - Accent2 2 5 2 2 3 2" xfId="47984" xr:uid="{142DB62C-52F0-43FB-9B9D-626C2A1A1D60}"/>
    <cellStyle name="20% - Accent2 2 5 2 2 4" xfId="32107" xr:uid="{79ADB93E-BA1C-4123-849C-0F292829F030}"/>
    <cellStyle name="20% - Accent2 2 5 2 3" xfId="12668" xr:uid="{00000000-0005-0000-0000-0000E5090000}"/>
    <cellStyle name="20% - Accent2 2 5 2 3 2" xfId="36517" xr:uid="{E7864018-A57E-4890-93F8-640181F8951A}"/>
    <cellStyle name="20% - Accent2 2 5 2 4" xfId="20623" xr:uid="{00000000-0005-0000-0000-0000E6090000}"/>
    <cellStyle name="20% - Accent2 2 5 2 4 2" xfId="44455" xr:uid="{984EB972-24B0-4919-AACE-65A32E4A22B7}"/>
    <cellStyle name="20% - Accent2 2 5 2 5" xfId="28576" xr:uid="{F0FD6751-6290-4233-984F-F0EEDA009D69}"/>
    <cellStyle name="20% - Accent2 2 5 3" xfId="6477" xr:uid="{00000000-0005-0000-0000-0000E7090000}"/>
    <cellStyle name="20% - Accent2 2 5 3 2" xfId="14448" xr:uid="{00000000-0005-0000-0000-0000E8090000}"/>
    <cellStyle name="20% - Accent2 2 5 3 2 2" xfId="38290" xr:uid="{52E96876-8FF1-44D6-A984-6F255363543A}"/>
    <cellStyle name="20% - Accent2 2 5 3 3" xfId="22395" xr:uid="{00000000-0005-0000-0000-0000E9090000}"/>
    <cellStyle name="20% - Accent2 2 5 3 3 2" xfId="46227" xr:uid="{4641E9CF-24CB-42CC-8644-DE4BF4715621}"/>
    <cellStyle name="20% - Accent2 2 5 3 4" xfId="30349" xr:uid="{7A91CB9B-F138-41B9-9536-6325A0B0DE0B}"/>
    <cellStyle name="20% - Accent2 2 5 4" xfId="10912" xr:uid="{00000000-0005-0000-0000-0000EA090000}"/>
    <cellStyle name="20% - Accent2 2 5 4 2" xfId="34761" xr:uid="{C04F8254-FC5F-4F33-9982-1084A8B2CC51}"/>
    <cellStyle name="20% - Accent2 2 5 5" xfId="18867" xr:uid="{00000000-0005-0000-0000-0000EB090000}"/>
    <cellStyle name="20% - Accent2 2 5 5 2" xfId="42699" xr:uid="{425FAB8D-47E7-4F9E-A5FA-C7F9092A2603}"/>
    <cellStyle name="20% - Accent2 2 5 6" xfId="26819" xr:uid="{9A4E395F-F24C-4DD0-BD31-A3C6FFF43769}"/>
    <cellStyle name="20% - Accent2 2 5_Exh G" xfId="2109" xr:uid="{00000000-0005-0000-0000-0000EC090000}"/>
    <cellStyle name="20% - Accent2 2 6" xfId="3766" xr:uid="{00000000-0005-0000-0000-0000ED090000}"/>
    <cellStyle name="20% - Accent2 2 6 2" xfId="7358" xr:uid="{00000000-0005-0000-0000-0000EE090000}"/>
    <cellStyle name="20% - Accent2 2 6 2 2" xfId="15328" xr:uid="{00000000-0005-0000-0000-0000EF090000}"/>
    <cellStyle name="20% - Accent2 2 6 2 2 2" xfId="39170" xr:uid="{5D24907A-CA78-4F53-B82D-D423B7C27DA2}"/>
    <cellStyle name="20% - Accent2 2 6 2 3" xfId="23274" xr:uid="{00000000-0005-0000-0000-0000F0090000}"/>
    <cellStyle name="20% - Accent2 2 6 2 3 2" xfId="47106" xr:uid="{8DFD12EC-9F22-4CD9-892A-953350F28D1A}"/>
    <cellStyle name="20% - Accent2 2 6 2 4" xfId="31229" xr:uid="{95E9863F-1963-438E-9254-33F1D6DD753F}"/>
    <cellStyle name="20% - Accent2 2 6 3" xfId="11790" xr:uid="{00000000-0005-0000-0000-0000F1090000}"/>
    <cellStyle name="20% - Accent2 2 6 3 2" xfId="35639" xr:uid="{592B60C9-A9EB-4233-9F28-8552AB811E7A}"/>
    <cellStyle name="20% - Accent2 2 6 4" xfId="19745" xr:uid="{00000000-0005-0000-0000-0000F2090000}"/>
    <cellStyle name="20% - Accent2 2 6 4 2" xfId="43577" xr:uid="{55737E33-9480-4D27-909E-7EA0719EEB4B}"/>
    <cellStyle name="20% - Accent2 2 6 5" xfId="27698" xr:uid="{8EAD682D-6637-478C-90AE-0CEFA606DBBA}"/>
    <cellStyle name="20% - Accent2 2 7" xfId="5586" xr:uid="{00000000-0005-0000-0000-0000F3090000}"/>
    <cellStyle name="20% - Accent2 2 7 2" xfId="13569" xr:uid="{00000000-0005-0000-0000-0000F4090000}"/>
    <cellStyle name="20% - Accent2 2 7 2 2" xfId="37412" xr:uid="{576C1DD7-17E9-430B-95DF-7A5BBA481AFB}"/>
    <cellStyle name="20% - Accent2 2 7 3" xfId="21517" xr:uid="{00000000-0005-0000-0000-0000F5090000}"/>
    <cellStyle name="20% - Accent2 2 7 3 2" xfId="45349" xr:uid="{086E5E23-0F30-4DBF-80F0-3E2F51D549AB}"/>
    <cellStyle name="20% - Accent2 2 7 4" xfId="29471" xr:uid="{10E5E82C-0CFA-482C-BB3D-2D44B7B2B26D}"/>
    <cellStyle name="20% - Accent2 2 8" xfId="9138" xr:uid="{00000000-0005-0000-0000-0000F6090000}"/>
    <cellStyle name="20% - Accent2 2 8 2" xfId="17096" xr:uid="{00000000-0005-0000-0000-0000F7090000}"/>
    <cellStyle name="20% - Accent2 2 8 2 2" xfId="40936" xr:uid="{6A05655E-2E64-4497-92FC-BE2D1C8CB451}"/>
    <cellStyle name="20% - Accent2 2 8 3" xfId="25040" xr:uid="{00000000-0005-0000-0000-0000F8090000}"/>
    <cellStyle name="20% - Accent2 2 8 3 2" xfId="48872" xr:uid="{E68B3093-6BEC-4CF1-B308-9D25F4798CC6}"/>
    <cellStyle name="20% - Accent2 2 8 4" xfId="32995" xr:uid="{C7D800F1-57B1-4BB8-B6A3-C8544917702D}"/>
    <cellStyle name="20% - Accent2 2 9" xfId="10034" xr:uid="{00000000-0005-0000-0000-0000F9090000}"/>
    <cellStyle name="20% - Accent2 2 9 2" xfId="33883" xr:uid="{62CD2202-BA1C-4250-BE8F-B2303612589E}"/>
    <cellStyle name="20% - Accent2 2_Exh G" xfId="2098" xr:uid="{00000000-0005-0000-0000-0000FA090000}"/>
    <cellStyle name="20% - Accent2 3" xfId="96" xr:uid="{00000000-0005-0000-0000-0000FB090000}"/>
    <cellStyle name="20% - Accent2 3 10" xfId="17993" xr:uid="{00000000-0005-0000-0000-0000FC090000}"/>
    <cellStyle name="20% - Accent2 3 10 2" xfId="41825" xr:uid="{AC60A55B-681E-45E8-920B-046FEE656002}"/>
    <cellStyle name="20% - Accent2 3 11" xfId="25945" xr:uid="{E7B553F1-D557-49B5-8B46-B1C9E49CC6B0}"/>
    <cellStyle name="20% - Accent2 3 12" xfId="49756" xr:uid="{EB552E18-EDC7-4049-810A-36656014AA5F}"/>
    <cellStyle name="20% - Accent2 3 13" xfId="49810" xr:uid="{0CE10550-1644-4066-AFBA-FFF5DDAEEDEC}"/>
    <cellStyle name="20% - Accent2 3 2" xfId="97" xr:uid="{00000000-0005-0000-0000-0000FD090000}"/>
    <cellStyle name="20% - Accent2 3 2 10" xfId="25946" xr:uid="{323F8C5C-4EB3-4A3C-9510-756D09919C79}"/>
    <cellStyle name="20% - Accent2 3 2 2" xfId="98" xr:uid="{00000000-0005-0000-0000-0000FE090000}"/>
    <cellStyle name="20% - Accent2 3 2 2 2" xfId="1124" xr:uid="{00000000-0005-0000-0000-0000FF090000}"/>
    <cellStyle name="20% - Accent2 3 2 2 2 2" xfId="4651" xr:uid="{00000000-0005-0000-0000-0000000A0000}"/>
    <cellStyle name="20% - Accent2 3 2 2 2 2 2" xfId="8242" xr:uid="{00000000-0005-0000-0000-0000010A0000}"/>
    <cellStyle name="20% - Accent2 3 2 2 2 2 2 2" xfId="16212" xr:uid="{00000000-0005-0000-0000-0000020A0000}"/>
    <cellStyle name="20% - Accent2 3 2 2 2 2 2 2 2" xfId="40054" xr:uid="{6D5A6C83-CF22-4FD5-BF3A-C7DB2833D7B2}"/>
    <cellStyle name="20% - Accent2 3 2 2 2 2 2 3" xfId="24158" xr:uid="{00000000-0005-0000-0000-0000030A0000}"/>
    <cellStyle name="20% - Accent2 3 2 2 2 2 2 3 2" xfId="47990" xr:uid="{DF160201-90B6-4693-83C7-4CEAAA7D42A1}"/>
    <cellStyle name="20% - Accent2 3 2 2 2 2 2 4" xfId="32113" xr:uid="{2C20E6C9-BFBC-4F21-91AF-E1AFE005EF43}"/>
    <cellStyle name="20% - Accent2 3 2 2 2 2 3" xfId="12674" xr:uid="{00000000-0005-0000-0000-0000040A0000}"/>
    <cellStyle name="20% - Accent2 3 2 2 2 2 3 2" xfId="36523" xr:uid="{294A153C-E494-4EA7-905A-8101D1C6DC6A}"/>
    <cellStyle name="20% - Accent2 3 2 2 2 2 4" xfId="20629" xr:uid="{00000000-0005-0000-0000-0000050A0000}"/>
    <cellStyle name="20% - Accent2 3 2 2 2 2 4 2" xfId="44461" xr:uid="{B59AB36C-AF1B-436B-8217-25DFCF9FF1DE}"/>
    <cellStyle name="20% - Accent2 3 2 2 2 2 5" xfId="28582" xr:uid="{B686C12E-217B-42A1-83B0-91C95914643E}"/>
    <cellStyle name="20% - Accent2 3 2 2 2 3" xfId="6483" xr:uid="{00000000-0005-0000-0000-0000060A0000}"/>
    <cellStyle name="20% - Accent2 3 2 2 2 3 2" xfId="14454" xr:uid="{00000000-0005-0000-0000-0000070A0000}"/>
    <cellStyle name="20% - Accent2 3 2 2 2 3 2 2" xfId="38296" xr:uid="{A697B18E-F040-49CA-8623-98A9DFBAA8C8}"/>
    <cellStyle name="20% - Accent2 3 2 2 2 3 3" xfId="22401" xr:uid="{00000000-0005-0000-0000-0000080A0000}"/>
    <cellStyle name="20% - Accent2 3 2 2 2 3 3 2" xfId="46233" xr:uid="{2FEAC201-9957-4BEE-AF76-BB80F04B8E4C}"/>
    <cellStyle name="20% - Accent2 3 2 2 2 3 4" xfId="30355" xr:uid="{5106AD3D-7F89-4225-AAEF-C303C7B85A85}"/>
    <cellStyle name="20% - Accent2 3 2 2 2 4" xfId="10918" xr:uid="{00000000-0005-0000-0000-0000090A0000}"/>
    <cellStyle name="20% - Accent2 3 2 2 2 4 2" xfId="34767" xr:uid="{EB156382-4012-4B89-8113-D8D3BD039E60}"/>
    <cellStyle name="20% - Accent2 3 2 2 2 5" xfId="18873" xr:uid="{00000000-0005-0000-0000-00000A0A0000}"/>
    <cellStyle name="20% - Accent2 3 2 2 2 5 2" xfId="42705" xr:uid="{505C453F-4538-435B-94E5-986F1DA88166}"/>
    <cellStyle name="20% - Accent2 3 2 2 2 6" xfId="26825" xr:uid="{E65A523A-421E-4737-8407-BBCA8489F052}"/>
    <cellStyle name="20% - Accent2 3 2 2 2_Exh G" xfId="2113" xr:uid="{00000000-0005-0000-0000-00000B0A0000}"/>
    <cellStyle name="20% - Accent2 3 2 2 3" xfId="3772" xr:uid="{00000000-0005-0000-0000-00000C0A0000}"/>
    <cellStyle name="20% - Accent2 3 2 2 3 2" xfId="7364" xr:uid="{00000000-0005-0000-0000-00000D0A0000}"/>
    <cellStyle name="20% - Accent2 3 2 2 3 2 2" xfId="15334" xr:uid="{00000000-0005-0000-0000-00000E0A0000}"/>
    <cellStyle name="20% - Accent2 3 2 2 3 2 2 2" xfId="39176" xr:uid="{96567B30-A4CB-4922-B3E3-4E70AFBEF295}"/>
    <cellStyle name="20% - Accent2 3 2 2 3 2 3" xfId="23280" xr:uid="{00000000-0005-0000-0000-00000F0A0000}"/>
    <cellStyle name="20% - Accent2 3 2 2 3 2 3 2" xfId="47112" xr:uid="{E2A910A1-D7B2-4DB3-921E-FC34D930E982}"/>
    <cellStyle name="20% - Accent2 3 2 2 3 2 4" xfId="31235" xr:uid="{1D93DE25-704F-4CCB-BBDD-4FFF8B2610E6}"/>
    <cellStyle name="20% - Accent2 3 2 2 3 3" xfId="11796" xr:uid="{00000000-0005-0000-0000-0000100A0000}"/>
    <cellStyle name="20% - Accent2 3 2 2 3 3 2" xfId="35645" xr:uid="{D199F02C-D172-4284-A645-2BE3EDA72CC8}"/>
    <cellStyle name="20% - Accent2 3 2 2 3 4" xfId="19751" xr:uid="{00000000-0005-0000-0000-0000110A0000}"/>
    <cellStyle name="20% - Accent2 3 2 2 3 4 2" xfId="43583" xr:uid="{B27795A6-45A5-44F1-B268-6EFD037F9376}"/>
    <cellStyle name="20% - Accent2 3 2 2 3 5" xfId="27704" xr:uid="{8B4A89E2-2CDD-4E7C-A9FE-D98FE1BED582}"/>
    <cellStyle name="20% - Accent2 3 2 2 4" xfId="5592" xr:uid="{00000000-0005-0000-0000-0000120A0000}"/>
    <cellStyle name="20% - Accent2 3 2 2 4 2" xfId="13575" xr:uid="{00000000-0005-0000-0000-0000130A0000}"/>
    <cellStyle name="20% - Accent2 3 2 2 4 2 2" xfId="37418" xr:uid="{3BD598E0-6D09-4109-86DC-443508BFB535}"/>
    <cellStyle name="20% - Accent2 3 2 2 4 3" xfId="21523" xr:uid="{00000000-0005-0000-0000-0000140A0000}"/>
    <cellStyle name="20% - Accent2 3 2 2 4 3 2" xfId="45355" xr:uid="{E3846171-D22C-4C88-BE08-540B11FBCD19}"/>
    <cellStyle name="20% - Accent2 3 2 2 4 4" xfId="29477" xr:uid="{851BAE35-7833-46B2-A8DF-8291510BECF5}"/>
    <cellStyle name="20% - Accent2 3 2 2 5" xfId="9144" xr:uid="{00000000-0005-0000-0000-0000150A0000}"/>
    <cellStyle name="20% - Accent2 3 2 2 5 2" xfId="17102" xr:uid="{00000000-0005-0000-0000-0000160A0000}"/>
    <cellStyle name="20% - Accent2 3 2 2 5 2 2" xfId="40942" xr:uid="{55BE8370-7530-429E-91D0-0302AD772A1D}"/>
    <cellStyle name="20% - Accent2 3 2 2 5 3" xfId="25046" xr:uid="{00000000-0005-0000-0000-0000170A0000}"/>
    <cellStyle name="20% - Accent2 3 2 2 5 3 2" xfId="48878" xr:uid="{66479D54-925D-47F1-B0FC-79682BA53DA5}"/>
    <cellStyle name="20% - Accent2 3 2 2 5 4" xfId="33001" xr:uid="{7002E907-BF2C-44E9-AB98-01B0E85D4B13}"/>
    <cellStyle name="20% - Accent2 3 2 2 6" xfId="10040" xr:uid="{00000000-0005-0000-0000-0000180A0000}"/>
    <cellStyle name="20% - Accent2 3 2 2 6 2" xfId="33889" xr:uid="{3A42462A-ADE9-428E-8CAC-D0C02BB9EFB9}"/>
    <cellStyle name="20% - Accent2 3 2 2 7" xfId="17995" xr:uid="{00000000-0005-0000-0000-0000190A0000}"/>
    <cellStyle name="20% - Accent2 3 2 2 7 2" xfId="41827" xr:uid="{CF7211DC-E9BA-4FA6-B978-B66CEB067054}"/>
    <cellStyle name="20% - Accent2 3 2 2 8" xfId="25947" xr:uid="{80DA0824-3EE2-4FDC-866E-6359B9E83DDD}"/>
    <cellStyle name="20% - Accent2 3 2 2_Exh G" xfId="2112" xr:uid="{00000000-0005-0000-0000-00001A0A0000}"/>
    <cellStyle name="20% - Accent2 3 2 3" xfId="875" xr:uid="{00000000-0005-0000-0000-00001B0A0000}"/>
    <cellStyle name="20% - Accent2 3 2 3 2" xfId="1805" xr:uid="{00000000-0005-0000-0000-00001C0A0000}"/>
    <cellStyle name="20% - Accent2 3 2 3 2 2" xfId="5322" xr:uid="{00000000-0005-0000-0000-00001D0A0000}"/>
    <cellStyle name="20% - Accent2 3 2 3 2 2 2" xfId="8913" xr:uid="{00000000-0005-0000-0000-00001E0A0000}"/>
    <cellStyle name="20% - Accent2 3 2 3 2 2 2 2" xfId="16883" xr:uid="{00000000-0005-0000-0000-00001F0A0000}"/>
    <cellStyle name="20% - Accent2 3 2 3 2 2 2 2 2" xfId="40725" xr:uid="{44BC1435-CFAB-465E-99E7-1E4399F22E15}"/>
    <cellStyle name="20% - Accent2 3 2 3 2 2 2 3" xfId="24829" xr:uid="{00000000-0005-0000-0000-0000200A0000}"/>
    <cellStyle name="20% - Accent2 3 2 3 2 2 2 3 2" xfId="48661" xr:uid="{C8A1F721-F259-4968-BE77-E39684808BD5}"/>
    <cellStyle name="20% - Accent2 3 2 3 2 2 2 4" xfId="32784" xr:uid="{702E5C23-2AAC-49B6-9A3B-243D82586F81}"/>
    <cellStyle name="20% - Accent2 3 2 3 2 2 3" xfId="13345" xr:uid="{00000000-0005-0000-0000-0000210A0000}"/>
    <cellStyle name="20% - Accent2 3 2 3 2 2 3 2" xfId="37194" xr:uid="{DFB7AA7E-A6ED-4D00-B491-4264CC270AF1}"/>
    <cellStyle name="20% - Accent2 3 2 3 2 2 4" xfId="21300" xr:uid="{00000000-0005-0000-0000-0000220A0000}"/>
    <cellStyle name="20% - Accent2 3 2 3 2 2 4 2" xfId="45132" xr:uid="{B848D9D8-461F-4A62-A53A-382CC5C3B13E}"/>
    <cellStyle name="20% - Accent2 3 2 3 2 2 5" xfId="29253" xr:uid="{0CC69C30-4CE9-4137-A9E1-585D2D14EA43}"/>
    <cellStyle name="20% - Accent2 3 2 3 2 3" xfId="7154" xr:uid="{00000000-0005-0000-0000-0000230A0000}"/>
    <cellStyle name="20% - Accent2 3 2 3 2 3 2" xfId="15125" xr:uid="{00000000-0005-0000-0000-0000240A0000}"/>
    <cellStyle name="20% - Accent2 3 2 3 2 3 2 2" xfId="38967" xr:uid="{027C7651-CDCD-40C8-A26F-B44A388AED48}"/>
    <cellStyle name="20% - Accent2 3 2 3 2 3 3" xfId="23072" xr:uid="{00000000-0005-0000-0000-0000250A0000}"/>
    <cellStyle name="20% - Accent2 3 2 3 2 3 3 2" xfId="46904" xr:uid="{BEF26494-4261-4588-9DE1-59B4140703A2}"/>
    <cellStyle name="20% - Accent2 3 2 3 2 3 4" xfId="31026" xr:uid="{BB8CF01A-F40B-4674-BA7F-E2E9B1F08DF7}"/>
    <cellStyle name="20% - Accent2 3 2 3 2 4" xfId="11589" xr:uid="{00000000-0005-0000-0000-0000260A0000}"/>
    <cellStyle name="20% - Accent2 3 2 3 2 4 2" xfId="35438" xr:uid="{39771F4A-CE1C-4155-8464-26E8BAD3FA8E}"/>
    <cellStyle name="20% - Accent2 3 2 3 2 5" xfId="19544" xr:uid="{00000000-0005-0000-0000-0000270A0000}"/>
    <cellStyle name="20% - Accent2 3 2 3 2 5 2" xfId="43376" xr:uid="{7F778BB0-9D4D-46E7-8F87-60E212FE53C5}"/>
    <cellStyle name="20% - Accent2 3 2 3 2 6" xfId="27496" xr:uid="{B6036911-2A29-4415-9B62-317A77427DD0}"/>
    <cellStyle name="20% - Accent2 3 2 3 2_Exh G" xfId="2115" xr:uid="{00000000-0005-0000-0000-0000280A0000}"/>
    <cellStyle name="20% - Accent2 3 2 3 3" xfId="4443" xr:uid="{00000000-0005-0000-0000-0000290A0000}"/>
    <cellStyle name="20% - Accent2 3 2 3 3 2" xfId="8035" xr:uid="{00000000-0005-0000-0000-00002A0A0000}"/>
    <cellStyle name="20% - Accent2 3 2 3 3 2 2" xfId="16005" xr:uid="{00000000-0005-0000-0000-00002B0A0000}"/>
    <cellStyle name="20% - Accent2 3 2 3 3 2 2 2" xfId="39847" xr:uid="{50829CDB-A180-4861-AD57-332848F63A0B}"/>
    <cellStyle name="20% - Accent2 3 2 3 3 2 3" xfId="23951" xr:uid="{00000000-0005-0000-0000-00002C0A0000}"/>
    <cellStyle name="20% - Accent2 3 2 3 3 2 3 2" xfId="47783" xr:uid="{B600397B-D46B-4DAF-8AD0-C410A63B522A}"/>
    <cellStyle name="20% - Accent2 3 2 3 3 2 4" xfId="31906" xr:uid="{DF67EFCE-DD63-4B15-9169-4AB44D43444F}"/>
    <cellStyle name="20% - Accent2 3 2 3 3 3" xfId="12467" xr:uid="{00000000-0005-0000-0000-00002D0A0000}"/>
    <cellStyle name="20% - Accent2 3 2 3 3 3 2" xfId="36316" xr:uid="{480E60EB-DF48-4C82-AFA5-CD8C9B8ADAD1}"/>
    <cellStyle name="20% - Accent2 3 2 3 3 4" xfId="20422" xr:uid="{00000000-0005-0000-0000-00002E0A0000}"/>
    <cellStyle name="20% - Accent2 3 2 3 3 4 2" xfId="44254" xr:uid="{3EF70DE8-0FAC-4C1B-BE5E-99989D1AC106}"/>
    <cellStyle name="20% - Accent2 3 2 3 3 5" xfId="28375" xr:uid="{1832F9B6-E7B9-4C36-9C8C-857DEAFBAD63}"/>
    <cellStyle name="20% - Accent2 3 2 3 4" xfId="6273" xr:uid="{00000000-0005-0000-0000-00002F0A0000}"/>
    <cellStyle name="20% - Accent2 3 2 3 4 2" xfId="14247" xr:uid="{00000000-0005-0000-0000-0000300A0000}"/>
    <cellStyle name="20% - Accent2 3 2 3 4 2 2" xfId="38089" xr:uid="{95A8FDF6-DF9D-44C8-AE52-8DBE4B4EFBC1}"/>
    <cellStyle name="20% - Accent2 3 2 3 4 3" xfId="22194" xr:uid="{00000000-0005-0000-0000-0000310A0000}"/>
    <cellStyle name="20% - Accent2 3 2 3 4 3 2" xfId="46026" xr:uid="{96048AA5-3060-4058-AF35-AA30464511C7}"/>
    <cellStyle name="20% - Accent2 3 2 3 4 4" xfId="30148" xr:uid="{78804449-4AFB-4CAC-89A1-FD313A6D916D}"/>
    <cellStyle name="20% - Accent2 3 2 3 5" xfId="9815" xr:uid="{00000000-0005-0000-0000-0000320A0000}"/>
    <cellStyle name="20% - Accent2 3 2 3 5 2" xfId="17773" xr:uid="{00000000-0005-0000-0000-0000330A0000}"/>
    <cellStyle name="20% - Accent2 3 2 3 5 2 2" xfId="41613" xr:uid="{BE165769-62B9-4BA8-86FC-09D321C25BD4}"/>
    <cellStyle name="20% - Accent2 3 2 3 5 3" xfId="25717" xr:uid="{00000000-0005-0000-0000-0000340A0000}"/>
    <cellStyle name="20% - Accent2 3 2 3 5 3 2" xfId="49549" xr:uid="{B1791AA1-78E0-461F-8D30-1B6740A8C5C2}"/>
    <cellStyle name="20% - Accent2 3 2 3 5 4" xfId="33672" xr:uid="{BF398EB8-BEFE-42E1-A58C-E66B4E96A35B}"/>
    <cellStyle name="20% - Accent2 3 2 3 6" xfId="10711" xr:uid="{00000000-0005-0000-0000-0000350A0000}"/>
    <cellStyle name="20% - Accent2 3 2 3 6 2" xfId="34560" xr:uid="{D283AD33-A517-494D-B66F-8A0C19C79860}"/>
    <cellStyle name="20% - Accent2 3 2 3 7" xfId="18666" xr:uid="{00000000-0005-0000-0000-0000360A0000}"/>
    <cellStyle name="20% - Accent2 3 2 3 7 2" xfId="42498" xr:uid="{7A31CFC5-2911-4CD9-9712-AC7041AC8199}"/>
    <cellStyle name="20% - Accent2 3 2 3 8" xfId="26618" xr:uid="{9D43BC60-D73B-4642-8568-37159CA8B478}"/>
    <cellStyle name="20% - Accent2 3 2 3_Exh G" xfId="2114" xr:uid="{00000000-0005-0000-0000-0000370A0000}"/>
    <cellStyle name="20% - Accent2 3 2 4" xfId="1123" xr:uid="{00000000-0005-0000-0000-0000380A0000}"/>
    <cellStyle name="20% - Accent2 3 2 4 2" xfId="4650" xr:uid="{00000000-0005-0000-0000-0000390A0000}"/>
    <cellStyle name="20% - Accent2 3 2 4 2 2" xfId="8241" xr:uid="{00000000-0005-0000-0000-00003A0A0000}"/>
    <cellStyle name="20% - Accent2 3 2 4 2 2 2" xfId="16211" xr:uid="{00000000-0005-0000-0000-00003B0A0000}"/>
    <cellStyle name="20% - Accent2 3 2 4 2 2 2 2" xfId="40053" xr:uid="{FC0CFF49-F9D3-468C-9313-73F16B86E48D}"/>
    <cellStyle name="20% - Accent2 3 2 4 2 2 3" xfId="24157" xr:uid="{00000000-0005-0000-0000-00003C0A0000}"/>
    <cellStyle name="20% - Accent2 3 2 4 2 2 3 2" xfId="47989" xr:uid="{715AF71B-C052-4424-BA40-11C4F372F189}"/>
    <cellStyle name="20% - Accent2 3 2 4 2 2 4" xfId="32112" xr:uid="{7A8F419C-58A5-407F-A071-4F11579AB555}"/>
    <cellStyle name="20% - Accent2 3 2 4 2 3" xfId="12673" xr:uid="{00000000-0005-0000-0000-00003D0A0000}"/>
    <cellStyle name="20% - Accent2 3 2 4 2 3 2" xfId="36522" xr:uid="{2EA55858-AF10-45C1-A093-82A75407DA37}"/>
    <cellStyle name="20% - Accent2 3 2 4 2 4" xfId="20628" xr:uid="{00000000-0005-0000-0000-00003E0A0000}"/>
    <cellStyle name="20% - Accent2 3 2 4 2 4 2" xfId="44460" xr:uid="{1DB4C7ED-178B-455F-93A6-1C01CE2B3541}"/>
    <cellStyle name="20% - Accent2 3 2 4 2 5" xfId="28581" xr:uid="{6B431B90-C7E3-4921-959F-F05D2D4F677D}"/>
    <cellStyle name="20% - Accent2 3 2 4 3" xfId="6482" xr:uid="{00000000-0005-0000-0000-00003F0A0000}"/>
    <cellStyle name="20% - Accent2 3 2 4 3 2" xfId="14453" xr:uid="{00000000-0005-0000-0000-0000400A0000}"/>
    <cellStyle name="20% - Accent2 3 2 4 3 2 2" xfId="38295" xr:uid="{ACB90F45-BCBF-47D4-95AD-F4AF6AD86DD1}"/>
    <cellStyle name="20% - Accent2 3 2 4 3 3" xfId="22400" xr:uid="{00000000-0005-0000-0000-0000410A0000}"/>
    <cellStyle name="20% - Accent2 3 2 4 3 3 2" xfId="46232" xr:uid="{F970386E-62F0-4E61-BD1E-1E851F7014F5}"/>
    <cellStyle name="20% - Accent2 3 2 4 3 4" xfId="30354" xr:uid="{60975939-01F5-4F52-BC0A-5E6EA939D7F6}"/>
    <cellStyle name="20% - Accent2 3 2 4 4" xfId="10917" xr:uid="{00000000-0005-0000-0000-0000420A0000}"/>
    <cellStyle name="20% - Accent2 3 2 4 4 2" xfId="34766" xr:uid="{22CA1D76-3166-4921-844C-B38E3DF0B788}"/>
    <cellStyle name="20% - Accent2 3 2 4 5" xfId="18872" xr:uid="{00000000-0005-0000-0000-0000430A0000}"/>
    <cellStyle name="20% - Accent2 3 2 4 5 2" xfId="42704" xr:uid="{5E15C2B6-4BF4-4574-9DFE-ED072B0A5624}"/>
    <cellStyle name="20% - Accent2 3 2 4 6" xfId="26824" xr:uid="{3E106BE4-F5D7-4CB4-8CFF-D82D1BF5D004}"/>
    <cellStyle name="20% - Accent2 3 2 4_Exh G" xfId="2116" xr:uid="{00000000-0005-0000-0000-0000440A0000}"/>
    <cellStyle name="20% - Accent2 3 2 5" xfId="3771" xr:uid="{00000000-0005-0000-0000-0000450A0000}"/>
    <cellStyle name="20% - Accent2 3 2 5 2" xfId="7363" xr:uid="{00000000-0005-0000-0000-0000460A0000}"/>
    <cellStyle name="20% - Accent2 3 2 5 2 2" xfId="15333" xr:uid="{00000000-0005-0000-0000-0000470A0000}"/>
    <cellStyle name="20% - Accent2 3 2 5 2 2 2" xfId="39175" xr:uid="{4EF9983A-04BF-4B54-AF34-F1A6D96DF9C4}"/>
    <cellStyle name="20% - Accent2 3 2 5 2 3" xfId="23279" xr:uid="{00000000-0005-0000-0000-0000480A0000}"/>
    <cellStyle name="20% - Accent2 3 2 5 2 3 2" xfId="47111" xr:uid="{18EFD2A8-DDB4-45D4-BF7E-9B2FF5BDDB2E}"/>
    <cellStyle name="20% - Accent2 3 2 5 2 4" xfId="31234" xr:uid="{0CCEF200-5E3D-4637-B088-E853EC8EC05E}"/>
    <cellStyle name="20% - Accent2 3 2 5 3" xfId="11795" xr:uid="{00000000-0005-0000-0000-0000490A0000}"/>
    <cellStyle name="20% - Accent2 3 2 5 3 2" xfId="35644" xr:uid="{A624A123-314A-4EB8-BB4F-ABDB5C7F1D37}"/>
    <cellStyle name="20% - Accent2 3 2 5 4" xfId="19750" xr:uid="{00000000-0005-0000-0000-00004A0A0000}"/>
    <cellStyle name="20% - Accent2 3 2 5 4 2" xfId="43582" xr:uid="{2CFD6FA6-1707-4BB8-B237-6BBA93FEE9F3}"/>
    <cellStyle name="20% - Accent2 3 2 5 5" xfId="27703" xr:uid="{D5FB0792-2126-410D-BD3C-C67D4361E4AE}"/>
    <cellStyle name="20% - Accent2 3 2 6" xfId="5591" xr:uid="{00000000-0005-0000-0000-00004B0A0000}"/>
    <cellStyle name="20% - Accent2 3 2 6 2" xfId="13574" xr:uid="{00000000-0005-0000-0000-00004C0A0000}"/>
    <cellStyle name="20% - Accent2 3 2 6 2 2" xfId="37417" xr:uid="{12CC8821-1BAC-4317-9E97-6D64EF55862A}"/>
    <cellStyle name="20% - Accent2 3 2 6 3" xfId="21522" xr:uid="{00000000-0005-0000-0000-00004D0A0000}"/>
    <cellStyle name="20% - Accent2 3 2 6 3 2" xfId="45354" xr:uid="{2F888E5B-8339-41F7-A395-8071026A64A0}"/>
    <cellStyle name="20% - Accent2 3 2 6 4" xfId="29476" xr:uid="{5CF026C8-96BA-48C4-A270-916659CCD6B0}"/>
    <cellStyle name="20% - Accent2 3 2 7" xfId="9143" xr:uid="{00000000-0005-0000-0000-00004E0A0000}"/>
    <cellStyle name="20% - Accent2 3 2 7 2" xfId="17101" xr:uid="{00000000-0005-0000-0000-00004F0A0000}"/>
    <cellStyle name="20% - Accent2 3 2 7 2 2" xfId="40941" xr:uid="{0DBF3BE1-4094-41A0-9084-DF6686166C07}"/>
    <cellStyle name="20% - Accent2 3 2 7 3" xfId="25045" xr:uid="{00000000-0005-0000-0000-0000500A0000}"/>
    <cellStyle name="20% - Accent2 3 2 7 3 2" xfId="48877" xr:uid="{8FC01A5E-5CF8-400D-AB58-A67F32949381}"/>
    <cellStyle name="20% - Accent2 3 2 7 4" xfId="33000" xr:uid="{D162FD73-40C9-4018-8EFE-C899BECC2BA8}"/>
    <cellStyle name="20% - Accent2 3 2 8" xfId="10039" xr:uid="{00000000-0005-0000-0000-0000510A0000}"/>
    <cellStyle name="20% - Accent2 3 2 8 2" xfId="33888" xr:uid="{D4AE4BF9-77D8-4854-BD47-36129A422827}"/>
    <cellStyle name="20% - Accent2 3 2 9" xfId="17994" xr:uid="{00000000-0005-0000-0000-0000520A0000}"/>
    <cellStyle name="20% - Accent2 3 2 9 2" xfId="41826" xr:uid="{CAB4AA00-E8DD-4F20-9DD2-BAF491C01660}"/>
    <cellStyle name="20% - Accent2 3 2_Exh G" xfId="2111" xr:uid="{00000000-0005-0000-0000-0000530A0000}"/>
    <cellStyle name="20% - Accent2 3 3" xfId="99" xr:uid="{00000000-0005-0000-0000-0000540A0000}"/>
    <cellStyle name="20% - Accent2 3 3 2" xfId="1125" xr:uid="{00000000-0005-0000-0000-0000550A0000}"/>
    <cellStyle name="20% - Accent2 3 3 2 2" xfId="4652" xr:uid="{00000000-0005-0000-0000-0000560A0000}"/>
    <cellStyle name="20% - Accent2 3 3 2 2 2" xfId="8243" xr:uid="{00000000-0005-0000-0000-0000570A0000}"/>
    <cellStyle name="20% - Accent2 3 3 2 2 2 2" xfId="16213" xr:uid="{00000000-0005-0000-0000-0000580A0000}"/>
    <cellStyle name="20% - Accent2 3 3 2 2 2 2 2" xfId="40055" xr:uid="{974AD1EB-37E8-4B51-A3FA-EC5B0ACB9C5F}"/>
    <cellStyle name="20% - Accent2 3 3 2 2 2 3" xfId="24159" xr:uid="{00000000-0005-0000-0000-0000590A0000}"/>
    <cellStyle name="20% - Accent2 3 3 2 2 2 3 2" xfId="47991" xr:uid="{C581FD73-7E23-4A5E-8189-28C3A6E530B6}"/>
    <cellStyle name="20% - Accent2 3 3 2 2 2 4" xfId="32114" xr:uid="{1273F7B5-AAD4-46C2-830D-E6AEB3522B7E}"/>
    <cellStyle name="20% - Accent2 3 3 2 2 3" xfId="12675" xr:uid="{00000000-0005-0000-0000-00005A0A0000}"/>
    <cellStyle name="20% - Accent2 3 3 2 2 3 2" xfId="36524" xr:uid="{6485ACC4-CD1F-4151-B546-60E059355EEF}"/>
    <cellStyle name="20% - Accent2 3 3 2 2 4" xfId="20630" xr:uid="{00000000-0005-0000-0000-00005B0A0000}"/>
    <cellStyle name="20% - Accent2 3 3 2 2 4 2" xfId="44462" xr:uid="{E70FD4A4-D19E-44BF-B537-58B750F32BED}"/>
    <cellStyle name="20% - Accent2 3 3 2 2 5" xfId="28583" xr:uid="{D48A211E-C7E5-4D42-8090-1F3DFC6CB765}"/>
    <cellStyle name="20% - Accent2 3 3 2 3" xfId="6484" xr:uid="{00000000-0005-0000-0000-00005C0A0000}"/>
    <cellStyle name="20% - Accent2 3 3 2 3 2" xfId="14455" xr:uid="{00000000-0005-0000-0000-00005D0A0000}"/>
    <cellStyle name="20% - Accent2 3 3 2 3 2 2" xfId="38297" xr:uid="{815B4FDF-FA12-4370-9F87-D1F46EED4FC4}"/>
    <cellStyle name="20% - Accent2 3 3 2 3 3" xfId="22402" xr:uid="{00000000-0005-0000-0000-00005E0A0000}"/>
    <cellStyle name="20% - Accent2 3 3 2 3 3 2" xfId="46234" xr:uid="{A2435B39-9021-4550-8B22-DAE5EDD75384}"/>
    <cellStyle name="20% - Accent2 3 3 2 3 4" xfId="30356" xr:uid="{FA3563E6-3F38-49F1-BAE8-98F317A0E546}"/>
    <cellStyle name="20% - Accent2 3 3 2 4" xfId="10919" xr:uid="{00000000-0005-0000-0000-00005F0A0000}"/>
    <cellStyle name="20% - Accent2 3 3 2 4 2" xfId="34768" xr:uid="{90EA94D5-B5FA-4A41-9C3E-040693A9B744}"/>
    <cellStyle name="20% - Accent2 3 3 2 5" xfId="18874" xr:uid="{00000000-0005-0000-0000-0000600A0000}"/>
    <cellStyle name="20% - Accent2 3 3 2 5 2" xfId="42706" xr:uid="{A1D585A7-AAE2-4C1E-AB47-40CD1E3160A5}"/>
    <cellStyle name="20% - Accent2 3 3 2 6" xfId="26826" xr:uid="{12E8A6EB-241F-49E9-823A-F7D88E3B9BA7}"/>
    <cellStyle name="20% - Accent2 3 3 2_Exh G" xfId="2118" xr:uid="{00000000-0005-0000-0000-0000610A0000}"/>
    <cellStyle name="20% - Accent2 3 3 3" xfId="3773" xr:uid="{00000000-0005-0000-0000-0000620A0000}"/>
    <cellStyle name="20% - Accent2 3 3 3 2" xfId="7365" xr:uid="{00000000-0005-0000-0000-0000630A0000}"/>
    <cellStyle name="20% - Accent2 3 3 3 2 2" xfId="15335" xr:uid="{00000000-0005-0000-0000-0000640A0000}"/>
    <cellStyle name="20% - Accent2 3 3 3 2 2 2" xfId="39177" xr:uid="{6A17961A-E149-48E2-8CFF-BDF0A7E44A75}"/>
    <cellStyle name="20% - Accent2 3 3 3 2 3" xfId="23281" xr:uid="{00000000-0005-0000-0000-0000650A0000}"/>
    <cellStyle name="20% - Accent2 3 3 3 2 3 2" xfId="47113" xr:uid="{0D9CFC59-9F77-4783-B6C7-09BEE0BF14D3}"/>
    <cellStyle name="20% - Accent2 3 3 3 2 4" xfId="31236" xr:uid="{D4E6300A-A552-4CD6-9BF3-7A847DA5D143}"/>
    <cellStyle name="20% - Accent2 3 3 3 3" xfId="11797" xr:uid="{00000000-0005-0000-0000-0000660A0000}"/>
    <cellStyle name="20% - Accent2 3 3 3 3 2" xfId="35646" xr:uid="{C0024430-DF75-4AE9-8AF6-C7A4D19D039A}"/>
    <cellStyle name="20% - Accent2 3 3 3 4" xfId="19752" xr:uid="{00000000-0005-0000-0000-0000670A0000}"/>
    <cellStyle name="20% - Accent2 3 3 3 4 2" xfId="43584" xr:uid="{160B96A6-37D5-48E3-AE01-C6F09543ECC2}"/>
    <cellStyle name="20% - Accent2 3 3 3 5" xfId="27705" xr:uid="{2554032F-B688-404C-942B-895385731902}"/>
    <cellStyle name="20% - Accent2 3 3 4" xfId="5593" xr:uid="{00000000-0005-0000-0000-0000680A0000}"/>
    <cellStyle name="20% - Accent2 3 3 4 2" xfId="13576" xr:uid="{00000000-0005-0000-0000-0000690A0000}"/>
    <cellStyle name="20% - Accent2 3 3 4 2 2" xfId="37419" xr:uid="{3DFAA55B-8E97-436D-924A-FEA6F98394F6}"/>
    <cellStyle name="20% - Accent2 3 3 4 3" xfId="21524" xr:uid="{00000000-0005-0000-0000-00006A0A0000}"/>
    <cellStyle name="20% - Accent2 3 3 4 3 2" xfId="45356" xr:uid="{BE2BE118-9CF8-4852-81C6-27B78F5115D8}"/>
    <cellStyle name="20% - Accent2 3 3 4 4" xfId="29478" xr:uid="{2EF4000C-B975-4666-8B5C-C669B1D9E5AB}"/>
    <cellStyle name="20% - Accent2 3 3 5" xfId="9145" xr:uid="{00000000-0005-0000-0000-00006B0A0000}"/>
    <cellStyle name="20% - Accent2 3 3 5 2" xfId="17103" xr:uid="{00000000-0005-0000-0000-00006C0A0000}"/>
    <cellStyle name="20% - Accent2 3 3 5 2 2" xfId="40943" xr:uid="{504DC860-CE4D-4241-834B-65CF9DA46C49}"/>
    <cellStyle name="20% - Accent2 3 3 5 3" xfId="25047" xr:uid="{00000000-0005-0000-0000-00006D0A0000}"/>
    <cellStyle name="20% - Accent2 3 3 5 3 2" xfId="48879" xr:uid="{69C530B1-1176-4DB3-8BF3-D6B75EE74A20}"/>
    <cellStyle name="20% - Accent2 3 3 5 4" xfId="33002" xr:uid="{8A7F9B7F-A05D-48FD-A5F0-31616254912C}"/>
    <cellStyle name="20% - Accent2 3 3 6" xfId="10041" xr:uid="{00000000-0005-0000-0000-00006E0A0000}"/>
    <cellStyle name="20% - Accent2 3 3 6 2" xfId="33890" xr:uid="{E9B892B7-4A4A-4485-8FA4-1E062B5F11D2}"/>
    <cellStyle name="20% - Accent2 3 3 7" xfId="17996" xr:uid="{00000000-0005-0000-0000-00006F0A0000}"/>
    <cellStyle name="20% - Accent2 3 3 7 2" xfId="41828" xr:uid="{4962B82E-A437-4D89-A7F8-FE79B7C43D5A}"/>
    <cellStyle name="20% - Accent2 3 3 8" xfId="25948" xr:uid="{90AB2111-E08E-4BB8-86B3-1032DE541818}"/>
    <cellStyle name="20% - Accent2 3 3_Exh G" xfId="2117" xr:uid="{00000000-0005-0000-0000-0000700A0000}"/>
    <cellStyle name="20% - Accent2 3 4" xfId="874" xr:uid="{00000000-0005-0000-0000-0000710A0000}"/>
    <cellStyle name="20% - Accent2 3 4 2" xfId="1804" xr:uid="{00000000-0005-0000-0000-0000720A0000}"/>
    <cellStyle name="20% - Accent2 3 4 2 2" xfId="5321" xr:uid="{00000000-0005-0000-0000-0000730A0000}"/>
    <cellStyle name="20% - Accent2 3 4 2 2 2" xfId="8912" xr:uid="{00000000-0005-0000-0000-0000740A0000}"/>
    <cellStyle name="20% - Accent2 3 4 2 2 2 2" xfId="16882" xr:uid="{00000000-0005-0000-0000-0000750A0000}"/>
    <cellStyle name="20% - Accent2 3 4 2 2 2 2 2" xfId="40724" xr:uid="{F9DDE1D8-C127-45AC-A4C5-B3F54D2EC2D9}"/>
    <cellStyle name="20% - Accent2 3 4 2 2 2 3" xfId="24828" xr:uid="{00000000-0005-0000-0000-0000760A0000}"/>
    <cellStyle name="20% - Accent2 3 4 2 2 2 3 2" xfId="48660" xr:uid="{229D9AAD-6F28-4085-BACD-9C863A256F9F}"/>
    <cellStyle name="20% - Accent2 3 4 2 2 2 4" xfId="32783" xr:uid="{4097E240-5733-4256-A6CD-C2D6BCA0F0E3}"/>
    <cellStyle name="20% - Accent2 3 4 2 2 3" xfId="13344" xr:uid="{00000000-0005-0000-0000-0000770A0000}"/>
    <cellStyle name="20% - Accent2 3 4 2 2 3 2" xfId="37193" xr:uid="{E3BE9BA0-9C38-4BBE-BD87-663A7BF8C8EB}"/>
    <cellStyle name="20% - Accent2 3 4 2 2 4" xfId="21299" xr:uid="{00000000-0005-0000-0000-0000780A0000}"/>
    <cellStyle name="20% - Accent2 3 4 2 2 4 2" xfId="45131" xr:uid="{37C62D82-3956-46FD-9EE5-8726B6B67851}"/>
    <cellStyle name="20% - Accent2 3 4 2 2 5" xfId="29252" xr:uid="{56E53D8D-699F-4231-BC41-FC1E4BF76FFB}"/>
    <cellStyle name="20% - Accent2 3 4 2 3" xfId="7153" xr:uid="{00000000-0005-0000-0000-0000790A0000}"/>
    <cellStyle name="20% - Accent2 3 4 2 3 2" xfId="15124" xr:uid="{00000000-0005-0000-0000-00007A0A0000}"/>
    <cellStyle name="20% - Accent2 3 4 2 3 2 2" xfId="38966" xr:uid="{94AA5197-C155-458C-8C1A-CF6977F22CBE}"/>
    <cellStyle name="20% - Accent2 3 4 2 3 3" xfId="23071" xr:uid="{00000000-0005-0000-0000-00007B0A0000}"/>
    <cellStyle name="20% - Accent2 3 4 2 3 3 2" xfId="46903" xr:uid="{F6295A7E-86FD-4269-AE4B-4261A5F306E2}"/>
    <cellStyle name="20% - Accent2 3 4 2 3 4" xfId="31025" xr:uid="{D249C5FB-6514-412A-AF35-B486EFB2BA56}"/>
    <cellStyle name="20% - Accent2 3 4 2 4" xfId="11588" xr:uid="{00000000-0005-0000-0000-00007C0A0000}"/>
    <cellStyle name="20% - Accent2 3 4 2 4 2" xfId="35437" xr:uid="{1DC28380-E63F-47A8-8376-6A9B8B4B4C09}"/>
    <cellStyle name="20% - Accent2 3 4 2 5" xfId="19543" xr:uid="{00000000-0005-0000-0000-00007D0A0000}"/>
    <cellStyle name="20% - Accent2 3 4 2 5 2" xfId="43375" xr:uid="{84B3CB8B-E2E7-47D4-A723-DE48C77C727E}"/>
    <cellStyle name="20% - Accent2 3 4 2 6" xfId="27495" xr:uid="{586848BD-15BD-4C13-9A97-28705DFA27A6}"/>
    <cellStyle name="20% - Accent2 3 4 2_Exh G" xfId="2120" xr:uid="{00000000-0005-0000-0000-00007E0A0000}"/>
    <cellStyle name="20% - Accent2 3 4 3" xfId="4442" xr:uid="{00000000-0005-0000-0000-00007F0A0000}"/>
    <cellStyle name="20% - Accent2 3 4 3 2" xfId="8034" xr:uid="{00000000-0005-0000-0000-0000800A0000}"/>
    <cellStyle name="20% - Accent2 3 4 3 2 2" xfId="16004" xr:uid="{00000000-0005-0000-0000-0000810A0000}"/>
    <cellStyle name="20% - Accent2 3 4 3 2 2 2" xfId="39846" xr:uid="{52DFE8A9-0EAB-44BB-8C1B-B1C341E21838}"/>
    <cellStyle name="20% - Accent2 3 4 3 2 3" xfId="23950" xr:uid="{00000000-0005-0000-0000-0000820A0000}"/>
    <cellStyle name="20% - Accent2 3 4 3 2 3 2" xfId="47782" xr:uid="{89B7B11C-20D4-4F73-A72D-F2F3167938C9}"/>
    <cellStyle name="20% - Accent2 3 4 3 2 4" xfId="31905" xr:uid="{AD459E62-FC17-4F4B-B031-733B2B380720}"/>
    <cellStyle name="20% - Accent2 3 4 3 3" xfId="12466" xr:uid="{00000000-0005-0000-0000-0000830A0000}"/>
    <cellStyle name="20% - Accent2 3 4 3 3 2" xfId="36315" xr:uid="{E0C63955-12FF-4EC8-8635-6B4150666293}"/>
    <cellStyle name="20% - Accent2 3 4 3 4" xfId="20421" xr:uid="{00000000-0005-0000-0000-0000840A0000}"/>
    <cellStyle name="20% - Accent2 3 4 3 4 2" xfId="44253" xr:uid="{9BB7BB89-500C-4EBD-A3E5-F55DA15D9FC2}"/>
    <cellStyle name="20% - Accent2 3 4 3 5" xfId="28374" xr:uid="{7DAC1E9F-24B1-4D05-BEE9-0738C03BC069}"/>
    <cellStyle name="20% - Accent2 3 4 4" xfId="6272" xr:uid="{00000000-0005-0000-0000-0000850A0000}"/>
    <cellStyle name="20% - Accent2 3 4 4 2" xfId="14246" xr:uid="{00000000-0005-0000-0000-0000860A0000}"/>
    <cellStyle name="20% - Accent2 3 4 4 2 2" xfId="38088" xr:uid="{100232CD-73DA-4A7B-8A77-F8909E7584B8}"/>
    <cellStyle name="20% - Accent2 3 4 4 3" xfId="22193" xr:uid="{00000000-0005-0000-0000-0000870A0000}"/>
    <cellStyle name="20% - Accent2 3 4 4 3 2" xfId="46025" xr:uid="{A14F9DEC-F71E-41FE-9F4F-C40FAB6E3EFB}"/>
    <cellStyle name="20% - Accent2 3 4 4 4" xfId="30147" xr:uid="{A1CE9271-A35F-4F70-B848-CE7E7EDDC513}"/>
    <cellStyle name="20% - Accent2 3 4 5" xfId="9814" xr:uid="{00000000-0005-0000-0000-0000880A0000}"/>
    <cellStyle name="20% - Accent2 3 4 5 2" xfId="17772" xr:uid="{00000000-0005-0000-0000-0000890A0000}"/>
    <cellStyle name="20% - Accent2 3 4 5 2 2" xfId="41612" xr:uid="{C8436574-88A3-47DD-AEDC-C860DC544B0F}"/>
    <cellStyle name="20% - Accent2 3 4 5 3" xfId="25716" xr:uid="{00000000-0005-0000-0000-00008A0A0000}"/>
    <cellStyle name="20% - Accent2 3 4 5 3 2" xfId="49548" xr:uid="{AFF60EFC-2309-46CC-8FA0-C059FA607665}"/>
    <cellStyle name="20% - Accent2 3 4 5 4" xfId="33671" xr:uid="{11229F2F-DAE2-492D-9E3D-5EA543A58D02}"/>
    <cellStyle name="20% - Accent2 3 4 6" xfId="10710" xr:uid="{00000000-0005-0000-0000-00008B0A0000}"/>
    <cellStyle name="20% - Accent2 3 4 6 2" xfId="34559" xr:uid="{111CA56A-ED38-47DB-A341-EC1515D83E9B}"/>
    <cellStyle name="20% - Accent2 3 4 7" xfId="18665" xr:uid="{00000000-0005-0000-0000-00008C0A0000}"/>
    <cellStyle name="20% - Accent2 3 4 7 2" xfId="42497" xr:uid="{9B90224F-C308-4115-B88F-E2BC90625132}"/>
    <cellStyle name="20% - Accent2 3 4 8" xfId="26617" xr:uid="{8152C902-F54E-43E2-8A58-DB195CA6FCEB}"/>
    <cellStyle name="20% - Accent2 3 4_Exh G" xfId="2119" xr:uid="{00000000-0005-0000-0000-00008D0A0000}"/>
    <cellStyle name="20% - Accent2 3 5" xfId="1122" xr:uid="{00000000-0005-0000-0000-00008E0A0000}"/>
    <cellStyle name="20% - Accent2 3 5 2" xfId="4649" xr:uid="{00000000-0005-0000-0000-00008F0A0000}"/>
    <cellStyle name="20% - Accent2 3 5 2 2" xfId="8240" xr:uid="{00000000-0005-0000-0000-0000900A0000}"/>
    <cellStyle name="20% - Accent2 3 5 2 2 2" xfId="16210" xr:uid="{00000000-0005-0000-0000-0000910A0000}"/>
    <cellStyle name="20% - Accent2 3 5 2 2 2 2" xfId="40052" xr:uid="{A93A32F3-D85F-4BAF-82BC-D79C2D5BBF04}"/>
    <cellStyle name="20% - Accent2 3 5 2 2 3" xfId="24156" xr:uid="{00000000-0005-0000-0000-0000920A0000}"/>
    <cellStyle name="20% - Accent2 3 5 2 2 3 2" xfId="47988" xr:uid="{A6CFB074-E8FF-4000-8E80-666BEB5F0D24}"/>
    <cellStyle name="20% - Accent2 3 5 2 2 4" xfId="32111" xr:uid="{C49C9CB2-9D1A-49EF-8EB5-5D523F1B844A}"/>
    <cellStyle name="20% - Accent2 3 5 2 3" xfId="12672" xr:uid="{00000000-0005-0000-0000-0000930A0000}"/>
    <cellStyle name="20% - Accent2 3 5 2 3 2" xfId="36521" xr:uid="{BD456B1E-6730-4108-A305-1D4A11DACD57}"/>
    <cellStyle name="20% - Accent2 3 5 2 4" xfId="20627" xr:uid="{00000000-0005-0000-0000-0000940A0000}"/>
    <cellStyle name="20% - Accent2 3 5 2 4 2" xfId="44459" xr:uid="{E909DC0A-D9E9-433F-8DF0-1B92CE6D443F}"/>
    <cellStyle name="20% - Accent2 3 5 2 5" xfId="28580" xr:uid="{4BD3E449-FAB6-41DC-9FB8-76228AB92EA0}"/>
    <cellStyle name="20% - Accent2 3 5 3" xfId="6481" xr:uid="{00000000-0005-0000-0000-0000950A0000}"/>
    <cellStyle name="20% - Accent2 3 5 3 2" xfId="14452" xr:uid="{00000000-0005-0000-0000-0000960A0000}"/>
    <cellStyle name="20% - Accent2 3 5 3 2 2" xfId="38294" xr:uid="{7DA8032D-C3B1-4201-9018-4CE673EE58CF}"/>
    <cellStyle name="20% - Accent2 3 5 3 3" xfId="22399" xr:uid="{00000000-0005-0000-0000-0000970A0000}"/>
    <cellStyle name="20% - Accent2 3 5 3 3 2" xfId="46231" xr:uid="{58A813D7-9466-4EDF-B8E6-AC9D7C80A409}"/>
    <cellStyle name="20% - Accent2 3 5 3 4" xfId="30353" xr:uid="{05ADF54C-F2B5-4E8A-9175-997C3CCE98CA}"/>
    <cellStyle name="20% - Accent2 3 5 4" xfId="10916" xr:uid="{00000000-0005-0000-0000-0000980A0000}"/>
    <cellStyle name="20% - Accent2 3 5 4 2" xfId="34765" xr:uid="{3426EA18-843B-4AED-BAD3-4E9A879152B6}"/>
    <cellStyle name="20% - Accent2 3 5 5" xfId="18871" xr:uid="{00000000-0005-0000-0000-0000990A0000}"/>
    <cellStyle name="20% - Accent2 3 5 5 2" xfId="42703" xr:uid="{1F43D0DB-79A6-4BCC-A58C-EB8010AA4D43}"/>
    <cellStyle name="20% - Accent2 3 5 6" xfId="26823" xr:uid="{F76A5E25-A4D6-4D60-B26B-C6365DCD193D}"/>
    <cellStyle name="20% - Accent2 3 5_Exh G" xfId="2121" xr:uid="{00000000-0005-0000-0000-00009A0A0000}"/>
    <cellStyle name="20% - Accent2 3 6" xfId="3770" xr:uid="{00000000-0005-0000-0000-00009B0A0000}"/>
    <cellStyle name="20% - Accent2 3 6 2" xfId="7362" xr:uid="{00000000-0005-0000-0000-00009C0A0000}"/>
    <cellStyle name="20% - Accent2 3 6 2 2" xfId="15332" xr:uid="{00000000-0005-0000-0000-00009D0A0000}"/>
    <cellStyle name="20% - Accent2 3 6 2 2 2" xfId="39174" xr:uid="{C13F35C0-F9B2-48C8-B19A-17431FF843FC}"/>
    <cellStyle name="20% - Accent2 3 6 2 3" xfId="23278" xr:uid="{00000000-0005-0000-0000-00009E0A0000}"/>
    <cellStyle name="20% - Accent2 3 6 2 3 2" xfId="47110" xr:uid="{0B27ADAE-3387-47BC-B84C-C515B91C713E}"/>
    <cellStyle name="20% - Accent2 3 6 2 4" xfId="31233" xr:uid="{6EF00D4C-6B9A-4B10-B102-D1EF75507DBB}"/>
    <cellStyle name="20% - Accent2 3 6 3" xfId="11794" xr:uid="{00000000-0005-0000-0000-00009F0A0000}"/>
    <cellStyle name="20% - Accent2 3 6 3 2" xfId="35643" xr:uid="{B0CFDC66-3E75-43DF-A973-C97BE1456705}"/>
    <cellStyle name="20% - Accent2 3 6 4" xfId="19749" xr:uid="{00000000-0005-0000-0000-0000A00A0000}"/>
    <cellStyle name="20% - Accent2 3 6 4 2" xfId="43581" xr:uid="{23313EAF-32F8-4EE3-B837-0B9DC829D3B0}"/>
    <cellStyle name="20% - Accent2 3 6 5" xfId="27702" xr:uid="{DB3F9DC6-07CC-4831-AF96-CA9875989DE2}"/>
    <cellStyle name="20% - Accent2 3 7" xfId="5590" xr:uid="{00000000-0005-0000-0000-0000A10A0000}"/>
    <cellStyle name="20% - Accent2 3 7 2" xfId="13573" xr:uid="{00000000-0005-0000-0000-0000A20A0000}"/>
    <cellStyle name="20% - Accent2 3 7 2 2" xfId="37416" xr:uid="{70399C2E-557A-4A6B-A971-0EE3B177D56A}"/>
    <cellStyle name="20% - Accent2 3 7 3" xfId="21521" xr:uid="{00000000-0005-0000-0000-0000A30A0000}"/>
    <cellStyle name="20% - Accent2 3 7 3 2" xfId="45353" xr:uid="{419C2832-2DD8-4527-BF5D-27E810171D6A}"/>
    <cellStyle name="20% - Accent2 3 7 4" xfId="29475" xr:uid="{A9119550-D9A2-423A-9A42-87D31E9020C1}"/>
    <cellStyle name="20% - Accent2 3 8" xfId="9142" xr:uid="{00000000-0005-0000-0000-0000A40A0000}"/>
    <cellStyle name="20% - Accent2 3 8 2" xfId="17100" xr:uid="{00000000-0005-0000-0000-0000A50A0000}"/>
    <cellStyle name="20% - Accent2 3 8 2 2" xfId="40940" xr:uid="{FDD2E0E5-78B4-4EBD-AD49-88926227F6D0}"/>
    <cellStyle name="20% - Accent2 3 8 3" xfId="25044" xr:uid="{00000000-0005-0000-0000-0000A60A0000}"/>
    <cellStyle name="20% - Accent2 3 8 3 2" xfId="48876" xr:uid="{F453F858-3EF5-4D6B-854D-AFF8A15E3E74}"/>
    <cellStyle name="20% - Accent2 3 8 4" xfId="32999" xr:uid="{A129BF2D-8595-4FDE-A3DF-8F29C2758197}"/>
    <cellStyle name="20% - Accent2 3 9" xfId="10038" xr:uid="{00000000-0005-0000-0000-0000A70A0000}"/>
    <cellStyle name="20% - Accent2 3 9 2" xfId="33887" xr:uid="{E508614E-2762-4F9C-B1BC-C28FAF86D24F}"/>
    <cellStyle name="20% - Accent2 3_Exh G" xfId="2110" xr:uid="{00000000-0005-0000-0000-0000A80A0000}"/>
    <cellStyle name="20% - Accent2 4" xfId="100" xr:uid="{00000000-0005-0000-0000-0000A90A0000}"/>
    <cellStyle name="20% - Accent2 4 10" xfId="17997" xr:uid="{00000000-0005-0000-0000-0000AA0A0000}"/>
    <cellStyle name="20% - Accent2 4 10 2" xfId="41829" xr:uid="{51DFAD04-0D87-423E-B16D-44DAAED10556}"/>
    <cellStyle name="20% - Accent2 4 11" xfId="25949" xr:uid="{52B76F3F-3974-4491-B364-B65582AA9C00}"/>
    <cellStyle name="20% - Accent2 4 2" xfId="101" xr:uid="{00000000-0005-0000-0000-0000AB0A0000}"/>
    <cellStyle name="20% - Accent2 4 2 10" xfId="25950" xr:uid="{C2F7EC9B-1A4A-4B60-AC23-922ACD113DC1}"/>
    <cellStyle name="20% - Accent2 4 2 2" xfId="102" xr:uid="{00000000-0005-0000-0000-0000AC0A0000}"/>
    <cellStyle name="20% - Accent2 4 2 2 2" xfId="1128" xr:uid="{00000000-0005-0000-0000-0000AD0A0000}"/>
    <cellStyle name="20% - Accent2 4 2 2 2 2" xfId="4655" xr:uid="{00000000-0005-0000-0000-0000AE0A0000}"/>
    <cellStyle name="20% - Accent2 4 2 2 2 2 2" xfId="8246" xr:uid="{00000000-0005-0000-0000-0000AF0A0000}"/>
    <cellStyle name="20% - Accent2 4 2 2 2 2 2 2" xfId="16216" xr:uid="{00000000-0005-0000-0000-0000B00A0000}"/>
    <cellStyle name="20% - Accent2 4 2 2 2 2 2 2 2" xfId="40058" xr:uid="{4025E225-BA69-426E-AE88-0F0E0FED0CA7}"/>
    <cellStyle name="20% - Accent2 4 2 2 2 2 2 3" xfId="24162" xr:uid="{00000000-0005-0000-0000-0000B10A0000}"/>
    <cellStyle name="20% - Accent2 4 2 2 2 2 2 3 2" xfId="47994" xr:uid="{F89AB8FE-ACA8-4181-B53B-750E74F5AF5A}"/>
    <cellStyle name="20% - Accent2 4 2 2 2 2 2 4" xfId="32117" xr:uid="{78525B41-0B1B-4502-B288-53B367E46AE7}"/>
    <cellStyle name="20% - Accent2 4 2 2 2 2 3" xfId="12678" xr:uid="{00000000-0005-0000-0000-0000B20A0000}"/>
    <cellStyle name="20% - Accent2 4 2 2 2 2 3 2" xfId="36527" xr:uid="{E7FE22C6-97A1-4303-8475-7D8C1A4F31AF}"/>
    <cellStyle name="20% - Accent2 4 2 2 2 2 4" xfId="20633" xr:uid="{00000000-0005-0000-0000-0000B30A0000}"/>
    <cellStyle name="20% - Accent2 4 2 2 2 2 4 2" xfId="44465" xr:uid="{2C0C9D37-26A7-4E38-A85C-2C603698D627}"/>
    <cellStyle name="20% - Accent2 4 2 2 2 2 5" xfId="28586" xr:uid="{7225BB7E-9503-44A7-8C04-70A25F7B4D7A}"/>
    <cellStyle name="20% - Accent2 4 2 2 2 3" xfId="6487" xr:uid="{00000000-0005-0000-0000-0000B40A0000}"/>
    <cellStyle name="20% - Accent2 4 2 2 2 3 2" xfId="14458" xr:uid="{00000000-0005-0000-0000-0000B50A0000}"/>
    <cellStyle name="20% - Accent2 4 2 2 2 3 2 2" xfId="38300" xr:uid="{DC90291B-ECAF-4EF9-A637-E9EEC2A407AC}"/>
    <cellStyle name="20% - Accent2 4 2 2 2 3 3" xfId="22405" xr:uid="{00000000-0005-0000-0000-0000B60A0000}"/>
    <cellStyle name="20% - Accent2 4 2 2 2 3 3 2" xfId="46237" xr:uid="{B84923BB-54BE-457E-96DC-7D488F318634}"/>
    <cellStyle name="20% - Accent2 4 2 2 2 3 4" xfId="30359" xr:uid="{684F415F-6287-4910-832B-820848F5E21A}"/>
    <cellStyle name="20% - Accent2 4 2 2 2 4" xfId="10922" xr:uid="{00000000-0005-0000-0000-0000B70A0000}"/>
    <cellStyle name="20% - Accent2 4 2 2 2 4 2" xfId="34771" xr:uid="{33E6DCC1-A755-478E-A9E8-F00FD4D30420}"/>
    <cellStyle name="20% - Accent2 4 2 2 2 5" xfId="18877" xr:uid="{00000000-0005-0000-0000-0000B80A0000}"/>
    <cellStyle name="20% - Accent2 4 2 2 2 5 2" xfId="42709" xr:uid="{7A80272E-724E-41B0-BEAA-FD2D6FBF2848}"/>
    <cellStyle name="20% - Accent2 4 2 2 2 6" xfId="26829" xr:uid="{26F64487-0B82-4763-9B4E-9CE9AC377129}"/>
    <cellStyle name="20% - Accent2 4 2 2 2_Exh G" xfId="2125" xr:uid="{00000000-0005-0000-0000-0000B90A0000}"/>
    <cellStyle name="20% - Accent2 4 2 2 3" xfId="3776" xr:uid="{00000000-0005-0000-0000-0000BA0A0000}"/>
    <cellStyle name="20% - Accent2 4 2 2 3 2" xfId="7368" xr:uid="{00000000-0005-0000-0000-0000BB0A0000}"/>
    <cellStyle name="20% - Accent2 4 2 2 3 2 2" xfId="15338" xr:uid="{00000000-0005-0000-0000-0000BC0A0000}"/>
    <cellStyle name="20% - Accent2 4 2 2 3 2 2 2" xfId="39180" xr:uid="{625E9C2E-D0E6-47A7-8D5C-F7F65C623584}"/>
    <cellStyle name="20% - Accent2 4 2 2 3 2 3" xfId="23284" xr:uid="{00000000-0005-0000-0000-0000BD0A0000}"/>
    <cellStyle name="20% - Accent2 4 2 2 3 2 3 2" xfId="47116" xr:uid="{88D9F7D2-7BD8-4521-B6F1-8FACA5439483}"/>
    <cellStyle name="20% - Accent2 4 2 2 3 2 4" xfId="31239" xr:uid="{BCCF8544-FE57-4BF8-94A0-98B506A57D79}"/>
    <cellStyle name="20% - Accent2 4 2 2 3 3" xfId="11800" xr:uid="{00000000-0005-0000-0000-0000BE0A0000}"/>
    <cellStyle name="20% - Accent2 4 2 2 3 3 2" xfId="35649" xr:uid="{217B632D-2A0F-4B49-96B7-FB62FA5CFBD4}"/>
    <cellStyle name="20% - Accent2 4 2 2 3 4" xfId="19755" xr:uid="{00000000-0005-0000-0000-0000BF0A0000}"/>
    <cellStyle name="20% - Accent2 4 2 2 3 4 2" xfId="43587" xr:uid="{2AD598A8-7770-4BD3-89BA-CAB8CDB54F59}"/>
    <cellStyle name="20% - Accent2 4 2 2 3 5" xfId="27708" xr:uid="{706BA935-7B2B-432A-9A15-8CC9B32CBE45}"/>
    <cellStyle name="20% - Accent2 4 2 2 4" xfId="5596" xr:uid="{00000000-0005-0000-0000-0000C00A0000}"/>
    <cellStyle name="20% - Accent2 4 2 2 4 2" xfId="13579" xr:uid="{00000000-0005-0000-0000-0000C10A0000}"/>
    <cellStyle name="20% - Accent2 4 2 2 4 2 2" xfId="37422" xr:uid="{FF1CDA6F-8AF7-42C1-8A0C-080E218F84A7}"/>
    <cellStyle name="20% - Accent2 4 2 2 4 3" xfId="21527" xr:uid="{00000000-0005-0000-0000-0000C20A0000}"/>
    <cellStyle name="20% - Accent2 4 2 2 4 3 2" xfId="45359" xr:uid="{BD85AC32-C4FB-4AFE-8BEC-151409B69E60}"/>
    <cellStyle name="20% - Accent2 4 2 2 4 4" xfId="29481" xr:uid="{4ECAB4EF-2A26-4141-A3E7-4DBBD0E8A431}"/>
    <cellStyle name="20% - Accent2 4 2 2 5" xfId="9148" xr:uid="{00000000-0005-0000-0000-0000C30A0000}"/>
    <cellStyle name="20% - Accent2 4 2 2 5 2" xfId="17106" xr:uid="{00000000-0005-0000-0000-0000C40A0000}"/>
    <cellStyle name="20% - Accent2 4 2 2 5 2 2" xfId="40946" xr:uid="{2B6D71C1-3534-4DF3-A3A1-CC8C49B3CCC3}"/>
    <cellStyle name="20% - Accent2 4 2 2 5 3" xfId="25050" xr:uid="{00000000-0005-0000-0000-0000C50A0000}"/>
    <cellStyle name="20% - Accent2 4 2 2 5 3 2" xfId="48882" xr:uid="{B114FCC0-7650-40F2-9D5C-079245F732B1}"/>
    <cellStyle name="20% - Accent2 4 2 2 5 4" xfId="33005" xr:uid="{AEC538A4-0F8B-42B5-A90B-6947F221D48B}"/>
    <cellStyle name="20% - Accent2 4 2 2 6" xfId="10044" xr:uid="{00000000-0005-0000-0000-0000C60A0000}"/>
    <cellStyle name="20% - Accent2 4 2 2 6 2" xfId="33893" xr:uid="{16F184B8-6E17-42C0-9C21-A0E3B1CFAF49}"/>
    <cellStyle name="20% - Accent2 4 2 2 7" xfId="17999" xr:uid="{00000000-0005-0000-0000-0000C70A0000}"/>
    <cellStyle name="20% - Accent2 4 2 2 7 2" xfId="41831" xr:uid="{98B26822-7FBA-4221-8F71-4D845FE15628}"/>
    <cellStyle name="20% - Accent2 4 2 2 8" xfId="25951" xr:uid="{186D309C-C1DE-4883-804C-C42E6965D2BE}"/>
    <cellStyle name="20% - Accent2 4 2 2_Exh G" xfId="2124" xr:uid="{00000000-0005-0000-0000-0000C80A0000}"/>
    <cellStyle name="20% - Accent2 4 2 3" xfId="877" xr:uid="{00000000-0005-0000-0000-0000C90A0000}"/>
    <cellStyle name="20% - Accent2 4 2 3 2" xfId="1807" xr:uid="{00000000-0005-0000-0000-0000CA0A0000}"/>
    <cellStyle name="20% - Accent2 4 2 3 2 2" xfId="5324" xr:uid="{00000000-0005-0000-0000-0000CB0A0000}"/>
    <cellStyle name="20% - Accent2 4 2 3 2 2 2" xfId="8915" xr:uid="{00000000-0005-0000-0000-0000CC0A0000}"/>
    <cellStyle name="20% - Accent2 4 2 3 2 2 2 2" xfId="16885" xr:uid="{00000000-0005-0000-0000-0000CD0A0000}"/>
    <cellStyle name="20% - Accent2 4 2 3 2 2 2 2 2" xfId="40727" xr:uid="{787EAA7E-9BB0-488A-829A-25A4D2A97F7D}"/>
    <cellStyle name="20% - Accent2 4 2 3 2 2 2 3" xfId="24831" xr:uid="{00000000-0005-0000-0000-0000CE0A0000}"/>
    <cellStyle name="20% - Accent2 4 2 3 2 2 2 3 2" xfId="48663" xr:uid="{A4C437A9-9DE2-4C99-ACDD-11C8FEB9D4CD}"/>
    <cellStyle name="20% - Accent2 4 2 3 2 2 2 4" xfId="32786" xr:uid="{643B1DBF-FC70-4CF6-B063-EC66935E9821}"/>
    <cellStyle name="20% - Accent2 4 2 3 2 2 3" xfId="13347" xr:uid="{00000000-0005-0000-0000-0000CF0A0000}"/>
    <cellStyle name="20% - Accent2 4 2 3 2 2 3 2" xfId="37196" xr:uid="{CAD68C36-DFD7-4B99-AB00-D88392B79F1A}"/>
    <cellStyle name="20% - Accent2 4 2 3 2 2 4" xfId="21302" xr:uid="{00000000-0005-0000-0000-0000D00A0000}"/>
    <cellStyle name="20% - Accent2 4 2 3 2 2 4 2" xfId="45134" xr:uid="{4DCFBE34-3453-435D-AD9B-EDB58E5B3383}"/>
    <cellStyle name="20% - Accent2 4 2 3 2 2 5" xfId="29255" xr:uid="{0DB5A524-73AC-4B74-8489-06FC52CB99B5}"/>
    <cellStyle name="20% - Accent2 4 2 3 2 3" xfId="7156" xr:uid="{00000000-0005-0000-0000-0000D10A0000}"/>
    <cellStyle name="20% - Accent2 4 2 3 2 3 2" xfId="15127" xr:uid="{00000000-0005-0000-0000-0000D20A0000}"/>
    <cellStyle name="20% - Accent2 4 2 3 2 3 2 2" xfId="38969" xr:uid="{F04FCC7E-41CB-4A21-AFBC-2AF81C90722F}"/>
    <cellStyle name="20% - Accent2 4 2 3 2 3 3" xfId="23074" xr:uid="{00000000-0005-0000-0000-0000D30A0000}"/>
    <cellStyle name="20% - Accent2 4 2 3 2 3 3 2" xfId="46906" xr:uid="{0C930FCD-BFFE-4CC3-8B2C-B11B3D67D110}"/>
    <cellStyle name="20% - Accent2 4 2 3 2 3 4" xfId="31028" xr:uid="{D7DE551E-DA12-4EA8-B51C-90C55E7A6997}"/>
    <cellStyle name="20% - Accent2 4 2 3 2 4" xfId="11591" xr:uid="{00000000-0005-0000-0000-0000D40A0000}"/>
    <cellStyle name="20% - Accent2 4 2 3 2 4 2" xfId="35440" xr:uid="{D001A8E2-5A45-4D58-B7D4-E05F12EFAAD7}"/>
    <cellStyle name="20% - Accent2 4 2 3 2 5" xfId="19546" xr:uid="{00000000-0005-0000-0000-0000D50A0000}"/>
    <cellStyle name="20% - Accent2 4 2 3 2 5 2" xfId="43378" xr:uid="{41C8E076-FCE2-4F18-A60B-C7570F715C1E}"/>
    <cellStyle name="20% - Accent2 4 2 3 2 6" xfId="27498" xr:uid="{31EF162C-BD79-4D30-BB1E-4008800D1773}"/>
    <cellStyle name="20% - Accent2 4 2 3 2_Exh G" xfId="2127" xr:uid="{00000000-0005-0000-0000-0000D60A0000}"/>
    <cellStyle name="20% - Accent2 4 2 3 3" xfId="4445" xr:uid="{00000000-0005-0000-0000-0000D70A0000}"/>
    <cellStyle name="20% - Accent2 4 2 3 3 2" xfId="8037" xr:uid="{00000000-0005-0000-0000-0000D80A0000}"/>
    <cellStyle name="20% - Accent2 4 2 3 3 2 2" xfId="16007" xr:uid="{00000000-0005-0000-0000-0000D90A0000}"/>
    <cellStyle name="20% - Accent2 4 2 3 3 2 2 2" xfId="39849" xr:uid="{93286FDF-7251-4323-AEEB-E2525E00A5B3}"/>
    <cellStyle name="20% - Accent2 4 2 3 3 2 3" xfId="23953" xr:uid="{00000000-0005-0000-0000-0000DA0A0000}"/>
    <cellStyle name="20% - Accent2 4 2 3 3 2 3 2" xfId="47785" xr:uid="{D807FD9A-4CA0-4D3B-80D6-11B95938868A}"/>
    <cellStyle name="20% - Accent2 4 2 3 3 2 4" xfId="31908" xr:uid="{0602C8DC-6E8C-4014-9569-5C035F65335A}"/>
    <cellStyle name="20% - Accent2 4 2 3 3 3" xfId="12469" xr:uid="{00000000-0005-0000-0000-0000DB0A0000}"/>
    <cellStyle name="20% - Accent2 4 2 3 3 3 2" xfId="36318" xr:uid="{8C72436B-4FAB-46DB-9EA6-B3851637B025}"/>
    <cellStyle name="20% - Accent2 4 2 3 3 4" xfId="20424" xr:uid="{00000000-0005-0000-0000-0000DC0A0000}"/>
    <cellStyle name="20% - Accent2 4 2 3 3 4 2" xfId="44256" xr:uid="{97271703-F674-4541-9877-52D5368175F8}"/>
    <cellStyle name="20% - Accent2 4 2 3 3 5" xfId="28377" xr:uid="{1C35A5E3-95BD-4E45-A1DC-A44D3A70329B}"/>
    <cellStyle name="20% - Accent2 4 2 3 4" xfId="6275" xr:uid="{00000000-0005-0000-0000-0000DD0A0000}"/>
    <cellStyle name="20% - Accent2 4 2 3 4 2" xfId="14249" xr:uid="{00000000-0005-0000-0000-0000DE0A0000}"/>
    <cellStyle name="20% - Accent2 4 2 3 4 2 2" xfId="38091" xr:uid="{86AB7F0D-9E5E-4879-89C1-EF8E0B657EC4}"/>
    <cellStyle name="20% - Accent2 4 2 3 4 3" xfId="22196" xr:uid="{00000000-0005-0000-0000-0000DF0A0000}"/>
    <cellStyle name="20% - Accent2 4 2 3 4 3 2" xfId="46028" xr:uid="{95B7A735-0456-4A1D-B670-B6B53FFBCDC5}"/>
    <cellStyle name="20% - Accent2 4 2 3 4 4" xfId="30150" xr:uid="{0D51605E-BD30-4673-92BF-A75C5C543528}"/>
    <cellStyle name="20% - Accent2 4 2 3 5" xfId="9817" xr:uid="{00000000-0005-0000-0000-0000E00A0000}"/>
    <cellStyle name="20% - Accent2 4 2 3 5 2" xfId="17775" xr:uid="{00000000-0005-0000-0000-0000E10A0000}"/>
    <cellStyle name="20% - Accent2 4 2 3 5 2 2" xfId="41615" xr:uid="{48E33C1D-C9DB-4096-928F-7FE30D93E45E}"/>
    <cellStyle name="20% - Accent2 4 2 3 5 3" xfId="25719" xr:uid="{00000000-0005-0000-0000-0000E20A0000}"/>
    <cellStyle name="20% - Accent2 4 2 3 5 3 2" xfId="49551" xr:uid="{45300BB4-318F-4C3F-AFBE-3C3AEC6496E3}"/>
    <cellStyle name="20% - Accent2 4 2 3 5 4" xfId="33674" xr:uid="{BE23B913-59B6-4BC9-9A10-0E581AF35891}"/>
    <cellStyle name="20% - Accent2 4 2 3 6" xfId="10713" xr:uid="{00000000-0005-0000-0000-0000E30A0000}"/>
    <cellStyle name="20% - Accent2 4 2 3 6 2" xfId="34562" xr:uid="{ACD09E15-33D9-40CE-A1BF-60EAEF115402}"/>
    <cellStyle name="20% - Accent2 4 2 3 7" xfId="18668" xr:uid="{00000000-0005-0000-0000-0000E40A0000}"/>
    <cellStyle name="20% - Accent2 4 2 3 7 2" xfId="42500" xr:uid="{468EAFD5-7B34-4DD7-8C87-0ECD08552AC4}"/>
    <cellStyle name="20% - Accent2 4 2 3 8" xfId="26620" xr:uid="{59AB9D80-E34F-40FB-84B5-5DF00B426DA5}"/>
    <cellStyle name="20% - Accent2 4 2 3_Exh G" xfId="2126" xr:uid="{00000000-0005-0000-0000-0000E50A0000}"/>
    <cellStyle name="20% - Accent2 4 2 4" xfId="1127" xr:uid="{00000000-0005-0000-0000-0000E60A0000}"/>
    <cellStyle name="20% - Accent2 4 2 4 2" xfId="4654" xr:uid="{00000000-0005-0000-0000-0000E70A0000}"/>
    <cellStyle name="20% - Accent2 4 2 4 2 2" xfId="8245" xr:uid="{00000000-0005-0000-0000-0000E80A0000}"/>
    <cellStyle name="20% - Accent2 4 2 4 2 2 2" xfId="16215" xr:uid="{00000000-0005-0000-0000-0000E90A0000}"/>
    <cellStyle name="20% - Accent2 4 2 4 2 2 2 2" xfId="40057" xr:uid="{8D0997B0-8CA1-4381-8A84-87337E26F1CC}"/>
    <cellStyle name="20% - Accent2 4 2 4 2 2 3" xfId="24161" xr:uid="{00000000-0005-0000-0000-0000EA0A0000}"/>
    <cellStyle name="20% - Accent2 4 2 4 2 2 3 2" xfId="47993" xr:uid="{DF19D84B-31EE-476C-AC3C-4920C728EE83}"/>
    <cellStyle name="20% - Accent2 4 2 4 2 2 4" xfId="32116" xr:uid="{77FA14E5-5F46-4376-8256-21325D8DBF19}"/>
    <cellStyle name="20% - Accent2 4 2 4 2 3" xfId="12677" xr:uid="{00000000-0005-0000-0000-0000EB0A0000}"/>
    <cellStyle name="20% - Accent2 4 2 4 2 3 2" xfId="36526" xr:uid="{55B61F94-B6A9-4199-94AA-CB2AF02EB72E}"/>
    <cellStyle name="20% - Accent2 4 2 4 2 4" xfId="20632" xr:uid="{00000000-0005-0000-0000-0000EC0A0000}"/>
    <cellStyle name="20% - Accent2 4 2 4 2 4 2" xfId="44464" xr:uid="{C037FE92-138F-496D-BEF6-7ECA7EF88BB8}"/>
    <cellStyle name="20% - Accent2 4 2 4 2 5" xfId="28585" xr:uid="{350D03B6-AEC8-4318-B820-F4134B6AA836}"/>
    <cellStyle name="20% - Accent2 4 2 4 3" xfId="6486" xr:uid="{00000000-0005-0000-0000-0000ED0A0000}"/>
    <cellStyle name="20% - Accent2 4 2 4 3 2" xfId="14457" xr:uid="{00000000-0005-0000-0000-0000EE0A0000}"/>
    <cellStyle name="20% - Accent2 4 2 4 3 2 2" xfId="38299" xr:uid="{004C19FA-F4DE-4E21-A2AE-B95C32D9A917}"/>
    <cellStyle name="20% - Accent2 4 2 4 3 3" xfId="22404" xr:uid="{00000000-0005-0000-0000-0000EF0A0000}"/>
    <cellStyle name="20% - Accent2 4 2 4 3 3 2" xfId="46236" xr:uid="{C37B7FCF-364A-4776-8205-5FCE78B4E26C}"/>
    <cellStyle name="20% - Accent2 4 2 4 3 4" xfId="30358" xr:uid="{3A0B254D-50C3-44E1-9E8A-457360099C7B}"/>
    <cellStyle name="20% - Accent2 4 2 4 4" xfId="10921" xr:uid="{00000000-0005-0000-0000-0000F00A0000}"/>
    <cellStyle name="20% - Accent2 4 2 4 4 2" xfId="34770" xr:uid="{BF994B3B-BFF1-4386-AB6B-0FD7A434F48E}"/>
    <cellStyle name="20% - Accent2 4 2 4 5" xfId="18876" xr:uid="{00000000-0005-0000-0000-0000F10A0000}"/>
    <cellStyle name="20% - Accent2 4 2 4 5 2" xfId="42708" xr:uid="{1647F13B-D19D-4CCA-AF03-E2DF5ABF3E71}"/>
    <cellStyle name="20% - Accent2 4 2 4 6" xfId="26828" xr:uid="{B0F66319-CA59-4B5E-A50D-477B0AAA6518}"/>
    <cellStyle name="20% - Accent2 4 2 4_Exh G" xfId="2128" xr:uid="{00000000-0005-0000-0000-0000F20A0000}"/>
    <cellStyle name="20% - Accent2 4 2 5" xfId="3775" xr:uid="{00000000-0005-0000-0000-0000F30A0000}"/>
    <cellStyle name="20% - Accent2 4 2 5 2" xfId="7367" xr:uid="{00000000-0005-0000-0000-0000F40A0000}"/>
    <cellStyle name="20% - Accent2 4 2 5 2 2" xfId="15337" xr:uid="{00000000-0005-0000-0000-0000F50A0000}"/>
    <cellStyle name="20% - Accent2 4 2 5 2 2 2" xfId="39179" xr:uid="{96EB0141-7017-4104-B347-73BC49B0100F}"/>
    <cellStyle name="20% - Accent2 4 2 5 2 3" xfId="23283" xr:uid="{00000000-0005-0000-0000-0000F60A0000}"/>
    <cellStyle name="20% - Accent2 4 2 5 2 3 2" xfId="47115" xr:uid="{0B45C978-8446-4A4E-AF76-566C363088B3}"/>
    <cellStyle name="20% - Accent2 4 2 5 2 4" xfId="31238" xr:uid="{B8E48757-C324-49D5-9786-5B5CD915700C}"/>
    <cellStyle name="20% - Accent2 4 2 5 3" xfId="11799" xr:uid="{00000000-0005-0000-0000-0000F70A0000}"/>
    <cellStyle name="20% - Accent2 4 2 5 3 2" xfId="35648" xr:uid="{85617E5A-59F2-4B2D-A3FC-4D3D0FAD20B5}"/>
    <cellStyle name="20% - Accent2 4 2 5 4" xfId="19754" xr:uid="{00000000-0005-0000-0000-0000F80A0000}"/>
    <cellStyle name="20% - Accent2 4 2 5 4 2" xfId="43586" xr:uid="{B2579C77-476E-4E9E-A6D9-6E297ECD5A78}"/>
    <cellStyle name="20% - Accent2 4 2 5 5" xfId="27707" xr:uid="{929338B4-25B7-4B35-9D2B-C461D6A3B046}"/>
    <cellStyle name="20% - Accent2 4 2 6" xfId="5595" xr:uid="{00000000-0005-0000-0000-0000F90A0000}"/>
    <cellStyle name="20% - Accent2 4 2 6 2" xfId="13578" xr:uid="{00000000-0005-0000-0000-0000FA0A0000}"/>
    <cellStyle name="20% - Accent2 4 2 6 2 2" xfId="37421" xr:uid="{D9C1FAE8-97F0-49BB-B43C-2B0B423AFA78}"/>
    <cellStyle name="20% - Accent2 4 2 6 3" xfId="21526" xr:uid="{00000000-0005-0000-0000-0000FB0A0000}"/>
    <cellStyle name="20% - Accent2 4 2 6 3 2" xfId="45358" xr:uid="{482A33EA-95C5-4A8C-9282-5F0C6A80DBD8}"/>
    <cellStyle name="20% - Accent2 4 2 6 4" xfId="29480" xr:uid="{C3CAD9DE-BD12-4F2F-A6CF-3BB015FA94E6}"/>
    <cellStyle name="20% - Accent2 4 2 7" xfId="9147" xr:uid="{00000000-0005-0000-0000-0000FC0A0000}"/>
    <cellStyle name="20% - Accent2 4 2 7 2" xfId="17105" xr:uid="{00000000-0005-0000-0000-0000FD0A0000}"/>
    <cellStyle name="20% - Accent2 4 2 7 2 2" xfId="40945" xr:uid="{916597D5-C6B6-4708-9DB8-D31DFC0E9670}"/>
    <cellStyle name="20% - Accent2 4 2 7 3" xfId="25049" xr:uid="{00000000-0005-0000-0000-0000FE0A0000}"/>
    <cellStyle name="20% - Accent2 4 2 7 3 2" xfId="48881" xr:uid="{E9ECE8C4-CF61-4CFC-9711-F5F1C6CA08CC}"/>
    <cellStyle name="20% - Accent2 4 2 7 4" xfId="33004" xr:uid="{FA10235E-8D4E-431E-9DB3-C2EFF6F26197}"/>
    <cellStyle name="20% - Accent2 4 2 8" xfId="10043" xr:uid="{00000000-0005-0000-0000-0000FF0A0000}"/>
    <cellStyle name="20% - Accent2 4 2 8 2" xfId="33892" xr:uid="{AF22F9E6-13AC-4084-B198-8FCACA8690BB}"/>
    <cellStyle name="20% - Accent2 4 2 9" xfId="17998" xr:uid="{00000000-0005-0000-0000-0000000B0000}"/>
    <cellStyle name="20% - Accent2 4 2 9 2" xfId="41830" xr:uid="{8B630367-1E35-4A2F-BB89-2BEDE2EBB060}"/>
    <cellStyle name="20% - Accent2 4 2_Exh G" xfId="2123" xr:uid="{00000000-0005-0000-0000-0000010B0000}"/>
    <cellStyle name="20% - Accent2 4 3" xfId="103" xr:uid="{00000000-0005-0000-0000-0000020B0000}"/>
    <cellStyle name="20% - Accent2 4 3 2" xfId="1129" xr:uid="{00000000-0005-0000-0000-0000030B0000}"/>
    <cellStyle name="20% - Accent2 4 3 2 2" xfId="4656" xr:uid="{00000000-0005-0000-0000-0000040B0000}"/>
    <cellStyle name="20% - Accent2 4 3 2 2 2" xfId="8247" xr:uid="{00000000-0005-0000-0000-0000050B0000}"/>
    <cellStyle name="20% - Accent2 4 3 2 2 2 2" xfId="16217" xr:uid="{00000000-0005-0000-0000-0000060B0000}"/>
    <cellStyle name="20% - Accent2 4 3 2 2 2 2 2" xfId="40059" xr:uid="{34497475-C614-488F-A18C-9E1BBC587A96}"/>
    <cellStyle name="20% - Accent2 4 3 2 2 2 3" xfId="24163" xr:uid="{00000000-0005-0000-0000-0000070B0000}"/>
    <cellStyle name="20% - Accent2 4 3 2 2 2 3 2" xfId="47995" xr:uid="{102DBC62-CF44-4631-B014-1C179B7F02B3}"/>
    <cellStyle name="20% - Accent2 4 3 2 2 2 4" xfId="32118" xr:uid="{7119D459-1514-4532-88F9-F5F1A50E8E3E}"/>
    <cellStyle name="20% - Accent2 4 3 2 2 3" xfId="12679" xr:uid="{00000000-0005-0000-0000-0000080B0000}"/>
    <cellStyle name="20% - Accent2 4 3 2 2 3 2" xfId="36528" xr:uid="{E3EC3608-F6B7-42D9-B49B-551DC4356916}"/>
    <cellStyle name="20% - Accent2 4 3 2 2 4" xfId="20634" xr:uid="{00000000-0005-0000-0000-0000090B0000}"/>
    <cellStyle name="20% - Accent2 4 3 2 2 4 2" xfId="44466" xr:uid="{E2B5CFE4-78E0-4118-A2CC-0680AD810358}"/>
    <cellStyle name="20% - Accent2 4 3 2 2 5" xfId="28587" xr:uid="{A921ABA5-769B-453F-9CB7-6A5BFA1467EE}"/>
    <cellStyle name="20% - Accent2 4 3 2 3" xfId="6488" xr:uid="{00000000-0005-0000-0000-00000A0B0000}"/>
    <cellStyle name="20% - Accent2 4 3 2 3 2" xfId="14459" xr:uid="{00000000-0005-0000-0000-00000B0B0000}"/>
    <cellStyle name="20% - Accent2 4 3 2 3 2 2" xfId="38301" xr:uid="{B3C64B0E-71F0-45EE-9B5A-AA54E8F672AC}"/>
    <cellStyle name="20% - Accent2 4 3 2 3 3" xfId="22406" xr:uid="{00000000-0005-0000-0000-00000C0B0000}"/>
    <cellStyle name="20% - Accent2 4 3 2 3 3 2" xfId="46238" xr:uid="{B9F829F3-EAD7-4413-83C0-863209FA568F}"/>
    <cellStyle name="20% - Accent2 4 3 2 3 4" xfId="30360" xr:uid="{EF9381AE-0EA1-4D9B-8D49-74D76D660ABB}"/>
    <cellStyle name="20% - Accent2 4 3 2 4" xfId="10923" xr:uid="{00000000-0005-0000-0000-00000D0B0000}"/>
    <cellStyle name="20% - Accent2 4 3 2 4 2" xfId="34772" xr:uid="{756BA879-6094-4EBF-841C-9ADBD79CBF12}"/>
    <cellStyle name="20% - Accent2 4 3 2 5" xfId="18878" xr:uid="{00000000-0005-0000-0000-00000E0B0000}"/>
    <cellStyle name="20% - Accent2 4 3 2 5 2" xfId="42710" xr:uid="{80DABA56-1318-43FC-ABC1-93AB35346F03}"/>
    <cellStyle name="20% - Accent2 4 3 2 6" xfId="26830" xr:uid="{F9AB388D-A4C4-4584-AACD-1A63D2563904}"/>
    <cellStyle name="20% - Accent2 4 3 2_Exh G" xfId="2130" xr:uid="{00000000-0005-0000-0000-00000F0B0000}"/>
    <cellStyle name="20% - Accent2 4 3 3" xfId="3777" xr:uid="{00000000-0005-0000-0000-0000100B0000}"/>
    <cellStyle name="20% - Accent2 4 3 3 2" xfId="7369" xr:uid="{00000000-0005-0000-0000-0000110B0000}"/>
    <cellStyle name="20% - Accent2 4 3 3 2 2" xfId="15339" xr:uid="{00000000-0005-0000-0000-0000120B0000}"/>
    <cellStyle name="20% - Accent2 4 3 3 2 2 2" xfId="39181" xr:uid="{49A6C9E5-662D-4D46-B789-9C264B534248}"/>
    <cellStyle name="20% - Accent2 4 3 3 2 3" xfId="23285" xr:uid="{00000000-0005-0000-0000-0000130B0000}"/>
    <cellStyle name="20% - Accent2 4 3 3 2 3 2" xfId="47117" xr:uid="{1427C033-7DF4-4DA3-BC17-430B1E8A2372}"/>
    <cellStyle name="20% - Accent2 4 3 3 2 4" xfId="31240" xr:uid="{D39FDFDF-F34A-45D6-8FEA-FEBC53A00AAA}"/>
    <cellStyle name="20% - Accent2 4 3 3 3" xfId="11801" xr:uid="{00000000-0005-0000-0000-0000140B0000}"/>
    <cellStyle name="20% - Accent2 4 3 3 3 2" xfId="35650" xr:uid="{F820B12B-B758-4849-8EEF-0741FBCA04D4}"/>
    <cellStyle name="20% - Accent2 4 3 3 4" xfId="19756" xr:uid="{00000000-0005-0000-0000-0000150B0000}"/>
    <cellStyle name="20% - Accent2 4 3 3 4 2" xfId="43588" xr:uid="{02AA11BC-EDF7-4DEE-AE9A-EBD271F36D73}"/>
    <cellStyle name="20% - Accent2 4 3 3 5" xfId="27709" xr:uid="{D4C1CBFD-9B21-410E-9F85-1CF24F0A6C49}"/>
    <cellStyle name="20% - Accent2 4 3 4" xfId="5597" xr:uid="{00000000-0005-0000-0000-0000160B0000}"/>
    <cellStyle name="20% - Accent2 4 3 4 2" xfId="13580" xr:uid="{00000000-0005-0000-0000-0000170B0000}"/>
    <cellStyle name="20% - Accent2 4 3 4 2 2" xfId="37423" xr:uid="{629E6E60-0AB8-4262-AD7C-F774F36FF942}"/>
    <cellStyle name="20% - Accent2 4 3 4 3" xfId="21528" xr:uid="{00000000-0005-0000-0000-0000180B0000}"/>
    <cellStyle name="20% - Accent2 4 3 4 3 2" xfId="45360" xr:uid="{7F38BB0F-E2B4-4C56-9F9C-DF57EF3970E2}"/>
    <cellStyle name="20% - Accent2 4 3 4 4" xfId="29482" xr:uid="{0824F795-2BA2-44B8-BB16-A445E7014CED}"/>
    <cellStyle name="20% - Accent2 4 3 5" xfId="9149" xr:uid="{00000000-0005-0000-0000-0000190B0000}"/>
    <cellStyle name="20% - Accent2 4 3 5 2" xfId="17107" xr:uid="{00000000-0005-0000-0000-00001A0B0000}"/>
    <cellStyle name="20% - Accent2 4 3 5 2 2" xfId="40947" xr:uid="{21AB7D4F-CED3-4743-8445-CEDFE5F09C85}"/>
    <cellStyle name="20% - Accent2 4 3 5 3" xfId="25051" xr:uid="{00000000-0005-0000-0000-00001B0B0000}"/>
    <cellStyle name="20% - Accent2 4 3 5 3 2" xfId="48883" xr:uid="{5038E684-C9C9-416A-BFCE-C26F7C661222}"/>
    <cellStyle name="20% - Accent2 4 3 5 4" xfId="33006" xr:uid="{A24443BB-66FA-408C-ADF3-AF3C1440E50A}"/>
    <cellStyle name="20% - Accent2 4 3 6" xfId="10045" xr:uid="{00000000-0005-0000-0000-00001C0B0000}"/>
    <cellStyle name="20% - Accent2 4 3 6 2" xfId="33894" xr:uid="{97B61E8D-78DB-462B-A0BB-E98C75E2AD9B}"/>
    <cellStyle name="20% - Accent2 4 3 7" xfId="18000" xr:uid="{00000000-0005-0000-0000-00001D0B0000}"/>
    <cellStyle name="20% - Accent2 4 3 7 2" xfId="41832" xr:uid="{F3998C07-BFB8-42BC-B4E6-E73FF3D527CC}"/>
    <cellStyle name="20% - Accent2 4 3 8" xfId="25952" xr:uid="{ABFE936F-9A4D-40F2-BD3A-BC6ABB3DCC95}"/>
    <cellStyle name="20% - Accent2 4 3_Exh G" xfId="2129" xr:uid="{00000000-0005-0000-0000-00001E0B0000}"/>
    <cellStyle name="20% - Accent2 4 4" xfId="876" xr:uid="{00000000-0005-0000-0000-00001F0B0000}"/>
    <cellStyle name="20% - Accent2 4 4 2" xfId="1806" xr:uid="{00000000-0005-0000-0000-0000200B0000}"/>
    <cellStyle name="20% - Accent2 4 4 2 2" xfId="5323" xr:uid="{00000000-0005-0000-0000-0000210B0000}"/>
    <cellStyle name="20% - Accent2 4 4 2 2 2" xfId="8914" xr:uid="{00000000-0005-0000-0000-0000220B0000}"/>
    <cellStyle name="20% - Accent2 4 4 2 2 2 2" xfId="16884" xr:uid="{00000000-0005-0000-0000-0000230B0000}"/>
    <cellStyle name="20% - Accent2 4 4 2 2 2 2 2" xfId="40726" xr:uid="{62D957D0-6A90-4A9B-9EBF-AC7F8230C148}"/>
    <cellStyle name="20% - Accent2 4 4 2 2 2 3" xfId="24830" xr:uid="{00000000-0005-0000-0000-0000240B0000}"/>
    <cellStyle name="20% - Accent2 4 4 2 2 2 3 2" xfId="48662" xr:uid="{2D8A5475-0D75-4767-9EAD-CD6098367310}"/>
    <cellStyle name="20% - Accent2 4 4 2 2 2 4" xfId="32785" xr:uid="{F800DD78-0BE0-4736-BB05-B033A51E4149}"/>
    <cellStyle name="20% - Accent2 4 4 2 2 3" xfId="13346" xr:uid="{00000000-0005-0000-0000-0000250B0000}"/>
    <cellStyle name="20% - Accent2 4 4 2 2 3 2" xfId="37195" xr:uid="{A8D2A2A1-FFBD-4A40-8640-18825FF9F3C3}"/>
    <cellStyle name="20% - Accent2 4 4 2 2 4" xfId="21301" xr:uid="{00000000-0005-0000-0000-0000260B0000}"/>
    <cellStyle name="20% - Accent2 4 4 2 2 4 2" xfId="45133" xr:uid="{48F32209-C630-4A62-AE9E-68BCB5DA34C0}"/>
    <cellStyle name="20% - Accent2 4 4 2 2 5" xfId="29254" xr:uid="{D9939C6C-4249-4CE4-8691-C0910CA79460}"/>
    <cellStyle name="20% - Accent2 4 4 2 3" xfId="7155" xr:uid="{00000000-0005-0000-0000-0000270B0000}"/>
    <cellStyle name="20% - Accent2 4 4 2 3 2" xfId="15126" xr:uid="{00000000-0005-0000-0000-0000280B0000}"/>
    <cellStyle name="20% - Accent2 4 4 2 3 2 2" xfId="38968" xr:uid="{AB183644-2638-41A2-88D5-9D7BD1E031D3}"/>
    <cellStyle name="20% - Accent2 4 4 2 3 3" xfId="23073" xr:uid="{00000000-0005-0000-0000-0000290B0000}"/>
    <cellStyle name="20% - Accent2 4 4 2 3 3 2" xfId="46905" xr:uid="{3CE61187-A4DF-4E82-80C4-0F0570ED499C}"/>
    <cellStyle name="20% - Accent2 4 4 2 3 4" xfId="31027" xr:uid="{9916593D-219D-4B63-B9DA-AD81167C2E30}"/>
    <cellStyle name="20% - Accent2 4 4 2 4" xfId="11590" xr:uid="{00000000-0005-0000-0000-00002A0B0000}"/>
    <cellStyle name="20% - Accent2 4 4 2 4 2" xfId="35439" xr:uid="{DBB457F7-2DD8-4326-87FF-7C33A3F49D3E}"/>
    <cellStyle name="20% - Accent2 4 4 2 5" xfId="19545" xr:uid="{00000000-0005-0000-0000-00002B0B0000}"/>
    <cellStyle name="20% - Accent2 4 4 2 5 2" xfId="43377" xr:uid="{52C6E9C5-1976-45F0-B14F-9657D40DDB88}"/>
    <cellStyle name="20% - Accent2 4 4 2 6" xfId="27497" xr:uid="{68B6D6DB-4E14-4734-8AFC-FD9980B2EE3F}"/>
    <cellStyle name="20% - Accent2 4 4 2_Exh G" xfId="2132" xr:uid="{00000000-0005-0000-0000-00002C0B0000}"/>
    <cellStyle name="20% - Accent2 4 4 3" xfId="4444" xr:uid="{00000000-0005-0000-0000-00002D0B0000}"/>
    <cellStyle name="20% - Accent2 4 4 3 2" xfId="8036" xr:uid="{00000000-0005-0000-0000-00002E0B0000}"/>
    <cellStyle name="20% - Accent2 4 4 3 2 2" xfId="16006" xr:uid="{00000000-0005-0000-0000-00002F0B0000}"/>
    <cellStyle name="20% - Accent2 4 4 3 2 2 2" xfId="39848" xr:uid="{A962F570-37F4-4D56-A7D4-465E21AA6BE1}"/>
    <cellStyle name="20% - Accent2 4 4 3 2 3" xfId="23952" xr:uid="{00000000-0005-0000-0000-0000300B0000}"/>
    <cellStyle name="20% - Accent2 4 4 3 2 3 2" xfId="47784" xr:uid="{E963DFFA-6AF5-4A53-86A2-A8F155EE80DB}"/>
    <cellStyle name="20% - Accent2 4 4 3 2 4" xfId="31907" xr:uid="{DD48CC7B-2F02-457C-9BD3-26F9346A0747}"/>
    <cellStyle name="20% - Accent2 4 4 3 3" xfId="12468" xr:uid="{00000000-0005-0000-0000-0000310B0000}"/>
    <cellStyle name="20% - Accent2 4 4 3 3 2" xfId="36317" xr:uid="{3F739243-A303-4A87-AC1B-CC1EE44068F2}"/>
    <cellStyle name="20% - Accent2 4 4 3 4" xfId="20423" xr:uid="{00000000-0005-0000-0000-0000320B0000}"/>
    <cellStyle name="20% - Accent2 4 4 3 4 2" xfId="44255" xr:uid="{D82BD764-23D3-4F6F-BC2B-4A1DFC3197C5}"/>
    <cellStyle name="20% - Accent2 4 4 3 5" xfId="28376" xr:uid="{6F26099B-DF43-4E15-94A8-175689391B48}"/>
    <cellStyle name="20% - Accent2 4 4 4" xfId="6274" xr:uid="{00000000-0005-0000-0000-0000330B0000}"/>
    <cellStyle name="20% - Accent2 4 4 4 2" xfId="14248" xr:uid="{00000000-0005-0000-0000-0000340B0000}"/>
    <cellStyle name="20% - Accent2 4 4 4 2 2" xfId="38090" xr:uid="{BA862DCA-05DC-4F66-B0C4-5C25AA878627}"/>
    <cellStyle name="20% - Accent2 4 4 4 3" xfId="22195" xr:uid="{00000000-0005-0000-0000-0000350B0000}"/>
    <cellStyle name="20% - Accent2 4 4 4 3 2" xfId="46027" xr:uid="{167ABAB2-D5DA-4A84-87F6-7B43F83A10EF}"/>
    <cellStyle name="20% - Accent2 4 4 4 4" xfId="30149" xr:uid="{2EB9DD83-8DC2-49BB-8BAE-7F2DE1139087}"/>
    <cellStyle name="20% - Accent2 4 4 5" xfId="9816" xr:uid="{00000000-0005-0000-0000-0000360B0000}"/>
    <cellStyle name="20% - Accent2 4 4 5 2" xfId="17774" xr:uid="{00000000-0005-0000-0000-0000370B0000}"/>
    <cellStyle name="20% - Accent2 4 4 5 2 2" xfId="41614" xr:uid="{5C5633C4-DDBA-41B1-9CE8-05E1BEF024A7}"/>
    <cellStyle name="20% - Accent2 4 4 5 3" xfId="25718" xr:uid="{00000000-0005-0000-0000-0000380B0000}"/>
    <cellStyle name="20% - Accent2 4 4 5 3 2" xfId="49550" xr:uid="{9FBE74E4-4AA9-4B78-8710-F7FE9B01CA78}"/>
    <cellStyle name="20% - Accent2 4 4 5 4" xfId="33673" xr:uid="{2208E90C-2FD8-4336-B640-9E6B8EFE9993}"/>
    <cellStyle name="20% - Accent2 4 4 6" xfId="10712" xr:uid="{00000000-0005-0000-0000-0000390B0000}"/>
    <cellStyle name="20% - Accent2 4 4 6 2" xfId="34561" xr:uid="{A307558D-E8AE-4268-946D-9751462AE74F}"/>
    <cellStyle name="20% - Accent2 4 4 7" xfId="18667" xr:uid="{00000000-0005-0000-0000-00003A0B0000}"/>
    <cellStyle name="20% - Accent2 4 4 7 2" xfId="42499" xr:uid="{1E75B799-3586-4FC0-8E53-418018BE48F3}"/>
    <cellStyle name="20% - Accent2 4 4 8" xfId="26619" xr:uid="{C5CB5E28-0922-4941-8A4E-7DC30A31AF99}"/>
    <cellStyle name="20% - Accent2 4 4_Exh G" xfId="2131" xr:uid="{00000000-0005-0000-0000-00003B0B0000}"/>
    <cellStyle name="20% - Accent2 4 5" xfId="1126" xr:uid="{00000000-0005-0000-0000-00003C0B0000}"/>
    <cellStyle name="20% - Accent2 4 5 2" xfId="4653" xr:uid="{00000000-0005-0000-0000-00003D0B0000}"/>
    <cellStyle name="20% - Accent2 4 5 2 2" xfId="8244" xr:uid="{00000000-0005-0000-0000-00003E0B0000}"/>
    <cellStyle name="20% - Accent2 4 5 2 2 2" xfId="16214" xr:uid="{00000000-0005-0000-0000-00003F0B0000}"/>
    <cellStyle name="20% - Accent2 4 5 2 2 2 2" xfId="40056" xr:uid="{1BF7C059-9591-4DEC-AFD5-00C347245651}"/>
    <cellStyle name="20% - Accent2 4 5 2 2 3" xfId="24160" xr:uid="{00000000-0005-0000-0000-0000400B0000}"/>
    <cellStyle name="20% - Accent2 4 5 2 2 3 2" xfId="47992" xr:uid="{28361B62-E1A3-4235-8BF5-5ED159965CA9}"/>
    <cellStyle name="20% - Accent2 4 5 2 2 4" xfId="32115" xr:uid="{108BEDAC-F528-434C-A503-A3DC535BF6D3}"/>
    <cellStyle name="20% - Accent2 4 5 2 3" xfId="12676" xr:uid="{00000000-0005-0000-0000-0000410B0000}"/>
    <cellStyle name="20% - Accent2 4 5 2 3 2" xfId="36525" xr:uid="{FB9974DE-D9D2-4912-B8F2-3AB0A60A7F51}"/>
    <cellStyle name="20% - Accent2 4 5 2 4" xfId="20631" xr:uid="{00000000-0005-0000-0000-0000420B0000}"/>
    <cellStyle name="20% - Accent2 4 5 2 4 2" xfId="44463" xr:uid="{FF9C139E-5139-4EED-88E3-1B0EDB311C1A}"/>
    <cellStyle name="20% - Accent2 4 5 2 5" xfId="28584" xr:uid="{455F7B16-08BC-439C-AAEA-BD273C2BE256}"/>
    <cellStyle name="20% - Accent2 4 5 3" xfId="6485" xr:uid="{00000000-0005-0000-0000-0000430B0000}"/>
    <cellStyle name="20% - Accent2 4 5 3 2" xfId="14456" xr:uid="{00000000-0005-0000-0000-0000440B0000}"/>
    <cellStyle name="20% - Accent2 4 5 3 2 2" xfId="38298" xr:uid="{D820CD3E-CC71-4F6B-899A-8E86CE75B20A}"/>
    <cellStyle name="20% - Accent2 4 5 3 3" xfId="22403" xr:uid="{00000000-0005-0000-0000-0000450B0000}"/>
    <cellStyle name="20% - Accent2 4 5 3 3 2" xfId="46235" xr:uid="{787342D1-1D50-4F65-8EA3-F0683E40A024}"/>
    <cellStyle name="20% - Accent2 4 5 3 4" xfId="30357" xr:uid="{040EC78B-833E-4A62-918C-0329E8B680A3}"/>
    <cellStyle name="20% - Accent2 4 5 4" xfId="10920" xr:uid="{00000000-0005-0000-0000-0000460B0000}"/>
    <cellStyle name="20% - Accent2 4 5 4 2" xfId="34769" xr:uid="{69504657-D753-45EE-A74A-D482F24B4539}"/>
    <cellStyle name="20% - Accent2 4 5 5" xfId="18875" xr:uid="{00000000-0005-0000-0000-0000470B0000}"/>
    <cellStyle name="20% - Accent2 4 5 5 2" xfId="42707" xr:uid="{26CF4F04-9617-44BC-B5C6-9F5FAA7C58D7}"/>
    <cellStyle name="20% - Accent2 4 5 6" xfId="26827" xr:uid="{A50B3B62-0FC4-4F43-AEFC-466906A10370}"/>
    <cellStyle name="20% - Accent2 4 5_Exh G" xfId="2133" xr:uid="{00000000-0005-0000-0000-0000480B0000}"/>
    <cellStyle name="20% - Accent2 4 6" xfId="3774" xr:uid="{00000000-0005-0000-0000-0000490B0000}"/>
    <cellStyle name="20% - Accent2 4 6 2" xfId="7366" xr:uid="{00000000-0005-0000-0000-00004A0B0000}"/>
    <cellStyle name="20% - Accent2 4 6 2 2" xfId="15336" xr:uid="{00000000-0005-0000-0000-00004B0B0000}"/>
    <cellStyle name="20% - Accent2 4 6 2 2 2" xfId="39178" xr:uid="{4C158336-58D5-4447-9006-484B76E33EBA}"/>
    <cellStyle name="20% - Accent2 4 6 2 3" xfId="23282" xr:uid="{00000000-0005-0000-0000-00004C0B0000}"/>
    <cellStyle name="20% - Accent2 4 6 2 3 2" xfId="47114" xr:uid="{EDCD80F5-AF8C-4A65-888B-A3CF6AACA104}"/>
    <cellStyle name="20% - Accent2 4 6 2 4" xfId="31237" xr:uid="{F68D3CAF-0B72-4099-8CF9-59317DE85CFC}"/>
    <cellStyle name="20% - Accent2 4 6 3" xfId="11798" xr:uid="{00000000-0005-0000-0000-00004D0B0000}"/>
    <cellStyle name="20% - Accent2 4 6 3 2" xfId="35647" xr:uid="{168A9968-A1EA-475B-A7DB-108D688FD796}"/>
    <cellStyle name="20% - Accent2 4 6 4" xfId="19753" xr:uid="{00000000-0005-0000-0000-00004E0B0000}"/>
    <cellStyle name="20% - Accent2 4 6 4 2" xfId="43585" xr:uid="{80F87C50-0549-4713-AD53-B0F8A5532892}"/>
    <cellStyle name="20% - Accent2 4 6 5" xfId="27706" xr:uid="{D8B264B5-F5A8-438D-8EF0-25FE23A76955}"/>
    <cellStyle name="20% - Accent2 4 7" xfId="5594" xr:uid="{00000000-0005-0000-0000-00004F0B0000}"/>
    <cellStyle name="20% - Accent2 4 7 2" xfId="13577" xr:uid="{00000000-0005-0000-0000-0000500B0000}"/>
    <cellStyle name="20% - Accent2 4 7 2 2" xfId="37420" xr:uid="{5B0C2381-4676-4E1D-B78C-745771E051DD}"/>
    <cellStyle name="20% - Accent2 4 7 3" xfId="21525" xr:uid="{00000000-0005-0000-0000-0000510B0000}"/>
    <cellStyle name="20% - Accent2 4 7 3 2" xfId="45357" xr:uid="{466496DB-246E-4FB4-8FF6-5F9910287DB8}"/>
    <cellStyle name="20% - Accent2 4 7 4" xfId="29479" xr:uid="{B6851D21-B09A-4764-B946-1CCD56A5F482}"/>
    <cellStyle name="20% - Accent2 4 8" xfId="9146" xr:uid="{00000000-0005-0000-0000-0000520B0000}"/>
    <cellStyle name="20% - Accent2 4 8 2" xfId="17104" xr:uid="{00000000-0005-0000-0000-0000530B0000}"/>
    <cellStyle name="20% - Accent2 4 8 2 2" xfId="40944" xr:uid="{4729277C-A05D-445C-867A-497A798C4BBC}"/>
    <cellStyle name="20% - Accent2 4 8 3" xfId="25048" xr:uid="{00000000-0005-0000-0000-0000540B0000}"/>
    <cellStyle name="20% - Accent2 4 8 3 2" xfId="48880" xr:uid="{BB804909-F814-4091-AF40-D4D15C7C2BC5}"/>
    <cellStyle name="20% - Accent2 4 8 4" xfId="33003" xr:uid="{DC1BB712-8084-4C4A-8A08-06709E58C71D}"/>
    <cellStyle name="20% - Accent2 4 9" xfId="10042" xr:uid="{00000000-0005-0000-0000-0000550B0000}"/>
    <cellStyle name="20% - Accent2 4 9 2" xfId="33891" xr:uid="{EDEB3C8A-CF9D-4567-9D09-06D5C4AA0409}"/>
    <cellStyle name="20% - Accent2 4_Exh G" xfId="2122" xr:uid="{00000000-0005-0000-0000-0000560B0000}"/>
    <cellStyle name="20% - Accent2 5" xfId="104" xr:uid="{00000000-0005-0000-0000-0000570B0000}"/>
    <cellStyle name="20% - Accent2 5 10" xfId="18001" xr:uid="{00000000-0005-0000-0000-0000580B0000}"/>
    <cellStyle name="20% - Accent2 5 10 2" xfId="41833" xr:uid="{73C4B018-E291-4BA5-86E6-FBEDABE49922}"/>
    <cellStyle name="20% - Accent2 5 11" xfId="25953" xr:uid="{C79CD5BE-1440-4EAF-8DA8-CCEAED75F23F}"/>
    <cellStyle name="20% - Accent2 5 2" xfId="105" xr:uid="{00000000-0005-0000-0000-0000590B0000}"/>
    <cellStyle name="20% - Accent2 5 2 2" xfId="106" xr:uid="{00000000-0005-0000-0000-00005A0B0000}"/>
    <cellStyle name="20% - Accent2 5 2 2 2" xfId="1132" xr:uid="{00000000-0005-0000-0000-00005B0B0000}"/>
    <cellStyle name="20% - Accent2 5 2 2 2 2" xfId="4659" xr:uid="{00000000-0005-0000-0000-00005C0B0000}"/>
    <cellStyle name="20% - Accent2 5 2 2 2 2 2" xfId="8250" xr:uid="{00000000-0005-0000-0000-00005D0B0000}"/>
    <cellStyle name="20% - Accent2 5 2 2 2 2 2 2" xfId="16220" xr:uid="{00000000-0005-0000-0000-00005E0B0000}"/>
    <cellStyle name="20% - Accent2 5 2 2 2 2 2 2 2" xfId="40062" xr:uid="{A5D8D929-BF0F-4013-8704-EECCFA983A4B}"/>
    <cellStyle name="20% - Accent2 5 2 2 2 2 2 3" xfId="24166" xr:uid="{00000000-0005-0000-0000-00005F0B0000}"/>
    <cellStyle name="20% - Accent2 5 2 2 2 2 2 3 2" xfId="47998" xr:uid="{2B1EB3D3-A038-4D0D-ABE2-3AD2C10E91E9}"/>
    <cellStyle name="20% - Accent2 5 2 2 2 2 2 4" xfId="32121" xr:uid="{0143C563-AFB4-49F1-80F6-E10A2F287F59}"/>
    <cellStyle name="20% - Accent2 5 2 2 2 2 3" xfId="12682" xr:uid="{00000000-0005-0000-0000-0000600B0000}"/>
    <cellStyle name="20% - Accent2 5 2 2 2 2 3 2" xfId="36531" xr:uid="{8965B982-9D9C-4C7C-BD37-88538041F38E}"/>
    <cellStyle name="20% - Accent2 5 2 2 2 2 4" xfId="20637" xr:uid="{00000000-0005-0000-0000-0000610B0000}"/>
    <cellStyle name="20% - Accent2 5 2 2 2 2 4 2" xfId="44469" xr:uid="{10417B5A-46F2-4A13-8137-A3B9E2739246}"/>
    <cellStyle name="20% - Accent2 5 2 2 2 2 5" xfId="28590" xr:uid="{47A967F2-ED9F-4D88-8D4F-2D6A8CC714E0}"/>
    <cellStyle name="20% - Accent2 5 2 2 2 3" xfId="6491" xr:uid="{00000000-0005-0000-0000-0000620B0000}"/>
    <cellStyle name="20% - Accent2 5 2 2 2 3 2" xfId="14462" xr:uid="{00000000-0005-0000-0000-0000630B0000}"/>
    <cellStyle name="20% - Accent2 5 2 2 2 3 2 2" xfId="38304" xr:uid="{902C25DB-6FCF-49F6-B6F7-856932EF257D}"/>
    <cellStyle name="20% - Accent2 5 2 2 2 3 3" xfId="22409" xr:uid="{00000000-0005-0000-0000-0000640B0000}"/>
    <cellStyle name="20% - Accent2 5 2 2 2 3 3 2" xfId="46241" xr:uid="{3D213E20-91F5-440D-9DBF-FC63BBE424D7}"/>
    <cellStyle name="20% - Accent2 5 2 2 2 3 4" xfId="30363" xr:uid="{CD1986A0-E219-48F4-B8DD-3EE3EA3FAD83}"/>
    <cellStyle name="20% - Accent2 5 2 2 2 4" xfId="10926" xr:uid="{00000000-0005-0000-0000-0000650B0000}"/>
    <cellStyle name="20% - Accent2 5 2 2 2 4 2" xfId="34775" xr:uid="{7C8FE375-B0CB-4A5C-8C4A-0C73C6C6ED47}"/>
    <cellStyle name="20% - Accent2 5 2 2 2 5" xfId="18881" xr:uid="{00000000-0005-0000-0000-0000660B0000}"/>
    <cellStyle name="20% - Accent2 5 2 2 2 5 2" xfId="42713" xr:uid="{BA9A4B29-B052-4ABD-9683-2C3F504C9BB4}"/>
    <cellStyle name="20% - Accent2 5 2 2 2 6" xfId="26833" xr:uid="{A5B094BC-907B-492E-A48F-47DE1615120C}"/>
    <cellStyle name="20% - Accent2 5 2 2 2_Exh G" xfId="2137" xr:uid="{00000000-0005-0000-0000-0000670B0000}"/>
    <cellStyle name="20% - Accent2 5 2 2 3" xfId="3780" xr:uid="{00000000-0005-0000-0000-0000680B0000}"/>
    <cellStyle name="20% - Accent2 5 2 2 3 2" xfId="7372" xr:uid="{00000000-0005-0000-0000-0000690B0000}"/>
    <cellStyle name="20% - Accent2 5 2 2 3 2 2" xfId="15342" xr:uid="{00000000-0005-0000-0000-00006A0B0000}"/>
    <cellStyle name="20% - Accent2 5 2 2 3 2 2 2" xfId="39184" xr:uid="{FECBAB14-A54A-40FD-A69A-8B0AD931B0CC}"/>
    <cellStyle name="20% - Accent2 5 2 2 3 2 3" xfId="23288" xr:uid="{00000000-0005-0000-0000-00006B0B0000}"/>
    <cellStyle name="20% - Accent2 5 2 2 3 2 3 2" xfId="47120" xr:uid="{7B53245D-A390-404B-9F06-73B1B8667573}"/>
    <cellStyle name="20% - Accent2 5 2 2 3 2 4" xfId="31243" xr:uid="{CFA08CD5-31F1-4D35-9931-DDF8BC9228B7}"/>
    <cellStyle name="20% - Accent2 5 2 2 3 3" xfId="11804" xr:uid="{00000000-0005-0000-0000-00006C0B0000}"/>
    <cellStyle name="20% - Accent2 5 2 2 3 3 2" xfId="35653" xr:uid="{797A8820-5E0C-4A71-A9C0-FA8AEFA29AF6}"/>
    <cellStyle name="20% - Accent2 5 2 2 3 4" xfId="19759" xr:uid="{00000000-0005-0000-0000-00006D0B0000}"/>
    <cellStyle name="20% - Accent2 5 2 2 3 4 2" xfId="43591" xr:uid="{D1C0DA36-AFC7-48DC-B3B2-86D5A7B8902E}"/>
    <cellStyle name="20% - Accent2 5 2 2 3 5" xfId="27712" xr:uid="{24FEE5B3-4F76-4E70-B269-9046D34EC0A5}"/>
    <cellStyle name="20% - Accent2 5 2 2 4" xfId="5600" xr:uid="{00000000-0005-0000-0000-00006E0B0000}"/>
    <cellStyle name="20% - Accent2 5 2 2 4 2" xfId="13583" xr:uid="{00000000-0005-0000-0000-00006F0B0000}"/>
    <cellStyle name="20% - Accent2 5 2 2 4 2 2" xfId="37426" xr:uid="{C2D11988-8BAA-40A3-8ECC-D106E320F5CC}"/>
    <cellStyle name="20% - Accent2 5 2 2 4 3" xfId="21531" xr:uid="{00000000-0005-0000-0000-0000700B0000}"/>
    <cellStyle name="20% - Accent2 5 2 2 4 3 2" xfId="45363" xr:uid="{B22ABE0C-D3FE-45F8-B98E-7F8E5C367506}"/>
    <cellStyle name="20% - Accent2 5 2 2 4 4" xfId="29485" xr:uid="{61FA6312-40FF-4B15-AD13-BFC3263B54DB}"/>
    <cellStyle name="20% - Accent2 5 2 2 5" xfId="9152" xr:uid="{00000000-0005-0000-0000-0000710B0000}"/>
    <cellStyle name="20% - Accent2 5 2 2 5 2" xfId="17110" xr:uid="{00000000-0005-0000-0000-0000720B0000}"/>
    <cellStyle name="20% - Accent2 5 2 2 5 2 2" xfId="40950" xr:uid="{E84FB657-7658-4CF9-A3D8-BF4D9EE28012}"/>
    <cellStyle name="20% - Accent2 5 2 2 5 3" xfId="25054" xr:uid="{00000000-0005-0000-0000-0000730B0000}"/>
    <cellStyle name="20% - Accent2 5 2 2 5 3 2" xfId="48886" xr:uid="{A1E8E56C-1AD9-4948-AA0E-C992449BD321}"/>
    <cellStyle name="20% - Accent2 5 2 2 5 4" xfId="33009" xr:uid="{785A1012-7B12-4A40-B7BF-C42D80D470A2}"/>
    <cellStyle name="20% - Accent2 5 2 2 6" xfId="10048" xr:uid="{00000000-0005-0000-0000-0000740B0000}"/>
    <cellStyle name="20% - Accent2 5 2 2 6 2" xfId="33897" xr:uid="{CCAF495D-9F15-425F-A563-9AA954E59AEB}"/>
    <cellStyle name="20% - Accent2 5 2 2 7" xfId="18003" xr:uid="{00000000-0005-0000-0000-0000750B0000}"/>
    <cellStyle name="20% - Accent2 5 2 2 7 2" xfId="41835" xr:uid="{DE69A84F-4A6A-42E6-944B-5A65FC988140}"/>
    <cellStyle name="20% - Accent2 5 2 2 8" xfId="25955" xr:uid="{448CFB12-56CF-45E7-9AEF-761613A6132B}"/>
    <cellStyle name="20% - Accent2 5 2 2_Exh G" xfId="2136" xr:uid="{00000000-0005-0000-0000-0000760B0000}"/>
    <cellStyle name="20% - Accent2 5 2 3" xfId="1131" xr:uid="{00000000-0005-0000-0000-0000770B0000}"/>
    <cellStyle name="20% - Accent2 5 2 3 2" xfId="4658" xr:uid="{00000000-0005-0000-0000-0000780B0000}"/>
    <cellStyle name="20% - Accent2 5 2 3 2 2" xfId="8249" xr:uid="{00000000-0005-0000-0000-0000790B0000}"/>
    <cellStyle name="20% - Accent2 5 2 3 2 2 2" xfId="16219" xr:uid="{00000000-0005-0000-0000-00007A0B0000}"/>
    <cellStyle name="20% - Accent2 5 2 3 2 2 2 2" xfId="40061" xr:uid="{C5FD7E81-A3D2-4BDD-8086-300C354A057D}"/>
    <cellStyle name="20% - Accent2 5 2 3 2 2 3" xfId="24165" xr:uid="{00000000-0005-0000-0000-00007B0B0000}"/>
    <cellStyle name="20% - Accent2 5 2 3 2 2 3 2" xfId="47997" xr:uid="{CA177743-87D1-4810-B417-119DA951AADA}"/>
    <cellStyle name="20% - Accent2 5 2 3 2 2 4" xfId="32120" xr:uid="{A23AB186-746B-4A45-B3CC-92101E9886B3}"/>
    <cellStyle name="20% - Accent2 5 2 3 2 3" xfId="12681" xr:uid="{00000000-0005-0000-0000-00007C0B0000}"/>
    <cellStyle name="20% - Accent2 5 2 3 2 3 2" xfId="36530" xr:uid="{3FF035A2-2B6F-402E-95ED-635AD10834DF}"/>
    <cellStyle name="20% - Accent2 5 2 3 2 4" xfId="20636" xr:uid="{00000000-0005-0000-0000-00007D0B0000}"/>
    <cellStyle name="20% - Accent2 5 2 3 2 4 2" xfId="44468" xr:uid="{38DCF11D-7791-491D-81FB-B1806BB36506}"/>
    <cellStyle name="20% - Accent2 5 2 3 2 5" xfId="28589" xr:uid="{95AF05F0-CD9F-4A06-8529-C771616CD76A}"/>
    <cellStyle name="20% - Accent2 5 2 3 3" xfId="6490" xr:uid="{00000000-0005-0000-0000-00007E0B0000}"/>
    <cellStyle name="20% - Accent2 5 2 3 3 2" xfId="14461" xr:uid="{00000000-0005-0000-0000-00007F0B0000}"/>
    <cellStyle name="20% - Accent2 5 2 3 3 2 2" xfId="38303" xr:uid="{690CD144-31EE-4E6F-9755-F73E2939CE02}"/>
    <cellStyle name="20% - Accent2 5 2 3 3 3" xfId="22408" xr:uid="{00000000-0005-0000-0000-0000800B0000}"/>
    <cellStyle name="20% - Accent2 5 2 3 3 3 2" xfId="46240" xr:uid="{7BE11A33-BBCF-4A20-86B4-59DCA0295B76}"/>
    <cellStyle name="20% - Accent2 5 2 3 3 4" xfId="30362" xr:uid="{7BB9F2CB-A26D-4814-99B6-071E6C29E739}"/>
    <cellStyle name="20% - Accent2 5 2 3 4" xfId="10925" xr:uid="{00000000-0005-0000-0000-0000810B0000}"/>
    <cellStyle name="20% - Accent2 5 2 3 4 2" xfId="34774" xr:uid="{C2390B7D-DA5A-4D19-83EA-63095FE49EED}"/>
    <cellStyle name="20% - Accent2 5 2 3 5" xfId="18880" xr:uid="{00000000-0005-0000-0000-0000820B0000}"/>
    <cellStyle name="20% - Accent2 5 2 3 5 2" xfId="42712" xr:uid="{582C053C-E857-44B8-95A0-653967700CAE}"/>
    <cellStyle name="20% - Accent2 5 2 3 6" xfId="26832" xr:uid="{9E7D1339-18B2-4AB5-AD20-F45822286C26}"/>
    <cellStyle name="20% - Accent2 5 2 3_Exh G" xfId="2138" xr:uid="{00000000-0005-0000-0000-0000830B0000}"/>
    <cellStyle name="20% - Accent2 5 2 4" xfId="3779" xr:uid="{00000000-0005-0000-0000-0000840B0000}"/>
    <cellStyle name="20% - Accent2 5 2 4 2" xfId="7371" xr:uid="{00000000-0005-0000-0000-0000850B0000}"/>
    <cellStyle name="20% - Accent2 5 2 4 2 2" xfId="15341" xr:uid="{00000000-0005-0000-0000-0000860B0000}"/>
    <cellStyle name="20% - Accent2 5 2 4 2 2 2" xfId="39183" xr:uid="{7D4D5F36-C52D-41F3-98E4-AB141921EA98}"/>
    <cellStyle name="20% - Accent2 5 2 4 2 3" xfId="23287" xr:uid="{00000000-0005-0000-0000-0000870B0000}"/>
    <cellStyle name="20% - Accent2 5 2 4 2 3 2" xfId="47119" xr:uid="{07470D21-C0A2-4168-AFCB-032453E46988}"/>
    <cellStyle name="20% - Accent2 5 2 4 2 4" xfId="31242" xr:uid="{4F4A6D8C-B6C0-453C-84D5-B0D5DB6057AA}"/>
    <cellStyle name="20% - Accent2 5 2 4 3" xfId="11803" xr:uid="{00000000-0005-0000-0000-0000880B0000}"/>
    <cellStyle name="20% - Accent2 5 2 4 3 2" xfId="35652" xr:uid="{7246E44F-8B0D-4CFE-995D-1EC07599B9DA}"/>
    <cellStyle name="20% - Accent2 5 2 4 4" xfId="19758" xr:uid="{00000000-0005-0000-0000-0000890B0000}"/>
    <cellStyle name="20% - Accent2 5 2 4 4 2" xfId="43590" xr:uid="{E8957537-8A09-406D-95C5-5EC6CDD60F1C}"/>
    <cellStyle name="20% - Accent2 5 2 4 5" xfId="27711" xr:uid="{411445EA-B7F5-4CD0-A686-1895062979E9}"/>
    <cellStyle name="20% - Accent2 5 2 5" xfId="5599" xr:uid="{00000000-0005-0000-0000-00008A0B0000}"/>
    <cellStyle name="20% - Accent2 5 2 5 2" xfId="13582" xr:uid="{00000000-0005-0000-0000-00008B0B0000}"/>
    <cellStyle name="20% - Accent2 5 2 5 2 2" xfId="37425" xr:uid="{E084D6FD-81B8-444C-9DB0-724BA45B76EB}"/>
    <cellStyle name="20% - Accent2 5 2 5 3" xfId="21530" xr:uid="{00000000-0005-0000-0000-00008C0B0000}"/>
    <cellStyle name="20% - Accent2 5 2 5 3 2" xfId="45362" xr:uid="{5DEC69E5-4B0C-4D2B-AB47-C265A68B1F0A}"/>
    <cellStyle name="20% - Accent2 5 2 5 4" xfId="29484" xr:uid="{7B862A02-60D5-4658-82EE-C13AE922CFEA}"/>
    <cellStyle name="20% - Accent2 5 2 6" xfId="9151" xr:uid="{00000000-0005-0000-0000-00008D0B0000}"/>
    <cellStyle name="20% - Accent2 5 2 6 2" xfId="17109" xr:uid="{00000000-0005-0000-0000-00008E0B0000}"/>
    <cellStyle name="20% - Accent2 5 2 6 2 2" xfId="40949" xr:uid="{B54FFDF7-D709-428A-9B89-9A909CA37843}"/>
    <cellStyle name="20% - Accent2 5 2 6 3" xfId="25053" xr:uid="{00000000-0005-0000-0000-00008F0B0000}"/>
    <cellStyle name="20% - Accent2 5 2 6 3 2" xfId="48885" xr:uid="{AF246105-5475-46FE-86D9-E0C77A255887}"/>
    <cellStyle name="20% - Accent2 5 2 6 4" xfId="33008" xr:uid="{5B5BBB76-D537-44A2-B6ED-5DEA0EC36124}"/>
    <cellStyle name="20% - Accent2 5 2 7" xfId="10047" xr:uid="{00000000-0005-0000-0000-0000900B0000}"/>
    <cellStyle name="20% - Accent2 5 2 7 2" xfId="33896" xr:uid="{FFDD8E98-6C51-426A-9B8E-25A839D1F914}"/>
    <cellStyle name="20% - Accent2 5 2 8" xfId="18002" xr:uid="{00000000-0005-0000-0000-0000910B0000}"/>
    <cellStyle name="20% - Accent2 5 2 8 2" xfId="41834" xr:uid="{F8BC9D2A-F3AD-4B87-B550-ED6BF3C40810}"/>
    <cellStyle name="20% - Accent2 5 2 9" xfId="25954" xr:uid="{B3A697B4-3ADB-4B98-833C-152D04E5778C}"/>
    <cellStyle name="20% - Accent2 5 2_Exh G" xfId="2135" xr:uid="{00000000-0005-0000-0000-0000920B0000}"/>
    <cellStyle name="20% - Accent2 5 3" xfId="107" xr:uid="{00000000-0005-0000-0000-0000930B0000}"/>
    <cellStyle name="20% - Accent2 5 3 2" xfId="1133" xr:uid="{00000000-0005-0000-0000-0000940B0000}"/>
    <cellStyle name="20% - Accent2 5 3 2 2" xfId="4660" xr:uid="{00000000-0005-0000-0000-0000950B0000}"/>
    <cellStyle name="20% - Accent2 5 3 2 2 2" xfId="8251" xr:uid="{00000000-0005-0000-0000-0000960B0000}"/>
    <cellStyle name="20% - Accent2 5 3 2 2 2 2" xfId="16221" xr:uid="{00000000-0005-0000-0000-0000970B0000}"/>
    <cellStyle name="20% - Accent2 5 3 2 2 2 2 2" xfId="40063" xr:uid="{DE07C57C-41D1-4985-BE91-8285444A8BBB}"/>
    <cellStyle name="20% - Accent2 5 3 2 2 2 3" xfId="24167" xr:uid="{00000000-0005-0000-0000-0000980B0000}"/>
    <cellStyle name="20% - Accent2 5 3 2 2 2 3 2" xfId="47999" xr:uid="{031E837E-EAB7-4F03-83EE-EDB521ED0F91}"/>
    <cellStyle name="20% - Accent2 5 3 2 2 2 4" xfId="32122" xr:uid="{D8DC2D33-9C58-4B5C-B034-2AF7F96D1415}"/>
    <cellStyle name="20% - Accent2 5 3 2 2 3" xfId="12683" xr:uid="{00000000-0005-0000-0000-0000990B0000}"/>
    <cellStyle name="20% - Accent2 5 3 2 2 3 2" xfId="36532" xr:uid="{0A2BFF34-5080-458B-B644-D76EFAE4F44F}"/>
    <cellStyle name="20% - Accent2 5 3 2 2 4" xfId="20638" xr:uid="{00000000-0005-0000-0000-00009A0B0000}"/>
    <cellStyle name="20% - Accent2 5 3 2 2 4 2" xfId="44470" xr:uid="{4247B05D-121A-4D48-931D-372E12DFB32E}"/>
    <cellStyle name="20% - Accent2 5 3 2 2 5" xfId="28591" xr:uid="{254683DD-9D3B-47A7-91E7-128C3EE543A4}"/>
    <cellStyle name="20% - Accent2 5 3 2 3" xfId="6492" xr:uid="{00000000-0005-0000-0000-00009B0B0000}"/>
    <cellStyle name="20% - Accent2 5 3 2 3 2" xfId="14463" xr:uid="{00000000-0005-0000-0000-00009C0B0000}"/>
    <cellStyle name="20% - Accent2 5 3 2 3 2 2" xfId="38305" xr:uid="{CD6ED8FD-1D3F-41B6-8059-B02FFD932E84}"/>
    <cellStyle name="20% - Accent2 5 3 2 3 3" xfId="22410" xr:uid="{00000000-0005-0000-0000-00009D0B0000}"/>
    <cellStyle name="20% - Accent2 5 3 2 3 3 2" xfId="46242" xr:uid="{BFF6AC2A-690D-4BFB-97AD-0BA6DCB086AC}"/>
    <cellStyle name="20% - Accent2 5 3 2 3 4" xfId="30364" xr:uid="{4B5F1932-4DB2-44A2-A553-74EE9C3E4A61}"/>
    <cellStyle name="20% - Accent2 5 3 2 4" xfId="10927" xr:uid="{00000000-0005-0000-0000-00009E0B0000}"/>
    <cellStyle name="20% - Accent2 5 3 2 4 2" xfId="34776" xr:uid="{1ED2109C-F734-46D6-8DB9-F0D88C32F939}"/>
    <cellStyle name="20% - Accent2 5 3 2 5" xfId="18882" xr:uid="{00000000-0005-0000-0000-00009F0B0000}"/>
    <cellStyle name="20% - Accent2 5 3 2 5 2" xfId="42714" xr:uid="{C6125B20-781D-4122-ACB6-D1486130854A}"/>
    <cellStyle name="20% - Accent2 5 3 2 6" xfId="26834" xr:uid="{E582E6F5-278A-4A99-B4F4-71F5BC96EEFF}"/>
    <cellStyle name="20% - Accent2 5 3 2_Exh G" xfId="2140" xr:uid="{00000000-0005-0000-0000-0000A00B0000}"/>
    <cellStyle name="20% - Accent2 5 3 3" xfId="3781" xr:uid="{00000000-0005-0000-0000-0000A10B0000}"/>
    <cellStyle name="20% - Accent2 5 3 3 2" xfId="7373" xr:uid="{00000000-0005-0000-0000-0000A20B0000}"/>
    <cellStyle name="20% - Accent2 5 3 3 2 2" xfId="15343" xr:uid="{00000000-0005-0000-0000-0000A30B0000}"/>
    <cellStyle name="20% - Accent2 5 3 3 2 2 2" xfId="39185" xr:uid="{3B3FE30D-9006-4A17-94DD-DE3D0058EC5C}"/>
    <cellStyle name="20% - Accent2 5 3 3 2 3" xfId="23289" xr:uid="{00000000-0005-0000-0000-0000A40B0000}"/>
    <cellStyle name="20% - Accent2 5 3 3 2 3 2" xfId="47121" xr:uid="{E12FC9E7-ABCA-4DC3-B3D3-209E4A9DDD40}"/>
    <cellStyle name="20% - Accent2 5 3 3 2 4" xfId="31244" xr:uid="{BE5A05CB-C8E2-46F2-A117-6C0DCBF80913}"/>
    <cellStyle name="20% - Accent2 5 3 3 3" xfId="11805" xr:uid="{00000000-0005-0000-0000-0000A50B0000}"/>
    <cellStyle name="20% - Accent2 5 3 3 3 2" xfId="35654" xr:uid="{BA620F8C-FA6F-45E1-AE2A-A75766C4C0AF}"/>
    <cellStyle name="20% - Accent2 5 3 3 4" xfId="19760" xr:uid="{00000000-0005-0000-0000-0000A60B0000}"/>
    <cellStyle name="20% - Accent2 5 3 3 4 2" xfId="43592" xr:uid="{6B274C66-BBCD-4CE4-8D42-38CCC7BAB522}"/>
    <cellStyle name="20% - Accent2 5 3 3 5" xfId="27713" xr:uid="{2D0A1ED2-4556-42DF-B98F-A14B5889EB8E}"/>
    <cellStyle name="20% - Accent2 5 3 4" xfId="5601" xr:uid="{00000000-0005-0000-0000-0000A70B0000}"/>
    <cellStyle name="20% - Accent2 5 3 4 2" xfId="13584" xr:uid="{00000000-0005-0000-0000-0000A80B0000}"/>
    <cellStyle name="20% - Accent2 5 3 4 2 2" xfId="37427" xr:uid="{2E8716C3-5B23-471D-B11E-7BBB94D69161}"/>
    <cellStyle name="20% - Accent2 5 3 4 3" xfId="21532" xr:uid="{00000000-0005-0000-0000-0000A90B0000}"/>
    <cellStyle name="20% - Accent2 5 3 4 3 2" xfId="45364" xr:uid="{FE739D64-9B0C-4E96-9110-4DFBF99D65E4}"/>
    <cellStyle name="20% - Accent2 5 3 4 4" xfId="29486" xr:uid="{610F258A-8281-4FF9-A47B-369F6D1068C7}"/>
    <cellStyle name="20% - Accent2 5 3 5" xfId="9153" xr:uid="{00000000-0005-0000-0000-0000AA0B0000}"/>
    <cellStyle name="20% - Accent2 5 3 5 2" xfId="17111" xr:uid="{00000000-0005-0000-0000-0000AB0B0000}"/>
    <cellStyle name="20% - Accent2 5 3 5 2 2" xfId="40951" xr:uid="{00719A62-C29D-4C87-A8CD-6CA5BC32D887}"/>
    <cellStyle name="20% - Accent2 5 3 5 3" xfId="25055" xr:uid="{00000000-0005-0000-0000-0000AC0B0000}"/>
    <cellStyle name="20% - Accent2 5 3 5 3 2" xfId="48887" xr:uid="{2B4B20E3-9648-4A36-AB7C-8AA8AA674C84}"/>
    <cellStyle name="20% - Accent2 5 3 5 4" xfId="33010" xr:uid="{FE11ECF7-C62D-49F3-8857-D4144C2B4A36}"/>
    <cellStyle name="20% - Accent2 5 3 6" xfId="10049" xr:uid="{00000000-0005-0000-0000-0000AD0B0000}"/>
    <cellStyle name="20% - Accent2 5 3 6 2" xfId="33898" xr:uid="{A0F37D89-CD08-49AC-8E8A-E7805ED190F4}"/>
    <cellStyle name="20% - Accent2 5 3 7" xfId="18004" xr:uid="{00000000-0005-0000-0000-0000AE0B0000}"/>
    <cellStyle name="20% - Accent2 5 3 7 2" xfId="41836" xr:uid="{AA15363C-81BD-43EB-B251-375444BDCCD3}"/>
    <cellStyle name="20% - Accent2 5 3 8" xfId="25956" xr:uid="{6E0CC1A4-6366-425B-A7B2-B025FACAA853}"/>
    <cellStyle name="20% - Accent2 5 3_Exh G" xfId="2139" xr:uid="{00000000-0005-0000-0000-0000AF0B0000}"/>
    <cellStyle name="20% - Accent2 5 4" xfId="878" xr:uid="{00000000-0005-0000-0000-0000B00B0000}"/>
    <cellStyle name="20% - Accent2 5 5" xfId="1130" xr:uid="{00000000-0005-0000-0000-0000B10B0000}"/>
    <cellStyle name="20% - Accent2 5 5 2" xfId="4657" xr:uid="{00000000-0005-0000-0000-0000B20B0000}"/>
    <cellStyle name="20% - Accent2 5 5 2 2" xfId="8248" xr:uid="{00000000-0005-0000-0000-0000B30B0000}"/>
    <cellStyle name="20% - Accent2 5 5 2 2 2" xfId="16218" xr:uid="{00000000-0005-0000-0000-0000B40B0000}"/>
    <cellStyle name="20% - Accent2 5 5 2 2 2 2" xfId="40060" xr:uid="{DB8E850E-1849-45AC-A000-69F778FB7453}"/>
    <cellStyle name="20% - Accent2 5 5 2 2 3" xfId="24164" xr:uid="{00000000-0005-0000-0000-0000B50B0000}"/>
    <cellStyle name="20% - Accent2 5 5 2 2 3 2" xfId="47996" xr:uid="{5EFE7ACA-C31C-492F-A8C4-B048AF754699}"/>
    <cellStyle name="20% - Accent2 5 5 2 2 4" xfId="32119" xr:uid="{B2CA9C6A-F63A-4385-A36F-73DA22FF45AB}"/>
    <cellStyle name="20% - Accent2 5 5 2 3" xfId="12680" xr:uid="{00000000-0005-0000-0000-0000B60B0000}"/>
    <cellStyle name="20% - Accent2 5 5 2 3 2" xfId="36529" xr:uid="{E055D0A9-742B-4849-BB60-D49605DF2F47}"/>
    <cellStyle name="20% - Accent2 5 5 2 4" xfId="20635" xr:uid="{00000000-0005-0000-0000-0000B70B0000}"/>
    <cellStyle name="20% - Accent2 5 5 2 4 2" xfId="44467" xr:uid="{A85D02F7-EE06-48EF-86BF-B50C3B62D03B}"/>
    <cellStyle name="20% - Accent2 5 5 2 5" xfId="28588" xr:uid="{E44D9BE7-422C-4209-B51A-ADCD16F13991}"/>
    <cellStyle name="20% - Accent2 5 5 3" xfId="6489" xr:uid="{00000000-0005-0000-0000-0000B80B0000}"/>
    <cellStyle name="20% - Accent2 5 5 3 2" xfId="14460" xr:uid="{00000000-0005-0000-0000-0000B90B0000}"/>
    <cellStyle name="20% - Accent2 5 5 3 2 2" xfId="38302" xr:uid="{BE28F3CF-4527-4AB2-B49C-A8E50988B140}"/>
    <cellStyle name="20% - Accent2 5 5 3 3" xfId="22407" xr:uid="{00000000-0005-0000-0000-0000BA0B0000}"/>
    <cellStyle name="20% - Accent2 5 5 3 3 2" xfId="46239" xr:uid="{977AA1A4-D499-499E-A5C3-DFDB151EFF7D}"/>
    <cellStyle name="20% - Accent2 5 5 3 4" xfId="30361" xr:uid="{0DCA061A-9467-4AEF-AACD-15576DE87754}"/>
    <cellStyle name="20% - Accent2 5 5 4" xfId="10924" xr:uid="{00000000-0005-0000-0000-0000BB0B0000}"/>
    <cellStyle name="20% - Accent2 5 5 4 2" xfId="34773" xr:uid="{E5667430-6F4B-43A6-B99F-30859C962710}"/>
    <cellStyle name="20% - Accent2 5 5 5" xfId="18879" xr:uid="{00000000-0005-0000-0000-0000BC0B0000}"/>
    <cellStyle name="20% - Accent2 5 5 5 2" xfId="42711" xr:uid="{5A7BEB6E-1109-4D4E-9A4F-48EC2A3BC432}"/>
    <cellStyle name="20% - Accent2 5 5 6" xfId="26831" xr:uid="{4D3DE87D-4AC5-4D60-B640-4C0777EDDCF9}"/>
    <cellStyle name="20% - Accent2 5 5_Exh G" xfId="2141" xr:uid="{00000000-0005-0000-0000-0000BD0B0000}"/>
    <cellStyle name="20% - Accent2 5 6" xfId="3778" xr:uid="{00000000-0005-0000-0000-0000BE0B0000}"/>
    <cellStyle name="20% - Accent2 5 6 2" xfId="7370" xr:uid="{00000000-0005-0000-0000-0000BF0B0000}"/>
    <cellStyle name="20% - Accent2 5 6 2 2" xfId="15340" xr:uid="{00000000-0005-0000-0000-0000C00B0000}"/>
    <cellStyle name="20% - Accent2 5 6 2 2 2" xfId="39182" xr:uid="{2CC15F4E-7F92-47D7-9949-F4157753BE07}"/>
    <cellStyle name="20% - Accent2 5 6 2 3" xfId="23286" xr:uid="{00000000-0005-0000-0000-0000C10B0000}"/>
    <cellStyle name="20% - Accent2 5 6 2 3 2" xfId="47118" xr:uid="{83463516-5ADF-4147-99A2-970DA6F7417C}"/>
    <cellStyle name="20% - Accent2 5 6 2 4" xfId="31241" xr:uid="{54F92A9E-1BBF-41AA-818F-8EE93758C1A6}"/>
    <cellStyle name="20% - Accent2 5 6 3" xfId="11802" xr:uid="{00000000-0005-0000-0000-0000C20B0000}"/>
    <cellStyle name="20% - Accent2 5 6 3 2" xfId="35651" xr:uid="{C7DD6D81-4616-42B1-B08C-82B53CB8A4FB}"/>
    <cellStyle name="20% - Accent2 5 6 4" xfId="19757" xr:uid="{00000000-0005-0000-0000-0000C30B0000}"/>
    <cellStyle name="20% - Accent2 5 6 4 2" xfId="43589" xr:uid="{568859BD-DD68-489B-AB90-0E4D06B549C4}"/>
    <cellStyle name="20% - Accent2 5 6 5" xfId="27710" xr:uid="{49B4A9CD-E976-4DA1-8398-582A187FDAAB}"/>
    <cellStyle name="20% - Accent2 5 7" xfId="5598" xr:uid="{00000000-0005-0000-0000-0000C40B0000}"/>
    <cellStyle name="20% - Accent2 5 7 2" xfId="13581" xr:uid="{00000000-0005-0000-0000-0000C50B0000}"/>
    <cellStyle name="20% - Accent2 5 7 2 2" xfId="37424" xr:uid="{AD63C1CC-8876-4502-9D97-1D720BA5AD40}"/>
    <cellStyle name="20% - Accent2 5 7 3" xfId="21529" xr:uid="{00000000-0005-0000-0000-0000C60B0000}"/>
    <cellStyle name="20% - Accent2 5 7 3 2" xfId="45361" xr:uid="{A166DDAD-D64F-452E-827F-55052282334F}"/>
    <cellStyle name="20% - Accent2 5 7 4" xfId="29483" xr:uid="{34143261-A2F1-4C94-9294-D278807D0FBB}"/>
    <cellStyle name="20% - Accent2 5 8" xfId="9150" xr:uid="{00000000-0005-0000-0000-0000C70B0000}"/>
    <cellStyle name="20% - Accent2 5 8 2" xfId="17108" xr:uid="{00000000-0005-0000-0000-0000C80B0000}"/>
    <cellStyle name="20% - Accent2 5 8 2 2" xfId="40948" xr:uid="{6CCA0737-544A-4F58-B656-AD4EA625A29E}"/>
    <cellStyle name="20% - Accent2 5 8 3" xfId="25052" xr:uid="{00000000-0005-0000-0000-0000C90B0000}"/>
    <cellStyle name="20% - Accent2 5 8 3 2" xfId="48884" xr:uid="{98A76F01-97FF-4B4C-B864-1C592C1759F8}"/>
    <cellStyle name="20% - Accent2 5 8 4" xfId="33007" xr:uid="{F469FCB7-6891-4D8A-988F-87A9797AB724}"/>
    <cellStyle name="20% - Accent2 5 9" xfId="10046" xr:uid="{00000000-0005-0000-0000-0000CA0B0000}"/>
    <cellStyle name="20% - Accent2 5 9 2" xfId="33895" xr:uid="{1AA656C4-D0D1-4F7D-A9D2-6F6F45F13A9D}"/>
    <cellStyle name="20% - Accent2 5_Exh G" xfId="2134" xr:uid="{00000000-0005-0000-0000-0000CB0B0000}"/>
    <cellStyle name="20% - Accent2 6" xfId="108" xr:uid="{00000000-0005-0000-0000-0000CC0B0000}"/>
    <cellStyle name="20% - Accent2 6 10" xfId="18005" xr:uid="{00000000-0005-0000-0000-0000CD0B0000}"/>
    <cellStyle name="20% - Accent2 6 10 2" xfId="41837" xr:uid="{4E1A2A8D-2D17-43D7-92CA-6F9AB6909634}"/>
    <cellStyle name="20% - Accent2 6 11" xfId="25957" xr:uid="{FC587D53-42B0-46AA-9CDF-DC868D4957B8}"/>
    <cellStyle name="20% - Accent2 6 2" xfId="109" xr:uid="{00000000-0005-0000-0000-0000CE0B0000}"/>
    <cellStyle name="20% - Accent2 6 2 2" xfId="110" xr:uid="{00000000-0005-0000-0000-0000CF0B0000}"/>
    <cellStyle name="20% - Accent2 6 2 2 2" xfId="1136" xr:uid="{00000000-0005-0000-0000-0000D00B0000}"/>
    <cellStyle name="20% - Accent2 6 2 2 2 2" xfId="4663" xr:uid="{00000000-0005-0000-0000-0000D10B0000}"/>
    <cellStyle name="20% - Accent2 6 2 2 2 2 2" xfId="8254" xr:uid="{00000000-0005-0000-0000-0000D20B0000}"/>
    <cellStyle name="20% - Accent2 6 2 2 2 2 2 2" xfId="16224" xr:uid="{00000000-0005-0000-0000-0000D30B0000}"/>
    <cellStyle name="20% - Accent2 6 2 2 2 2 2 2 2" xfId="40066" xr:uid="{74788208-2934-4F87-940E-A199BD575AC4}"/>
    <cellStyle name="20% - Accent2 6 2 2 2 2 2 3" xfId="24170" xr:uid="{00000000-0005-0000-0000-0000D40B0000}"/>
    <cellStyle name="20% - Accent2 6 2 2 2 2 2 3 2" xfId="48002" xr:uid="{92CE8A66-D91E-4B16-8284-7EF1B324E506}"/>
    <cellStyle name="20% - Accent2 6 2 2 2 2 2 4" xfId="32125" xr:uid="{E6E7A39E-7BFF-404B-AEF7-913D4E6773CF}"/>
    <cellStyle name="20% - Accent2 6 2 2 2 2 3" xfId="12686" xr:uid="{00000000-0005-0000-0000-0000D50B0000}"/>
    <cellStyle name="20% - Accent2 6 2 2 2 2 3 2" xfId="36535" xr:uid="{25410E85-B972-4C04-A0FD-B1B8A3486AF6}"/>
    <cellStyle name="20% - Accent2 6 2 2 2 2 4" xfId="20641" xr:uid="{00000000-0005-0000-0000-0000D60B0000}"/>
    <cellStyle name="20% - Accent2 6 2 2 2 2 4 2" xfId="44473" xr:uid="{3CAFBBE1-79A0-4752-946B-36157B35CB4D}"/>
    <cellStyle name="20% - Accent2 6 2 2 2 2 5" xfId="28594" xr:uid="{1C9E29AE-090B-43AC-8C94-7C52D332F80E}"/>
    <cellStyle name="20% - Accent2 6 2 2 2 3" xfId="6495" xr:uid="{00000000-0005-0000-0000-0000D70B0000}"/>
    <cellStyle name="20% - Accent2 6 2 2 2 3 2" xfId="14466" xr:uid="{00000000-0005-0000-0000-0000D80B0000}"/>
    <cellStyle name="20% - Accent2 6 2 2 2 3 2 2" xfId="38308" xr:uid="{CDCF9B69-BAF2-4311-8939-4DF16AC3293E}"/>
    <cellStyle name="20% - Accent2 6 2 2 2 3 3" xfId="22413" xr:uid="{00000000-0005-0000-0000-0000D90B0000}"/>
    <cellStyle name="20% - Accent2 6 2 2 2 3 3 2" xfId="46245" xr:uid="{36257A18-ED99-49CC-889D-F8AC25D40A85}"/>
    <cellStyle name="20% - Accent2 6 2 2 2 3 4" xfId="30367" xr:uid="{14CC1119-0FCB-492D-8AA1-4CDE9643B39E}"/>
    <cellStyle name="20% - Accent2 6 2 2 2 4" xfId="10930" xr:uid="{00000000-0005-0000-0000-0000DA0B0000}"/>
    <cellStyle name="20% - Accent2 6 2 2 2 4 2" xfId="34779" xr:uid="{7D5FA303-8029-4D29-916E-4A3FCEE495D2}"/>
    <cellStyle name="20% - Accent2 6 2 2 2 5" xfId="18885" xr:uid="{00000000-0005-0000-0000-0000DB0B0000}"/>
    <cellStyle name="20% - Accent2 6 2 2 2 5 2" xfId="42717" xr:uid="{933D9AA3-84F9-4245-836B-E1A211645A0A}"/>
    <cellStyle name="20% - Accent2 6 2 2 2 6" xfId="26837" xr:uid="{8691C318-A8EB-43C4-8918-9F05F34B3453}"/>
    <cellStyle name="20% - Accent2 6 2 2 2_Exh G" xfId="2145" xr:uid="{00000000-0005-0000-0000-0000DC0B0000}"/>
    <cellStyle name="20% - Accent2 6 2 2 3" xfId="3784" xr:uid="{00000000-0005-0000-0000-0000DD0B0000}"/>
    <cellStyle name="20% - Accent2 6 2 2 3 2" xfId="7376" xr:uid="{00000000-0005-0000-0000-0000DE0B0000}"/>
    <cellStyle name="20% - Accent2 6 2 2 3 2 2" xfId="15346" xr:uid="{00000000-0005-0000-0000-0000DF0B0000}"/>
    <cellStyle name="20% - Accent2 6 2 2 3 2 2 2" xfId="39188" xr:uid="{7ED31645-64C4-4E41-BF0D-475ADD990294}"/>
    <cellStyle name="20% - Accent2 6 2 2 3 2 3" xfId="23292" xr:uid="{00000000-0005-0000-0000-0000E00B0000}"/>
    <cellStyle name="20% - Accent2 6 2 2 3 2 3 2" xfId="47124" xr:uid="{3F22B487-4A19-4E48-AE8F-37F0CAC9BDD4}"/>
    <cellStyle name="20% - Accent2 6 2 2 3 2 4" xfId="31247" xr:uid="{EAC2B9FB-9223-4471-8447-CAD949533C3B}"/>
    <cellStyle name="20% - Accent2 6 2 2 3 3" xfId="11808" xr:uid="{00000000-0005-0000-0000-0000E10B0000}"/>
    <cellStyle name="20% - Accent2 6 2 2 3 3 2" xfId="35657" xr:uid="{E23AFF06-DF63-4D55-B482-143B3B301656}"/>
    <cellStyle name="20% - Accent2 6 2 2 3 4" xfId="19763" xr:uid="{00000000-0005-0000-0000-0000E20B0000}"/>
    <cellStyle name="20% - Accent2 6 2 2 3 4 2" xfId="43595" xr:uid="{86B435D1-D2EB-4AD4-A3ED-DD2D5F9C1D28}"/>
    <cellStyle name="20% - Accent2 6 2 2 3 5" xfId="27716" xr:uid="{69537D67-AD8E-4FEA-B8BB-45B76DC94AD9}"/>
    <cellStyle name="20% - Accent2 6 2 2 4" xfId="5604" xr:uid="{00000000-0005-0000-0000-0000E30B0000}"/>
    <cellStyle name="20% - Accent2 6 2 2 4 2" xfId="13587" xr:uid="{00000000-0005-0000-0000-0000E40B0000}"/>
    <cellStyle name="20% - Accent2 6 2 2 4 2 2" xfId="37430" xr:uid="{8B1F4C50-52BC-4EC7-AC98-1686B0D21ABE}"/>
    <cellStyle name="20% - Accent2 6 2 2 4 3" xfId="21535" xr:uid="{00000000-0005-0000-0000-0000E50B0000}"/>
    <cellStyle name="20% - Accent2 6 2 2 4 3 2" xfId="45367" xr:uid="{6AA3E2E6-5EAB-4401-8FF0-6231B6C49355}"/>
    <cellStyle name="20% - Accent2 6 2 2 4 4" xfId="29489" xr:uid="{4C4840AD-3BCA-4CD2-867F-C3555439B52F}"/>
    <cellStyle name="20% - Accent2 6 2 2 5" xfId="9156" xr:uid="{00000000-0005-0000-0000-0000E60B0000}"/>
    <cellStyle name="20% - Accent2 6 2 2 5 2" xfId="17114" xr:uid="{00000000-0005-0000-0000-0000E70B0000}"/>
    <cellStyle name="20% - Accent2 6 2 2 5 2 2" xfId="40954" xr:uid="{7F430466-16A2-43A8-B012-3F3642D65864}"/>
    <cellStyle name="20% - Accent2 6 2 2 5 3" xfId="25058" xr:uid="{00000000-0005-0000-0000-0000E80B0000}"/>
    <cellStyle name="20% - Accent2 6 2 2 5 3 2" xfId="48890" xr:uid="{765584C8-8B69-4CE1-BF81-0BB8193D384F}"/>
    <cellStyle name="20% - Accent2 6 2 2 5 4" xfId="33013" xr:uid="{C690C2A4-F0FD-4C7B-BEF9-D3D90CD9EB33}"/>
    <cellStyle name="20% - Accent2 6 2 2 6" xfId="10052" xr:uid="{00000000-0005-0000-0000-0000E90B0000}"/>
    <cellStyle name="20% - Accent2 6 2 2 6 2" xfId="33901" xr:uid="{D83F041C-64FF-4305-BF08-F6E7C2159435}"/>
    <cellStyle name="20% - Accent2 6 2 2 7" xfId="18007" xr:uid="{00000000-0005-0000-0000-0000EA0B0000}"/>
    <cellStyle name="20% - Accent2 6 2 2 7 2" xfId="41839" xr:uid="{2BA044A4-5D7D-4688-9313-474EB47300C8}"/>
    <cellStyle name="20% - Accent2 6 2 2 8" xfId="25959" xr:uid="{0472172D-56DC-4471-A58A-69C4A6D84C5E}"/>
    <cellStyle name="20% - Accent2 6 2 2_Exh G" xfId="2144" xr:uid="{00000000-0005-0000-0000-0000EB0B0000}"/>
    <cellStyle name="20% - Accent2 6 2 3" xfId="1135" xr:uid="{00000000-0005-0000-0000-0000EC0B0000}"/>
    <cellStyle name="20% - Accent2 6 2 3 2" xfId="4662" xr:uid="{00000000-0005-0000-0000-0000ED0B0000}"/>
    <cellStyle name="20% - Accent2 6 2 3 2 2" xfId="8253" xr:uid="{00000000-0005-0000-0000-0000EE0B0000}"/>
    <cellStyle name="20% - Accent2 6 2 3 2 2 2" xfId="16223" xr:uid="{00000000-0005-0000-0000-0000EF0B0000}"/>
    <cellStyle name="20% - Accent2 6 2 3 2 2 2 2" xfId="40065" xr:uid="{3C5A23B9-1DB1-4606-A26A-61F7051154F8}"/>
    <cellStyle name="20% - Accent2 6 2 3 2 2 3" xfId="24169" xr:uid="{00000000-0005-0000-0000-0000F00B0000}"/>
    <cellStyle name="20% - Accent2 6 2 3 2 2 3 2" xfId="48001" xr:uid="{404DC781-8B25-4FA4-B55E-B2AC4133A544}"/>
    <cellStyle name="20% - Accent2 6 2 3 2 2 4" xfId="32124" xr:uid="{B803A046-A3EE-42D2-A36C-D421C3705BD0}"/>
    <cellStyle name="20% - Accent2 6 2 3 2 3" xfId="12685" xr:uid="{00000000-0005-0000-0000-0000F10B0000}"/>
    <cellStyle name="20% - Accent2 6 2 3 2 3 2" xfId="36534" xr:uid="{552B895C-A38B-4D76-9001-E4000C9C99AB}"/>
    <cellStyle name="20% - Accent2 6 2 3 2 4" xfId="20640" xr:uid="{00000000-0005-0000-0000-0000F20B0000}"/>
    <cellStyle name="20% - Accent2 6 2 3 2 4 2" xfId="44472" xr:uid="{EB963F03-AFFD-4F80-B4CC-9A4558D24571}"/>
    <cellStyle name="20% - Accent2 6 2 3 2 5" xfId="28593" xr:uid="{05E02FDF-E6A1-40CA-A82F-1F3E126DCFEB}"/>
    <cellStyle name="20% - Accent2 6 2 3 3" xfId="6494" xr:uid="{00000000-0005-0000-0000-0000F30B0000}"/>
    <cellStyle name="20% - Accent2 6 2 3 3 2" xfId="14465" xr:uid="{00000000-0005-0000-0000-0000F40B0000}"/>
    <cellStyle name="20% - Accent2 6 2 3 3 2 2" xfId="38307" xr:uid="{CB72C2CE-B20E-4777-967E-4CF6AC9F24A5}"/>
    <cellStyle name="20% - Accent2 6 2 3 3 3" xfId="22412" xr:uid="{00000000-0005-0000-0000-0000F50B0000}"/>
    <cellStyle name="20% - Accent2 6 2 3 3 3 2" xfId="46244" xr:uid="{B3020C40-AA4F-4C18-B0B9-3F8D2B446BB3}"/>
    <cellStyle name="20% - Accent2 6 2 3 3 4" xfId="30366" xr:uid="{5543938E-3966-44DA-9178-A98FED26E3D4}"/>
    <cellStyle name="20% - Accent2 6 2 3 4" xfId="10929" xr:uid="{00000000-0005-0000-0000-0000F60B0000}"/>
    <cellStyle name="20% - Accent2 6 2 3 4 2" xfId="34778" xr:uid="{D65EC0A7-1E2E-4F44-9909-172B12DC6EF5}"/>
    <cellStyle name="20% - Accent2 6 2 3 5" xfId="18884" xr:uid="{00000000-0005-0000-0000-0000F70B0000}"/>
    <cellStyle name="20% - Accent2 6 2 3 5 2" xfId="42716" xr:uid="{441DEABD-CFDC-482A-93E8-3F6455F6EDD5}"/>
    <cellStyle name="20% - Accent2 6 2 3 6" xfId="26836" xr:uid="{6EBC9FE9-2435-4A51-B946-62EB781DB410}"/>
    <cellStyle name="20% - Accent2 6 2 3_Exh G" xfId="2146" xr:uid="{00000000-0005-0000-0000-0000F80B0000}"/>
    <cellStyle name="20% - Accent2 6 2 4" xfId="3783" xr:uid="{00000000-0005-0000-0000-0000F90B0000}"/>
    <cellStyle name="20% - Accent2 6 2 4 2" xfId="7375" xr:uid="{00000000-0005-0000-0000-0000FA0B0000}"/>
    <cellStyle name="20% - Accent2 6 2 4 2 2" xfId="15345" xr:uid="{00000000-0005-0000-0000-0000FB0B0000}"/>
    <cellStyle name="20% - Accent2 6 2 4 2 2 2" xfId="39187" xr:uid="{9415A5D4-1808-4B78-A59B-954BEB6BE093}"/>
    <cellStyle name="20% - Accent2 6 2 4 2 3" xfId="23291" xr:uid="{00000000-0005-0000-0000-0000FC0B0000}"/>
    <cellStyle name="20% - Accent2 6 2 4 2 3 2" xfId="47123" xr:uid="{4B93888C-44B4-4AB6-AC02-EBBACAC6D267}"/>
    <cellStyle name="20% - Accent2 6 2 4 2 4" xfId="31246" xr:uid="{5D2A98F3-5C94-4906-84B8-D153B32FF5DB}"/>
    <cellStyle name="20% - Accent2 6 2 4 3" xfId="11807" xr:uid="{00000000-0005-0000-0000-0000FD0B0000}"/>
    <cellStyle name="20% - Accent2 6 2 4 3 2" xfId="35656" xr:uid="{C278E1C7-F415-42D1-B507-5182818E8B7F}"/>
    <cellStyle name="20% - Accent2 6 2 4 4" xfId="19762" xr:uid="{00000000-0005-0000-0000-0000FE0B0000}"/>
    <cellStyle name="20% - Accent2 6 2 4 4 2" xfId="43594" xr:uid="{74B69A6F-AB3E-4823-B5B9-6430E15F5ED2}"/>
    <cellStyle name="20% - Accent2 6 2 4 5" xfId="27715" xr:uid="{65A829FA-FFAB-454D-A452-6E5288E9FECE}"/>
    <cellStyle name="20% - Accent2 6 2 5" xfId="5603" xr:uid="{00000000-0005-0000-0000-0000FF0B0000}"/>
    <cellStyle name="20% - Accent2 6 2 5 2" xfId="13586" xr:uid="{00000000-0005-0000-0000-0000000C0000}"/>
    <cellStyle name="20% - Accent2 6 2 5 2 2" xfId="37429" xr:uid="{49919122-26EF-4788-8350-BBE5F9C0A1F4}"/>
    <cellStyle name="20% - Accent2 6 2 5 3" xfId="21534" xr:uid="{00000000-0005-0000-0000-0000010C0000}"/>
    <cellStyle name="20% - Accent2 6 2 5 3 2" xfId="45366" xr:uid="{E6368992-B1CF-48E9-9D54-A66E1659CDFF}"/>
    <cellStyle name="20% - Accent2 6 2 5 4" xfId="29488" xr:uid="{96A1821C-2108-4DBE-AAE3-07446743307F}"/>
    <cellStyle name="20% - Accent2 6 2 6" xfId="9155" xr:uid="{00000000-0005-0000-0000-0000020C0000}"/>
    <cellStyle name="20% - Accent2 6 2 6 2" xfId="17113" xr:uid="{00000000-0005-0000-0000-0000030C0000}"/>
    <cellStyle name="20% - Accent2 6 2 6 2 2" xfId="40953" xr:uid="{813DC7E2-ECD3-44A0-AE2B-BDE077904AD9}"/>
    <cellStyle name="20% - Accent2 6 2 6 3" xfId="25057" xr:uid="{00000000-0005-0000-0000-0000040C0000}"/>
    <cellStyle name="20% - Accent2 6 2 6 3 2" xfId="48889" xr:uid="{A20F0172-04D0-4384-A2E8-12905E9DE3A7}"/>
    <cellStyle name="20% - Accent2 6 2 6 4" xfId="33012" xr:uid="{E4AAA2DA-E6C3-4D95-9C0B-20A725EB8D67}"/>
    <cellStyle name="20% - Accent2 6 2 7" xfId="10051" xr:uid="{00000000-0005-0000-0000-0000050C0000}"/>
    <cellStyle name="20% - Accent2 6 2 7 2" xfId="33900" xr:uid="{E9D67EA1-CA4A-4ED6-B266-3847E8C01704}"/>
    <cellStyle name="20% - Accent2 6 2 8" xfId="18006" xr:uid="{00000000-0005-0000-0000-0000060C0000}"/>
    <cellStyle name="20% - Accent2 6 2 8 2" xfId="41838" xr:uid="{926F65A7-4774-4B99-BEF1-1D1D88876827}"/>
    <cellStyle name="20% - Accent2 6 2 9" xfId="25958" xr:uid="{98D16D82-DA3E-4860-A405-64275FACDD09}"/>
    <cellStyle name="20% - Accent2 6 2_Exh G" xfId="2143" xr:uid="{00000000-0005-0000-0000-0000070C0000}"/>
    <cellStyle name="20% - Accent2 6 3" xfId="111" xr:uid="{00000000-0005-0000-0000-0000080C0000}"/>
    <cellStyle name="20% - Accent2 6 3 2" xfId="1137" xr:uid="{00000000-0005-0000-0000-0000090C0000}"/>
    <cellStyle name="20% - Accent2 6 3 2 2" xfId="4664" xr:uid="{00000000-0005-0000-0000-00000A0C0000}"/>
    <cellStyle name="20% - Accent2 6 3 2 2 2" xfId="8255" xr:uid="{00000000-0005-0000-0000-00000B0C0000}"/>
    <cellStyle name="20% - Accent2 6 3 2 2 2 2" xfId="16225" xr:uid="{00000000-0005-0000-0000-00000C0C0000}"/>
    <cellStyle name="20% - Accent2 6 3 2 2 2 2 2" xfId="40067" xr:uid="{63FEA3D8-1436-489F-B10C-4FFCC4755FE4}"/>
    <cellStyle name="20% - Accent2 6 3 2 2 2 3" xfId="24171" xr:uid="{00000000-0005-0000-0000-00000D0C0000}"/>
    <cellStyle name="20% - Accent2 6 3 2 2 2 3 2" xfId="48003" xr:uid="{68B6EF15-C57A-4610-B7C3-235E4B57F004}"/>
    <cellStyle name="20% - Accent2 6 3 2 2 2 4" xfId="32126" xr:uid="{A275864E-7D27-47E1-BE53-55EA120B4E10}"/>
    <cellStyle name="20% - Accent2 6 3 2 2 3" xfId="12687" xr:uid="{00000000-0005-0000-0000-00000E0C0000}"/>
    <cellStyle name="20% - Accent2 6 3 2 2 3 2" xfId="36536" xr:uid="{035745A7-93DE-46B9-8547-69E81326DB86}"/>
    <cellStyle name="20% - Accent2 6 3 2 2 4" xfId="20642" xr:uid="{00000000-0005-0000-0000-00000F0C0000}"/>
    <cellStyle name="20% - Accent2 6 3 2 2 4 2" xfId="44474" xr:uid="{D817AF46-42AE-44B4-A7EE-3F23D42DD966}"/>
    <cellStyle name="20% - Accent2 6 3 2 2 5" xfId="28595" xr:uid="{AE046255-B330-4C8C-9AC2-3F0956677A3B}"/>
    <cellStyle name="20% - Accent2 6 3 2 3" xfId="6496" xr:uid="{00000000-0005-0000-0000-0000100C0000}"/>
    <cellStyle name="20% - Accent2 6 3 2 3 2" xfId="14467" xr:uid="{00000000-0005-0000-0000-0000110C0000}"/>
    <cellStyle name="20% - Accent2 6 3 2 3 2 2" xfId="38309" xr:uid="{1AE5D3E5-6DF4-4980-B144-46B11207C1E0}"/>
    <cellStyle name="20% - Accent2 6 3 2 3 3" xfId="22414" xr:uid="{00000000-0005-0000-0000-0000120C0000}"/>
    <cellStyle name="20% - Accent2 6 3 2 3 3 2" xfId="46246" xr:uid="{B325A738-D845-46D9-A56F-E6269AC4E325}"/>
    <cellStyle name="20% - Accent2 6 3 2 3 4" xfId="30368" xr:uid="{89048035-4E45-4394-B958-0CE043F98B6C}"/>
    <cellStyle name="20% - Accent2 6 3 2 4" xfId="10931" xr:uid="{00000000-0005-0000-0000-0000130C0000}"/>
    <cellStyle name="20% - Accent2 6 3 2 4 2" xfId="34780" xr:uid="{CA6D0D39-17A1-4470-B6AA-1EB42BCFF141}"/>
    <cellStyle name="20% - Accent2 6 3 2 5" xfId="18886" xr:uid="{00000000-0005-0000-0000-0000140C0000}"/>
    <cellStyle name="20% - Accent2 6 3 2 5 2" xfId="42718" xr:uid="{5977C4F5-296F-443E-A3A9-90F51ACB9A0D}"/>
    <cellStyle name="20% - Accent2 6 3 2 6" xfId="26838" xr:uid="{751A2098-0DB7-4B2C-8A9C-9247C2FE305D}"/>
    <cellStyle name="20% - Accent2 6 3 2_Exh G" xfId="2148" xr:uid="{00000000-0005-0000-0000-0000150C0000}"/>
    <cellStyle name="20% - Accent2 6 3 3" xfId="3785" xr:uid="{00000000-0005-0000-0000-0000160C0000}"/>
    <cellStyle name="20% - Accent2 6 3 3 2" xfId="7377" xr:uid="{00000000-0005-0000-0000-0000170C0000}"/>
    <cellStyle name="20% - Accent2 6 3 3 2 2" xfId="15347" xr:uid="{00000000-0005-0000-0000-0000180C0000}"/>
    <cellStyle name="20% - Accent2 6 3 3 2 2 2" xfId="39189" xr:uid="{A1F923BC-A7F1-4B1C-A0AE-324951094772}"/>
    <cellStyle name="20% - Accent2 6 3 3 2 3" xfId="23293" xr:uid="{00000000-0005-0000-0000-0000190C0000}"/>
    <cellStyle name="20% - Accent2 6 3 3 2 3 2" xfId="47125" xr:uid="{0FBE9A1D-E65E-446D-B37B-775EC7F75276}"/>
    <cellStyle name="20% - Accent2 6 3 3 2 4" xfId="31248" xr:uid="{83A26F5D-96B0-44F7-92A6-B743854F8E0E}"/>
    <cellStyle name="20% - Accent2 6 3 3 3" xfId="11809" xr:uid="{00000000-0005-0000-0000-00001A0C0000}"/>
    <cellStyle name="20% - Accent2 6 3 3 3 2" xfId="35658" xr:uid="{59747A19-8316-4515-A6A5-74070ACC6F85}"/>
    <cellStyle name="20% - Accent2 6 3 3 4" xfId="19764" xr:uid="{00000000-0005-0000-0000-00001B0C0000}"/>
    <cellStyle name="20% - Accent2 6 3 3 4 2" xfId="43596" xr:uid="{7F149BFA-407D-4282-A2DB-2846A362E9E2}"/>
    <cellStyle name="20% - Accent2 6 3 3 5" xfId="27717" xr:uid="{2C8E91E8-262E-4930-B68A-921A286E2545}"/>
    <cellStyle name="20% - Accent2 6 3 4" xfId="5605" xr:uid="{00000000-0005-0000-0000-00001C0C0000}"/>
    <cellStyle name="20% - Accent2 6 3 4 2" xfId="13588" xr:uid="{00000000-0005-0000-0000-00001D0C0000}"/>
    <cellStyle name="20% - Accent2 6 3 4 2 2" xfId="37431" xr:uid="{07B4B4FD-3AA6-4AF0-97D1-1E776A6E564B}"/>
    <cellStyle name="20% - Accent2 6 3 4 3" xfId="21536" xr:uid="{00000000-0005-0000-0000-00001E0C0000}"/>
    <cellStyle name="20% - Accent2 6 3 4 3 2" xfId="45368" xr:uid="{34A55591-52D8-4200-96D1-012109C61B71}"/>
    <cellStyle name="20% - Accent2 6 3 4 4" xfId="29490" xr:uid="{B2FC53F5-7CFF-4381-84EB-0EC32B8C740A}"/>
    <cellStyle name="20% - Accent2 6 3 5" xfId="9157" xr:uid="{00000000-0005-0000-0000-00001F0C0000}"/>
    <cellStyle name="20% - Accent2 6 3 5 2" xfId="17115" xr:uid="{00000000-0005-0000-0000-0000200C0000}"/>
    <cellStyle name="20% - Accent2 6 3 5 2 2" xfId="40955" xr:uid="{F4832575-7B55-4674-881B-E58E578DF56D}"/>
    <cellStyle name="20% - Accent2 6 3 5 3" xfId="25059" xr:uid="{00000000-0005-0000-0000-0000210C0000}"/>
    <cellStyle name="20% - Accent2 6 3 5 3 2" xfId="48891" xr:uid="{8E4394AF-7744-4FB7-A057-F82A56BF7DDC}"/>
    <cellStyle name="20% - Accent2 6 3 5 4" xfId="33014" xr:uid="{719594AD-834E-4904-BBA9-C2EC3CBDAEE6}"/>
    <cellStyle name="20% - Accent2 6 3 6" xfId="10053" xr:uid="{00000000-0005-0000-0000-0000220C0000}"/>
    <cellStyle name="20% - Accent2 6 3 6 2" xfId="33902" xr:uid="{873F653E-9AD2-4AF3-9FE4-6AA786276D79}"/>
    <cellStyle name="20% - Accent2 6 3 7" xfId="18008" xr:uid="{00000000-0005-0000-0000-0000230C0000}"/>
    <cellStyle name="20% - Accent2 6 3 7 2" xfId="41840" xr:uid="{7F339D36-C55F-4C61-98EB-777222317ECA}"/>
    <cellStyle name="20% - Accent2 6 3 8" xfId="25960" xr:uid="{210E58E8-A8FC-4521-A026-1E96B5AD6A36}"/>
    <cellStyle name="20% - Accent2 6 3_Exh G" xfId="2147" xr:uid="{00000000-0005-0000-0000-0000240C0000}"/>
    <cellStyle name="20% - Accent2 6 4" xfId="879" xr:uid="{00000000-0005-0000-0000-0000250C0000}"/>
    <cellStyle name="20% - Accent2 6 4 2" xfId="1808" xr:uid="{00000000-0005-0000-0000-0000260C0000}"/>
    <cellStyle name="20% - Accent2 6 4 2 2" xfId="5325" xr:uid="{00000000-0005-0000-0000-0000270C0000}"/>
    <cellStyle name="20% - Accent2 6 4 2 2 2" xfId="8916" xr:uid="{00000000-0005-0000-0000-0000280C0000}"/>
    <cellStyle name="20% - Accent2 6 4 2 2 2 2" xfId="16886" xr:uid="{00000000-0005-0000-0000-0000290C0000}"/>
    <cellStyle name="20% - Accent2 6 4 2 2 2 2 2" xfId="40728" xr:uid="{E52CF486-8C7E-459F-86AC-07BA10E73290}"/>
    <cellStyle name="20% - Accent2 6 4 2 2 2 3" xfId="24832" xr:uid="{00000000-0005-0000-0000-00002A0C0000}"/>
    <cellStyle name="20% - Accent2 6 4 2 2 2 3 2" xfId="48664" xr:uid="{F9D5D8F6-4640-4415-BBC0-E6DEA7AE9C63}"/>
    <cellStyle name="20% - Accent2 6 4 2 2 2 4" xfId="32787" xr:uid="{B6B6BBB8-948A-4E57-B362-9910FA535DB7}"/>
    <cellStyle name="20% - Accent2 6 4 2 2 3" xfId="13348" xr:uid="{00000000-0005-0000-0000-00002B0C0000}"/>
    <cellStyle name="20% - Accent2 6 4 2 2 3 2" xfId="37197" xr:uid="{2F38D8BD-1269-491B-B509-9D1B04FA1384}"/>
    <cellStyle name="20% - Accent2 6 4 2 2 4" xfId="21303" xr:uid="{00000000-0005-0000-0000-00002C0C0000}"/>
    <cellStyle name="20% - Accent2 6 4 2 2 4 2" xfId="45135" xr:uid="{C24A6338-6842-4E5C-96E6-0F2DE8A9D9AC}"/>
    <cellStyle name="20% - Accent2 6 4 2 2 5" xfId="29256" xr:uid="{85981997-1327-415A-85C1-C00E20DE5FBF}"/>
    <cellStyle name="20% - Accent2 6 4 2 3" xfId="7157" xr:uid="{00000000-0005-0000-0000-00002D0C0000}"/>
    <cellStyle name="20% - Accent2 6 4 2 3 2" xfId="15128" xr:uid="{00000000-0005-0000-0000-00002E0C0000}"/>
    <cellStyle name="20% - Accent2 6 4 2 3 2 2" xfId="38970" xr:uid="{6730F9A8-B85D-4E4E-B1A6-42B3D80500AD}"/>
    <cellStyle name="20% - Accent2 6 4 2 3 3" xfId="23075" xr:uid="{00000000-0005-0000-0000-00002F0C0000}"/>
    <cellStyle name="20% - Accent2 6 4 2 3 3 2" xfId="46907" xr:uid="{0A928EEA-7C23-40AB-B0FB-2B11B3293363}"/>
    <cellStyle name="20% - Accent2 6 4 2 3 4" xfId="31029" xr:uid="{F0B869B8-8AEC-4D7A-BA16-2A87480943ED}"/>
    <cellStyle name="20% - Accent2 6 4 2 4" xfId="11592" xr:uid="{00000000-0005-0000-0000-0000300C0000}"/>
    <cellStyle name="20% - Accent2 6 4 2 4 2" xfId="35441" xr:uid="{E1F0D004-EA19-4192-8062-B7F7631D9A90}"/>
    <cellStyle name="20% - Accent2 6 4 2 5" xfId="19547" xr:uid="{00000000-0005-0000-0000-0000310C0000}"/>
    <cellStyle name="20% - Accent2 6 4 2 5 2" xfId="43379" xr:uid="{BE13CEC4-6190-4FE9-84F8-96BA8BA45211}"/>
    <cellStyle name="20% - Accent2 6 4 2 6" xfId="27499" xr:uid="{BF19BA41-A617-4C3D-BA6C-ADF8E399CFFC}"/>
    <cellStyle name="20% - Accent2 6 4 2_Exh G" xfId="2150" xr:uid="{00000000-0005-0000-0000-0000320C0000}"/>
    <cellStyle name="20% - Accent2 6 4 3" xfId="4446" xr:uid="{00000000-0005-0000-0000-0000330C0000}"/>
    <cellStyle name="20% - Accent2 6 4 3 2" xfId="8038" xr:uid="{00000000-0005-0000-0000-0000340C0000}"/>
    <cellStyle name="20% - Accent2 6 4 3 2 2" xfId="16008" xr:uid="{00000000-0005-0000-0000-0000350C0000}"/>
    <cellStyle name="20% - Accent2 6 4 3 2 2 2" xfId="39850" xr:uid="{E0B25F0A-0663-415A-8593-D54AA8468A54}"/>
    <cellStyle name="20% - Accent2 6 4 3 2 3" xfId="23954" xr:uid="{00000000-0005-0000-0000-0000360C0000}"/>
    <cellStyle name="20% - Accent2 6 4 3 2 3 2" xfId="47786" xr:uid="{D1B7A68C-0396-4F60-9AA8-BC43D9433912}"/>
    <cellStyle name="20% - Accent2 6 4 3 2 4" xfId="31909" xr:uid="{DB2BE462-2213-4EFA-82E6-25A06D5DB8A8}"/>
    <cellStyle name="20% - Accent2 6 4 3 3" xfId="12470" xr:uid="{00000000-0005-0000-0000-0000370C0000}"/>
    <cellStyle name="20% - Accent2 6 4 3 3 2" xfId="36319" xr:uid="{0E8E7018-F284-46D9-A35F-3050D6F0386E}"/>
    <cellStyle name="20% - Accent2 6 4 3 4" xfId="20425" xr:uid="{00000000-0005-0000-0000-0000380C0000}"/>
    <cellStyle name="20% - Accent2 6 4 3 4 2" xfId="44257" xr:uid="{1865ACD4-6AF3-471A-ADA9-47922478F3F0}"/>
    <cellStyle name="20% - Accent2 6 4 3 5" xfId="28378" xr:uid="{1B0161A1-2E19-4C3F-8082-DE22B6FE5B11}"/>
    <cellStyle name="20% - Accent2 6 4 4" xfId="6276" xr:uid="{00000000-0005-0000-0000-0000390C0000}"/>
    <cellStyle name="20% - Accent2 6 4 4 2" xfId="14250" xr:uid="{00000000-0005-0000-0000-00003A0C0000}"/>
    <cellStyle name="20% - Accent2 6 4 4 2 2" xfId="38092" xr:uid="{F396255C-2338-4CEC-97B4-26842402DEDA}"/>
    <cellStyle name="20% - Accent2 6 4 4 3" xfId="22197" xr:uid="{00000000-0005-0000-0000-00003B0C0000}"/>
    <cellStyle name="20% - Accent2 6 4 4 3 2" xfId="46029" xr:uid="{CE39650F-008B-4790-8D1E-46E374BECAD9}"/>
    <cellStyle name="20% - Accent2 6 4 4 4" xfId="30151" xr:uid="{4F2F4FFF-3167-47FF-A9D6-63C2FEC60A6E}"/>
    <cellStyle name="20% - Accent2 6 4 5" xfId="9818" xr:uid="{00000000-0005-0000-0000-00003C0C0000}"/>
    <cellStyle name="20% - Accent2 6 4 5 2" xfId="17776" xr:uid="{00000000-0005-0000-0000-00003D0C0000}"/>
    <cellStyle name="20% - Accent2 6 4 5 2 2" xfId="41616" xr:uid="{FB96E43E-981F-49D5-AF28-4BEC9A0F22AD}"/>
    <cellStyle name="20% - Accent2 6 4 5 3" xfId="25720" xr:uid="{00000000-0005-0000-0000-00003E0C0000}"/>
    <cellStyle name="20% - Accent2 6 4 5 3 2" xfId="49552" xr:uid="{46A107BF-3E40-441F-A98C-1C5EE658BC8B}"/>
    <cellStyle name="20% - Accent2 6 4 5 4" xfId="33675" xr:uid="{B5B91906-FE87-4AD3-9177-88E23E46940B}"/>
    <cellStyle name="20% - Accent2 6 4 6" xfId="10714" xr:uid="{00000000-0005-0000-0000-00003F0C0000}"/>
    <cellStyle name="20% - Accent2 6 4 6 2" xfId="34563" xr:uid="{7C6EAF35-869F-4CC1-9776-67EB92CD8A48}"/>
    <cellStyle name="20% - Accent2 6 4 7" xfId="18669" xr:uid="{00000000-0005-0000-0000-0000400C0000}"/>
    <cellStyle name="20% - Accent2 6 4 7 2" xfId="42501" xr:uid="{3981893A-CD6F-4895-B889-105DE35BDDED}"/>
    <cellStyle name="20% - Accent2 6 4 8" xfId="26621" xr:uid="{C18FC513-3864-45C5-B93F-0C284D35D955}"/>
    <cellStyle name="20% - Accent2 6 4_Exh G" xfId="2149" xr:uid="{00000000-0005-0000-0000-0000410C0000}"/>
    <cellStyle name="20% - Accent2 6 5" xfId="1134" xr:uid="{00000000-0005-0000-0000-0000420C0000}"/>
    <cellStyle name="20% - Accent2 6 5 2" xfId="4661" xr:uid="{00000000-0005-0000-0000-0000430C0000}"/>
    <cellStyle name="20% - Accent2 6 5 2 2" xfId="8252" xr:uid="{00000000-0005-0000-0000-0000440C0000}"/>
    <cellStyle name="20% - Accent2 6 5 2 2 2" xfId="16222" xr:uid="{00000000-0005-0000-0000-0000450C0000}"/>
    <cellStyle name="20% - Accent2 6 5 2 2 2 2" xfId="40064" xr:uid="{AFBDC77E-ACBA-4F60-8EA4-918E34D8B0CF}"/>
    <cellStyle name="20% - Accent2 6 5 2 2 3" xfId="24168" xr:uid="{00000000-0005-0000-0000-0000460C0000}"/>
    <cellStyle name="20% - Accent2 6 5 2 2 3 2" xfId="48000" xr:uid="{CC77224A-07F7-4A5A-8841-FCF2318EB57B}"/>
    <cellStyle name="20% - Accent2 6 5 2 2 4" xfId="32123" xr:uid="{F1BB71F0-AFF4-46EF-8D61-60B9C4A04567}"/>
    <cellStyle name="20% - Accent2 6 5 2 3" xfId="12684" xr:uid="{00000000-0005-0000-0000-0000470C0000}"/>
    <cellStyle name="20% - Accent2 6 5 2 3 2" xfId="36533" xr:uid="{71E430A7-8F36-48C5-833F-E6410152A3A6}"/>
    <cellStyle name="20% - Accent2 6 5 2 4" xfId="20639" xr:uid="{00000000-0005-0000-0000-0000480C0000}"/>
    <cellStyle name="20% - Accent2 6 5 2 4 2" xfId="44471" xr:uid="{078D04AF-4A40-4BB6-8A2D-ED219C85B32D}"/>
    <cellStyle name="20% - Accent2 6 5 2 5" xfId="28592" xr:uid="{3B7B9D74-C56D-4A30-97BC-9D791A76FFC4}"/>
    <cellStyle name="20% - Accent2 6 5 3" xfId="6493" xr:uid="{00000000-0005-0000-0000-0000490C0000}"/>
    <cellStyle name="20% - Accent2 6 5 3 2" xfId="14464" xr:uid="{00000000-0005-0000-0000-00004A0C0000}"/>
    <cellStyle name="20% - Accent2 6 5 3 2 2" xfId="38306" xr:uid="{55848DAE-DCF0-409E-BBF3-8822A0B1777F}"/>
    <cellStyle name="20% - Accent2 6 5 3 3" xfId="22411" xr:uid="{00000000-0005-0000-0000-00004B0C0000}"/>
    <cellStyle name="20% - Accent2 6 5 3 3 2" xfId="46243" xr:uid="{B22CADC4-C527-4527-9406-2FB6888EAF78}"/>
    <cellStyle name="20% - Accent2 6 5 3 4" xfId="30365" xr:uid="{6132A121-8003-4D48-BF1A-2A2F617E98E8}"/>
    <cellStyle name="20% - Accent2 6 5 4" xfId="10928" xr:uid="{00000000-0005-0000-0000-00004C0C0000}"/>
    <cellStyle name="20% - Accent2 6 5 4 2" xfId="34777" xr:uid="{8B9543A5-445A-4645-9D78-EDF9104BADCC}"/>
    <cellStyle name="20% - Accent2 6 5 5" xfId="18883" xr:uid="{00000000-0005-0000-0000-00004D0C0000}"/>
    <cellStyle name="20% - Accent2 6 5 5 2" xfId="42715" xr:uid="{F8A079D7-2130-4FD2-AFE3-75E31D0FACF7}"/>
    <cellStyle name="20% - Accent2 6 5 6" xfId="26835" xr:uid="{F8317AF9-4D21-4108-9471-96D01E442344}"/>
    <cellStyle name="20% - Accent2 6 5_Exh G" xfId="2151" xr:uid="{00000000-0005-0000-0000-00004E0C0000}"/>
    <cellStyle name="20% - Accent2 6 6" xfId="3782" xr:uid="{00000000-0005-0000-0000-00004F0C0000}"/>
    <cellStyle name="20% - Accent2 6 6 2" xfId="7374" xr:uid="{00000000-0005-0000-0000-0000500C0000}"/>
    <cellStyle name="20% - Accent2 6 6 2 2" xfId="15344" xr:uid="{00000000-0005-0000-0000-0000510C0000}"/>
    <cellStyle name="20% - Accent2 6 6 2 2 2" xfId="39186" xr:uid="{145A655B-E2F5-43B5-A935-296D8669A112}"/>
    <cellStyle name="20% - Accent2 6 6 2 3" xfId="23290" xr:uid="{00000000-0005-0000-0000-0000520C0000}"/>
    <cellStyle name="20% - Accent2 6 6 2 3 2" xfId="47122" xr:uid="{121C5970-1271-4CB9-8CD4-E3BCE57FB340}"/>
    <cellStyle name="20% - Accent2 6 6 2 4" xfId="31245" xr:uid="{EEA7F0FD-13B9-42A3-9EAC-5FFA2359C67C}"/>
    <cellStyle name="20% - Accent2 6 6 3" xfId="11806" xr:uid="{00000000-0005-0000-0000-0000530C0000}"/>
    <cellStyle name="20% - Accent2 6 6 3 2" xfId="35655" xr:uid="{79EDC1BE-DC8A-448F-BB17-1212CD0DF922}"/>
    <cellStyle name="20% - Accent2 6 6 4" xfId="19761" xr:uid="{00000000-0005-0000-0000-0000540C0000}"/>
    <cellStyle name="20% - Accent2 6 6 4 2" xfId="43593" xr:uid="{E6148975-2055-4661-9EC3-A8A7154199DE}"/>
    <cellStyle name="20% - Accent2 6 6 5" xfId="27714" xr:uid="{1D7240DB-CF84-40D3-B8C5-F1241B1BB185}"/>
    <cellStyle name="20% - Accent2 6 7" xfId="5602" xr:uid="{00000000-0005-0000-0000-0000550C0000}"/>
    <cellStyle name="20% - Accent2 6 7 2" xfId="13585" xr:uid="{00000000-0005-0000-0000-0000560C0000}"/>
    <cellStyle name="20% - Accent2 6 7 2 2" xfId="37428" xr:uid="{B639A273-9520-4AD8-B58D-A43E312BF4D3}"/>
    <cellStyle name="20% - Accent2 6 7 3" xfId="21533" xr:uid="{00000000-0005-0000-0000-0000570C0000}"/>
    <cellStyle name="20% - Accent2 6 7 3 2" xfId="45365" xr:uid="{ADDD73EF-9647-40C9-AEDF-0D71032B3008}"/>
    <cellStyle name="20% - Accent2 6 7 4" xfId="29487" xr:uid="{19D41192-B705-4057-92CA-142776B510AF}"/>
    <cellStyle name="20% - Accent2 6 8" xfId="9154" xr:uid="{00000000-0005-0000-0000-0000580C0000}"/>
    <cellStyle name="20% - Accent2 6 8 2" xfId="17112" xr:uid="{00000000-0005-0000-0000-0000590C0000}"/>
    <cellStyle name="20% - Accent2 6 8 2 2" xfId="40952" xr:uid="{49750992-8D45-4158-8894-63FA08DD27BD}"/>
    <cellStyle name="20% - Accent2 6 8 3" xfId="25056" xr:uid="{00000000-0005-0000-0000-00005A0C0000}"/>
    <cellStyle name="20% - Accent2 6 8 3 2" xfId="48888" xr:uid="{50C40D9D-DFFE-4F60-80E5-AB1A8F57312F}"/>
    <cellStyle name="20% - Accent2 6 8 4" xfId="33011" xr:uid="{1556CD18-3230-4D4D-ADA1-3B0F5B68FFF9}"/>
    <cellStyle name="20% - Accent2 6 9" xfId="10050" xr:uid="{00000000-0005-0000-0000-00005B0C0000}"/>
    <cellStyle name="20% - Accent2 6 9 2" xfId="33899" xr:uid="{EBB03102-713F-4D3F-AF04-4114F82FF85B}"/>
    <cellStyle name="20% - Accent2 6_Exh G" xfId="2142" xr:uid="{00000000-0005-0000-0000-00005C0C0000}"/>
    <cellStyle name="20% - Accent2 7" xfId="112" xr:uid="{00000000-0005-0000-0000-00005D0C0000}"/>
    <cellStyle name="20% - Accent2 7 10" xfId="18009" xr:uid="{00000000-0005-0000-0000-00005E0C0000}"/>
    <cellStyle name="20% - Accent2 7 10 2" xfId="41841" xr:uid="{02466E02-4735-44C4-BA0D-20E168547407}"/>
    <cellStyle name="20% - Accent2 7 11" xfId="25961" xr:uid="{9C41E04B-4BFD-4FB4-9C78-836D321B3864}"/>
    <cellStyle name="20% - Accent2 7 2" xfId="113" xr:uid="{00000000-0005-0000-0000-00005F0C0000}"/>
    <cellStyle name="20% - Accent2 7 2 2" xfId="114" xr:uid="{00000000-0005-0000-0000-0000600C0000}"/>
    <cellStyle name="20% - Accent2 7 2 2 2" xfId="1140" xr:uid="{00000000-0005-0000-0000-0000610C0000}"/>
    <cellStyle name="20% - Accent2 7 2 2 2 2" xfId="4667" xr:uid="{00000000-0005-0000-0000-0000620C0000}"/>
    <cellStyle name="20% - Accent2 7 2 2 2 2 2" xfId="8258" xr:uid="{00000000-0005-0000-0000-0000630C0000}"/>
    <cellStyle name="20% - Accent2 7 2 2 2 2 2 2" xfId="16228" xr:uid="{00000000-0005-0000-0000-0000640C0000}"/>
    <cellStyle name="20% - Accent2 7 2 2 2 2 2 2 2" xfId="40070" xr:uid="{12DFACA3-623A-4586-8FEC-08EFD44268E6}"/>
    <cellStyle name="20% - Accent2 7 2 2 2 2 2 3" xfId="24174" xr:uid="{00000000-0005-0000-0000-0000650C0000}"/>
    <cellStyle name="20% - Accent2 7 2 2 2 2 2 3 2" xfId="48006" xr:uid="{7AB019B8-42AD-453B-9035-0ED3599B4E0C}"/>
    <cellStyle name="20% - Accent2 7 2 2 2 2 2 4" xfId="32129" xr:uid="{CC99C915-EC89-473F-884E-BD4A0D394A52}"/>
    <cellStyle name="20% - Accent2 7 2 2 2 2 3" xfId="12690" xr:uid="{00000000-0005-0000-0000-0000660C0000}"/>
    <cellStyle name="20% - Accent2 7 2 2 2 2 3 2" xfId="36539" xr:uid="{DF9BD85A-550E-49F6-8ECB-F5E00B54F1DB}"/>
    <cellStyle name="20% - Accent2 7 2 2 2 2 4" xfId="20645" xr:uid="{00000000-0005-0000-0000-0000670C0000}"/>
    <cellStyle name="20% - Accent2 7 2 2 2 2 4 2" xfId="44477" xr:uid="{54A0EF41-D13E-44F4-BA10-C7E6437BCD15}"/>
    <cellStyle name="20% - Accent2 7 2 2 2 2 5" xfId="28598" xr:uid="{3F9B36A3-DB4A-4AD1-9284-AD66F190275A}"/>
    <cellStyle name="20% - Accent2 7 2 2 2 3" xfId="6499" xr:uid="{00000000-0005-0000-0000-0000680C0000}"/>
    <cellStyle name="20% - Accent2 7 2 2 2 3 2" xfId="14470" xr:uid="{00000000-0005-0000-0000-0000690C0000}"/>
    <cellStyle name="20% - Accent2 7 2 2 2 3 2 2" xfId="38312" xr:uid="{975EB476-7D2D-4262-87AE-B833CEE01918}"/>
    <cellStyle name="20% - Accent2 7 2 2 2 3 3" xfId="22417" xr:uid="{00000000-0005-0000-0000-00006A0C0000}"/>
    <cellStyle name="20% - Accent2 7 2 2 2 3 3 2" xfId="46249" xr:uid="{E389E574-7E24-44B4-8380-7AD4DBD41006}"/>
    <cellStyle name="20% - Accent2 7 2 2 2 3 4" xfId="30371" xr:uid="{022133B5-E849-4CB3-83C0-8F742546EEF9}"/>
    <cellStyle name="20% - Accent2 7 2 2 2 4" xfId="10934" xr:uid="{00000000-0005-0000-0000-00006B0C0000}"/>
    <cellStyle name="20% - Accent2 7 2 2 2 4 2" xfId="34783" xr:uid="{291BF0CA-0598-4292-97FD-DA299FBE93EE}"/>
    <cellStyle name="20% - Accent2 7 2 2 2 5" xfId="18889" xr:uid="{00000000-0005-0000-0000-00006C0C0000}"/>
    <cellStyle name="20% - Accent2 7 2 2 2 5 2" xfId="42721" xr:uid="{FEB7D144-9A7B-4E7B-A181-DE6CD0E714CE}"/>
    <cellStyle name="20% - Accent2 7 2 2 2 6" xfId="26841" xr:uid="{94046AA7-D78E-412E-B59D-6C86010D1AE3}"/>
    <cellStyle name="20% - Accent2 7 2 2 2_Exh G" xfId="2155" xr:uid="{00000000-0005-0000-0000-00006D0C0000}"/>
    <cellStyle name="20% - Accent2 7 2 2 3" xfId="3788" xr:uid="{00000000-0005-0000-0000-00006E0C0000}"/>
    <cellStyle name="20% - Accent2 7 2 2 3 2" xfId="7380" xr:uid="{00000000-0005-0000-0000-00006F0C0000}"/>
    <cellStyle name="20% - Accent2 7 2 2 3 2 2" xfId="15350" xr:uid="{00000000-0005-0000-0000-0000700C0000}"/>
    <cellStyle name="20% - Accent2 7 2 2 3 2 2 2" xfId="39192" xr:uid="{13363617-33B4-4995-979F-1BB8068F237B}"/>
    <cellStyle name="20% - Accent2 7 2 2 3 2 3" xfId="23296" xr:uid="{00000000-0005-0000-0000-0000710C0000}"/>
    <cellStyle name="20% - Accent2 7 2 2 3 2 3 2" xfId="47128" xr:uid="{DB4354A6-C0D7-4A12-BCDD-C5FB1782C945}"/>
    <cellStyle name="20% - Accent2 7 2 2 3 2 4" xfId="31251" xr:uid="{BD2411E9-FD72-458C-835E-D3F2CB732795}"/>
    <cellStyle name="20% - Accent2 7 2 2 3 3" xfId="11812" xr:uid="{00000000-0005-0000-0000-0000720C0000}"/>
    <cellStyle name="20% - Accent2 7 2 2 3 3 2" xfId="35661" xr:uid="{E01EEEEA-A59D-4918-B503-22B05A86CB04}"/>
    <cellStyle name="20% - Accent2 7 2 2 3 4" xfId="19767" xr:uid="{00000000-0005-0000-0000-0000730C0000}"/>
    <cellStyle name="20% - Accent2 7 2 2 3 4 2" xfId="43599" xr:uid="{1D1123FA-F37A-4E4B-B2EC-FDBC1CD9A48D}"/>
    <cellStyle name="20% - Accent2 7 2 2 3 5" xfId="27720" xr:uid="{D8FC8BB4-F96B-4140-AB38-ADB012F28A68}"/>
    <cellStyle name="20% - Accent2 7 2 2 4" xfId="5608" xr:uid="{00000000-0005-0000-0000-0000740C0000}"/>
    <cellStyle name="20% - Accent2 7 2 2 4 2" xfId="13591" xr:uid="{00000000-0005-0000-0000-0000750C0000}"/>
    <cellStyle name="20% - Accent2 7 2 2 4 2 2" xfId="37434" xr:uid="{B9541C72-FD4E-47C5-BDA7-584096C6B8E7}"/>
    <cellStyle name="20% - Accent2 7 2 2 4 3" xfId="21539" xr:uid="{00000000-0005-0000-0000-0000760C0000}"/>
    <cellStyle name="20% - Accent2 7 2 2 4 3 2" xfId="45371" xr:uid="{3032611F-D7A7-4DEB-A129-E31303846BD5}"/>
    <cellStyle name="20% - Accent2 7 2 2 4 4" xfId="29493" xr:uid="{99723820-F0A8-4D19-AC06-FA0EC700D557}"/>
    <cellStyle name="20% - Accent2 7 2 2 5" xfId="9160" xr:uid="{00000000-0005-0000-0000-0000770C0000}"/>
    <cellStyle name="20% - Accent2 7 2 2 5 2" xfId="17118" xr:uid="{00000000-0005-0000-0000-0000780C0000}"/>
    <cellStyle name="20% - Accent2 7 2 2 5 2 2" xfId="40958" xr:uid="{D3D8B4D2-1BC2-4A08-B0C8-F7CB902E3A21}"/>
    <cellStyle name="20% - Accent2 7 2 2 5 3" xfId="25062" xr:uid="{00000000-0005-0000-0000-0000790C0000}"/>
    <cellStyle name="20% - Accent2 7 2 2 5 3 2" xfId="48894" xr:uid="{698ED7EB-8B56-470E-B784-EA4B85CA2C3D}"/>
    <cellStyle name="20% - Accent2 7 2 2 5 4" xfId="33017" xr:uid="{1C043BA2-D03E-40B2-A7FC-E78046E6F484}"/>
    <cellStyle name="20% - Accent2 7 2 2 6" xfId="10056" xr:uid="{00000000-0005-0000-0000-00007A0C0000}"/>
    <cellStyle name="20% - Accent2 7 2 2 6 2" xfId="33905" xr:uid="{F4A073D2-7C03-4EE7-ACAA-BDF5E37DF910}"/>
    <cellStyle name="20% - Accent2 7 2 2 7" xfId="18011" xr:uid="{00000000-0005-0000-0000-00007B0C0000}"/>
    <cellStyle name="20% - Accent2 7 2 2 7 2" xfId="41843" xr:uid="{0E64D98A-B7C2-48B9-BE5B-97B47DDCB481}"/>
    <cellStyle name="20% - Accent2 7 2 2 8" xfId="25963" xr:uid="{DCA9A178-4C7A-460D-ACD9-E0FB46E0B524}"/>
    <cellStyle name="20% - Accent2 7 2 2_Exh G" xfId="2154" xr:uid="{00000000-0005-0000-0000-00007C0C0000}"/>
    <cellStyle name="20% - Accent2 7 2 3" xfId="1139" xr:uid="{00000000-0005-0000-0000-00007D0C0000}"/>
    <cellStyle name="20% - Accent2 7 2 3 2" xfId="4666" xr:uid="{00000000-0005-0000-0000-00007E0C0000}"/>
    <cellStyle name="20% - Accent2 7 2 3 2 2" xfId="8257" xr:uid="{00000000-0005-0000-0000-00007F0C0000}"/>
    <cellStyle name="20% - Accent2 7 2 3 2 2 2" xfId="16227" xr:uid="{00000000-0005-0000-0000-0000800C0000}"/>
    <cellStyle name="20% - Accent2 7 2 3 2 2 2 2" xfId="40069" xr:uid="{C10D6A7D-BB80-45BA-AE0D-3006B8C68C23}"/>
    <cellStyle name="20% - Accent2 7 2 3 2 2 3" xfId="24173" xr:uid="{00000000-0005-0000-0000-0000810C0000}"/>
    <cellStyle name="20% - Accent2 7 2 3 2 2 3 2" xfId="48005" xr:uid="{76676CD4-2DC9-44C5-AE86-A5B9ADA51275}"/>
    <cellStyle name="20% - Accent2 7 2 3 2 2 4" xfId="32128" xr:uid="{23B9B65B-918C-4853-BBF7-218105A9DD57}"/>
    <cellStyle name="20% - Accent2 7 2 3 2 3" xfId="12689" xr:uid="{00000000-0005-0000-0000-0000820C0000}"/>
    <cellStyle name="20% - Accent2 7 2 3 2 3 2" xfId="36538" xr:uid="{FCAA6E46-E8C7-493E-A763-AC93B4F4FCA7}"/>
    <cellStyle name="20% - Accent2 7 2 3 2 4" xfId="20644" xr:uid="{00000000-0005-0000-0000-0000830C0000}"/>
    <cellStyle name="20% - Accent2 7 2 3 2 4 2" xfId="44476" xr:uid="{CCA63600-1C16-45EF-BFE2-BEBB966028F8}"/>
    <cellStyle name="20% - Accent2 7 2 3 2 5" xfId="28597" xr:uid="{FE36CE99-F423-4B2F-891F-23B4CDF2CDDC}"/>
    <cellStyle name="20% - Accent2 7 2 3 3" xfId="6498" xr:uid="{00000000-0005-0000-0000-0000840C0000}"/>
    <cellStyle name="20% - Accent2 7 2 3 3 2" xfId="14469" xr:uid="{00000000-0005-0000-0000-0000850C0000}"/>
    <cellStyle name="20% - Accent2 7 2 3 3 2 2" xfId="38311" xr:uid="{5197143D-6168-4263-8A6C-E86254020509}"/>
    <cellStyle name="20% - Accent2 7 2 3 3 3" xfId="22416" xr:uid="{00000000-0005-0000-0000-0000860C0000}"/>
    <cellStyle name="20% - Accent2 7 2 3 3 3 2" xfId="46248" xr:uid="{BD1A35ED-32A1-4545-9CE1-39DBC283CF6B}"/>
    <cellStyle name="20% - Accent2 7 2 3 3 4" xfId="30370" xr:uid="{2456DEE1-270A-4065-8EB1-337C1114F786}"/>
    <cellStyle name="20% - Accent2 7 2 3 4" xfId="10933" xr:uid="{00000000-0005-0000-0000-0000870C0000}"/>
    <cellStyle name="20% - Accent2 7 2 3 4 2" xfId="34782" xr:uid="{4EFFC89D-6CA6-4D3D-BBA6-E6C3A4DD238B}"/>
    <cellStyle name="20% - Accent2 7 2 3 5" xfId="18888" xr:uid="{00000000-0005-0000-0000-0000880C0000}"/>
    <cellStyle name="20% - Accent2 7 2 3 5 2" xfId="42720" xr:uid="{1C7291DD-4287-40D6-8116-0B76075165BB}"/>
    <cellStyle name="20% - Accent2 7 2 3 6" xfId="26840" xr:uid="{52745342-EB27-47F5-BA9C-907147D39D9F}"/>
    <cellStyle name="20% - Accent2 7 2 3_Exh G" xfId="2156" xr:uid="{00000000-0005-0000-0000-0000890C0000}"/>
    <cellStyle name="20% - Accent2 7 2 4" xfId="3787" xr:uid="{00000000-0005-0000-0000-00008A0C0000}"/>
    <cellStyle name="20% - Accent2 7 2 4 2" xfId="7379" xr:uid="{00000000-0005-0000-0000-00008B0C0000}"/>
    <cellStyle name="20% - Accent2 7 2 4 2 2" xfId="15349" xr:uid="{00000000-0005-0000-0000-00008C0C0000}"/>
    <cellStyle name="20% - Accent2 7 2 4 2 2 2" xfId="39191" xr:uid="{0BB36994-826A-4BAA-AC9D-F7C0FB1DF6F7}"/>
    <cellStyle name="20% - Accent2 7 2 4 2 3" xfId="23295" xr:uid="{00000000-0005-0000-0000-00008D0C0000}"/>
    <cellStyle name="20% - Accent2 7 2 4 2 3 2" xfId="47127" xr:uid="{6AE780BE-A37C-4E53-8B07-CA6DD1215E2B}"/>
    <cellStyle name="20% - Accent2 7 2 4 2 4" xfId="31250" xr:uid="{1979A817-355F-4412-9AF8-C98B96341DA0}"/>
    <cellStyle name="20% - Accent2 7 2 4 3" xfId="11811" xr:uid="{00000000-0005-0000-0000-00008E0C0000}"/>
    <cellStyle name="20% - Accent2 7 2 4 3 2" xfId="35660" xr:uid="{5023C302-2E0E-48D6-9E53-60AD7860AAE7}"/>
    <cellStyle name="20% - Accent2 7 2 4 4" xfId="19766" xr:uid="{00000000-0005-0000-0000-00008F0C0000}"/>
    <cellStyle name="20% - Accent2 7 2 4 4 2" xfId="43598" xr:uid="{69F817FB-05FE-4B59-90A0-46785C63C80A}"/>
    <cellStyle name="20% - Accent2 7 2 4 5" xfId="27719" xr:uid="{625B6349-576E-4FFE-936E-DCCCFFEF47B0}"/>
    <cellStyle name="20% - Accent2 7 2 5" xfId="5607" xr:uid="{00000000-0005-0000-0000-0000900C0000}"/>
    <cellStyle name="20% - Accent2 7 2 5 2" xfId="13590" xr:uid="{00000000-0005-0000-0000-0000910C0000}"/>
    <cellStyle name="20% - Accent2 7 2 5 2 2" xfId="37433" xr:uid="{2B57EE3C-D43B-485B-BE46-6D31D9EAC5EE}"/>
    <cellStyle name="20% - Accent2 7 2 5 3" xfId="21538" xr:uid="{00000000-0005-0000-0000-0000920C0000}"/>
    <cellStyle name="20% - Accent2 7 2 5 3 2" xfId="45370" xr:uid="{C6A8F852-7323-4E1D-9E49-2609BFF2C42F}"/>
    <cellStyle name="20% - Accent2 7 2 5 4" xfId="29492" xr:uid="{6BAC45F8-3531-4F03-8714-94FEB8A0E576}"/>
    <cellStyle name="20% - Accent2 7 2 6" xfId="9159" xr:uid="{00000000-0005-0000-0000-0000930C0000}"/>
    <cellStyle name="20% - Accent2 7 2 6 2" xfId="17117" xr:uid="{00000000-0005-0000-0000-0000940C0000}"/>
    <cellStyle name="20% - Accent2 7 2 6 2 2" xfId="40957" xr:uid="{FEA4960A-3B69-4277-92A3-20FFB432E03D}"/>
    <cellStyle name="20% - Accent2 7 2 6 3" xfId="25061" xr:uid="{00000000-0005-0000-0000-0000950C0000}"/>
    <cellStyle name="20% - Accent2 7 2 6 3 2" xfId="48893" xr:uid="{300E2879-7BEF-4E39-AEB3-B4C64F700E09}"/>
    <cellStyle name="20% - Accent2 7 2 6 4" xfId="33016" xr:uid="{534E5BB1-3D6A-4B63-8DCC-9DAAD3ED331D}"/>
    <cellStyle name="20% - Accent2 7 2 7" xfId="10055" xr:uid="{00000000-0005-0000-0000-0000960C0000}"/>
    <cellStyle name="20% - Accent2 7 2 7 2" xfId="33904" xr:uid="{A8A83ACC-FBB2-4679-8B88-C753F28B2956}"/>
    <cellStyle name="20% - Accent2 7 2 8" xfId="18010" xr:uid="{00000000-0005-0000-0000-0000970C0000}"/>
    <cellStyle name="20% - Accent2 7 2 8 2" xfId="41842" xr:uid="{02874BC8-8CD4-41F5-B21C-7D2BE881EBD3}"/>
    <cellStyle name="20% - Accent2 7 2 9" xfId="25962" xr:uid="{CA1276F8-DC63-48F8-BFD1-844198609303}"/>
    <cellStyle name="20% - Accent2 7 2_Exh G" xfId="2153" xr:uid="{00000000-0005-0000-0000-0000980C0000}"/>
    <cellStyle name="20% - Accent2 7 3" xfId="115" xr:uid="{00000000-0005-0000-0000-0000990C0000}"/>
    <cellStyle name="20% - Accent2 7 3 2" xfId="1141" xr:uid="{00000000-0005-0000-0000-00009A0C0000}"/>
    <cellStyle name="20% - Accent2 7 3 2 2" xfId="4668" xr:uid="{00000000-0005-0000-0000-00009B0C0000}"/>
    <cellStyle name="20% - Accent2 7 3 2 2 2" xfId="8259" xr:uid="{00000000-0005-0000-0000-00009C0C0000}"/>
    <cellStyle name="20% - Accent2 7 3 2 2 2 2" xfId="16229" xr:uid="{00000000-0005-0000-0000-00009D0C0000}"/>
    <cellStyle name="20% - Accent2 7 3 2 2 2 2 2" xfId="40071" xr:uid="{35E783F4-A24F-4015-8EDC-691E301D9463}"/>
    <cellStyle name="20% - Accent2 7 3 2 2 2 3" xfId="24175" xr:uid="{00000000-0005-0000-0000-00009E0C0000}"/>
    <cellStyle name="20% - Accent2 7 3 2 2 2 3 2" xfId="48007" xr:uid="{D92C2F38-1FF1-4B9B-BC92-9DD6A1B96907}"/>
    <cellStyle name="20% - Accent2 7 3 2 2 2 4" xfId="32130" xr:uid="{DE611773-5C70-439B-BC9A-C4059BB2BFC6}"/>
    <cellStyle name="20% - Accent2 7 3 2 2 3" xfId="12691" xr:uid="{00000000-0005-0000-0000-00009F0C0000}"/>
    <cellStyle name="20% - Accent2 7 3 2 2 3 2" xfId="36540" xr:uid="{4C403768-778C-40A0-AEC1-4900C156CDC2}"/>
    <cellStyle name="20% - Accent2 7 3 2 2 4" xfId="20646" xr:uid="{00000000-0005-0000-0000-0000A00C0000}"/>
    <cellStyle name="20% - Accent2 7 3 2 2 4 2" xfId="44478" xr:uid="{BF580222-4F53-4C91-B649-8F1EE92F39BA}"/>
    <cellStyle name="20% - Accent2 7 3 2 2 5" xfId="28599" xr:uid="{1A3F76D0-FD29-423A-81FB-0A60C7849CE7}"/>
    <cellStyle name="20% - Accent2 7 3 2 3" xfId="6500" xr:uid="{00000000-0005-0000-0000-0000A10C0000}"/>
    <cellStyle name="20% - Accent2 7 3 2 3 2" xfId="14471" xr:uid="{00000000-0005-0000-0000-0000A20C0000}"/>
    <cellStyle name="20% - Accent2 7 3 2 3 2 2" xfId="38313" xr:uid="{C7BBAB7E-E1E4-4305-BBD9-C334E3AFC9A1}"/>
    <cellStyle name="20% - Accent2 7 3 2 3 3" xfId="22418" xr:uid="{00000000-0005-0000-0000-0000A30C0000}"/>
    <cellStyle name="20% - Accent2 7 3 2 3 3 2" xfId="46250" xr:uid="{DF1B7C6F-3A81-4C6A-985A-387FF0177BD2}"/>
    <cellStyle name="20% - Accent2 7 3 2 3 4" xfId="30372" xr:uid="{ADB0FE6D-5FDE-4FFA-86B5-F56C0D09356E}"/>
    <cellStyle name="20% - Accent2 7 3 2 4" xfId="10935" xr:uid="{00000000-0005-0000-0000-0000A40C0000}"/>
    <cellStyle name="20% - Accent2 7 3 2 4 2" xfId="34784" xr:uid="{41F95A1B-97F6-4F85-A108-AB9F3FDC988D}"/>
    <cellStyle name="20% - Accent2 7 3 2 5" xfId="18890" xr:uid="{00000000-0005-0000-0000-0000A50C0000}"/>
    <cellStyle name="20% - Accent2 7 3 2 5 2" xfId="42722" xr:uid="{297A1DC9-72BF-4D6F-98F3-B65697FC41C6}"/>
    <cellStyle name="20% - Accent2 7 3 2 6" xfId="26842" xr:uid="{74DF31CB-4836-4D98-80E5-B918F52253BD}"/>
    <cellStyle name="20% - Accent2 7 3 2_Exh G" xfId="2158" xr:uid="{00000000-0005-0000-0000-0000A60C0000}"/>
    <cellStyle name="20% - Accent2 7 3 3" xfId="3789" xr:uid="{00000000-0005-0000-0000-0000A70C0000}"/>
    <cellStyle name="20% - Accent2 7 3 3 2" xfId="7381" xr:uid="{00000000-0005-0000-0000-0000A80C0000}"/>
    <cellStyle name="20% - Accent2 7 3 3 2 2" xfId="15351" xr:uid="{00000000-0005-0000-0000-0000A90C0000}"/>
    <cellStyle name="20% - Accent2 7 3 3 2 2 2" xfId="39193" xr:uid="{B87A63C9-2EAC-4737-BDCD-329AF1FF3649}"/>
    <cellStyle name="20% - Accent2 7 3 3 2 3" xfId="23297" xr:uid="{00000000-0005-0000-0000-0000AA0C0000}"/>
    <cellStyle name="20% - Accent2 7 3 3 2 3 2" xfId="47129" xr:uid="{BC1E4A43-C056-4B9F-A6AF-ACE71D407F31}"/>
    <cellStyle name="20% - Accent2 7 3 3 2 4" xfId="31252" xr:uid="{7E2D8A73-6DC7-45F0-8521-CA990E664150}"/>
    <cellStyle name="20% - Accent2 7 3 3 3" xfId="11813" xr:uid="{00000000-0005-0000-0000-0000AB0C0000}"/>
    <cellStyle name="20% - Accent2 7 3 3 3 2" xfId="35662" xr:uid="{4932C265-BA60-4269-B6CF-45707B8F82FE}"/>
    <cellStyle name="20% - Accent2 7 3 3 4" xfId="19768" xr:uid="{00000000-0005-0000-0000-0000AC0C0000}"/>
    <cellStyle name="20% - Accent2 7 3 3 4 2" xfId="43600" xr:uid="{7BB9172F-F46F-4FC2-A57D-41D2D89B2966}"/>
    <cellStyle name="20% - Accent2 7 3 3 5" xfId="27721" xr:uid="{E89B64F4-AE27-41AA-9A29-FA8828BC5B2B}"/>
    <cellStyle name="20% - Accent2 7 3 4" xfId="5609" xr:uid="{00000000-0005-0000-0000-0000AD0C0000}"/>
    <cellStyle name="20% - Accent2 7 3 4 2" xfId="13592" xr:uid="{00000000-0005-0000-0000-0000AE0C0000}"/>
    <cellStyle name="20% - Accent2 7 3 4 2 2" xfId="37435" xr:uid="{C87517B4-20E8-4336-A373-21A1E7E440BC}"/>
    <cellStyle name="20% - Accent2 7 3 4 3" xfId="21540" xr:uid="{00000000-0005-0000-0000-0000AF0C0000}"/>
    <cellStyle name="20% - Accent2 7 3 4 3 2" xfId="45372" xr:uid="{4064B4CE-42BC-4489-89DF-D77ADE6AD885}"/>
    <cellStyle name="20% - Accent2 7 3 4 4" xfId="29494" xr:uid="{716764B7-8516-4245-9C7C-47985A0652C5}"/>
    <cellStyle name="20% - Accent2 7 3 5" xfId="9161" xr:uid="{00000000-0005-0000-0000-0000B00C0000}"/>
    <cellStyle name="20% - Accent2 7 3 5 2" xfId="17119" xr:uid="{00000000-0005-0000-0000-0000B10C0000}"/>
    <cellStyle name="20% - Accent2 7 3 5 2 2" xfId="40959" xr:uid="{7A10EDCD-3CF7-4549-84B8-85985E5DD66C}"/>
    <cellStyle name="20% - Accent2 7 3 5 3" xfId="25063" xr:uid="{00000000-0005-0000-0000-0000B20C0000}"/>
    <cellStyle name="20% - Accent2 7 3 5 3 2" xfId="48895" xr:uid="{4C2E90BA-4B61-436E-B49C-715D79422438}"/>
    <cellStyle name="20% - Accent2 7 3 5 4" xfId="33018" xr:uid="{D98E66F4-1846-42CF-BC2A-7A1AEF5403F5}"/>
    <cellStyle name="20% - Accent2 7 3 6" xfId="10057" xr:uid="{00000000-0005-0000-0000-0000B30C0000}"/>
    <cellStyle name="20% - Accent2 7 3 6 2" xfId="33906" xr:uid="{8B000DDA-2E46-4CDB-AFBE-4B9BDE0FA924}"/>
    <cellStyle name="20% - Accent2 7 3 7" xfId="18012" xr:uid="{00000000-0005-0000-0000-0000B40C0000}"/>
    <cellStyle name="20% - Accent2 7 3 7 2" xfId="41844" xr:uid="{63F64516-949F-41DF-A210-8EA252F85F50}"/>
    <cellStyle name="20% - Accent2 7 3 8" xfId="25964" xr:uid="{C2A33086-5331-4590-A7C6-C77CA7B67F17}"/>
    <cellStyle name="20% - Accent2 7 3_Exh G" xfId="2157" xr:uid="{00000000-0005-0000-0000-0000B50C0000}"/>
    <cellStyle name="20% - Accent2 7 4" xfId="880" xr:uid="{00000000-0005-0000-0000-0000B60C0000}"/>
    <cellStyle name="20% - Accent2 7 4 2" xfId="1809" xr:uid="{00000000-0005-0000-0000-0000B70C0000}"/>
    <cellStyle name="20% - Accent2 7 4 2 2" xfId="5326" xr:uid="{00000000-0005-0000-0000-0000B80C0000}"/>
    <cellStyle name="20% - Accent2 7 4 2 2 2" xfId="8917" xr:uid="{00000000-0005-0000-0000-0000B90C0000}"/>
    <cellStyle name="20% - Accent2 7 4 2 2 2 2" xfId="16887" xr:uid="{00000000-0005-0000-0000-0000BA0C0000}"/>
    <cellStyle name="20% - Accent2 7 4 2 2 2 2 2" xfId="40729" xr:uid="{135627AE-38FA-40C6-AF8E-199B5097611F}"/>
    <cellStyle name="20% - Accent2 7 4 2 2 2 3" xfId="24833" xr:uid="{00000000-0005-0000-0000-0000BB0C0000}"/>
    <cellStyle name="20% - Accent2 7 4 2 2 2 3 2" xfId="48665" xr:uid="{161D725A-6FAF-47DD-9C96-32D4ED8DCAC5}"/>
    <cellStyle name="20% - Accent2 7 4 2 2 2 4" xfId="32788" xr:uid="{EDFD59AD-9B79-4087-9FD7-A3836F65899B}"/>
    <cellStyle name="20% - Accent2 7 4 2 2 3" xfId="13349" xr:uid="{00000000-0005-0000-0000-0000BC0C0000}"/>
    <cellStyle name="20% - Accent2 7 4 2 2 3 2" xfId="37198" xr:uid="{611B9656-5403-45FD-9682-2057805256D9}"/>
    <cellStyle name="20% - Accent2 7 4 2 2 4" xfId="21304" xr:uid="{00000000-0005-0000-0000-0000BD0C0000}"/>
    <cellStyle name="20% - Accent2 7 4 2 2 4 2" xfId="45136" xr:uid="{CFDE6EC9-24F7-4541-B040-476F99CD8926}"/>
    <cellStyle name="20% - Accent2 7 4 2 2 5" xfId="29257" xr:uid="{FBF095A1-EE6D-42D1-BBF3-1220F55D8494}"/>
    <cellStyle name="20% - Accent2 7 4 2 3" xfId="7158" xr:uid="{00000000-0005-0000-0000-0000BE0C0000}"/>
    <cellStyle name="20% - Accent2 7 4 2 3 2" xfId="15129" xr:uid="{00000000-0005-0000-0000-0000BF0C0000}"/>
    <cellStyle name="20% - Accent2 7 4 2 3 2 2" xfId="38971" xr:uid="{A69A97C0-7279-4987-9CAD-A7CEB9506137}"/>
    <cellStyle name="20% - Accent2 7 4 2 3 3" xfId="23076" xr:uid="{00000000-0005-0000-0000-0000C00C0000}"/>
    <cellStyle name="20% - Accent2 7 4 2 3 3 2" xfId="46908" xr:uid="{E84AD352-CAA4-4574-B9A1-8CC34BA54B33}"/>
    <cellStyle name="20% - Accent2 7 4 2 3 4" xfId="31030" xr:uid="{1ED1A566-3B6D-4BCB-B2F6-49DD607207B7}"/>
    <cellStyle name="20% - Accent2 7 4 2 4" xfId="11593" xr:uid="{00000000-0005-0000-0000-0000C10C0000}"/>
    <cellStyle name="20% - Accent2 7 4 2 4 2" xfId="35442" xr:uid="{CA10137A-1851-4F75-9A19-298AF17486DD}"/>
    <cellStyle name="20% - Accent2 7 4 2 5" xfId="19548" xr:uid="{00000000-0005-0000-0000-0000C20C0000}"/>
    <cellStyle name="20% - Accent2 7 4 2 5 2" xfId="43380" xr:uid="{F275B0EF-FE6D-4EBE-A843-440ED9E98805}"/>
    <cellStyle name="20% - Accent2 7 4 2 6" xfId="27500" xr:uid="{9FAAFBFE-4211-4484-8F4B-80188872C5EC}"/>
    <cellStyle name="20% - Accent2 7 4 2_Exh G" xfId="2160" xr:uid="{00000000-0005-0000-0000-0000C30C0000}"/>
    <cellStyle name="20% - Accent2 7 4 3" xfId="4447" xr:uid="{00000000-0005-0000-0000-0000C40C0000}"/>
    <cellStyle name="20% - Accent2 7 4 3 2" xfId="8039" xr:uid="{00000000-0005-0000-0000-0000C50C0000}"/>
    <cellStyle name="20% - Accent2 7 4 3 2 2" xfId="16009" xr:uid="{00000000-0005-0000-0000-0000C60C0000}"/>
    <cellStyle name="20% - Accent2 7 4 3 2 2 2" xfId="39851" xr:uid="{21C284B1-805A-4044-A4CE-9174C96C70D4}"/>
    <cellStyle name="20% - Accent2 7 4 3 2 3" xfId="23955" xr:uid="{00000000-0005-0000-0000-0000C70C0000}"/>
    <cellStyle name="20% - Accent2 7 4 3 2 3 2" xfId="47787" xr:uid="{9D548983-6EE8-4640-A126-A2A1CA01D989}"/>
    <cellStyle name="20% - Accent2 7 4 3 2 4" xfId="31910" xr:uid="{FCC17E8D-B417-4D39-A9EF-7C378841EFEE}"/>
    <cellStyle name="20% - Accent2 7 4 3 3" xfId="12471" xr:uid="{00000000-0005-0000-0000-0000C80C0000}"/>
    <cellStyle name="20% - Accent2 7 4 3 3 2" xfId="36320" xr:uid="{7BA890D7-B441-47A6-8728-4B797B43746D}"/>
    <cellStyle name="20% - Accent2 7 4 3 4" xfId="20426" xr:uid="{00000000-0005-0000-0000-0000C90C0000}"/>
    <cellStyle name="20% - Accent2 7 4 3 4 2" xfId="44258" xr:uid="{1ECB392E-9BFE-4935-AC7E-8C27CB3E8723}"/>
    <cellStyle name="20% - Accent2 7 4 3 5" xfId="28379" xr:uid="{72A62A07-6458-4827-A51E-87817F3346C5}"/>
    <cellStyle name="20% - Accent2 7 4 4" xfId="6277" xr:uid="{00000000-0005-0000-0000-0000CA0C0000}"/>
    <cellStyle name="20% - Accent2 7 4 4 2" xfId="14251" xr:uid="{00000000-0005-0000-0000-0000CB0C0000}"/>
    <cellStyle name="20% - Accent2 7 4 4 2 2" xfId="38093" xr:uid="{19295D53-D664-4BAC-853B-026EF41B2C1B}"/>
    <cellStyle name="20% - Accent2 7 4 4 3" xfId="22198" xr:uid="{00000000-0005-0000-0000-0000CC0C0000}"/>
    <cellStyle name="20% - Accent2 7 4 4 3 2" xfId="46030" xr:uid="{356F5C59-7190-43F4-BAEE-40D486AB342B}"/>
    <cellStyle name="20% - Accent2 7 4 4 4" xfId="30152" xr:uid="{B06DEEE2-0823-4B25-B1CE-09262B65A030}"/>
    <cellStyle name="20% - Accent2 7 4 5" xfId="9819" xr:uid="{00000000-0005-0000-0000-0000CD0C0000}"/>
    <cellStyle name="20% - Accent2 7 4 5 2" xfId="17777" xr:uid="{00000000-0005-0000-0000-0000CE0C0000}"/>
    <cellStyle name="20% - Accent2 7 4 5 2 2" xfId="41617" xr:uid="{14268896-AF1D-49B7-ADA1-EF8C14ACB6AB}"/>
    <cellStyle name="20% - Accent2 7 4 5 3" xfId="25721" xr:uid="{00000000-0005-0000-0000-0000CF0C0000}"/>
    <cellStyle name="20% - Accent2 7 4 5 3 2" xfId="49553" xr:uid="{A9EAC33D-BF27-4BD7-B328-AA40BD5195C8}"/>
    <cellStyle name="20% - Accent2 7 4 5 4" xfId="33676" xr:uid="{C2FB1686-3414-439A-8E52-FACF1839E441}"/>
    <cellStyle name="20% - Accent2 7 4 6" xfId="10715" xr:uid="{00000000-0005-0000-0000-0000D00C0000}"/>
    <cellStyle name="20% - Accent2 7 4 6 2" xfId="34564" xr:uid="{421C66B3-A1BD-4E6B-B287-6E41B09A5754}"/>
    <cellStyle name="20% - Accent2 7 4 7" xfId="18670" xr:uid="{00000000-0005-0000-0000-0000D10C0000}"/>
    <cellStyle name="20% - Accent2 7 4 7 2" xfId="42502" xr:uid="{AA99946C-D860-4A80-9652-670E0E2325A4}"/>
    <cellStyle name="20% - Accent2 7 4 8" xfId="26622" xr:uid="{F56EDF74-66F8-4245-B36A-D6ED9FB0527B}"/>
    <cellStyle name="20% - Accent2 7 4_Exh G" xfId="2159" xr:uid="{00000000-0005-0000-0000-0000D20C0000}"/>
    <cellStyle name="20% - Accent2 7 5" xfId="1138" xr:uid="{00000000-0005-0000-0000-0000D30C0000}"/>
    <cellStyle name="20% - Accent2 7 5 2" xfId="4665" xr:uid="{00000000-0005-0000-0000-0000D40C0000}"/>
    <cellStyle name="20% - Accent2 7 5 2 2" xfId="8256" xr:uid="{00000000-0005-0000-0000-0000D50C0000}"/>
    <cellStyle name="20% - Accent2 7 5 2 2 2" xfId="16226" xr:uid="{00000000-0005-0000-0000-0000D60C0000}"/>
    <cellStyle name="20% - Accent2 7 5 2 2 2 2" xfId="40068" xr:uid="{172207B8-D42A-4810-A15D-D1A5B1307D7B}"/>
    <cellStyle name="20% - Accent2 7 5 2 2 3" xfId="24172" xr:uid="{00000000-0005-0000-0000-0000D70C0000}"/>
    <cellStyle name="20% - Accent2 7 5 2 2 3 2" xfId="48004" xr:uid="{166E9E86-2AB2-44CD-9CE7-1BAABB8CB34C}"/>
    <cellStyle name="20% - Accent2 7 5 2 2 4" xfId="32127" xr:uid="{A67C38DD-6597-47FF-B3DE-613E6B758D1C}"/>
    <cellStyle name="20% - Accent2 7 5 2 3" xfId="12688" xr:uid="{00000000-0005-0000-0000-0000D80C0000}"/>
    <cellStyle name="20% - Accent2 7 5 2 3 2" xfId="36537" xr:uid="{26DFCE2F-8F8B-4395-BB0B-84C140038C58}"/>
    <cellStyle name="20% - Accent2 7 5 2 4" xfId="20643" xr:uid="{00000000-0005-0000-0000-0000D90C0000}"/>
    <cellStyle name="20% - Accent2 7 5 2 4 2" xfId="44475" xr:uid="{BDBDC2B3-8A1C-44DA-A38A-56EF6FBA0DDB}"/>
    <cellStyle name="20% - Accent2 7 5 2 5" xfId="28596" xr:uid="{AA82DDDC-0509-45E0-94C9-6E3DA3D35AAF}"/>
    <cellStyle name="20% - Accent2 7 5 3" xfId="6497" xr:uid="{00000000-0005-0000-0000-0000DA0C0000}"/>
    <cellStyle name="20% - Accent2 7 5 3 2" xfId="14468" xr:uid="{00000000-0005-0000-0000-0000DB0C0000}"/>
    <cellStyle name="20% - Accent2 7 5 3 2 2" xfId="38310" xr:uid="{5185B5E3-7064-45D3-982F-2F867DEB2E7D}"/>
    <cellStyle name="20% - Accent2 7 5 3 3" xfId="22415" xr:uid="{00000000-0005-0000-0000-0000DC0C0000}"/>
    <cellStyle name="20% - Accent2 7 5 3 3 2" xfId="46247" xr:uid="{99DF88BA-6AA4-4AF7-9051-C701E5B0A982}"/>
    <cellStyle name="20% - Accent2 7 5 3 4" xfId="30369" xr:uid="{3624AF52-9685-4CFC-B148-78A9BA51093E}"/>
    <cellStyle name="20% - Accent2 7 5 4" xfId="10932" xr:uid="{00000000-0005-0000-0000-0000DD0C0000}"/>
    <cellStyle name="20% - Accent2 7 5 4 2" xfId="34781" xr:uid="{55B028DF-B457-44FF-BCB4-96744B620926}"/>
    <cellStyle name="20% - Accent2 7 5 5" xfId="18887" xr:uid="{00000000-0005-0000-0000-0000DE0C0000}"/>
    <cellStyle name="20% - Accent2 7 5 5 2" xfId="42719" xr:uid="{80AD0585-317E-4228-9AAD-FED281A8B4B9}"/>
    <cellStyle name="20% - Accent2 7 5 6" xfId="26839" xr:uid="{CDD5E3A7-7E33-4DBB-8808-CC5D4E576E26}"/>
    <cellStyle name="20% - Accent2 7 5_Exh G" xfId="2161" xr:uid="{00000000-0005-0000-0000-0000DF0C0000}"/>
    <cellStyle name="20% - Accent2 7 6" xfId="3786" xr:uid="{00000000-0005-0000-0000-0000E00C0000}"/>
    <cellStyle name="20% - Accent2 7 6 2" xfId="7378" xr:uid="{00000000-0005-0000-0000-0000E10C0000}"/>
    <cellStyle name="20% - Accent2 7 6 2 2" xfId="15348" xr:uid="{00000000-0005-0000-0000-0000E20C0000}"/>
    <cellStyle name="20% - Accent2 7 6 2 2 2" xfId="39190" xr:uid="{F1EB0200-4D39-44DE-9877-C44E6AD48CD8}"/>
    <cellStyle name="20% - Accent2 7 6 2 3" xfId="23294" xr:uid="{00000000-0005-0000-0000-0000E30C0000}"/>
    <cellStyle name="20% - Accent2 7 6 2 3 2" xfId="47126" xr:uid="{1C51EB1E-15DA-4A74-9245-C324F9F27AAE}"/>
    <cellStyle name="20% - Accent2 7 6 2 4" xfId="31249" xr:uid="{9E52163F-0290-4DA6-8542-3C7D63F522AF}"/>
    <cellStyle name="20% - Accent2 7 6 3" xfId="11810" xr:uid="{00000000-0005-0000-0000-0000E40C0000}"/>
    <cellStyle name="20% - Accent2 7 6 3 2" xfId="35659" xr:uid="{68394077-111D-4E6B-9561-08C9ED288C7C}"/>
    <cellStyle name="20% - Accent2 7 6 4" xfId="19765" xr:uid="{00000000-0005-0000-0000-0000E50C0000}"/>
    <cellStyle name="20% - Accent2 7 6 4 2" xfId="43597" xr:uid="{FAE19F53-80B6-436B-A58F-B60EE6FDA184}"/>
    <cellStyle name="20% - Accent2 7 6 5" xfId="27718" xr:uid="{A5527079-224D-4C5E-994E-B28EC70F612C}"/>
    <cellStyle name="20% - Accent2 7 7" xfId="5606" xr:uid="{00000000-0005-0000-0000-0000E60C0000}"/>
    <cellStyle name="20% - Accent2 7 7 2" xfId="13589" xr:uid="{00000000-0005-0000-0000-0000E70C0000}"/>
    <cellStyle name="20% - Accent2 7 7 2 2" xfId="37432" xr:uid="{AA317410-9C6B-46FD-A134-86B18F672E6B}"/>
    <cellStyle name="20% - Accent2 7 7 3" xfId="21537" xr:uid="{00000000-0005-0000-0000-0000E80C0000}"/>
    <cellStyle name="20% - Accent2 7 7 3 2" xfId="45369" xr:uid="{54C9D09A-351B-4FA4-A33E-81F452503A6F}"/>
    <cellStyle name="20% - Accent2 7 7 4" xfId="29491" xr:uid="{CCF4426E-BB85-4761-86EE-1BA93C46C0FE}"/>
    <cellStyle name="20% - Accent2 7 8" xfId="9158" xr:uid="{00000000-0005-0000-0000-0000E90C0000}"/>
    <cellStyle name="20% - Accent2 7 8 2" xfId="17116" xr:uid="{00000000-0005-0000-0000-0000EA0C0000}"/>
    <cellStyle name="20% - Accent2 7 8 2 2" xfId="40956" xr:uid="{5FE87E09-72B9-4543-AB4D-7D134742CEDE}"/>
    <cellStyle name="20% - Accent2 7 8 3" xfId="25060" xr:uid="{00000000-0005-0000-0000-0000EB0C0000}"/>
    <cellStyle name="20% - Accent2 7 8 3 2" xfId="48892" xr:uid="{A2BD0013-0932-4CD8-A86C-C106599CF580}"/>
    <cellStyle name="20% - Accent2 7 8 4" xfId="33015" xr:uid="{078EE1EB-1CA2-4FB9-9E1A-DA369E457023}"/>
    <cellStyle name="20% - Accent2 7 9" xfId="10054" xr:uid="{00000000-0005-0000-0000-0000EC0C0000}"/>
    <cellStyle name="20% - Accent2 7 9 2" xfId="33903" xr:uid="{F88E5B83-1FDE-4D3A-835B-B174FCA7BDED}"/>
    <cellStyle name="20% - Accent2 7_Exh G" xfId="2152" xr:uid="{00000000-0005-0000-0000-0000ED0C0000}"/>
    <cellStyle name="20% - Accent2 8" xfId="116" xr:uid="{00000000-0005-0000-0000-0000EE0C0000}"/>
    <cellStyle name="20% - Accent2 8 10" xfId="18013" xr:uid="{00000000-0005-0000-0000-0000EF0C0000}"/>
    <cellStyle name="20% - Accent2 8 10 2" xfId="41845" xr:uid="{76642124-33D8-4E0D-A231-0AD9C23D304D}"/>
    <cellStyle name="20% - Accent2 8 11" xfId="25965" xr:uid="{025AB490-A20F-4E70-B8B8-DEF9F7BB675E}"/>
    <cellStyle name="20% - Accent2 8 2" xfId="117" xr:uid="{00000000-0005-0000-0000-0000F00C0000}"/>
    <cellStyle name="20% - Accent2 8 2 2" xfId="118" xr:uid="{00000000-0005-0000-0000-0000F10C0000}"/>
    <cellStyle name="20% - Accent2 8 2 2 2" xfId="1144" xr:uid="{00000000-0005-0000-0000-0000F20C0000}"/>
    <cellStyle name="20% - Accent2 8 2 2 2 2" xfId="4671" xr:uid="{00000000-0005-0000-0000-0000F30C0000}"/>
    <cellStyle name="20% - Accent2 8 2 2 2 2 2" xfId="8262" xr:uid="{00000000-0005-0000-0000-0000F40C0000}"/>
    <cellStyle name="20% - Accent2 8 2 2 2 2 2 2" xfId="16232" xr:uid="{00000000-0005-0000-0000-0000F50C0000}"/>
    <cellStyle name="20% - Accent2 8 2 2 2 2 2 2 2" xfId="40074" xr:uid="{98E4C55D-FB7E-49C3-9609-73605BA7AB85}"/>
    <cellStyle name="20% - Accent2 8 2 2 2 2 2 3" xfId="24178" xr:uid="{00000000-0005-0000-0000-0000F60C0000}"/>
    <cellStyle name="20% - Accent2 8 2 2 2 2 2 3 2" xfId="48010" xr:uid="{E607675E-3AD5-4A5F-9C17-12C9492397F0}"/>
    <cellStyle name="20% - Accent2 8 2 2 2 2 2 4" xfId="32133" xr:uid="{C5C3F718-5CD3-4F4A-B54A-9069517DEAB3}"/>
    <cellStyle name="20% - Accent2 8 2 2 2 2 3" xfId="12694" xr:uid="{00000000-0005-0000-0000-0000F70C0000}"/>
    <cellStyle name="20% - Accent2 8 2 2 2 2 3 2" xfId="36543" xr:uid="{DF70BAA7-E455-4376-8CC4-8BDE1586927A}"/>
    <cellStyle name="20% - Accent2 8 2 2 2 2 4" xfId="20649" xr:uid="{00000000-0005-0000-0000-0000F80C0000}"/>
    <cellStyle name="20% - Accent2 8 2 2 2 2 4 2" xfId="44481" xr:uid="{8F7392FE-DD0E-4F4D-ACF4-5CC7CC502815}"/>
    <cellStyle name="20% - Accent2 8 2 2 2 2 5" xfId="28602" xr:uid="{F3CCA7E6-7249-44CE-8C8A-6F5394C9F2FC}"/>
    <cellStyle name="20% - Accent2 8 2 2 2 3" xfId="6503" xr:uid="{00000000-0005-0000-0000-0000F90C0000}"/>
    <cellStyle name="20% - Accent2 8 2 2 2 3 2" xfId="14474" xr:uid="{00000000-0005-0000-0000-0000FA0C0000}"/>
    <cellStyle name="20% - Accent2 8 2 2 2 3 2 2" xfId="38316" xr:uid="{1298E9C1-1833-4019-90F8-73F4BD592E4F}"/>
    <cellStyle name="20% - Accent2 8 2 2 2 3 3" xfId="22421" xr:uid="{00000000-0005-0000-0000-0000FB0C0000}"/>
    <cellStyle name="20% - Accent2 8 2 2 2 3 3 2" xfId="46253" xr:uid="{6A2E45CC-6079-4041-A923-E3EBC0FB333D}"/>
    <cellStyle name="20% - Accent2 8 2 2 2 3 4" xfId="30375" xr:uid="{C3CDCDAC-618B-4A50-8592-ED8EC2B7514C}"/>
    <cellStyle name="20% - Accent2 8 2 2 2 4" xfId="10938" xr:uid="{00000000-0005-0000-0000-0000FC0C0000}"/>
    <cellStyle name="20% - Accent2 8 2 2 2 4 2" xfId="34787" xr:uid="{E085723B-CFB5-4DB1-8EB5-FCFCAAA3FEC9}"/>
    <cellStyle name="20% - Accent2 8 2 2 2 5" xfId="18893" xr:uid="{00000000-0005-0000-0000-0000FD0C0000}"/>
    <cellStyle name="20% - Accent2 8 2 2 2 5 2" xfId="42725" xr:uid="{76682270-AA6C-4FAE-B87F-BF2A5E1BFA74}"/>
    <cellStyle name="20% - Accent2 8 2 2 2 6" xfId="26845" xr:uid="{82F8BC75-5DA9-46A9-99FA-3A4D7ED04F30}"/>
    <cellStyle name="20% - Accent2 8 2 2 2_Exh G" xfId="2165" xr:uid="{00000000-0005-0000-0000-0000FE0C0000}"/>
    <cellStyle name="20% - Accent2 8 2 2 3" xfId="3792" xr:uid="{00000000-0005-0000-0000-0000FF0C0000}"/>
    <cellStyle name="20% - Accent2 8 2 2 3 2" xfId="7384" xr:uid="{00000000-0005-0000-0000-0000000D0000}"/>
    <cellStyle name="20% - Accent2 8 2 2 3 2 2" xfId="15354" xr:uid="{00000000-0005-0000-0000-0000010D0000}"/>
    <cellStyle name="20% - Accent2 8 2 2 3 2 2 2" xfId="39196" xr:uid="{F63E782B-4AAE-4F0E-8A31-271EF7E8E629}"/>
    <cellStyle name="20% - Accent2 8 2 2 3 2 3" xfId="23300" xr:uid="{00000000-0005-0000-0000-0000020D0000}"/>
    <cellStyle name="20% - Accent2 8 2 2 3 2 3 2" xfId="47132" xr:uid="{AA2CDD0D-B012-4E01-B108-0CFCB91F19A0}"/>
    <cellStyle name="20% - Accent2 8 2 2 3 2 4" xfId="31255" xr:uid="{6D12E4DB-437A-4655-81E1-09873C64BECF}"/>
    <cellStyle name="20% - Accent2 8 2 2 3 3" xfId="11816" xr:uid="{00000000-0005-0000-0000-0000030D0000}"/>
    <cellStyle name="20% - Accent2 8 2 2 3 3 2" xfId="35665" xr:uid="{9DCCD684-7F94-42BD-88A6-638B73BC6F16}"/>
    <cellStyle name="20% - Accent2 8 2 2 3 4" xfId="19771" xr:uid="{00000000-0005-0000-0000-0000040D0000}"/>
    <cellStyle name="20% - Accent2 8 2 2 3 4 2" xfId="43603" xr:uid="{5A9EB0DA-B409-4A2F-A7F1-30A489837627}"/>
    <cellStyle name="20% - Accent2 8 2 2 3 5" xfId="27724" xr:uid="{F8E6D09E-3060-4D67-A123-862389CB6ED6}"/>
    <cellStyle name="20% - Accent2 8 2 2 4" xfId="5612" xr:uid="{00000000-0005-0000-0000-0000050D0000}"/>
    <cellStyle name="20% - Accent2 8 2 2 4 2" xfId="13595" xr:uid="{00000000-0005-0000-0000-0000060D0000}"/>
    <cellStyle name="20% - Accent2 8 2 2 4 2 2" xfId="37438" xr:uid="{22822929-8E93-4601-9F0F-E70E095464FE}"/>
    <cellStyle name="20% - Accent2 8 2 2 4 3" xfId="21543" xr:uid="{00000000-0005-0000-0000-0000070D0000}"/>
    <cellStyle name="20% - Accent2 8 2 2 4 3 2" xfId="45375" xr:uid="{CBE605F9-A91B-4038-B7B1-EA7326F3AE6B}"/>
    <cellStyle name="20% - Accent2 8 2 2 4 4" xfId="29497" xr:uid="{BD747125-ABF6-4D37-9A63-F0DAA0610512}"/>
    <cellStyle name="20% - Accent2 8 2 2 5" xfId="9164" xr:uid="{00000000-0005-0000-0000-0000080D0000}"/>
    <cellStyle name="20% - Accent2 8 2 2 5 2" xfId="17122" xr:uid="{00000000-0005-0000-0000-0000090D0000}"/>
    <cellStyle name="20% - Accent2 8 2 2 5 2 2" xfId="40962" xr:uid="{60967961-D8E8-4CF6-BCDA-DE4C0C33413F}"/>
    <cellStyle name="20% - Accent2 8 2 2 5 3" xfId="25066" xr:uid="{00000000-0005-0000-0000-00000A0D0000}"/>
    <cellStyle name="20% - Accent2 8 2 2 5 3 2" xfId="48898" xr:uid="{6CCC42B2-C8B2-4A3A-B246-FF40811010E8}"/>
    <cellStyle name="20% - Accent2 8 2 2 5 4" xfId="33021" xr:uid="{16A34608-20F9-4114-A608-D4D864FEDFA0}"/>
    <cellStyle name="20% - Accent2 8 2 2 6" xfId="10060" xr:uid="{00000000-0005-0000-0000-00000B0D0000}"/>
    <cellStyle name="20% - Accent2 8 2 2 6 2" xfId="33909" xr:uid="{8FE0DDED-1195-47DE-AB84-74AC3E8BCD8D}"/>
    <cellStyle name="20% - Accent2 8 2 2 7" xfId="18015" xr:uid="{00000000-0005-0000-0000-00000C0D0000}"/>
    <cellStyle name="20% - Accent2 8 2 2 7 2" xfId="41847" xr:uid="{CAAFB560-631F-4305-A3EB-8D6DE5056D18}"/>
    <cellStyle name="20% - Accent2 8 2 2 8" xfId="25967" xr:uid="{92693498-426D-4247-B27B-47EDD1199F6B}"/>
    <cellStyle name="20% - Accent2 8 2 2_Exh G" xfId="2164" xr:uid="{00000000-0005-0000-0000-00000D0D0000}"/>
    <cellStyle name="20% - Accent2 8 2 3" xfId="1143" xr:uid="{00000000-0005-0000-0000-00000E0D0000}"/>
    <cellStyle name="20% - Accent2 8 2 3 2" xfId="4670" xr:uid="{00000000-0005-0000-0000-00000F0D0000}"/>
    <cellStyle name="20% - Accent2 8 2 3 2 2" xfId="8261" xr:uid="{00000000-0005-0000-0000-0000100D0000}"/>
    <cellStyle name="20% - Accent2 8 2 3 2 2 2" xfId="16231" xr:uid="{00000000-0005-0000-0000-0000110D0000}"/>
    <cellStyle name="20% - Accent2 8 2 3 2 2 2 2" xfId="40073" xr:uid="{3E35D278-5106-4842-B48B-2A1A4E1737E5}"/>
    <cellStyle name="20% - Accent2 8 2 3 2 2 3" xfId="24177" xr:uid="{00000000-0005-0000-0000-0000120D0000}"/>
    <cellStyle name="20% - Accent2 8 2 3 2 2 3 2" xfId="48009" xr:uid="{79BCEDE3-6BCA-495D-8C8C-1E9C9B8B0598}"/>
    <cellStyle name="20% - Accent2 8 2 3 2 2 4" xfId="32132" xr:uid="{0D98F144-91FA-4790-A05F-C56EA80C0F18}"/>
    <cellStyle name="20% - Accent2 8 2 3 2 3" xfId="12693" xr:uid="{00000000-0005-0000-0000-0000130D0000}"/>
    <cellStyle name="20% - Accent2 8 2 3 2 3 2" xfId="36542" xr:uid="{76155279-1DFA-41F2-903F-EC4BB0EF165F}"/>
    <cellStyle name="20% - Accent2 8 2 3 2 4" xfId="20648" xr:uid="{00000000-0005-0000-0000-0000140D0000}"/>
    <cellStyle name="20% - Accent2 8 2 3 2 4 2" xfId="44480" xr:uid="{FC67E286-1568-4402-8D85-02EF22A93B52}"/>
    <cellStyle name="20% - Accent2 8 2 3 2 5" xfId="28601" xr:uid="{2B4EAC58-6215-4FC9-9677-414B75BDC1DF}"/>
    <cellStyle name="20% - Accent2 8 2 3 3" xfId="6502" xr:uid="{00000000-0005-0000-0000-0000150D0000}"/>
    <cellStyle name="20% - Accent2 8 2 3 3 2" xfId="14473" xr:uid="{00000000-0005-0000-0000-0000160D0000}"/>
    <cellStyle name="20% - Accent2 8 2 3 3 2 2" xfId="38315" xr:uid="{A98239D7-26DE-45C0-B7E4-8C59696E346E}"/>
    <cellStyle name="20% - Accent2 8 2 3 3 3" xfId="22420" xr:uid="{00000000-0005-0000-0000-0000170D0000}"/>
    <cellStyle name="20% - Accent2 8 2 3 3 3 2" xfId="46252" xr:uid="{0C84451F-0363-421F-9F45-0DF5E134D30F}"/>
    <cellStyle name="20% - Accent2 8 2 3 3 4" xfId="30374" xr:uid="{33507F4B-0EC5-41CA-9576-2E06CBE20502}"/>
    <cellStyle name="20% - Accent2 8 2 3 4" xfId="10937" xr:uid="{00000000-0005-0000-0000-0000180D0000}"/>
    <cellStyle name="20% - Accent2 8 2 3 4 2" xfId="34786" xr:uid="{64B1EBDE-DAD8-4E8E-B437-53C12281A825}"/>
    <cellStyle name="20% - Accent2 8 2 3 5" xfId="18892" xr:uid="{00000000-0005-0000-0000-0000190D0000}"/>
    <cellStyle name="20% - Accent2 8 2 3 5 2" xfId="42724" xr:uid="{F4074E93-FBAD-41DC-B996-A6DB39B442C4}"/>
    <cellStyle name="20% - Accent2 8 2 3 6" xfId="26844" xr:uid="{4394392D-832F-4D80-9A4A-BE37FD01982F}"/>
    <cellStyle name="20% - Accent2 8 2 3_Exh G" xfId="2166" xr:uid="{00000000-0005-0000-0000-00001A0D0000}"/>
    <cellStyle name="20% - Accent2 8 2 4" xfId="3791" xr:uid="{00000000-0005-0000-0000-00001B0D0000}"/>
    <cellStyle name="20% - Accent2 8 2 4 2" xfId="7383" xr:uid="{00000000-0005-0000-0000-00001C0D0000}"/>
    <cellStyle name="20% - Accent2 8 2 4 2 2" xfId="15353" xr:uid="{00000000-0005-0000-0000-00001D0D0000}"/>
    <cellStyle name="20% - Accent2 8 2 4 2 2 2" xfId="39195" xr:uid="{C00D98E6-9F1B-45E8-96D2-66D1CCD75914}"/>
    <cellStyle name="20% - Accent2 8 2 4 2 3" xfId="23299" xr:uid="{00000000-0005-0000-0000-00001E0D0000}"/>
    <cellStyle name="20% - Accent2 8 2 4 2 3 2" xfId="47131" xr:uid="{3B43B284-8664-4F52-98B6-36DB7AF6B56B}"/>
    <cellStyle name="20% - Accent2 8 2 4 2 4" xfId="31254" xr:uid="{224B78FC-D500-4355-90F9-A0787A7713B9}"/>
    <cellStyle name="20% - Accent2 8 2 4 3" xfId="11815" xr:uid="{00000000-0005-0000-0000-00001F0D0000}"/>
    <cellStyle name="20% - Accent2 8 2 4 3 2" xfId="35664" xr:uid="{1369CC90-6738-4DB8-A3A0-165B932C9680}"/>
    <cellStyle name="20% - Accent2 8 2 4 4" xfId="19770" xr:uid="{00000000-0005-0000-0000-0000200D0000}"/>
    <cellStyle name="20% - Accent2 8 2 4 4 2" xfId="43602" xr:uid="{EC7EBEDF-3918-4293-BF5F-4BB5A6592CF4}"/>
    <cellStyle name="20% - Accent2 8 2 4 5" xfId="27723" xr:uid="{D973F34D-B4FA-45E1-A87B-AD3FE54EF9D1}"/>
    <cellStyle name="20% - Accent2 8 2 5" xfId="5611" xr:uid="{00000000-0005-0000-0000-0000210D0000}"/>
    <cellStyle name="20% - Accent2 8 2 5 2" xfId="13594" xr:uid="{00000000-0005-0000-0000-0000220D0000}"/>
    <cellStyle name="20% - Accent2 8 2 5 2 2" xfId="37437" xr:uid="{5D607C32-0E21-47FB-BF66-EB5A2F268BD3}"/>
    <cellStyle name="20% - Accent2 8 2 5 3" xfId="21542" xr:uid="{00000000-0005-0000-0000-0000230D0000}"/>
    <cellStyle name="20% - Accent2 8 2 5 3 2" xfId="45374" xr:uid="{03E52642-E7FC-4C48-BD75-6BC24C77226B}"/>
    <cellStyle name="20% - Accent2 8 2 5 4" xfId="29496" xr:uid="{52E636A9-B2F7-4BB2-BF74-575C08E13B00}"/>
    <cellStyle name="20% - Accent2 8 2 6" xfId="9163" xr:uid="{00000000-0005-0000-0000-0000240D0000}"/>
    <cellStyle name="20% - Accent2 8 2 6 2" xfId="17121" xr:uid="{00000000-0005-0000-0000-0000250D0000}"/>
    <cellStyle name="20% - Accent2 8 2 6 2 2" xfId="40961" xr:uid="{43E728AD-49D2-4DF3-A7E5-9547E2A1EBB8}"/>
    <cellStyle name="20% - Accent2 8 2 6 3" xfId="25065" xr:uid="{00000000-0005-0000-0000-0000260D0000}"/>
    <cellStyle name="20% - Accent2 8 2 6 3 2" xfId="48897" xr:uid="{902C665D-82F6-409E-8F3C-2000AD7B64FE}"/>
    <cellStyle name="20% - Accent2 8 2 6 4" xfId="33020" xr:uid="{2F2F26AD-BB4E-4D5D-98DF-12371E28CFB4}"/>
    <cellStyle name="20% - Accent2 8 2 7" xfId="10059" xr:uid="{00000000-0005-0000-0000-0000270D0000}"/>
    <cellStyle name="20% - Accent2 8 2 7 2" xfId="33908" xr:uid="{2DE36C2E-C20B-40B9-B38B-C510FBC6F589}"/>
    <cellStyle name="20% - Accent2 8 2 8" xfId="18014" xr:uid="{00000000-0005-0000-0000-0000280D0000}"/>
    <cellStyle name="20% - Accent2 8 2 8 2" xfId="41846" xr:uid="{13338CEC-784D-4AC9-B10F-DF80F26B5E8B}"/>
    <cellStyle name="20% - Accent2 8 2 9" xfId="25966" xr:uid="{C670D294-4725-4C95-B0D0-258A98C9384A}"/>
    <cellStyle name="20% - Accent2 8 2_Exh G" xfId="2163" xr:uid="{00000000-0005-0000-0000-0000290D0000}"/>
    <cellStyle name="20% - Accent2 8 3" xfId="119" xr:uid="{00000000-0005-0000-0000-00002A0D0000}"/>
    <cellStyle name="20% - Accent2 8 3 2" xfId="1145" xr:uid="{00000000-0005-0000-0000-00002B0D0000}"/>
    <cellStyle name="20% - Accent2 8 3 2 2" xfId="4672" xr:uid="{00000000-0005-0000-0000-00002C0D0000}"/>
    <cellStyle name="20% - Accent2 8 3 2 2 2" xfId="8263" xr:uid="{00000000-0005-0000-0000-00002D0D0000}"/>
    <cellStyle name="20% - Accent2 8 3 2 2 2 2" xfId="16233" xr:uid="{00000000-0005-0000-0000-00002E0D0000}"/>
    <cellStyle name="20% - Accent2 8 3 2 2 2 2 2" xfId="40075" xr:uid="{17CBC662-3A31-4D7E-90EF-E8AF630DCE02}"/>
    <cellStyle name="20% - Accent2 8 3 2 2 2 3" xfId="24179" xr:uid="{00000000-0005-0000-0000-00002F0D0000}"/>
    <cellStyle name="20% - Accent2 8 3 2 2 2 3 2" xfId="48011" xr:uid="{151A7CD2-2A59-4DA5-B741-EB8AE8ED87CC}"/>
    <cellStyle name="20% - Accent2 8 3 2 2 2 4" xfId="32134" xr:uid="{28E497D7-20BD-4E11-A63A-C638BD9CC90E}"/>
    <cellStyle name="20% - Accent2 8 3 2 2 3" xfId="12695" xr:uid="{00000000-0005-0000-0000-0000300D0000}"/>
    <cellStyle name="20% - Accent2 8 3 2 2 3 2" xfId="36544" xr:uid="{36EB222E-C33B-4DB5-AD99-990FB12474F0}"/>
    <cellStyle name="20% - Accent2 8 3 2 2 4" xfId="20650" xr:uid="{00000000-0005-0000-0000-0000310D0000}"/>
    <cellStyle name="20% - Accent2 8 3 2 2 4 2" xfId="44482" xr:uid="{D2F8C631-1FE5-4222-BAE4-7E4EB895F7E9}"/>
    <cellStyle name="20% - Accent2 8 3 2 2 5" xfId="28603" xr:uid="{575309FD-F042-4363-9A1B-90092822372E}"/>
    <cellStyle name="20% - Accent2 8 3 2 3" xfId="6504" xr:uid="{00000000-0005-0000-0000-0000320D0000}"/>
    <cellStyle name="20% - Accent2 8 3 2 3 2" xfId="14475" xr:uid="{00000000-0005-0000-0000-0000330D0000}"/>
    <cellStyle name="20% - Accent2 8 3 2 3 2 2" xfId="38317" xr:uid="{4288AC14-AC31-457C-9B8C-F679A834BD32}"/>
    <cellStyle name="20% - Accent2 8 3 2 3 3" xfId="22422" xr:uid="{00000000-0005-0000-0000-0000340D0000}"/>
    <cellStyle name="20% - Accent2 8 3 2 3 3 2" xfId="46254" xr:uid="{375BAAB5-E3C7-45B3-AE05-7434C44563C9}"/>
    <cellStyle name="20% - Accent2 8 3 2 3 4" xfId="30376" xr:uid="{EA6D87E9-584F-4C50-A225-506487A3CE93}"/>
    <cellStyle name="20% - Accent2 8 3 2 4" xfId="10939" xr:uid="{00000000-0005-0000-0000-0000350D0000}"/>
    <cellStyle name="20% - Accent2 8 3 2 4 2" xfId="34788" xr:uid="{B3E711AF-222B-401B-9CCE-AF34B98C40F1}"/>
    <cellStyle name="20% - Accent2 8 3 2 5" xfId="18894" xr:uid="{00000000-0005-0000-0000-0000360D0000}"/>
    <cellStyle name="20% - Accent2 8 3 2 5 2" xfId="42726" xr:uid="{DB38AD33-9419-4032-AE57-2744209F5061}"/>
    <cellStyle name="20% - Accent2 8 3 2 6" xfId="26846" xr:uid="{48EFC853-15C4-4175-B933-528A448C2325}"/>
    <cellStyle name="20% - Accent2 8 3 2_Exh G" xfId="2168" xr:uid="{00000000-0005-0000-0000-0000370D0000}"/>
    <cellStyle name="20% - Accent2 8 3 3" xfId="3793" xr:uid="{00000000-0005-0000-0000-0000380D0000}"/>
    <cellStyle name="20% - Accent2 8 3 3 2" xfId="7385" xr:uid="{00000000-0005-0000-0000-0000390D0000}"/>
    <cellStyle name="20% - Accent2 8 3 3 2 2" xfId="15355" xr:uid="{00000000-0005-0000-0000-00003A0D0000}"/>
    <cellStyle name="20% - Accent2 8 3 3 2 2 2" xfId="39197" xr:uid="{40648471-3D5B-46D6-84D9-932204BAF575}"/>
    <cellStyle name="20% - Accent2 8 3 3 2 3" xfId="23301" xr:uid="{00000000-0005-0000-0000-00003B0D0000}"/>
    <cellStyle name="20% - Accent2 8 3 3 2 3 2" xfId="47133" xr:uid="{678D2470-45D8-4332-905E-CA309B185957}"/>
    <cellStyle name="20% - Accent2 8 3 3 2 4" xfId="31256" xr:uid="{B97059A0-8884-491D-A762-D623DDFE1001}"/>
    <cellStyle name="20% - Accent2 8 3 3 3" xfId="11817" xr:uid="{00000000-0005-0000-0000-00003C0D0000}"/>
    <cellStyle name="20% - Accent2 8 3 3 3 2" xfId="35666" xr:uid="{4BFBE8F3-F70D-4842-979C-E50BD2C49301}"/>
    <cellStyle name="20% - Accent2 8 3 3 4" xfId="19772" xr:uid="{00000000-0005-0000-0000-00003D0D0000}"/>
    <cellStyle name="20% - Accent2 8 3 3 4 2" xfId="43604" xr:uid="{D5B73E77-375B-4744-9C40-070CAF40ADC1}"/>
    <cellStyle name="20% - Accent2 8 3 3 5" xfId="27725" xr:uid="{AB2AADF5-1528-4BC9-88FD-C25428C010C3}"/>
    <cellStyle name="20% - Accent2 8 3 4" xfId="5613" xr:uid="{00000000-0005-0000-0000-00003E0D0000}"/>
    <cellStyle name="20% - Accent2 8 3 4 2" xfId="13596" xr:uid="{00000000-0005-0000-0000-00003F0D0000}"/>
    <cellStyle name="20% - Accent2 8 3 4 2 2" xfId="37439" xr:uid="{65045AF5-61BD-493A-9DE5-BB53A49E328A}"/>
    <cellStyle name="20% - Accent2 8 3 4 3" xfId="21544" xr:uid="{00000000-0005-0000-0000-0000400D0000}"/>
    <cellStyle name="20% - Accent2 8 3 4 3 2" xfId="45376" xr:uid="{510C1E4B-F83E-4CE4-A3D2-38954767DD00}"/>
    <cellStyle name="20% - Accent2 8 3 4 4" xfId="29498" xr:uid="{D1DCF024-A40A-4688-9AAA-FC259D156111}"/>
    <cellStyle name="20% - Accent2 8 3 5" xfId="9165" xr:uid="{00000000-0005-0000-0000-0000410D0000}"/>
    <cellStyle name="20% - Accent2 8 3 5 2" xfId="17123" xr:uid="{00000000-0005-0000-0000-0000420D0000}"/>
    <cellStyle name="20% - Accent2 8 3 5 2 2" xfId="40963" xr:uid="{3B469EE7-A9C8-4C32-A120-263033E79568}"/>
    <cellStyle name="20% - Accent2 8 3 5 3" xfId="25067" xr:uid="{00000000-0005-0000-0000-0000430D0000}"/>
    <cellStyle name="20% - Accent2 8 3 5 3 2" xfId="48899" xr:uid="{460F4FDB-1548-44AE-A9BA-A7C516F2B88E}"/>
    <cellStyle name="20% - Accent2 8 3 5 4" xfId="33022" xr:uid="{DA41E0FC-6FD5-4A4C-B5D7-59CC74FFF223}"/>
    <cellStyle name="20% - Accent2 8 3 6" xfId="10061" xr:uid="{00000000-0005-0000-0000-0000440D0000}"/>
    <cellStyle name="20% - Accent2 8 3 6 2" xfId="33910" xr:uid="{D0691AF6-0F4C-4BDC-B58E-69F8613FFEA8}"/>
    <cellStyle name="20% - Accent2 8 3 7" xfId="18016" xr:uid="{00000000-0005-0000-0000-0000450D0000}"/>
    <cellStyle name="20% - Accent2 8 3 7 2" xfId="41848" xr:uid="{FC2F39F2-251A-42B0-B515-1F40BA217BE9}"/>
    <cellStyle name="20% - Accent2 8 3 8" xfId="25968" xr:uid="{B80A7B71-394C-4805-8DD5-02BF424FD205}"/>
    <cellStyle name="20% - Accent2 8 3_Exh G" xfId="2167" xr:uid="{00000000-0005-0000-0000-0000460D0000}"/>
    <cellStyle name="20% - Accent2 8 4" xfId="881" xr:uid="{00000000-0005-0000-0000-0000470D0000}"/>
    <cellStyle name="20% - Accent2 8 4 2" xfId="1810" xr:uid="{00000000-0005-0000-0000-0000480D0000}"/>
    <cellStyle name="20% - Accent2 8 4 2 2" xfId="5327" xr:uid="{00000000-0005-0000-0000-0000490D0000}"/>
    <cellStyle name="20% - Accent2 8 4 2 2 2" xfId="8918" xr:uid="{00000000-0005-0000-0000-00004A0D0000}"/>
    <cellStyle name="20% - Accent2 8 4 2 2 2 2" xfId="16888" xr:uid="{00000000-0005-0000-0000-00004B0D0000}"/>
    <cellStyle name="20% - Accent2 8 4 2 2 2 2 2" xfId="40730" xr:uid="{34AF2371-90DA-40A2-B722-3EC0E42B8A4C}"/>
    <cellStyle name="20% - Accent2 8 4 2 2 2 3" xfId="24834" xr:uid="{00000000-0005-0000-0000-00004C0D0000}"/>
    <cellStyle name="20% - Accent2 8 4 2 2 2 3 2" xfId="48666" xr:uid="{0F216D5D-6515-42D4-91CB-942A52D6E649}"/>
    <cellStyle name="20% - Accent2 8 4 2 2 2 4" xfId="32789" xr:uid="{FCA1A412-00D2-47E6-BB81-C87292973292}"/>
    <cellStyle name="20% - Accent2 8 4 2 2 3" xfId="13350" xr:uid="{00000000-0005-0000-0000-00004D0D0000}"/>
    <cellStyle name="20% - Accent2 8 4 2 2 3 2" xfId="37199" xr:uid="{33449B50-C21C-457C-9916-13C639206497}"/>
    <cellStyle name="20% - Accent2 8 4 2 2 4" xfId="21305" xr:uid="{00000000-0005-0000-0000-00004E0D0000}"/>
    <cellStyle name="20% - Accent2 8 4 2 2 4 2" xfId="45137" xr:uid="{A9A52950-9E3D-4FC4-8613-9E072E11585B}"/>
    <cellStyle name="20% - Accent2 8 4 2 2 5" xfId="29258" xr:uid="{BC0D5B12-5076-4D61-B425-731451356176}"/>
    <cellStyle name="20% - Accent2 8 4 2 3" xfId="7159" xr:uid="{00000000-0005-0000-0000-00004F0D0000}"/>
    <cellStyle name="20% - Accent2 8 4 2 3 2" xfId="15130" xr:uid="{00000000-0005-0000-0000-0000500D0000}"/>
    <cellStyle name="20% - Accent2 8 4 2 3 2 2" xfId="38972" xr:uid="{4970911F-7C89-4BE0-AEBB-ED4E24B57228}"/>
    <cellStyle name="20% - Accent2 8 4 2 3 3" xfId="23077" xr:uid="{00000000-0005-0000-0000-0000510D0000}"/>
    <cellStyle name="20% - Accent2 8 4 2 3 3 2" xfId="46909" xr:uid="{96AE97F2-AB04-4C37-989A-32FB722D5A08}"/>
    <cellStyle name="20% - Accent2 8 4 2 3 4" xfId="31031" xr:uid="{035E048A-6154-498B-8FB5-C151FC5E721F}"/>
    <cellStyle name="20% - Accent2 8 4 2 4" xfId="11594" xr:uid="{00000000-0005-0000-0000-0000520D0000}"/>
    <cellStyle name="20% - Accent2 8 4 2 4 2" xfId="35443" xr:uid="{46CFBA0E-410A-445D-91A1-77B8698A47E1}"/>
    <cellStyle name="20% - Accent2 8 4 2 5" xfId="19549" xr:uid="{00000000-0005-0000-0000-0000530D0000}"/>
    <cellStyle name="20% - Accent2 8 4 2 5 2" xfId="43381" xr:uid="{FB2BA175-5178-4697-9391-2A00503F7795}"/>
    <cellStyle name="20% - Accent2 8 4 2 6" xfId="27501" xr:uid="{024ADA64-A145-46CE-B355-343EC64D7C7F}"/>
    <cellStyle name="20% - Accent2 8 4 2_Exh G" xfId="2170" xr:uid="{00000000-0005-0000-0000-0000540D0000}"/>
    <cellStyle name="20% - Accent2 8 4 3" xfId="4448" xr:uid="{00000000-0005-0000-0000-0000550D0000}"/>
    <cellStyle name="20% - Accent2 8 4 3 2" xfId="8040" xr:uid="{00000000-0005-0000-0000-0000560D0000}"/>
    <cellStyle name="20% - Accent2 8 4 3 2 2" xfId="16010" xr:uid="{00000000-0005-0000-0000-0000570D0000}"/>
    <cellStyle name="20% - Accent2 8 4 3 2 2 2" xfId="39852" xr:uid="{C3BBFA34-77F6-4986-8CC8-21D99403291A}"/>
    <cellStyle name="20% - Accent2 8 4 3 2 3" xfId="23956" xr:uid="{00000000-0005-0000-0000-0000580D0000}"/>
    <cellStyle name="20% - Accent2 8 4 3 2 3 2" xfId="47788" xr:uid="{15A77B0A-9722-4816-83D1-EBBC2FE01E8B}"/>
    <cellStyle name="20% - Accent2 8 4 3 2 4" xfId="31911" xr:uid="{08C26BE5-DA95-4242-8318-64B843B0C3D9}"/>
    <cellStyle name="20% - Accent2 8 4 3 3" xfId="12472" xr:uid="{00000000-0005-0000-0000-0000590D0000}"/>
    <cellStyle name="20% - Accent2 8 4 3 3 2" xfId="36321" xr:uid="{9F2DC0B9-E3E2-460A-B199-1891BC0252D5}"/>
    <cellStyle name="20% - Accent2 8 4 3 4" xfId="20427" xr:uid="{00000000-0005-0000-0000-00005A0D0000}"/>
    <cellStyle name="20% - Accent2 8 4 3 4 2" xfId="44259" xr:uid="{3FF901E6-FE78-4D86-A20A-23A2B2566280}"/>
    <cellStyle name="20% - Accent2 8 4 3 5" xfId="28380" xr:uid="{0CDD8FA2-0170-422B-A42E-F119615B2924}"/>
    <cellStyle name="20% - Accent2 8 4 4" xfId="6278" xr:uid="{00000000-0005-0000-0000-00005B0D0000}"/>
    <cellStyle name="20% - Accent2 8 4 4 2" xfId="14252" xr:uid="{00000000-0005-0000-0000-00005C0D0000}"/>
    <cellStyle name="20% - Accent2 8 4 4 2 2" xfId="38094" xr:uid="{F69F884C-C3CA-440A-B055-596181830619}"/>
    <cellStyle name="20% - Accent2 8 4 4 3" xfId="22199" xr:uid="{00000000-0005-0000-0000-00005D0D0000}"/>
    <cellStyle name="20% - Accent2 8 4 4 3 2" xfId="46031" xr:uid="{426F1514-4455-422E-B0E5-872916CF18EA}"/>
    <cellStyle name="20% - Accent2 8 4 4 4" xfId="30153" xr:uid="{A0DC582D-04AB-496F-AEBC-A1D7611436BC}"/>
    <cellStyle name="20% - Accent2 8 4 5" xfId="9820" xr:uid="{00000000-0005-0000-0000-00005E0D0000}"/>
    <cellStyle name="20% - Accent2 8 4 5 2" xfId="17778" xr:uid="{00000000-0005-0000-0000-00005F0D0000}"/>
    <cellStyle name="20% - Accent2 8 4 5 2 2" xfId="41618" xr:uid="{02734A81-E9BB-47B3-8F18-35ED44BE8DD8}"/>
    <cellStyle name="20% - Accent2 8 4 5 3" xfId="25722" xr:uid="{00000000-0005-0000-0000-0000600D0000}"/>
    <cellStyle name="20% - Accent2 8 4 5 3 2" xfId="49554" xr:uid="{DAEA4321-F335-4B26-B612-118D52570640}"/>
    <cellStyle name="20% - Accent2 8 4 5 4" xfId="33677" xr:uid="{13AD9546-E98C-415F-B281-728AF1761452}"/>
    <cellStyle name="20% - Accent2 8 4 6" xfId="10716" xr:uid="{00000000-0005-0000-0000-0000610D0000}"/>
    <cellStyle name="20% - Accent2 8 4 6 2" xfId="34565" xr:uid="{A4FA42EE-96CF-4D61-A5B1-970D4011B350}"/>
    <cellStyle name="20% - Accent2 8 4 7" xfId="18671" xr:uid="{00000000-0005-0000-0000-0000620D0000}"/>
    <cellStyle name="20% - Accent2 8 4 7 2" xfId="42503" xr:uid="{777DA295-1F27-4FE9-B28C-7D629603528D}"/>
    <cellStyle name="20% - Accent2 8 4 8" xfId="26623" xr:uid="{94B28AF6-CA70-4961-ACE0-6B5CADAE38FB}"/>
    <cellStyle name="20% - Accent2 8 4_Exh G" xfId="2169" xr:uid="{00000000-0005-0000-0000-0000630D0000}"/>
    <cellStyle name="20% - Accent2 8 5" xfId="1142" xr:uid="{00000000-0005-0000-0000-0000640D0000}"/>
    <cellStyle name="20% - Accent2 8 5 2" xfId="4669" xr:uid="{00000000-0005-0000-0000-0000650D0000}"/>
    <cellStyle name="20% - Accent2 8 5 2 2" xfId="8260" xr:uid="{00000000-0005-0000-0000-0000660D0000}"/>
    <cellStyle name="20% - Accent2 8 5 2 2 2" xfId="16230" xr:uid="{00000000-0005-0000-0000-0000670D0000}"/>
    <cellStyle name="20% - Accent2 8 5 2 2 2 2" xfId="40072" xr:uid="{3EF2C22E-ED91-42A6-BCB1-F9E148E10522}"/>
    <cellStyle name="20% - Accent2 8 5 2 2 3" xfId="24176" xr:uid="{00000000-0005-0000-0000-0000680D0000}"/>
    <cellStyle name="20% - Accent2 8 5 2 2 3 2" xfId="48008" xr:uid="{1485DE29-9F18-444C-A727-D7A654D8C7AC}"/>
    <cellStyle name="20% - Accent2 8 5 2 2 4" xfId="32131" xr:uid="{175D59E5-3FBA-4B67-AA1B-398EE5E02E1F}"/>
    <cellStyle name="20% - Accent2 8 5 2 3" xfId="12692" xr:uid="{00000000-0005-0000-0000-0000690D0000}"/>
    <cellStyle name="20% - Accent2 8 5 2 3 2" xfId="36541" xr:uid="{331E757D-C411-433E-B261-82D2039DBBB9}"/>
    <cellStyle name="20% - Accent2 8 5 2 4" xfId="20647" xr:uid="{00000000-0005-0000-0000-00006A0D0000}"/>
    <cellStyle name="20% - Accent2 8 5 2 4 2" xfId="44479" xr:uid="{E45E3E26-FBCC-48CD-8393-8697BFFC556E}"/>
    <cellStyle name="20% - Accent2 8 5 2 5" xfId="28600" xr:uid="{72614A16-04BF-47F8-AE47-3E0961EE9A5F}"/>
    <cellStyle name="20% - Accent2 8 5 3" xfId="6501" xr:uid="{00000000-0005-0000-0000-00006B0D0000}"/>
    <cellStyle name="20% - Accent2 8 5 3 2" xfId="14472" xr:uid="{00000000-0005-0000-0000-00006C0D0000}"/>
    <cellStyle name="20% - Accent2 8 5 3 2 2" xfId="38314" xr:uid="{5C5947A4-E655-4A0A-AE95-662A3CB85D48}"/>
    <cellStyle name="20% - Accent2 8 5 3 3" xfId="22419" xr:uid="{00000000-0005-0000-0000-00006D0D0000}"/>
    <cellStyle name="20% - Accent2 8 5 3 3 2" xfId="46251" xr:uid="{783B0836-9DDA-4F0F-A9B3-DB9B10156763}"/>
    <cellStyle name="20% - Accent2 8 5 3 4" xfId="30373" xr:uid="{B6ED2B9A-0F97-4109-8FF9-1C440B595A85}"/>
    <cellStyle name="20% - Accent2 8 5 4" xfId="10936" xr:uid="{00000000-0005-0000-0000-00006E0D0000}"/>
    <cellStyle name="20% - Accent2 8 5 4 2" xfId="34785" xr:uid="{16989D95-0583-4333-ACFA-5A12609D3CCB}"/>
    <cellStyle name="20% - Accent2 8 5 5" xfId="18891" xr:uid="{00000000-0005-0000-0000-00006F0D0000}"/>
    <cellStyle name="20% - Accent2 8 5 5 2" xfId="42723" xr:uid="{3B6BB4E4-C54F-459B-8C1A-6ED942B031AC}"/>
    <cellStyle name="20% - Accent2 8 5 6" xfId="26843" xr:uid="{0C07FB5D-6DB1-4A26-8657-45B00F2D3EBA}"/>
    <cellStyle name="20% - Accent2 8 5_Exh G" xfId="2171" xr:uid="{00000000-0005-0000-0000-0000700D0000}"/>
    <cellStyle name="20% - Accent2 8 6" xfId="3790" xr:uid="{00000000-0005-0000-0000-0000710D0000}"/>
    <cellStyle name="20% - Accent2 8 6 2" xfId="7382" xr:uid="{00000000-0005-0000-0000-0000720D0000}"/>
    <cellStyle name="20% - Accent2 8 6 2 2" xfId="15352" xr:uid="{00000000-0005-0000-0000-0000730D0000}"/>
    <cellStyle name="20% - Accent2 8 6 2 2 2" xfId="39194" xr:uid="{24B55CF1-D928-4C56-A7E6-B68A4F6DACA1}"/>
    <cellStyle name="20% - Accent2 8 6 2 3" xfId="23298" xr:uid="{00000000-0005-0000-0000-0000740D0000}"/>
    <cellStyle name="20% - Accent2 8 6 2 3 2" xfId="47130" xr:uid="{9E878E2E-F7D3-415E-A9C5-AECBC20A31A1}"/>
    <cellStyle name="20% - Accent2 8 6 2 4" xfId="31253" xr:uid="{432B474D-BB92-4A96-A4F2-9EBC6399C4EF}"/>
    <cellStyle name="20% - Accent2 8 6 3" xfId="11814" xr:uid="{00000000-0005-0000-0000-0000750D0000}"/>
    <cellStyle name="20% - Accent2 8 6 3 2" xfId="35663" xr:uid="{19B0EFDA-34C3-46B8-8BE4-832FA0CEEE98}"/>
    <cellStyle name="20% - Accent2 8 6 4" xfId="19769" xr:uid="{00000000-0005-0000-0000-0000760D0000}"/>
    <cellStyle name="20% - Accent2 8 6 4 2" xfId="43601" xr:uid="{2F913A22-8AE0-4EF5-B448-A87A09422CBE}"/>
    <cellStyle name="20% - Accent2 8 6 5" xfId="27722" xr:uid="{459D7EAB-1EA5-4E72-B48E-EDF08328CD4F}"/>
    <cellStyle name="20% - Accent2 8 7" xfId="5610" xr:uid="{00000000-0005-0000-0000-0000770D0000}"/>
    <cellStyle name="20% - Accent2 8 7 2" xfId="13593" xr:uid="{00000000-0005-0000-0000-0000780D0000}"/>
    <cellStyle name="20% - Accent2 8 7 2 2" xfId="37436" xr:uid="{9CBF2FA4-77FC-48FA-B27C-19F9CF7FC233}"/>
    <cellStyle name="20% - Accent2 8 7 3" xfId="21541" xr:uid="{00000000-0005-0000-0000-0000790D0000}"/>
    <cellStyle name="20% - Accent2 8 7 3 2" xfId="45373" xr:uid="{33DA3673-3E91-40C0-B364-87E7F677219C}"/>
    <cellStyle name="20% - Accent2 8 7 4" xfId="29495" xr:uid="{5B27044A-970A-4B44-9880-C27CF1C0DBE4}"/>
    <cellStyle name="20% - Accent2 8 8" xfId="9162" xr:uid="{00000000-0005-0000-0000-00007A0D0000}"/>
    <cellStyle name="20% - Accent2 8 8 2" xfId="17120" xr:uid="{00000000-0005-0000-0000-00007B0D0000}"/>
    <cellStyle name="20% - Accent2 8 8 2 2" xfId="40960" xr:uid="{66E93F97-47C4-4210-82B9-AF0174EA3992}"/>
    <cellStyle name="20% - Accent2 8 8 3" xfId="25064" xr:uid="{00000000-0005-0000-0000-00007C0D0000}"/>
    <cellStyle name="20% - Accent2 8 8 3 2" xfId="48896" xr:uid="{2CC3A6A0-BE74-49C6-BD0C-1FFC637B77B8}"/>
    <cellStyle name="20% - Accent2 8 8 4" xfId="33019" xr:uid="{BA406549-49F6-404E-904B-C51224C6518E}"/>
    <cellStyle name="20% - Accent2 8 9" xfId="10058" xr:uid="{00000000-0005-0000-0000-00007D0D0000}"/>
    <cellStyle name="20% - Accent2 8 9 2" xfId="33907" xr:uid="{409BFA3E-0EFA-451D-9F32-BF2C9A708B7B}"/>
    <cellStyle name="20% - Accent2 8_Exh G" xfId="2162" xr:uid="{00000000-0005-0000-0000-00007E0D0000}"/>
    <cellStyle name="20% - Accent2 9" xfId="120" xr:uid="{00000000-0005-0000-0000-00007F0D0000}"/>
    <cellStyle name="20% - Accent2 9 10" xfId="18017" xr:uid="{00000000-0005-0000-0000-0000800D0000}"/>
    <cellStyle name="20% - Accent2 9 10 2" xfId="41849" xr:uid="{C941BED9-C77D-4CDF-89F3-F712FFDE4AF3}"/>
    <cellStyle name="20% - Accent2 9 11" xfId="25969" xr:uid="{6727140E-DAE8-4796-9753-11B672485D0F}"/>
    <cellStyle name="20% - Accent2 9 2" xfId="121" xr:uid="{00000000-0005-0000-0000-0000810D0000}"/>
    <cellStyle name="20% - Accent2 9 2 2" xfId="122" xr:uid="{00000000-0005-0000-0000-0000820D0000}"/>
    <cellStyle name="20% - Accent2 9 2 2 2" xfId="1148" xr:uid="{00000000-0005-0000-0000-0000830D0000}"/>
    <cellStyle name="20% - Accent2 9 2 2 2 2" xfId="4675" xr:uid="{00000000-0005-0000-0000-0000840D0000}"/>
    <cellStyle name="20% - Accent2 9 2 2 2 2 2" xfId="8266" xr:uid="{00000000-0005-0000-0000-0000850D0000}"/>
    <cellStyle name="20% - Accent2 9 2 2 2 2 2 2" xfId="16236" xr:uid="{00000000-0005-0000-0000-0000860D0000}"/>
    <cellStyle name="20% - Accent2 9 2 2 2 2 2 2 2" xfId="40078" xr:uid="{E97F9D27-9961-48EB-912C-ED9D6BDB2420}"/>
    <cellStyle name="20% - Accent2 9 2 2 2 2 2 3" xfId="24182" xr:uid="{00000000-0005-0000-0000-0000870D0000}"/>
    <cellStyle name="20% - Accent2 9 2 2 2 2 2 3 2" xfId="48014" xr:uid="{B088879F-06C0-4327-8056-5DB7B3358C19}"/>
    <cellStyle name="20% - Accent2 9 2 2 2 2 2 4" xfId="32137" xr:uid="{E81162BF-7E59-4320-9CC8-6D14F8BCA1E0}"/>
    <cellStyle name="20% - Accent2 9 2 2 2 2 3" xfId="12698" xr:uid="{00000000-0005-0000-0000-0000880D0000}"/>
    <cellStyle name="20% - Accent2 9 2 2 2 2 3 2" xfId="36547" xr:uid="{A175A32A-EB6C-40E8-BBCF-C6CE99F1D51F}"/>
    <cellStyle name="20% - Accent2 9 2 2 2 2 4" xfId="20653" xr:uid="{00000000-0005-0000-0000-0000890D0000}"/>
    <cellStyle name="20% - Accent2 9 2 2 2 2 4 2" xfId="44485" xr:uid="{D9AD78B3-87CE-4753-A9F4-D7391726EC82}"/>
    <cellStyle name="20% - Accent2 9 2 2 2 2 5" xfId="28606" xr:uid="{A5FF663B-C71A-4C6E-87E3-8AEDA1A6E6FA}"/>
    <cellStyle name="20% - Accent2 9 2 2 2 3" xfId="6507" xr:uid="{00000000-0005-0000-0000-00008A0D0000}"/>
    <cellStyle name="20% - Accent2 9 2 2 2 3 2" xfId="14478" xr:uid="{00000000-0005-0000-0000-00008B0D0000}"/>
    <cellStyle name="20% - Accent2 9 2 2 2 3 2 2" xfId="38320" xr:uid="{AD77F9E3-ADF0-49EF-8711-5C51A3C82D43}"/>
    <cellStyle name="20% - Accent2 9 2 2 2 3 3" xfId="22425" xr:uid="{00000000-0005-0000-0000-00008C0D0000}"/>
    <cellStyle name="20% - Accent2 9 2 2 2 3 3 2" xfId="46257" xr:uid="{62E52691-A709-4055-B1CB-F1A5A89A498A}"/>
    <cellStyle name="20% - Accent2 9 2 2 2 3 4" xfId="30379" xr:uid="{7E87999B-F78B-4FF2-B2D5-CAE0BA31B4E2}"/>
    <cellStyle name="20% - Accent2 9 2 2 2 4" xfId="10942" xr:uid="{00000000-0005-0000-0000-00008D0D0000}"/>
    <cellStyle name="20% - Accent2 9 2 2 2 4 2" xfId="34791" xr:uid="{B38391CD-858F-466F-8972-8C9E5823FBE5}"/>
    <cellStyle name="20% - Accent2 9 2 2 2 5" xfId="18897" xr:uid="{00000000-0005-0000-0000-00008E0D0000}"/>
    <cellStyle name="20% - Accent2 9 2 2 2 5 2" xfId="42729" xr:uid="{96A7AB5C-D96C-4D8D-A4D5-AB2D532F8EAA}"/>
    <cellStyle name="20% - Accent2 9 2 2 2 6" xfId="26849" xr:uid="{69A8EE4E-E1CB-4435-8670-F32BF314C13D}"/>
    <cellStyle name="20% - Accent2 9 2 2 2_Exh G" xfId="2175" xr:uid="{00000000-0005-0000-0000-00008F0D0000}"/>
    <cellStyle name="20% - Accent2 9 2 2 3" xfId="3796" xr:uid="{00000000-0005-0000-0000-0000900D0000}"/>
    <cellStyle name="20% - Accent2 9 2 2 3 2" xfId="7388" xr:uid="{00000000-0005-0000-0000-0000910D0000}"/>
    <cellStyle name="20% - Accent2 9 2 2 3 2 2" xfId="15358" xr:uid="{00000000-0005-0000-0000-0000920D0000}"/>
    <cellStyle name="20% - Accent2 9 2 2 3 2 2 2" xfId="39200" xr:uid="{49592A65-EE57-419A-8331-9D5234A0A059}"/>
    <cellStyle name="20% - Accent2 9 2 2 3 2 3" xfId="23304" xr:uid="{00000000-0005-0000-0000-0000930D0000}"/>
    <cellStyle name="20% - Accent2 9 2 2 3 2 3 2" xfId="47136" xr:uid="{038F7B5F-1530-483D-A69C-02A1873DC262}"/>
    <cellStyle name="20% - Accent2 9 2 2 3 2 4" xfId="31259" xr:uid="{F7940F84-A478-48AB-8028-C99AAC581082}"/>
    <cellStyle name="20% - Accent2 9 2 2 3 3" xfId="11820" xr:uid="{00000000-0005-0000-0000-0000940D0000}"/>
    <cellStyle name="20% - Accent2 9 2 2 3 3 2" xfId="35669" xr:uid="{A3138724-05A9-438F-A855-581172331F2D}"/>
    <cellStyle name="20% - Accent2 9 2 2 3 4" xfId="19775" xr:uid="{00000000-0005-0000-0000-0000950D0000}"/>
    <cellStyle name="20% - Accent2 9 2 2 3 4 2" xfId="43607" xr:uid="{8A829CBC-871D-40D1-A09E-D8F3F84425C3}"/>
    <cellStyle name="20% - Accent2 9 2 2 3 5" xfId="27728" xr:uid="{B910283D-8E16-4A78-8E4B-FF4951699CA7}"/>
    <cellStyle name="20% - Accent2 9 2 2 4" xfId="5616" xr:uid="{00000000-0005-0000-0000-0000960D0000}"/>
    <cellStyle name="20% - Accent2 9 2 2 4 2" xfId="13599" xr:uid="{00000000-0005-0000-0000-0000970D0000}"/>
    <cellStyle name="20% - Accent2 9 2 2 4 2 2" xfId="37442" xr:uid="{D1B4AD03-41DC-4D61-BFE7-91B6BC1E2474}"/>
    <cellStyle name="20% - Accent2 9 2 2 4 3" xfId="21547" xr:uid="{00000000-0005-0000-0000-0000980D0000}"/>
    <cellStyle name="20% - Accent2 9 2 2 4 3 2" xfId="45379" xr:uid="{32482041-642B-49DB-856F-6C6C01EE1EA3}"/>
    <cellStyle name="20% - Accent2 9 2 2 4 4" xfId="29501" xr:uid="{8B9CC86E-2C78-418C-98D6-BC69FB1C0C69}"/>
    <cellStyle name="20% - Accent2 9 2 2 5" xfId="9168" xr:uid="{00000000-0005-0000-0000-0000990D0000}"/>
    <cellStyle name="20% - Accent2 9 2 2 5 2" xfId="17126" xr:uid="{00000000-0005-0000-0000-00009A0D0000}"/>
    <cellStyle name="20% - Accent2 9 2 2 5 2 2" xfId="40966" xr:uid="{6E718AAD-7ED5-47DF-93FF-FC5124415E3F}"/>
    <cellStyle name="20% - Accent2 9 2 2 5 3" xfId="25070" xr:uid="{00000000-0005-0000-0000-00009B0D0000}"/>
    <cellStyle name="20% - Accent2 9 2 2 5 3 2" xfId="48902" xr:uid="{1F7D737F-30DB-4EEA-AE07-C81300F3584C}"/>
    <cellStyle name="20% - Accent2 9 2 2 5 4" xfId="33025" xr:uid="{A372520E-2F48-42DC-9FFB-3C7AE77360FD}"/>
    <cellStyle name="20% - Accent2 9 2 2 6" xfId="10064" xr:uid="{00000000-0005-0000-0000-00009C0D0000}"/>
    <cellStyle name="20% - Accent2 9 2 2 6 2" xfId="33913" xr:uid="{226218CB-A012-4248-A3AA-1154233DA89E}"/>
    <cellStyle name="20% - Accent2 9 2 2 7" xfId="18019" xr:uid="{00000000-0005-0000-0000-00009D0D0000}"/>
    <cellStyle name="20% - Accent2 9 2 2 7 2" xfId="41851" xr:uid="{8F7C2B36-05C4-486B-BDA5-D4B0A7E19987}"/>
    <cellStyle name="20% - Accent2 9 2 2 8" xfId="25971" xr:uid="{229EF98D-E0CC-4B13-A7CB-10CF6CC19F01}"/>
    <cellStyle name="20% - Accent2 9 2 2_Exh G" xfId="2174" xr:uid="{00000000-0005-0000-0000-00009E0D0000}"/>
    <cellStyle name="20% - Accent2 9 2 3" xfId="1147" xr:uid="{00000000-0005-0000-0000-00009F0D0000}"/>
    <cellStyle name="20% - Accent2 9 2 3 2" xfId="4674" xr:uid="{00000000-0005-0000-0000-0000A00D0000}"/>
    <cellStyle name="20% - Accent2 9 2 3 2 2" xfId="8265" xr:uid="{00000000-0005-0000-0000-0000A10D0000}"/>
    <cellStyle name="20% - Accent2 9 2 3 2 2 2" xfId="16235" xr:uid="{00000000-0005-0000-0000-0000A20D0000}"/>
    <cellStyle name="20% - Accent2 9 2 3 2 2 2 2" xfId="40077" xr:uid="{7D916317-74C3-4CC3-9ACB-AA65295D058D}"/>
    <cellStyle name="20% - Accent2 9 2 3 2 2 3" xfId="24181" xr:uid="{00000000-0005-0000-0000-0000A30D0000}"/>
    <cellStyle name="20% - Accent2 9 2 3 2 2 3 2" xfId="48013" xr:uid="{602548BC-A7A9-4978-8398-A8A18673452A}"/>
    <cellStyle name="20% - Accent2 9 2 3 2 2 4" xfId="32136" xr:uid="{1827D43E-A894-4BC2-9976-D7CA94F85EB3}"/>
    <cellStyle name="20% - Accent2 9 2 3 2 3" xfId="12697" xr:uid="{00000000-0005-0000-0000-0000A40D0000}"/>
    <cellStyle name="20% - Accent2 9 2 3 2 3 2" xfId="36546" xr:uid="{EF8514E3-7A8F-4944-B135-5ADD1C93867E}"/>
    <cellStyle name="20% - Accent2 9 2 3 2 4" xfId="20652" xr:uid="{00000000-0005-0000-0000-0000A50D0000}"/>
    <cellStyle name="20% - Accent2 9 2 3 2 4 2" xfId="44484" xr:uid="{608CA598-07F8-487C-8164-B2CF0FEDC4C3}"/>
    <cellStyle name="20% - Accent2 9 2 3 2 5" xfId="28605" xr:uid="{2CDF7BD3-5AF7-49E4-8490-8C5E77CC1BD0}"/>
    <cellStyle name="20% - Accent2 9 2 3 3" xfId="6506" xr:uid="{00000000-0005-0000-0000-0000A60D0000}"/>
    <cellStyle name="20% - Accent2 9 2 3 3 2" xfId="14477" xr:uid="{00000000-0005-0000-0000-0000A70D0000}"/>
    <cellStyle name="20% - Accent2 9 2 3 3 2 2" xfId="38319" xr:uid="{46F38894-4FE8-4E39-B2FF-4BBCC26AE9C9}"/>
    <cellStyle name="20% - Accent2 9 2 3 3 3" xfId="22424" xr:uid="{00000000-0005-0000-0000-0000A80D0000}"/>
    <cellStyle name="20% - Accent2 9 2 3 3 3 2" xfId="46256" xr:uid="{28B5D8E8-9790-40FC-92F5-6E637E40B19C}"/>
    <cellStyle name="20% - Accent2 9 2 3 3 4" xfId="30378" xr:uid="{DDE91804-5944-4FAA-999C-CD642883CC88}"/>
    <cellStyle name="20% - Accent2 9 2 3 4" xfId="10941" xr:uid="{00000000-0005-0000-0000-0000A90D0000}"/>
    <cellStyle name="20% - Accent2 9 2 3 4 2" xfId="34790" xr:uid="{222C14A3-3524-43EA-8EB1-78953D635AC9}"/>
    <cellStyle name="20% - Accent2 9 2 3 5" xfId="18896" xr:uid="{00000000-0005-0000-0000-0000AA0D0000}"/>
    <cellStyle name="20% - Accent2 9 2 3 5 2" xfId="42728" xr:uid="{79A04696-2638-4C17-A764-C5AF90E68453}"/>
    <cellStyle name="20% - Accent2 9 2 3 6" xfId="26848" xr:uid="{5B09119B-7B4B-4DA8-9982-979474CC79D4}"/>
    <cellStyle name="20% - Accent2 9 2 3_Exh G" xfId="2176" xr:uid="{00000000-0005-0000-0000-0000AB0D0000}"/>
    <cellStyle name="20% - Accent2 9 2 4" xfId="3795" xr:uid="{00000000-0005-0000-0000-0000AC0D0000}"/>
    <cellStyle name="20% - Accent2 9 2 4 2" xfId="7387" xr:uid="{00000000-0005-0000-0000-0000AD0D0000}"/>
    <cellStyle name="20% - Accent2 9 2 4 2 2" xfId="15357" xr:uid="{00000000-0005-0000-0000-0000AE0D0000}"/>
    <cellStyle name="20% - Accent2 9 2 4 2 2 2" xfId="39199" xr:uid="{B4331543-FCBB-4402-923F-643AD8E031FF}"/>
    <cellStyle name="20% - Accent2 9 2 4 2 3" xfId="23303" xr:uid="{00000000-0005-0000-0000-0000AF0D0000}"/>
    <cellStyle name="20% - Accent2 9 2 4 2 3 2" xfId="47135" xr:uid="{99776114-B9A6-4434-B9E8-75E5D83EA0E0}"/>
    <cellStyle name="20% - Accent2 9 2 4 2 4" xfId="31258" xr:uid="{1E2C7A0C-61AD-4E0D-9952-5A90747FE627}"/>
    <cellStyle name="20% - Accent2 9 2 4 3" xfId="11819" xr:uid="{00000000-0005-0000-0000-0000B00D0000}"/>
    <cellStyle name="20% - Accent2 9 2 4 3 2" xfId="35668" xr:uid="{6B7D525F-385B-4573-8F20-C867460C5DEB}"/>
    <cellStyle name="20% - Accent2 9 2 4 4" xfId="19774" xr:uid="{00000000-0005-0000-0000-0000B10D0000}"/>
    <cellStyle name="20% - Accent2 9 2 4 4 2" xfId="43606" xr:uid="{E926B0D3-E20F-4A91-90D4-8B1DAE0F1EAB}"/>
    <cellStyle name="20% - Accent2 9 2 4 5" xfId="27727" xr:uid="{A27911C5-D61D-49D6-A0B2-3C9A42935FA7}"/>
    <cellStyle name="20% - Accent2 9 2 5" xfId="5615" xr:uid="{00000000-0005-0000-0000-0000B20D0000}"/>
    <cellStyle name="20% - Accent2 9 2 5 2" xfId="13598" xr:uid="{00000000-0005-0000-0000-0000B30D0000}"/>
    <cellStyle name="20% - Accent2 9 2 5 2 2" xfId="37441" xr:uid="{29D67AD0-4557-4A3D-83B0-5C3DE7B3B7EB}"/>
    <cellStyle name="20% - Accent2 9 2 5 3" xfId="21546" xr:uid="{00000000-0005-0000-0000-0000B40D0000}"/>
    <cellStyle name="20% - Accent2 9 2 5 3 2" xfId="45378" xr:uid="{F1E57235-B9CC-4BDF-BE62-19986028DD63}"/>
    <cellStyle name="20% - Accent2 9 2 5 4" xfId="29500" xr:uid="{5F37A538-E1DB-4F78-8C0D-FF6D05174F0C}"/>
    <cellStyle name="20% - Accent2 9 2 6" xfId="9167" xr:uid="{00000000-0005-0000-0000-0000B50D0000}"/>
    <cellStyle name="20% - Accent2 9 2 6 2" xfId="17125" xr:uid="{00000000-0005-0000-0000-0000B60D0000}"/>
    <cellStyle name="20% - Accent2 9 2 6 2 2" xfId="40965" xr:uid="{D92E7086-B5D2-4B38-98D9-EFFBCB78F3FE}"/>
    <cellStyle name="20% - Accent2 9 2 6 3" xfId="25069" xr:uid="{00000000-0005-0000-0000-0000B70D0000}"/>
    <cellStyle name="20% - Accent2 9 2 6 3 2" xfId="48901" xr:uid="{1AF1397B-ADD8-4BC7-B7B5-CFF3E58AB4D0}"/>
    <cellStyle name="20% - Accent2 9 2 6 4" xfId="33024" xr:uid="{35FFE49E-3BFA-4639-9961-61B4E9089C2D}"/>
    <cellStyle name="20% - Accent2 9 2 7" xfId="10063" xr:uid="{00000000-0005-0000-0000-0000B80D0000}"/>
    <cellStyle name="20% - Accent2 9 2 7 2" xfId="33912" xr:uid="{6A0B60B6-71EA-4C1B-8AD2-7E2E68F686BF}"/>
    <cellStyle name="20% - Accent2 9 2 8" xfId="18018" xr:uid="{00000000-0005-0000-0000-0000B90D0000}"/>
    <cellStyle name="20% - Accent2 9 2 8 2" xfId="41850" xr:uid="{E89325B5-40EB-44DC-A16B-5DFD35C003A5}"/>
    <cellStyle name="20% - Accent2 9 2 9" xfId="25970" xr:uid="{7B4CBDBF-5C34-49B0-851A-A6E33EB4A968}"/>
    <cellStyle name="20% - Accent2 9 2_Exh G" xfId="2173" xr:uid="{00000000-0005-0000-0000-0000BA0D0000}"/>
    <cellStyle name="20% - Accent2 9 3" xfId="123" xr:uid="{00000000-0005-0000-0000-0000BB0D0000}"/>
    <cellStyle name="20% - Accent2 9 3 2" xfId="1149" xr:uid="{00000000-0005-0000-0000-0000BC0D0000}"/>
    <cellStyle name="20% - Accent2 9 3 2 2" xfId="4676" xr:uid="{00000000-0005-0000-0000-0000BD0D0000}"/>
    <cellStyle name="20% - Accent2 9 3 2 2 2" xfId="8267" xr:uid="{00000000-0005-0000-0000-0000BE0D0000}"/>
    <cellStyle name="20% - Accent2 9 3 2 2 2 2" xfId="16237" xr:uid="{00000000-0005-0000-0000-0000BF0D0000}"/>
    <cellStyle name="20% - Accent2 9 3 2 2 2 2 2" xfId="40079" xr:uid="{1A54CE07-E86D-4690-BC06-D4FCA0DED9D9}"/>
    <cellStyle name="20% - Accent2 9 3 2 2 2 3" xfId="24183" xr:uid="{00000000-0005-0000-0000-0000C00D0000}"/>
    <cellStyle name="20% - Accent2 9 3 2 2 2 3 2" xfId="48015" xr:uid="{EC62F35F-9550-4D9F-8039-B1D2FB7B4F02}"/>
    <cellStyle name="20% - Accent2 9 3 2 2 2 4" xfId="32138" xr:uid="{A843F50F-AC80-4284-B4A1-2AA992F4A2B1}"/>
    <cellStyle name="20% - Accent2 9 3 2 2 3" xfId="12699" xr:uid="{00000000-0005-0000-0000-0000C10D0000}"/>
    <cellStyle name="20% - Accent2 9 3 2 2 3 2" xfId="36548" xr:uid="{216341BE-560C-40C9-B8E3-31BB701C3945}"/>
    <cellStyle name="20% - Accent2 9 3 2 2 4" xfId="20654" xr:uid="{00000000-0005-0000-0000-0000C20D0000}"/>
    <cellStyle name="20% - Accent2 9 3 2 2 4 2" xfId="44486" xr:uid="{072ABEC1-6769-4361-A69D-D29B47CE9AAF}"/>
    <cellStyle name="20% - Accent2 9 3 2 2 5" xfId="28607" xr:uid="{19BE960E-D830-443A-AAE5-E71398E245EE}"/>
    <cellStyle name="20% - Accent2 9 3 2 3" xfId="6508" xr:uid="{00000000-0005-0000-0000-0000C30D0000}"/>
    <cellStyle name="20% - Accent2 9 3 2 3 2" xfId="14479" xr:uid="{00000000-0005-0000-0000-0000C40D0000}"/>
    <cellStyle name="20% - Accent2 9 3 2 3 2 2" xfId="38321" xr:uid="{1B79D50D-4304-43C0-8251-2AF7F539345A}"/>
    <cellStyle name="20% - Accent2 9 3 2 3 3" xfId="22426" xr:uid="{00000000-0005-0000-0000-0000C50D0000}"/>
    <cellStyle name="20% - Accent2 9 3 2 3 3 2" xfId="46258" xr:uid="{1855E073-71A7-467E-869A-41E878D71C53}"/>
    <cellStyle name="20% - Accent2 9 3 2 3 4" xfId="30380" xr:uid="{350A8DCA-5E58-4504-9112-98715B326C8B}"/>
    <cellStyle name="20% - Accent2 9 3 2 4" xfId="10943" xr:uid="{00000000-0005-0000-0000-0000C60D0000}"/>
    <cellStyle name="20% - Accent2 9 3 2 4 2" xfId="34792" xr:uid="{96853D6F-D18D-4399-B7E9-C5297E957BFC}"/>
    <cellStyle name="20% - Accent2 9 3 2 5" xfId="18898" xr:uid="{00000000-0005-0000-0000-0000C70D0000}"/>
    <cellStyle name="20% - Accent2 9 3 2 5 2" xfId="42730" xr:uid="{0F9E8426-8D60-41E9-816D-D45E412A58CB}"/>
    <cellStyle name="20% - Accent2 9 3 2 6" xfId="26850" xr:uid="{E2BFAA3B-A7AB-417F-9756-C87706C442B3}"/>
    <cellStyle name="20% - Accent2 9 3 2_Exh G" xfId="2178" xr:uid="{00000000-0005-0000-0000-0000C80D0000}"/>
    <cellStyle name="20% - Accent2 9 3 3" xfId="3797" xr:uid="{00000000-0005-0000-0000-0000C90D0000}"/>
    <cellStyle name="20% - Accent2 9 3 3 2" xfId="7389" xr:uid="{00000000-0005-0000-0000-0000CA0D0000}"/>
    <cellStyle name="20% - Accent2 9 3 3 2 2" xfId="15359" xr:uid="{00000000-0005-0000-0000-0000CB0D0000}"/>
    <cellStyle name="20% - Accent2 9 3 3 2 2 2" xfId="39201" xr:uid="{D49FC7FB-B6D8-4A5C-AB8B-A93B140A9322}"/>
    <cellStyle name="20% - Accent2 9 3 3 2 3" xfId="23305" xr:uid="{00000000-0005-0000-0000-0000CC0D0000}"/>
    <cellStyle name="20% - Accent2 9 3 3 2 3 2" xfId="47137" xr:uid="{4714624A-AAE2-48BF-8A76-5C6F3A0D9152}"/>
    <cellStyle name="20% - Accent2 9 3 3 2 4" xfId="31260" xr:uid="{A824AB4E-22CF-4A6D-9C8F-ED5C575BE905}"/>
    <cellStyle name="20% - Accent2 9 3 3 3" xfId="11821" xr:uid="{00000000-0005-0000-0000-0000CD0D0000}"/>
    <cellStyle name="20% - Accent2 9 3 3 3 2" xfId="35670" xr:uid="{7D2B38E7-6C59-4E8E-B724-613CC5C4F637}"/>
    <cellStyle name="20% - Accent2 9 3 3 4" xfId="19776" xr:uid="{00000000-0005-0000-0000-0000CE0D0000}"/>
    <cellStyle name="20% - Accent2 9 3 3 4 2" xfId="43608" xr:uid="{85047ED3-BD2E-49CF-97D0-1EF3AE349034}"/>
    <cellStyle name="20% - Accent2 9 3 3 5" xfId="27729" xr:uid="{9FE83A2E-319E-46AB-914C-4F071339BE8D}"/>
    <cellStyle name="20% - Accent2 9 3 4" xfId="5617" xr:uid="{00000000-0005-0000-0000-0000CF0D0000}"/>
    <cellStyle name="20% - Accent2 9 3 4 2" xfId="13600" xr:uid="{00000000-0005-0000-0000-0000D00D0000}"/>
    <cellStyle name="20% - Accent2 9 3 4 2 2" xfId="37443" xr:uid="{F7B1DD2F-A2B9-4CEC-83C9-C8365CA5F606}"/>
    <cellStyle name="20% - Accent2 9 3 4 3" xfId="21548" xr:uid="{00000000-0005-0000-0000-0000D10D0000}"/>
    <cellStyle name="20% - Accent2 9 3 4 3 2" xfId="45380" xr:uid="{C8CD360B-027A-427F-9CEC-C59275A40525}"/>
    <cellStyle name="20% - Accent2 9 3 4 4" xfId="29502" xr:uid="{90011BD4-EC2E-4AC8-8C12-F821810B8589}"/>
    <cellStyle name="20% - Accent2 9 3 5" xfId="9169" xr:uid="{00000000-0005-0000-0000-0000D20D0000}"/>
    <cellStyle name="20% - Accent2 9 3 5 2" xfId="17127" xr:uid="{00000000-0005-0000-0000-0000D30D0000}"/>
    <cellStyle name="20% - Accent2 9 3 5 2 2" xfId="40967" xr:uid="{8A4293DD-DF02-4B8E-A741-0043D90F592A}"/>
    <cellStyle name="20% - Accent2 9 3 5 3" xfId="25071" xr:uid="{00000000-0005-0000-0000-0000D40D0000}"/>
    <cellStyle name="20% - Accent2 9 3 5 3 2" xfId="48903" xr:uid="{ADDC7565-7F1F-42D8-8C32-C5F2F52B1C6A}"/>
    <cellStyle name="20% - Accent2 9 3 5 4" xfId="33026" xr:uid="{FADF9F83-F6C7-401E-8F06-0FE22DF9393E}"/>
    <cellStyle name="20% - Accent2 9 3 6" xfId="10065" xr:uid="{00000000-0005-0000-0000-0000D50D0000}"/>
    <cellStyle name="20% - Accent2 9 3 6 2" xfId="33914" xr:uid="{3E80A2F1-084A-472A-B845-08A8F868ADEF}"/>
    <cellStyle name="20% - Accent2 9 3 7" xfId="18020" xr:uid="{00000000-0005-0000-0000-0000D60D0000}"/>
    <cellStyle name="20% - Accent2 9 3 7 2" xfId="41852" xr:uid="{5AE683BB-6680-4691-B17A-9EF90C88BD2F}"/>
    <cellStyle name="20% - Accent2 9 3 8" xfId="25972" xr:uid="{D3FC5DB7-5D16-479F-BC37-A198AB3A06CE}"/>
    <cellStyle name="20% - Accent2 9 3_Exh G" xfId="2177" xr:uid="{00000000-0005-0000-0000-0000D70D0000}"/>
    <cellStyle name="20% - Accent2 9 4" xfId="882" xr:uid="{00000000-0005-0000-0000-0000D80D0000}"/>
    <cellStyle name="20% - Accent2 9 4 2" xfId="1811" xr:uid="{00000000-0005-0000-0000-0000D90D0000}"/>
    <cellStyle name="20% - Accent2 9 4 2 2" xfId="5328" xr:uid="{00000000-0005-0000-0000-0000DA0D0000}"/>
    <cellStyle name="20% - Accent2 9 4 2 2 2" xfId="8919" xr:uid="{00000000-0005-0000-0000-0000DB0D0000}"/>
    <cellStyle name="20% - Accent2 9 4 2 2 2 2" xfId="16889" xr:uid="{00000000-0005-0000-0000-0000DC0D0000}"/>
    <cellStyle name="20% - Accent2 9 4 2 2 2 2 2" xfId="40731" xr:uid="{347E43C5-6ACA-429B-86D9-B0754DAE7849}"/>
    <cellStyle name="20% - Accent2 9 4 2 2 2 3" xfId="24835" xr:uid="{00000000-0005-0000-0000-0000DD0D0000}"/>
    <cellStyle name="20% - Accent2 9 4 2 2 2 3 2" xfId="48667" xr:uid="{7AA2D51C-76EB-4E35-8503-22CF3A6A38EA}"/>
    <cellStyle name="20% - Accent2 9 4 2 2 2 4" xfId="32790" xr:uid="{99E45B63-D53E-4CA1-BA80-F14E97581702}"/>
    <cellStyle name="20% - Accent2 9 4 2 2 3" xfId="13351" xr:uid="{00000000-0005-0000-0000-0000DE0D0000}"/>
    <cellStyle name="20% - Accent2 9 4 2 2 3 2" xfId="37200" xr:uid="{7A263379-4F0A-4079-A0EA-01B79774B84C}"/>
    <cellStyle name="20% - Accent2 9 4 2 2 4" xfId="21306" xr:uid="{00000000-0005-0000-0000-0000DF0D0000}"/>
    <cellStyle name="20% - Accent2 9 4 2 2 4 2" xfId="45138" xr:uid="{75072A74-103A-4117-A385-A44FCAD957CF}"/>
    <cellStyle name="20% - Accent2 9 4 2 2 5" xfId="29259" xr:uid="{C55A29FD-76DF-4B19-AC8F-6471EB9C6355}"/>
    <cellStyle name="20% - Accent2 9 4 2 3" xfId="7160" xr:uid="{00000000-0005-0000-0000-0000E00D0000}"/>
    <cellStyle name="20% - Accent2 9 4 2 3 2" xfId="15131" xr:uid="{00000000-0005-0000-0000-0000E10D0000}"/>
    <cellStyle name="20% - Accent2 9 4 2 3 2 2" xfId="38973" xr:uid="{70125B86-4EB0-427E-AC76-56B64BF0E70F}"/>
    <cellStyle name="20% - Accent2 9 4 2 3 3" xfId="23078" xr:uid="{00000000-0005-0000-0000-0000E20D0000}"/>
    <cellStyle name="20% - Accent2 9 4 2 3 3 2" xfId="46910" xr:uid="{25CDFD88-DBF3-476F-9624-0A1EF2DBBC06}"/>
    <cellStyle name="20% - Accent2 9 4 2 3 4" xfId="31032" xr:uid="{57C3568A-7B48-45BB-9467-D0FBCFEC1E93}"/>
    <cellStyle name="20% - Accent2 9 4 2 4" xfId="11595" xr:uid="{00000000-0005-0000-0000-0000E30D0000}"/>
    <cellStyle name="20% - Accent2 9 4 2 4 2" xfId="35444" xr:uid="{B93C9C83-C198-4A75-844C-C235B1F5F945}"/>
    <cellStyle name="20% - Accent2 9 4 2 5" xfId="19550" xr:uid="{00000000-0005-0000-0000-0000E40D0000}"/>
    <cellStyle name="20% - Accent2 9 4 2 5 2" xfId="43382" xr:uid="{BA8F9FAD-680C-4975-B68C-B572CDFF693B}"/>
    <cellStyle name="20% - Accent2 9 4 2 6" xfId="27502" xr:uid="{120C81FB-57D1-48CC-B7A6-7B5450614397}"/>
    <cellStyle name="20% - Accent2 9 4 2_Exh G" xfId="2180" xr:uid="{00000000-0005-0000-0000-0000E50D0000}"/>
    <cellStyle name="20% - Accent2 9 4 3" xfId="4449" xr:uid="{00000000-0005-0000-0000-0000E60D0000}"/>
    <cellStyle name="20% - Accent2 9 4 3 2" xfId="8041" xr:uid="{00000000-0005-0000-0000-0000E70D0000}"/>
    <cellStyle name="20% - Accent2 9 4 3 2 2" xfId="16011" xr:uid="{00000000-0005-0000-0000-0000E80D0000}"/>
    <cellStyle name="20% - Accent2 9 4 3 2 2 2" xfId="39853" xr:uid="{83F603B0-5E41-458D-AC9F-5D923496F4CF}"/>
    <cellStyle name="20% - Accent2 9 4 3 2 3" xfId="23957" xr:uid="{00000000-0005-0000-0000-0000E90D0000}"/>
    <cellStyle name="20% - Accent2 9 4 3 2 3 2" xfId="47789" xr:uid="{25C87D30-0853-48A0-B447-41E1E36B5269}"/>
    <cellStyle name="20% - Accent2 9 4 3 2 4" xfId="31912" xr:uid="{2F799FAF-A571-453F-90F6-79ACB0C1B687}"/>
    <cellStyle name="20% - Accent2 9 4 3 3" xfId="12473" xr:uid="{00000000-0005-0000-0000-0000EA0D0000}"/>
    <cellStyle name="20% - Accent2 9 4 3 3 2" xfId="36322" xr:uid="{D603DBE4-318E-4D33-935E-93E2C45E4F39}"/>
    <cellStyle name="20% - Accent2 9 4 3 4" xfId="20428" xr:uid="{00000000-0005-0000-0000-0000EB0D0000}"/>
    <cellStyle name="20% - Accent2 9 4 3 4 2" xfId="44260" xr:uid="{C7E86FF8-1CA4-4AC3-907A-A419A9C3FD8E}"/>
    <cellStyle name="20% - Accent2 9 4 3 5" xfId="28381" xr:uid="{D82AB0F4-CDF5-41B2-B32D-6DFEBF8760B5}"/>
    <cellStyle name="20% - Accent2 9 4 4" xfId="6279" xr:uid="{00000000-0005-0000-0000-0000EC0D0000}"/>
    <cellStyle name="20% - Accent2 9 4 4 2" xfId="14253" xr:uid="{00000000-0005-0000-0000-0000ED0D0000}"/>
    <cellStyle name="20% - Accent2 9 4 4 2 2" xfId="38095" xr:uid="{03F6C224-40EA-4343-9A4F-13EE4603E931}"/>
    <cellStyle name="20% - Accent2 9 4 4 3" xfId="22200" xr:uid="{00000000-0005-0000-0000-0000EE0D0000}"/>
    <cellStyle name="20% - Accent2 9 4 4 3 2" xfId="46032" xr:uid="{7DCB32D5-D319-444D-A349-1A5C43BD132F}"/>
    <cellStyle name="20% - Accent2 9 4 4 4" xfId="30154" xr:uid="{32EA5D41-8AA3-4601-8841-560F2C6C3339}"/>
    <cellStyle name="20% - Accent2 9 4 5" xfId="9821" xr:uid="{00000000-0005-0000-0000-0000EF0D0000}"/>
    <cellStyle name="20% - Accent2 9 4 5 2" xfId="17779" xr:uid="{00000000-0005-0000-0000-0000F00D0000}"/>
    <cellStyle name="20% - Accent2 9 4 5 2 2" xfId="41619" xr:uid="{A4DAC697-5312-43EE-8358-E45B204ED733}"/>
    <cellStyle name="20% - Accent2 9 4 5 3" xfId="25723" xr:uid="{00000000-0005-0000-0000-0000F10D0000}"/>
    <cellStyle name="20% - Accent2 9 4 5 3 2" xfId="49555" xr:uid="{600DD84E-674A-434C-A18B-36B22212FA93}"/>
    <cellStyle name="20% - Accent2 9 4 5 4" xfId="33678" xr:uid="{839D98AC-2E8B-4553-A477-DC43795BF8B8}"/>
    <cellStyle name="20% - Accent2 9 4 6" xfId="10717" xr:uid="{00000000-0005-0000-0000-0000F20D0000}"/>
    <cellStyle name="20% - Accent2 9 4 6 2" xfId="34566" xr:uid="{3D22D6E1-63DC-476E-AE59-F21CC333A7F2}"/>
    <cellStyle name="20% - Accent2 9 4 7" xfId="18672" xr:uid="{00000000-0005-0000-0000-0000F30D0000}"/>
    <cellStyle name="20% - Accent2 9 4 7 2" xfId="42504" xr:uid="{D2D96F79-FC8F-466B-9F86-41B6C76E477E}"/>
    <cellStyle name="20% - Accent2 9 4 8" xfId="26624" xr:uid="{D37976C9-031B-48F8-AA9A-593062200256}"/>
    <cellStyle name="20% - Accent2 9 4_Exh G" xfId="2179" xr:uid="{00000000-0005-0000-0000-0000F40D0000}"/>
    <cellStyle name="20% - Accent2 9 5" xfId="1146" xr:uid="{00000000-0005-0000-0000-0000F50D0000}"/>
    <cellStyle name="20% - Accent2 9 5 2" xfId="4673" xr:uid="{00000000-0005-0000-0000-0000F60D0000}"/>
    <cellStyle name="20% - Accent2 9 5 2 2" xfId="8264" xr:uid="{00000000-0005-0000-0000-0000F70D0000}"/>
    <cellStyle name="20% - Accent2 9 5 2 2 2" xfId="16234" xr:uid="{00000000-0005-0000-0000-0000F80D0000}"/>
    <cellStyle name="20% - Accent2 9 5 2 2 2 2" xfId="40076" xr:uid="{7806A9A5-E513-41AC-B45E-2B21EEA9DC2B}"/>
    <cellStyle name="20% - Accent2 9 5 2 2 3" xfId="24180" xr:uid="{00000000-0005-0000-0000-0000F90D0000}"/>
    <cellStyle name="20% - Accent2 9 5 2 2 3 2" xfId="48012" xr:uid="{0C2E647D-E720-4D7E-B7A8-469482ACF7C2}"/>
    <cellStyle name="20% - Accent2 9 5 2 2 4" xfId="32135" xr:uid="{88308990-FB29-42F6-A35C-8D2F4EBA5C8A}"/>
    <cellStyle name="20% - Accent2 9 5 2 3" xfId="12696" xr:uid="{00000000-0005-0000-0000-0000FA0D0000}"/>
    <cellStyle name="20% - Accent2 9 5 2 3 2" xfId="36545" xr:uid="{C1F98048-A2A9-4E6D-8B85-A67E94873172}"/>
    <cellStyle name="20% - Accent2 9 5 2 4" xfId="20651" xr:uid="{00000000-0005-0000-0000-0000FB0D0000}"/>
    <cellStyle name="20% - Accent2 9 5 2 4 2" xfId="44483" xr:uid="{661C8A68-29A7-4C1C-980F-893826AFE561}"/>
    <cellStyle name="20% - Accent2 9 5 2 5" xfId="28604" xr:uid="{E8C96CA7-4C29-41FB-BF03-B8D4ECD39DD6}"/>
    <cellStyle name="20% - Accent2 9 5 3" xfId="6505" xr:uid="{00000000-0005-0000-0000-0000FC0D0000}"/>
    <cellStyle name="20% - Accent2 9 5 3 2" xfId="14476" xr:uid="{00000000-0005-0000-0000-0000FD0D0000}"/>
    <cellStyle name="20% - Accent2 9 5 3 2 2" xfId="38318" xr:uid="{79321B20-26A8-4912-A1E8-E29AC59F9113}"/>
    <cellStyle name="20% - Accent2 9 5 3 3" xfId="22423" xr:uid="{00000000-0005-0000-0000-0000FE0D0000}"/>
    <cellStyle name="20% - Accent2 9 5 3 3 2" xfId="46255" xr:uid="{981D0109-6D71-469E-A111-5F6C9FAB6529}"/>
    <cellStyle name="20% - Accent2 9 5 3 4" xfId="30377" xr:uid="{8376D341-6217-4CC8-9CF6-63982FA54F86}"/>
    <cellStyle name="20% - Accent2 9 5 4" xfId="10940" xr:uid="{00000000-0005-0000-0000-0000FF0D0000}"/>
    <cellStyle name="20% - Accent2 9 5 4 2" xfId="34789" xr:uid="{5A3B7A3B-E974-4748-890A-EDB4AE42F042}"/>
    <cellStyle name="20% - Accent2 9 5 5" xfId="18895" xr:uid="{00000000-0005-0000-0000-0000000E0000}"/>
    <cellStyle name="20% - Accent2 9 5 5 2" xfId="42727" xr:uid="{49D741F7-EEAC-4CA8-A6C6-D90E37614F81}"/>
    <cellStyle name="20% - Accent2 9 5 6" xfId="26847" xr:uid="{7474D710-DBC4-437E-A5BD-9B9ABE743CC6}"/>
    <cellStyle name="20% - Accent2 9 5_Exh G" xfId="2181" xr:uid="{00000000-0005-0000-0000-0000010E0000}"/>
    <cellStyle name="20% - Accent2 9 6" xfId="3794" xr:uid="{00000000-0005-0000-0000-0000020E0000}"/>
    <cellStyle name="20% - Accent2 9 6 2" xfId="7386" xr:uid="{00000000-0005-0000-0000-0000030E0000}"/>
    <cellStyle name="20% - Accent2 9 6 2 2" xfId="15356" xr:uid="{00000000-0005-0000-0000-0000040E0000}"/>
    <cellStyle name="20% - Accent2 9 6 2 2 2" xfId="39198" xr:uid="{FDA1A435-1A97-4A18-BBCE-D6816BA9EE23}"/>
    <cellStyle name="20% - Accent2 9 6 2 3" xfId="23302" xr:uid="{00000000-0005-0000-0000-0000050E0000}"/>
    <cellStyle name="20% - Accent2 9 6 2 3 2" xfId="47134" xr:uid="{740E78B2-62F9-4BDC-B62F-AA6AC1D33623}"/>
    <cellStyle name="20% - Accent2 9 6 2 4" xfId="31257" xr:uid="{D1D27341-6462-48EA-8C20-CF8348828A9F}"/>
    <cellStyle name="20% - Accent2 9 6 3" xfId="11818" xr:uid="{00000000-0005-0000-0000-0000060E0000}"/>
    <cellStyle name="20% - Accent2 9 6 3 2" xfId="35667" xr:uid="{FDDFD414-9489-4F56-95EE-50DBE6EC0C5E}"/>
    <cellStyle name="20% - Accent2 9 6 4" xfId="19773" xr:uid="{00000000-0005-0000-0000-0000070E0000}"/>
    <cellStyle name="20% - Accent2 9 6 4 2" xfId="43605" xr:uid="{8CB8E444-57AF-47D2-9104-095F43FD1714}"/>
    <cellStyle name="20% - Accent2 9 6 5" xfId="27726" xr:uid="{1EEF63E7-1EA4-4871-AE53-4A13C9CDCE7A}"/>
    <cellStyle name="20% - Accent2 9 7" xfId="5614" xr:uid="{00000000-0005-0000-0000-0000080E0000}"/>
    <cellStyle name="20% - Accent2 9 7 2" xfId="13597" xr:uid="{00000000-0005-0000-0000-0000090E0000}"/>
    <cellStyle name="20% - Accent2 9 7 2 2" xfId="37440" xr:uid="{02324F3C-9E86-44FD-ACD7-D54C02070FB6}"/>
    <cellStyle name="20% - Accent2 9 7 3" xfId="21545" xr:uid="{00000000-0005-0000-0000-00000A0E0000}"/>
    <cellStyle name="20% - Accent2 9 7 3 2" xfId="45377" xr:uid="{00C85549-162E-4F58-8040-46572950B9D6}"/>
    <cellStyle name="20% - Accent2 9 7 4" xfId="29499" xr:uid="{DC3EA9BD-D581-4939-939A-65F3E63A572F}"/>
    <cellStyle name="20% - Accent2 9 8" xfId="9166" xr:uid="{00000000-0005-0000-0000-00000B0E0000}"/>
    <cellStyle name="20% - Accent2 9 8 2" xfId="17124" xr:uid="{00000000-0005-0000-0000-00000C0E0000}"/>
    <cellStyle name="20% - Accent2 9 8 2 2" xfId="40964" xr:uid="{B20CFC5B-B773-49CD-BF19-7AF141165A62}"/>
    <cellStyle name="20% - Accent2 9 8 3" xfId="25068" xr:uid="{00000000-0005-0000-0000-00000D0E0000}"/>
    <cellStyle name="20% - Accent2 9 8 3 2" xfId="48900" xr:uid="{584E74C7-1999-4F35-8D3A-C55C98AFF04A}"/>
    <cellStyle name="20% - Accent2 9 8 4" xfId="33023" xr:uid="{38B3F35A-F5F5-44A0-B843-E1E69A48AC80}"/>
    <cellStyle name="20% - Accent2 9 9" xfId="10062" xr:uid="{00000000-0005-0000-0000-00000E0E0000}"/>
    <cellStyle name="20% - Accent2 9 9 2" xfId="33911" xr:uid="{D8517930-7FA2-4ED9-BA30-4ADC32819E87}"/>
    <cellStyle name="20% - Accent2 9_Exh G" xfId="2172" xr:uid="{00000000-0005-0000-0000-00000F0E0000}"/>
    <cellStyle name="20% - Accent3" xfId="49689" builtinId="38" customBuiltin="1"/>
    <cellStyle name="20% - Accent3 10" xfId="124" xr:uid="{00000000-0005-0000-0000-0000100E0000}"/>
    <cellStyle name="20% - Accent3 10 10" xfId="18021" xr:uid="{00000000-0005-0000-0000-0000110E0000}"/>
    <cellStyle name="20% - Accent3 10 10 2" xfId="41853" xr:uid="{B7EBE328-81E5-466F-8D49-6605D0B1BA71}"/>
    <cellStyle name="20% - Accent3 10 11" xfId="25973" xr:uid="{1D52A2F3-31DE-4CF3-B202-E15111EEDB45}"/>
    <cellStyle name="20% - Accent3 10 2" xfId="125" xr:uid="{00000000-0005-0000-0000-0000120E0000}"/>
    <cellStyle name="20% - Accent3 10 2 2" xfId="126" xr:uid="{00000000-0005-0000-0000-0000130E0000}"/>
    <cellStyle name="20% - Accent3 10 2 2 2" xfId="1152" xr:uid="{00000000-0005-0000-0000-0000140E0000}"/>
    <cellStyle name="20% - Accent3 10 2 2 2 2" xfId="4679" xr:uid="{00000000-0005-0000-0000-0000150E0000}"/>
    <cellStyle name="20% - Accent3 10 2 2 2 2 2" xfId="8270" xr:uid="{00000000-0005-0000-0000-0000160E0000}"/>
    <cellStyle name="20% - Accent3 10 2 2 2 2 2 2" xfId="16240" xr:uid="{00000000-0005-0000-0000-0000170E0000}"/>
    <cellStyle name="20% - Accent3 10 2 2 2 2 2 2 2" xfId="40082" xr:uid="{5D92C39E-3D8F-4429-AC7D-6BFD7CD5BEE1}"/>
    <cellStyle name="20% - Accent3 10 2 2 2 2 2 3" xfId="24186" xr:uid="{00000000-0005-0000-0000-0000180E0000}"/>
    <cellStyle name="20% - Accent3 10 2 2 2 2 2 3 2" xfId="48018" xr:uid="{A53ACEEF-87FD-482E-B040-896F31443574}"/>
    <cellStyle name="20% - Accent3 10 2 2 2 2 2 4" xfId="32141" xr:uid="{0475B26A-B346-4F18-9BD7-C2A5AE3653C8}"/>
    <cellStyle name="20% - Accent3 10 2 2 2 2 3" xfId="12702" xr:uid="{00000000-0005-0000-0000-0000190E0000}"/>
    <cellStyle name="20% - Accent3 10 2 2 2 2 3 2" xfId="36551" xr:uid="{E4C49A84-024C-436A-8E2A-5C9FC6155E0E}"/>
    <cellStyle name="20% - Accent3 10 2 2 2 2 4" xfId="20657" xr:uid="{00000000-0005-0000-0000-00001A0E0000}"/>
    <cellStyle name="20% - Accent3 10 2 2 2 2 4 2" xfId="44489" xr:uid="{1BC98692-4283-40F1-A375-0BCFE7A4A0C1}"/>
    <cellStyle name="20% - Accent3 10 2 2 2 2 5" xfId="28610" xr:uid="{F12740FE-8884-48FA-AC22-D188889C1929}"/>
    <cellStyle name="20% - Accent3 10 2 2 2 3" xfId="6511" xr:uid="{00000000-0005-0000-0000-00001B0E0000}"/>
    <cellStyle name="20% - Accent3 10 2 2 2 3 2" xfId="14482" xr:uid="{00000000-0005-0000-0000-00001C0E0000}"/>
    <cellStyle name="20% - Accent3 10 2 2 2 3 2 2" xfId="38324" xr:uid="{B8A9C665-08E8-4654-908C-769B74B8967E}"/>
    <cellStyle name="20% - Accent3 10 2 2 2 3 3" xfId="22429" xr:uid="{00000000-0005-0000-0000-00001D0E0000}"/>
    <cellStyle name="20% - Accent3 10 2 2 2 3 3 2" xfId="46261" xr:uid="{C365A8AF-B501-4E61-B1D6-354C37B29DB9}"/>
    <cellStyle name="20% - Accent3 10 2 2 2 3 4" xfId="30383" xr:uid="{B7F103E2-C58A-412D-9E91-8440FEBA1C21}"/>
    <cellStyle name="20% - Accent3 10 2 2 2 4" xfId="10946" xr:uid="{00000000-0005-0000-0000-00001E0E0000}"/>
    <cellStyle name="20% - Accent3 10 2 2 2 4 2" xfId="34795" xr:uid="{AAC0E790-C613-4EF5-9059-D0B18906615A}"/>
    <cellStyle name="20% - Accent3 10 2 2 2 5" xfId="18901" xr:uid="{00000000-0005-0000-0000-00001F0E0000}"/>
    <cellStyle name="20% - Accent3 10 2 2 2 5 2" xfId="42733" xr:uid="{480CDA6F-8CE9-4048-8FCD-0F53F9670593}"/>
    <cellStyle name="20% - Accent3 10 2 2 2 6" xfId="26853" xr:uid="{3343E50C-6FCD-4753-B6A1-5E0795AD9C1C}"/>
    <cellStyle name="20% - Accent3 10 2 2 2_Exh G" xfId="2185" xr:uid="{00000000-0005-0000-0000-0000200E0000}"/>
    <cellStyle name="20% - Accent3 10 2 2 3" xfId="3800" xr:uid="{00000000-0005-0000-0000-0000210E0000}"/>
    <cellStyle name="20% - Accent3 10 2 2 3 2" xfId="7392" xr:uid="{00000000-0005-0000-0000-0000220E0000}"/>
    <cellStyle name="20% - Accent3 10 2 2 3 2 2" xfId="15362" xr:uid="{00000000-0005-0000-0000-0000230E0000}"/>
    <cellStyle name="20% - Accent3 10 2 2 3 2 2 2" xfId="39204" xr:uid="{199B4876-7449-46EE-A83B-6BDEDC14F5DD}"/>
    <cellStyle name="20% - Accent3 10 2 2 3 2 3" xfId="23308" xr:uid="{00000000-0005-0000-0000-0000240E0000}"/>
    <cellStyle name="20% - Accent3 10 2 2 3 2 3 2" xfId="47140" xr:uid="{3427104E-4366-4732-907B-F22BE06CB9D4}"/>
    <cellStyle name="20% - Accent3 10 2 2 3 2 4" xfId="31263" xr:uid="{473290FB-EF0B-4B32-BB8C-6E256906B91C}"/>
    <cellStyle name="20% - Accent3 10 2 2 3 3" xfId="11824" xr:uid="{00000000-0005-0000-0000-0000250E0000}"/>
    <cellStyle name="20% - Accent3 10 2 2 3 3 2" xfId="35673" xr:uid="{9BDCE42F-418D-418A-AE40-F97CB5ADD992}"/>
    <cellStyle name="20% - Accent3 10 2 2 3 4" xfId="19779" xr:uid="{00000000-0005-0000-0000-0000260E0000}"/>
    <cellStyle name="20% - Accent3 10 2 2 3 4 2" xfId="43611" xr:uid="{8F637815-A938-46FE-B894-9F332EA9AF17}"/>
    <cellStyle name="20% - Accent3 10 2 2 3 5" xfId="27732" xr:uid="{C788E441-4F1E-4FE5-B1D1-2DCE8080C56A}"/>
    <cellStyle name="20% - Accent3 10 2 2 4" xfId="5620" xr:uid="{00000000-0005-0000-0000-0000270E0000}"/>
    <cellStyle name="20% - Accent3 10 2 2 4 2" xfId="13603" xr:uid="{00000000-0005-0000-0000-0000280E0000}"/>
    <cellStyle name="20% - Accent3 10 2 2 4 2 2" xfId="37446" xr:uid="{9FFF3E3F-64C2-4E9E-B8AA-304CE6941FB0}"/>
    <cellStyle name="20% - Accent3 10 2 2 4 3" xfId="21551" xr:uid="{00000000-0005-0000-0000-0000290E0000}"/>
    <cellStyle name="20% - Accent3 10 2 2 4 3 2" xfId="45383" xr:uid="{C605B754-6F3F-489E-99C0-A8933798D66F}"/>
    <cellStyle name="20% - Accent3 10 2 2 4 4" xfId="29505" xr:uid="{873278A2-AA78-4A63-858C-9A0708181BEA}"/>
    <cellStyle name="20% - Accent3 10 2 2 5" xfId="9172" xr:uid="{00000000-0005-0000-0000-00002A0E0000}"/>
    <cellStyle name="20% - Accent3 10 2 2 5 2" xfId="17130" xr:uid="{00000000-0005-0000-0000-00002B0E0000}"/>
    <cellStyle name="20% - Accent3 10 2 2 5 2 2" xfId="40970" xr:uid="{DB9221C2-C45B-4163-B258-2D498A3DBF3C}"/>
    <cellStyle name="20% - Accent3 10 2 2 5 3" xfId="25074" xr:uid="{00000000-0005-0000-0000-00002C0E0000}"/>
    <cellStyle name="20% - Accent3 10 2 2 5 3 2" xfId="48906" xr:uid="{CC80FC22-22B0-46C7-988E-A47F3C6F6807}"/>
    <cellStyle name="20% - Accent3 10 2 2 5 4" xfId="33029" xr:uid="{995A39F7-EE0E-4A17-A5CA-6DD1994CE93C}"/>
    <cellStyle name="20% - Accent3 10 2 2 6" xfId="10068" xr:uid="{00000000-0005-0000-0000-00002D0E0000}"/>
    <cellStyle name="20% - Accent3 10 2 2 6 2" xfId="33917" xr:uid="{6CD9C5C1-5AF9-4DCC-B41D-41E94700F411}"/>
    <cellStyle name="20% - Accent3 10 2 2 7" xfId="18023" xr:uid="{00000000-0005-0000-0000-00002E0E0000}"/>
    <cellStyle name="20% - Accent3 10 2 2 7 2" xfId="41855" xr:uid="{55570B46-CF76-4975-BC6B-D43D07B42439}"/>
    <cellStyle name="20% - Accent3 10 2 2 8" xfId="25975" xr:uid="{79ADE8BB-1F5B-4146-9992-2F9FCB4814EB}"/>
    <cellStyle name="20% - Accent3 10 2 2_Exh G" xfId="2184" xr:uid="{00000000-0005-0000-0000-00002F0E0000}"/>
    <cellStyle name="20% - Accent3 10 2 3" xfId="1151" xr:uid="{00000000-0005-0000-0000-0000300E0000}"/>
    <cellStyle name="20% - Accent3 10 2 3 2" xfId="4678" xr:uid="{00000000-0005-0000-0000-0000310E0000}"/>
    <cellStyle name="20% - Accent3 10 2 3 2 2" xfId="8269" xr:uid="{00000000-0005-0000-0000-0000320E0000}"/>
    <cellStyle name="20% - Accent3 10 2 3 2 2 2" xfId="16239" xr:uid="{00000000-0005-0000-0000-0000330E0000}"/>
    <cellStyle name="20% - Accent3 10 2 3 2 2 2 2" xfId="40081" xr:uid="{5C20CF58-0253-4948-84FC-8579C57F1870}"/>
    <cellStyle name="20% - Accent3 10 2 3 2 2 3" xfId="24185" xr:uid="{00000000-0005-0000-0000-0000340E0000}"/>
    <cellStyle name="20% - Accent3 10 2 3 2 2 3 2" xfId="48017" xr:uid="{E477E5CD-F0E5-4CAF-A9AB-B0C18F8B9E4E}"/>
    <cellStyle name="20% - Accent3 10 2 3 2 2 4" xfId="32140" xr:uid="{B38375DE-B0DA-4827-9765-2C75505AD8A7}"/>
    <cellStyle name="20% - Accent3 10 2 3 2 3" xfId="12701" xr:uid="{00000000-0005-0000-0000-0000350E0000}"/>
    <cellStyle name="20% - Accent3 10 2 3 2 3 2" xfId="36550" xr:uid="{E34AD436-BAFC-48C7-841B-41F4EB407535}"/>
    <cellStyle name="20% - Accent3 10 2 3 2 4" xfId="20656" xr:uid="{00000000-0005-0000-0000-0000360E0000}"/>
    <cellStyle name="20% - Accent3 10 2 3 2 4 2" xfId="44488" xr:uid="{36C3520F-B582-40DE-B5ED-A3D601835FDB}"/>
    <cellStyle name="20% - Accent3 10 2 3 2 5" xfId="28609" xr:uid="{133A4693-9E67-4FDA-BF82-C5846BFD6319}"/>
    <cellStyle name="20% - Accent3 10 2 3 3" xfId="6510" xr:uid="{00000000-0005-0000-0000-0000370E0000}"/>
    <cellStyle name="20% - Accent3 10 2 3 3 2" xfId="14481" xr:uid="{00000000-0005-0000-0000-0000380E0000}"/>
    <cellStyle name="20% - Accent3 10 2 3 3 2 2" xfId="38323" xr:uid="{0D17EE89-8C96-4BCD-88E5-4F76EB0F5C45}"/>
    <cellStyle name="20% - Accent3 10 2 3 3 3" xfId="22428" xr:uid="{00000000-0005-0000-0000-0000390E0000}"/>
    <cellStyle name="20% - Accent3 10 2 3 3 3 2" xfId="46260" xr:uid="{13036CF7-E10A-4573-9B21-2E2675CD6E71}"/>
    <cellStyle name="20% - Accent3 10 2 3 3 4" xfId="30382" xr:uid="{3C3CDD5A-A0EF-4201-9C84-FFC9947E8C7B}"/>
    <cellStyle name="20% - Accent3 10 2 3 4" xfId="10945" xr:uid="{00000000-0005-0000-0000-00003A0E0000}"/>
    <cellStyle name="20% - Accent3 10 2 3 4 2" xfId="34794" xr:uid="{B4F3B22D-5533-4267-A7C0-4FC4B5BA92C5}"/>
    <cellStyle name="20% - Accent3 10 2 3 5" xfId="18900" xr:uid="{00000000-0005-0000-0000-00003B0E0000}"/>
    <cellStyle name="20% - Accent3 10 2 3 5 2" xfId="42732" xr:uid="{F2507D79-6460-4AD2-9987-F4A35F89E8C3}"/>
    <cellStyle name="20% - Accent3 10 2 3 6" xfId="26852" xr:uid="{3A37A60C-FFC6-472E-91CB-1C69B636DF7B}"/>
    <cellStyle name="20% - Accent3 10 2 3_Exh G" xfId="2186" xr:uid="{00000000-0005-0000-0000-00003C0E0000}"/>
    <cellStyle name="20% - Accent3 10 2 4" xfId="3799" xr:uid="{00000000-0005-0000-0000-00003D0E0000}"/>
    <cellStyle name="20% - Accent3 10 2 4 2" xfId="7391" xr:uid="{00000000-0005-0000-0000-00003E0E0000}"/>
    <cellStyle name="20% - Accent3 10 2 4 2 2" xfId="15361" xr:uid="{00000000-0005-0000-0000-00003F0E0000}"/>
    <cellStyle name="20% - Accent3 10 2 4 2 2 2" xfId="39203" xr:uid="{9BEEE539-95BD-43E0-8DEB-86BE98CC9D00}"/>
    <cellStyle name="20% - Accent3 10 2 4 2 3" xfId="23307" xr:uid="{00000000-0005-0000-0000-0000400E0000}"/>
    <cellStyle name="20% - Accent3 10 2 4 2 3 2" xfId="47139" xr:uid="{85727B66-166A-4155-BF71-D7424D4A3FBC}"/>
    <cellStyle name="20% - Accent3 10 2 4 2 4" xfId="31262" xr:uid="{06425BBF-E121-4D64-8754-47F92E88777D}"/>
    <cellStyle name="20% - Accent3 10 2 4 3" xfId="11823" xr:uid="{00000000-0005-0000-0000-0000410E0000}"/>
    <cellStyle name="20% - Accent3 10 2 4 3 2" xfId="35672" xr:uid="{9622324F-CF11-464A-922D-8BEB7D21226E}"/>
    <cellStyle name="20% - Accent3 10 2 4 4" xfId="19778" xr:uid="{00000000-0005-0000-0000-0000420E0000}"/>
    <cellStyle name="20% - Accent3 10 2 4 4 2" xfId="43610" xr:uid="{3695C0EB-53B6-4A87-9C06-11C11D95CEC0}"/>
    <cellStyle name="20% - Accent3 10 2 4 5" xfId="27731" xr:uid="{CC170992-5FBB-4092-8EEB-0BD76F6B1224}"/>
    <cellStyle name="20% - Accent3 10 2 5" xfId="5619" xr:uid="{00000000-0005-0000-0000-0000430E0000}"/>
    <cellStyle name="20% - Accent3 10 2 5 2" xfId="13602" xr:uid="{00000000-0005-0000-0000-0000440E0000}"/>
    <cellStyle name="20% - Accent3 10 2 5 2 2" xfId="37445" xr:uid="{5C4D63A5-4744-494F-8EE2-31D55D13FB72}"/>
    <cellStyle name="20% - Accent3 10 2 5 3" xfId="21550" xr:uid="{00000000-0005-0000-0000-0000450E0000}"/>
    <cellStyle name="20% - Accent3 10 2 5 3 2" xfId="45382" xr:uid="{2EF88FD3-BF0E-4AA2-8D33-16AF56995FC6}"/>
    <cellStyle name="20% - Accent3 10 2 5 4" xfId="29504" xr:uid="{8C15579F-431A-4C93-A373-0A32F1CC1E85}"/>
    <cellStyle name="20% - Accent3 10 2 6" xfId="9171" xr:uid="{00000000-0005-0000-0000-0000460E0000}"/>
    <cellStyle name="20% - Accent3 10 2 6 2" xfId="17129" xr:uid="{00000000-0005-0000-0000-0000470E0000}"/>
    <cellStyle name="20% - Accent3 10 2 6 2 2" xfId="40969" xr:uid="{C2484C64-A9AB-4B33-A9A5-19C4BF89EE78}"/>
    <cellStyle name="20% - Accent3 10 2 6 3" xfId="25073" xr:uid="{00000000-0005-0000-0000-0000480E0000}"/>
    <cellStyle name="20% - Accent3 10 2 6 3 2" xfId="48905" xr:uid="{223247B2-CA2C-4E60-B1EA-2614DF4EF72D}"/>
    <cellStyle name="20% - Accent3 10 2 6 4" xfId="33028" xr:uid="{E8E44D4D-3970-490D-B646-6704968D3D2C}"/>
    <cellStyle name="20% - Accent3 10 2 7" xfId="10067" xr:uid="{00000000-0005-0000-0000-0000490E0000}"/>
    <cellStyle name="20% - Accent3 10 2 7 2" xfId="33916" xr:uid="{8CEE73CC-E94C-4E30-8A7C-94CE1878C035}"/>
    <cellStyle name="20% - Accent3 10 2 8" xfId="18022" xr:uid="{00000000-0005-0000-0000-00004A0E0000}"/>
    <cellStyle name="20% - Accent3 10 2 8 2" xfId="41854" xr:uid="{BC7CAEA2-64FF-45DF-A13A-3E4B36EB6E32}"/>
    <cellStyle name="20% - Accent3 10 2 9" xfId="25974" xr:uid="{C375759F-9744-426B-85D3-14F1BDBB6E47}"/>
    <cellStyle name="20% - Accent3 10 2_Exh G" xfId="2183" xr:uid="{00000000-0005-0000-0000-00004B0E0000}"/>
    <cellStyle name="20% - Accent3 10 3" xfId="127" xr:uid="{00000000-0005-0000-0000-00004C0E0000}"/>
    <cellStyle name="20% - Accent3 10 3 2" xfId="1153" xr:uid="{00000000-0005-0000-0000-00004D0E0000}"/>
    <cellStyle name="20% - Accent3 10 3 2 2" xfId="4680" xr:uid="{00000000-0005-0000-0000-00004E0E0000}"/>
    <cellStyle name="20% - Accent3 10 3 2 2 2" xfId="8271" xr:uid="{00000000-0005-0000-0000-00004F0E0000}"/>
    <cellStyle name="20% - Accent3 10 3 2 2 2 2" xfId="16241" xr:uid="{00000000-0005-0000-0000-0000500E0000}"/>
    <cellStyle name="20% - Accent3 10 3 2 2 2 2 2" xfId="40083" xr:uid="{8D7F4A07-7502-4F72-83E8-A0C10DD58C59}"/>
    <cellStyle name="20% - Accent3 10 3 2 2 2 3" xfId="24187" xr:uid="{00000000-0005-0000-0000-0000510E0000}"/>
    <cellStyle name="20% - Accent3 10 3 2 2 2 3 2" xfId="48019" xr:uid="{BE29FD3A-0A11-4526-91B1-25E5BF8D0C9A}"/>
    <cellStyle name="20% - Accent3 10 3 2 2 2 4" xfId="32142" xr:uid="{4CACA2C9-338F-44ED-BF6D-4D866C61E0BE}"/>
    <cellStyle name="20% - Accent3 10 3 2 2 3" xfId="12703" xr:uid="{00000000-0005-0000-0000-0000520E0000}"/>
    <cellStyle name="20% - Accent3 10 3 2 2 3 2" xfId="36552" xr:uid="{F0FBEC78-80DB-4CEA-BF2E-B5B1116895F3}"/>
    <cellStyle name="20% - Accent3 10 3 2 2 4" xfId="20658" xr:uid="{00000000-0005-0000-0000-0000530E0000}"/>
    <cellStyle name="20% - Accent3 10 3 2 2 4 2" xfId="44490" xr:uid="{EEEAF624-4EE8-411F-817C-F47B90F9E6EA}"/>
    <cellStyle name="20% - Accent3 10 3 2 2 5" xfId="28611" xr:uid="{38658BCA-F434-4ADC-AE28-A6F08B884DF1}"/>
    <cellStyle name="20% - Accent3 10 3 2 3" xfId="6512" xr:uid="{00000000-0005-0000-0000-0000540E0000}"/>
    <cellStyle name="20% - Accent3 10 3 2 3 2" xfId="14483" xr:uid="{00000000-0005-0000-0000-0000550E0000}"/>
    <cellStyle name="20% - Accent3 10 3 2 3 2 2" xfId="38325" xr:uid="{2B0D3FFD-7C2D-4D2D-8CA7-9A4DE6FF8EE8}"/>
    <cellStyle name="20% - Accent3 10 3 2 3 3" xfId="22430" xr:uid="{00000000-0005-0000-0000-0000560E0000}"/>
    <cellStyle name="20% - Accent3 10 3 2 3 3 2" xfId="46262" xr:uid="{B513305B-F7F4-41AD-9BF9-395F482235E3}"/>
    <cellStyle name="20% - Accent3 10 3 2 3 4" xfId="30384" xr:uid="{9301722C-DDDE-4B1C-BD36-83A3EE066F78}"/>
    <cellStyle name="20% - Accent3 10 3 2 4" xfId="10947" xr:uid="{00000000-0005-0000-0000-0000570E0000}"/>
    <cellStyle name="20% - Accent3 10 3 2 4 2" xfId="34796" xr:uid="{4B8DA411-0824-4502-98FC-8A82DD19E497}"/>
    <cellStyle name="20% - Accent3 10 3 2 5" xfId="18902" xr:uid="{00000000-0005-0000-0000-0000580E0000}"/>
    <cellStyle name="20% - Accent3 10 3 2 5 2" xfId="42734" xr:uid="{50BB5C2D-D9A8-4F96-B988-EBA164289794}"/>
    <cellStyle name="20% - Accent3 10 3 2 6" xfId="26854" xr:uid="{9A7E86F2-D6BC-47E2-860E-3EFAF6E79AD0}"/>
    <cellStyle name="20% - Accent3 10 3 2_Exh G" xfId="2188" xr:uid="{00000000-0005-0000-0000-0000590E0000}"/>
    <cellStyle name="20% - Accent3 10 3 3" xfId="3801" xr:uid="{00000000-0005-0000-0000-00005A0E0000}"/>
    <cellStyle name="20% - Accent3 10 3 3 2" xfId="7393" xr:uid="{00000000-0005-0000-0000-00005B0E0000}"/>
    <cellStyle name="20% - Accent3 10 3 3 2 2" xfId="15363" xr:uid="{00000000-0005-0000-0000-00005C0E0000}"/>
    <cellStyle name="20% - Accent3 10 3 3 2 2 2" xfId="39205" xr:uid="{3E20B35A-6EF2-456C-BD87-44F5F3CDE39D}"/>
    <cellStyle name="20% - Accent3 10 3 3 2 3" xfId="23309" xr:uid="{00000000-0005-0000-0000-00005D0E0000}"/>
    <cellStyle name="20% - Accent3 10 3 3 2 3 2" xfId="47141" xr:uid="{79626255-8C53-4582-881A-1060D53385B0}"/>
    <cellStyle name="20% - Accent3 10 3 3 2 4" xfId="31264" xr:uid="{7E0BFBD2-9A1D-4EB4-B131-1AE8FCF57BAE}"/>
    <cellStyle name="20% - Accent3 10 3 3 3" xfId="11825" xr:uid="{00000000-0005-0000-0000-00005E0E0000}"/>
    <cellStyle name="20% - Accent3 10 3 3 3 2" xfId="35674" xr:uid="{A440A173-C7AC-422D-A331-00433CC4200D}"/>
    <cellStyle name="20% - Accent3 10 3 3 4" xfId="19780" xr:uid="{00000000-0005-0000-0000-00005F0E0000}"/>
    <cellStyle name="20% - Accent3 10 3 3 4 2" xfId="43612" xr:uid="{B3DDE22F-E56D-4653-8BAD-38875EAA60DA}"/>
    <cellStyle name="20% - Accent3 10 3 3 5" xfId="27733" xr:uid="{34F937C3-1838-400E-B53C-208D1ADA3D78}"/>
    <cellStyle name="20% - Accent3 10 3 4" xfId="5621" xr:uid="{00000000-0005-0000-0000-0000600E0000}"/>
    <cellStyle name="20% - Accent3 10 3 4 2" xfId="13604" xr:uid="{00000000-0005-0000-0000-0000610E0000}"/>
    <cellStyle name="20% - Accent3 10 3 4 2 2" xfId="37447" xr:uid="{A8168145-B164-4649-BF3E-4B657C5BAE14}"/>
    <cellStyle name="20% - Accent3 10 3 4 3" xfId="21552" xr:uid="{00000000-0005-0000-0000-0000620E0000}"/>
    <cellStyle name="20% - Accent3 10 3 4 3 2" xfId="45384" xr:uid="{EF27572E-C240-46DF-B269-D29DE625970C}"/>
    <cellStyle name="20% - Accent3 10 3 4 4" xfId="29506" xr:uid="{7267FEB1-4F01-4F46-9569-4A4CF28C7FDF}"/>
    <cellStyle name="20% - Accent3 10 3 5" xfId="9173" xr:uid="{00000000-0005-0000-0000-0000630E0000}"/>
    <cellStyle name="20% - Accent3 10 3 5 2" xfId="17131" xr:uid="{00000000-0005-0000-0000-0000640E0000}"/>
    <cellStyle name="20% - Accent3 10 3 5 2 2" xfId="40971" xr:uid="{8D8896AE-6E00-449C-91CE-A6444554FE6A}"/>
    <cellStyle name="20% - Accent3 10 3 5 3" xfId="25075" xr:uid="{00000000-0005-0000-0000-0000650E0000}"/>
    <cellStyle name="20% - Accent3 10 3 5 3 2" xfId="48907" xr:uid="{58463BC3-68C7-4A35-9DA8-8C03D0DDF3C6}"/>
    <cellStyle name="20% - Accent3 10 3 5 4" xfId="33030" xr:uid="{38CDA251-D509-4DBC-9F50-4ECABA6B1C06}"/>
    <cellStyle name="20% - Accent3 10 3 6" xfId="10069" xr:uid="{00000000-0005-0000-0000-0000660E0000}"/>
    <cellStyle name="20% - Accent3 10 3 6 2" xfId="33918" xr:uid="{2981E06A-920E-42BC-9D2D-A393CAB71D09}"/>
    <cellStyle name="20% - Accent3 10 3 7" xfId="18024" xr:uid="{00000000-0005-0000-0000-0000670E0000}"/>
    <cellStyle name="20% - Accent3 10 3 7 2" xfId="41856" xr:uid="{66472314-EC31-4AB2-B516-9F82FC8F4136}"/>
    <cellStyle name="20% - Accent3 10 3 8" xfId="25976" xr:uid="{2BCFECC5-AA6C-4CD0-8CD2-CA93E5527A4F}"/>
    <cellStyle name="20% - Accent3 10 3_Exh G" xfId="2187" xr:uid="{00000000-0005-0000-0000-0000680E0000}"/>
    <cellStyle name="20% - Accent3 10 4" xfId="883" xr:uid="{00000000-0005-0000-0000-0000690E0000}"/>
    <cellStyle name="20% - Accent3 10 5" xfId="1150" xr:uid="{00000000-0005-0000-0000-00006A0E0000}"/>
    <cellStyle name="20% - Accent3 10 5 2" xfId="4677" xr:uid="{00000000-0005-0000-0000-00006B0E0000}"/>
    <cellStyle name="20% - Accent3 10 5 2 2" xfId="8268" xr:uid="{00000000-0005-0000-0000-00006C0E0000}"/>
    <cellStyle name="20% - Accent3 10 5 2 2 2" xfId="16238" xr:uid="{00000000-0005-0000-0000-00006D0E0000}"/>
    <cellStyle name="20% - Accent3 10 5 2 2 2 2" xfId="40080" xr:uid="{90DFC589-8AD8-48F9-8948-D198FD79757E}"/>
    <cellStyle name="20% - Accent3 10 5 2 2 3" xfId="24184" xr:uid="{00000000-0005-0000-0000-00006E0E0000}"/>
    <cellStyle name="20% - Accent3 10 5 2 2 3 2" xfId="48016" xr:uid="{F5206992-C9E7-433F-B639-F8425D6B5471}"/>
    <cellStyle name="20% - Accent3 10 5 2 2 4" xfId="32139" xr:uid="{79D964CA-1E8F-435D-A5BF-97F6BF6B625B}"/>
    <cellStyle name="20% - Accent3 10 5 2 3" xfId="12700" xr:uid="{00000000-0005-0000-0000-00006F0E0000}"/>
    <cellStyle name="20% - Accent3 10 5 2 3 2" xfId="36549" xr:uid="{15FC3E29-1091-4774-AA3D-0096B3F853E4}"/>
    <cellStyle name="20% - Accent3 10 5 2 4" xfId="20655" xr:uid="{00000000-0005-0000-0000-0000700E0000}"/>
    <cellStyle name="20% - Accent3 10 5 2 4 2" xfId="44487" xr:uid="{82FF5EF8-006E-4CF0-A1F1-3B8306742D59}"/>
    <cellStyle name="20% - Accent3 10 5 2 5" xfId="28608" xr:uid="{D1EAC9F7-EE52-403A-846E-2149C4549A3D}"/>
    <cellStyle name="20% - Accent3 10 5 3" xfId="6509" xr:uid="{00000000-0005-0000-0000-0000710E0000}"/>
    <cellStyle name="20% - Accent3 10 5 3 2" xfId="14480" xr:uid="{00000000-0005-0000-0000-0000720E0000}"/>
    <cellStyle name="20% - Accent3 10 5 3 2 2" xfId="38322" xr:uid="{D452E7A5-A953-4188-8B6E-E47849795A29}"/>
    <cellStyle name="20% - Accent3 10 5 3 3" xfId="22427" xr:uid="{00000000-0005-0000-0000-0000730E0000}"/>
    <cellStyle name="20% - Accent3 10 5 3 3 2" xfId="46259" xr:uid="{A3F97825-910D-4E77-9DF9-AEBFDD19DB75}"/>
    <cellStyle name="20% - Accent3 10 5 3 4" xfId="30381" xr:uid="{503E0C34-60EC-483D-8114-31D3A4B0ACB7}"/>
    <cellStyle name="20% - Accent3 10 5 4" xfId="10944" xr:uid="{00000000-0005-0000-0000-0000740E0000}"/>
    <cellStyle name="20% - Accent3 10 5 4 2" xfId="34793" xr:uid="{B1877F30-E410-4836-AEFB-ED818E6F0442}"/>
    <cellStyle name="20% - Accent3 10 5 5" xfId="18899" xr:uid="{00000000-0005-0000-0000-0000750E0000}"/>
    <cellStyle name="20% - Accent3 10 5 5 2" xfId="42731" xr:uid="{70E1107F-6BB3-42D2-BCDD-787BF2B933C1}"/>
    <cellStyle name="20% - Accent3 10 5 6" xfId="26851" xr:uid="{7CE2F8D9-D3E9-49A3-8604-B0AE90A8A688}"/>
    <cellStyle name="20% - Accent3 10 5_Exh G" xfId="2189" xr:uid="{00000000-0005-0000-0000-0000760E0000}"/>
    <cellStyle name="20% - Accent3 10 6" xfId="3798" xr:uid="{00000000-0005-0000-0000-0000770E0000}"/>
    <cellStyle name="20% - Accent3 10 6 2" xfId="7390" xr:uid="{00000000-0005-0000-0000-0000780E0000}"/>
    <cellStyle name="20% - Accent3 10 6 2 2" xfId="15360" xr:uid="{00000000-0005-0000-0000-0000790E0000}"/>
    <cellStyle name="20% - Accent3 10 6 2 2 2" xfId="39202" xr:uid="{FE4DA9D1-32A0-4925-BB9C-AF1038DBDBDF}"/>
    <cellStyle name="20% - Accent3 10 6 2 3" xfId="23306" xr:uid="{00000000-0005-0000-0000-00007A0E0000}"/>
    <cellStyle name="20% - Accent3 10 6 2 3 2" xfId="47138" xr:uid="{E27EB1C6-8259-4B1D-95EE-3504895C102F}"/>
    <cellStyle name="20% - Accent3 10 6 2 4" xfId="31261" xr:uid="{8845ED70-F2A9-4C51-AE4D-D91E2847F56C}"/>
    <cellStyle name="20% - Accent3 10 6 3" xfId="11822" xr:uid="{00000000-0005-0000-0000-00007B0E0000}"/>
    <cellStyle name="20% - Accent3 10 6 3 2" xfId="35671" xr:uid="{870C9DE4-041A-4A7F-B2CE-EB3BAEF556C1}"/>
    <cellStyle name="20% - Accent3 10 6 4" xfId="19777" xr:uid="{00000000-0005-0000-0000-00007C0E0000}"/>
    <cellStyle name="20% - Accent3 10 6 4 2" xfId="43609" xr:uid="{B9EBD6E9-7A2A-4F2E-BFAD-BD030A481940}"/>
    <cellStyle name="20% - Accent3 10 6 5" xfId="27730" xr:uid="{32772542-8D38-4BBA-BAC6-397F512043F1}"/>
    <cellStyle name="20% - Accent3 10 7" xfId="5618" xr:uid="{00000000-0005-0000-0000-00007D0E0000}"/>
    <cellStyle name="20% - Accent3 10 7 2" xfId="13601" xr:uid="{00000000-0005-0000-0000-00007E0E0000}"/>
    <cellStyle name="20% - Accent3 10 7 2 2" xfId="37444" xr:uid="{3D276FD5-4685-46B6-BB32-0B7A757E64BC}"/>
    <cellStyle name="20% - Accent3 10 7 3" xfId="21549" xr:uid="{00000000-0005-0000-0000-00007F0E0000}"/>
    <cellStyle name="20% - Accent3 10 7 3 2" xfId="45381" xr:uid="{6325ED19-6B0E-4089-8C50-67D12E759AA7}"/>
    <cellStyle name="20% - Accent3 10 7 4" xfId="29503" xr:uid="{1D1DD814-EDCC-4E36-B8F2-6772D61E2945}"/>
    <cellStyle name="20% - Accent3 10 8" xfId="9170" xr:uid="{00000000-0005-0000-0000-0000800E0000}"/>
    <cellStyle name="20% - Accent3 10 8 2" xfId="17128" xr:uid="{00000000-0005-0000-0000-0000810E0000}"/>
    <cellStyle name="20% - Accent3 10 8 2 2" xfId="40968" xr:uid="{3C26F5E7-2031-407F-8429-D9F21F2574AE}"/>
    <cellStyle name="20% - Accent3 10 8 3" xfId="25072" xr:uid="{00000000-0005-0000-0000-0000820E0000}"/>
    <cellStyle name="20% - Accent3 10 8 3 2" xfId="48904" xr:uid="{9914AB3F-2F2D-49FC-BB33-EABF6FF665FC}"/>
    <cellStyle name="20% - Accent3 10 8 4" xfId="33027" xr:uid="{EE56B66D-CCAF-41D9-8418-2A14C981DFDC}"/>
    <cellStyle name="20% - Accent3 10 9" xfId="10066" xr:uid="{00000000-0005-0000-0000-0000830E0000}"/>
    <cellStyle name="20% - Accent3 10 9 2" xfId="33915" xr:uid="{52053DE7-6540-49E6-A461-1365C4D07443}"/>
    <cellStyle name="20% - Accent3 10_Exh G" xfId="2182" xr:uid="{00000000-0005-0000-0000-0000840E0000}"/>
    <cellStyle name="20% - Accent3 11" xfId="128" xr:uid="{00000000-0005-0000-0000-0000850E0000}"/>
    <cellStyle name="20% - Accent3 11 10" xfId="25977" xr:uid="{DEDD596E-9FFD-472A-BF6A-2C4511DA7B1C}"/>
    <cellStyle name="20% - Accent3 11 2" xfId="129" xr:uid="{00000000-0005-0000-0000-0000860E0000}"/>
    <cellStyle name="20% - Accent3 11 2 2" xfId="130" xr:uid="{00000000-0005-0000-0000-0000870E0000}"/>
    <cellStyle name="20% - Accent3 11 2 2 2" xfId="1156" xr:uid="{00000000-0005-0000-0000-0000880E0000}"/>
    <cellStyle name="20% - Accent3 11 2 2 2 2" xfId="4683" xr:uid="{00000000-0005-0000-0000-0000890E0000}"/>
    <cellStyle name="20% - Accent3 11 2 2 2 2 2" xfId="8274" xr:uid="{00000000-0005-0000-0000-00008A0E0000}"/>
    <cellStyle name="20% - Accent3 11 2 2 2 2 2 2" xfId="16244" xr:uid="{00000000-0005-0000-0000-00008B0E0000}"/>
    <cellStyle name="20% - Accent3 11 2 2 2 2 2 2 2" xfId="40086" xr:uid="{07D891D3-D23F-47D0-9267-705453506473}"/>
    <cellStyle name="20% - Accent3 11 2 2 2 2 2 3" xfId="24190" xr:uid="{00000000-0005-0000-0000-00008C0E0000}"/>
    <cellStyle name="20% - Accent3 11 2 2 2 2 2 3 2" xfId="48022" xr:uid="{B2CEDCCE-17A9-4799-BA8A-9EFF5E1FEC44}"/>
    <cellStyle name="20% - Accent3 11 2 2 2 2 2 4" xfId="32145" xr:uid="{84E2322F-21A5-4AC2-A757-0399946182E9}"/>
    <cellStyle name="20% - Accent3 11 2 2 2 2 3" xfId="12706" xr:uid="{00000000-0005-0000-0000-00008D0E0000}"/>
    <cellStyle name="20% - Accent3 11 2 2 2 2 3 2" xfId="36555" xr:uid="{EBE2E4E5-D3C0-4ACB-A32B-7C8B2EFDC1D2}"/>
    <cellStyle name="20% - Accent3 11 2 2 2 2 4" xfId="20661" xr:uid="{00000000-0005-0000-0000-00008E0E0000}"/>
    <cellStyle name="20% - Accent3 11 2 2 2 2 4 2" xfId="44493" xr:uid="{4E432C85-A768-48D8-94B6-44D330DC5F2C}"/>
    <cellStyle name="20% - Accent3 11 2 2 2 2 5" xfId="28614" xr:uid="{BF8F2FB7-08C2-466F-945D-45C27E0A3D05}"/>
    <cellStyle name="20% - Accent3 11 2 2 2 3" xfId="6515" xr:uid="{00000000-0005-0000-0000-00008F0E0000}"/>
    <cellStyle name="20% - Accent3 11 2 2 2 3 2" xfId="14486" xr:uid="{00000000-0005-0000-0000-0000900E0000}"/>
    <cellStyle name="20% - Accent3 11 2 2 2 3 2 2" xfId="38328" xr:uid="{2738B2F5-DB6B-4461-B32D-036B22962427}"/>
    <cellStyle name="20% - Accent3 11 2 2 2 3 3" xfId="22433" xr:uid="{00000000-0005-0000-0000-0000910E0000}"/>
    <cellStyle name="20% - Accent3 11 2 2 2 3 3 2" xfId="46265" xr:uid="{D11F779B-3FD7-4B7D-8F9E-C7BBD4096A89}"/>
    <cellStyle name="20% - Accent3 11 2 2 2 3 4" xfId="30387" xr:uid="{097C023B-B34A-47E6-A23A-69EF67A0ED7A}"/>
    <cellStyle name="20% - Accent3 11 2 2 2 4" xfId="10950" xr:uid="{00000000-0005-0000-0000-0000920E0000}"/>
    <cellStyle name="20% - Accent3 11 2 2 2 4 2" xfId="34799" xr:uid="{FF435EC6-13F4-47B2-AC21-6F89117F9DCE}"/>
    <cellStyle name="20% - Accent3 11 2 2 2 5" xfId="18905" xr:uid="{00000000-0005-0000-0000-0000930E0000}"/>
    <cellStyle name="20% - Accent3 11 2 2 2 5 2" xfId="42737" xr:uid="{57C0EA3D-662A-466A-ADEF-A34022E874B6}"/>
    <cellStyle name="20% - Accent3 11 2 2 2 6" xfId="26857" xr:uid="{DAAF3C63-ECD0-42F1-9107-4CE1CEC68110}"/>
    <cellStyle name="20% - Accent3 11 2 2 2_Exh G" xfId="2193" xr:uid="{00000000-0005-0000-0000-0000940E0000}"/>
    <cellStyle name="20% - Accent3 11 2 2 3" xfId="3804" xr:uid="{00000000-0005-0000-0000-0000950E0000}"/>
    <cellStyle name="20% - Accent3 11 2 2 3 2" xfId="7396" xr:uid="{00000000-0005-0000-0000-0000960E0000}"/>
    <cellStyle name="20% - Accent3 11 2 2 3 2 2" xfId="15366" xr:uid="{00000000-0005-0000-0000-0000970E0000}"/>
    <cellStyle name="20% - Accent3 11 2 2 3 2 2 2" xfId="39208" xr:uid="{878D1CFE-91CB-42AC-A700-DACBAECFED15}"/>
    <cellStyle name="20% - Accent3 11 2 2 3 2 3" xfId="23312" xr:uid="{00000000-0005-0000-0000-0000980E0000}"/>
    <cellStyle name="20% - Accent3 11 2 2 3 2 3 2" xfId="47144" xr:uid="{8BE894F0-9698-4D84-9C1F-D82BDC7D1F2E}"/>
    <cellStyle name="20% - Accent3 11 2 2 3 2 4" xfId="31267" xr:uid="{33892D32-0A9B-476A-9481-ED05C498CC6D}"/>
    <cellStyle name="20% - Accent3 11 2 2 3 3" xfId="11828" xr:uid="{00000000-0005-0000-0000-0000990E0000}"/>
    <cellStyle name="20% - Accent3 11 2 2 3 3 2" xfId="35677" xr:uid="{7900F933-3414-4561-9E55-297F3269A8FB}"/>
    <cellStyle name="20% - Accent3 11 2 2 3 4" xfId="19783" xr:uid="{00000000-0005-0000-0000-00009A0E0000}"/>
    <cellStyle name="20% - Accent3 11 2 2 3 4 2" xfId="43615" xr:uid="{06DEC465-4342-41F4-A63B-D0A64D04487C}"/>
    <cellStyle name="20% - Accent3 11 2 2 3 5" xfId="27736" xr:uid="{10AB946A-17FA-4F36-9163-AD9E40A8D47F}"/>
    <cellStyle name="20% - Accent3 11 2 2 4" xfId="5624" xr:uid="{00000000-0005-0000-0000-00009B0E0000}"/>
    <cellStyle name="20% - Accent3 11 2 2 4 2" xfId="13607" xr:uid="{00000000-0005-0000-0000-00009C0E0000}"/>
    <cellStyle name="20% - Accent3 11 2 2 4 2 2" xfId="37450" xr:uid="{3C1969BE-D95E-4A3B-900F-F022BC8B0FE2}"/>
    <cellStyle name="20% - Accent3 11 2 2 4 3" xfId="21555" xr:uid="{00000000-0005-0000-0000-00009D0E0000}"/>
    <cellStyle name="20% - Accent3 11 2 2 4 3 2" xfId="45387" xr:uid="{62048054-1C53-4EB5-BBE5-8635E75EC0E6}"/>
    <cellStyle name="20% - Accent3 11 2 2 4 4" xfId="29509" xr:uid="{9F6502A9-C75D-427B-A706-A77658D0C87A}"/>
    <cellStyle name="20% - Accent3 11 2 2 5" xfId="9176" xr:uid="{00000000-0005-0000-0000-00009E0E0000}"/>
    <cellStyle name="20% - Accent3 11 2 2 5 2" xfId="17134" xr:uid="{00000000-0005-0000-0000-00009F0E0000}"/>
    <cellStyle name="20% - Accent3 11 2 2 5 2 2" xfId="40974" xr:uid="{880D715F-6B67-4639-A9A3-1E858F5FF5F9}"/>
    <cellStyle name="20% - Accent3 11 2 2 5 3" xfId="25078" xr:uid="{00000000-0005-0000-0000-0000A00E0000}"/>
    <cellStyle name="20% - Accent3 11 2 2 5 3 2" xfId="48910" xr:uid="{AFEE00A4-F015-4CFA-915B-9859B75C0CBD}"/>
    <cellStyle name="20% - Accent3 11 2 2 5 4" xfId="33033" xr:uid="{BC14098A-7948-443D-979E-0B24BE79CBDF}"/>
    <cellStyle name="20% - Accent3 11 2 2 6" xfId="10072" xr:uid="{00000000-0005-0000-0000-0000A10E0000}"/>
    <cellStyle name="20% - Accent3 11 2 2 6 2" xfId="33921" xr:uid="{42D9FE21-FFB8-462F-B7B9-471F384B81F9}"/>
    <cellStyle name="20% - Accent3 11 2 2 7" xfId="18027" xr:uid="{00000000-0005-0000-0000-0000A20E0000}"/>
    <cellStyle name="20% - Accent3 11 2 2 7 2" xfId="41859" xr:uid="{F206DB08-0046-4C31-8536-780E6D8DEBCF}"/>
    <cellStyle name="20% - Accent3 11 2 2 8" xfId="25979" xr:uid="{BAA19DFA-8AC0-4DA7-9CA0-C5F82E5DD704}"/>
    <cellStyle name="20% - Accent3 11 2 2_Exh G" xfId="2192" xr:uid="{00000000-0005-0000-0000-0000A30E0000}"/>
    <cellStyle name="20% - Accent3 11 2 3" xfId="1155" xr:uid="{00000000-0005-0000-0000-0000A40E0000}"/>
    <cellStyle name="20% - Accent3 11 2 3 2" xfId="4682" xr:uid="{00000000-0005-0000-0000-0000A50E0000}"/>
    <cellStyle name="20% - Accent3 11 2 3 2 2" xfId="8273" xr:uid="{00000000-0005-0000-0000-0000A60E0000}"/>
    <cellStyle name="20% - Accent3 11 2 3 2 2 2" xfId="16243" xr:uid="{00000000-0005-0000-0000-0000A70E0000}"/>
    <cellStyle name="20% - Accent3 11 2 3 2 2 2 2" xfId="40085" xr:uid="{C253D7A0-3754-4604-8CAE-006B7A3146EC}"/>
    <cellStyle name="20% - Accent3 11 2 3 2 2 3" xfId="24189" xr:uid="{00000000-0005-0000-0000-0000A80E0000}"/>
    <cellStyle name="20% - Accent3 11 2 3 2 2 3 2" xfId="48021" xr:uid="{C754788C-A48F-4DC9-963B-EB9247D8F2FF}"/>
    <cellStyle name="20% - Accent3 11 2 3 2 2 4" xfId="32144" xr:uid="{B4360445-C1D9-4AD5-B9E7-3A67866B959D}"/>
    <cellStyle name="20% - Accent3 11 2 3 2 3" xfId="12705" xr:uid="{00000000-0005-0000-0000-0000A90E0000}"/>
    <cellStyle name="20% - Accent3 11 2 3 2 3 2" xfId="36554" xr:uid="{49FE6EE6-F8A7-411C-B6FF-016C26EA6199}"/>
    <cellStyle name="20% - Accent3 11 2 3 2 4" xfId="20660" xr:uid="{00000000-0005-0000-0000-0000AA0E0000}"/>
    <cellStyle name="20% - Accent3 11 2 3 2 4 2" xfId="44492" xr:uid="{64C52458-A663-4F94-90BA-0CC6984C7AB9}"/>
    <cellStyle name="20% - Accent3 11 2 3 2 5" xfId="28613" xr:uid="{7E58E7EC-3EA2-4D1D-A872-3F6B7D62FB07}"/>
    <cellStyle name="20% - Accent3 11 2 3 3" xfId="6514" xr:uid="{00000000-0005-0000-0000-0000AB0E0000}"/>
    <cellStyle name="20% - Accent3 11 2 3 3 2" xfId="14485" xr:uid="{00000000-0005-0000-0000-0000AC0E0000}"/>
    <cellStyle name="20% - Accent3 11 2 3 3 2 2" xfId="38327" xr:uid="{71F0A7CD-4994-408A-B3FB-E8E4CF9117F5}"/>
    <cellStyle name="20% - Accent3 11 2 3 3 3" xfId="22432" xr:uid="{00000000-0005-0000-0000-0000AD0E0000}"/>
    <cellStyle name="20% - Accent3 11 2 3 3 3 2" xfId="46264" xr:uid="{D58B6ECF-82B9-4109-A922-B2205E4B48D9}"/>
    <cellStyle name="20% - Accent3 11 2 3 3 4" xfId="30386" xr:uid="{BEBA061D-F4E6-4423-A13B-6E9C28EABF9D}"/>
    <cellStyle name="20% - Accent3 11 2 3 4" xfId="10949" xr:uid="{00000000-0005-0000-0000-0000AE0E0000}"/>
    <cellStyle name="20% - Accent3 11 2 3 4 2" xfId="34798" xr:uid="{6E2FDFAB-CADE-4799-B924-3C3B518F6EDF}"/>
    <cellStyle name="20% - Accent3 11 2 3 5" xfId="18904" xr:uid="{00000000-0005-0000-0000-0000AF0E0000}"/>
    <cellStyle name="20% - Accent3 11 2 3 5 2" xfId="42736" xr:uid="{093F094E-6507-4C88-B05B-3D3B6878A8F3}"/>
    <cellStyle name="20% - Accent3 11 2 3 6" xfId="26856" xr:uid="{848576C1-D9D3-4672-A4C3-7BF1B1DC64F8}"/>
    <cellStyle name="20% - Accent3 11 2 3_Exh G" xfId="2194" xr:uid="{00000000-0005-0000-0000-0000B00E0000}"/>
    <cellStyle name="20% - Accent3 11 2 4" xfId="3803" xr:uid="{00000000-0005-0000-0000-0000B10E0000}"/>
    <cellStyle name="20% - Accent3 11 2 4 2" xfId="7395" xr:uid="{00000000-0005-0000-0000-0000B20E0000}"/>
    <cellStyle name="20% - Accent3 11 2 4 2 2" xfId="15365" xr:uid="{00000000-0005-0000-0000-0000B30E0000}"/>
    <cellStyle name="20% - Accent3 11 2 4 2 2 2" xfId="39207" xr:uid="{60164960-5CD4-4EDF-8236-EB782A9DF9D3}"/>
    <cellStyle name="20% - Accent3 11 2 4 2 3" xfId="23311" xr:uid="{00000000-0005-0000-0000-0000B40E0000}"/>
    <cellStyle name="20% - Accent3 11 2 4 2 3 2" xfId="47143" xr:uid="{F8BA81A7-F72D-4E83-9F41-E6B6D26292A7}"/>
    <cellStyle name="20% - Accent3 11 2 4 2 4" xfId="31266" xr:uid="{ADD7BB21-EE21-471F-BA5E-63B38389E2EA}"/>
    <cellStyle name="20% - Accent3 11 2 4 3" xfId="11827" xr:uid="{00000000-0005-0000-0000-0000B50E0000}"/>
    <cellStyle name="20% - Accent3 11 2 4 3 2" xfId="35676" xr:uid="{F4059E6F-B971-48B3-AE81-2CF808FA22F7}"/>
    <cellStyle name="20% - Accent3 11 2 4 4" xfId="19782" xr:uid="{00000000-0005-0000-0000-0000B60E0000}"/>
    <cellStyle name="20% - Accent3 11 2 4 4 2" xfId="43614" xr:uid="{F1FB4F8B-4866-4920-852C-542F5CF918C1}"/>
    <cellStyle name="20% - Accent3 11 2 4 5" xfId="27735" xr:uid="{5A5977B8-1E5B-4B4E-8FC6-FC291BFE68F5}"/>
    <cellStyle name="20% - Accent3 11 2 5" xfId="5623" xr:uid="{00000000-0005-0000-0000-0000B70E0000}"/>
    <cellStyle name="20% - Accent3 11 2 5 2" xfId="13606" xr:uid="{00000000-0005-0000-0000-0000B80E0000}"/>
    <cellStyle name="20% - Accent3 11 2 5 2 2" xfId="37449" xr:uid="{EC0B9A02-FA6E-4759-A13A-EED6DF70FE5A}"/>
    <cellStyle name="20% - Accent3 11 2 5 3" xfId="21554" xr:uid="{00000000-0005-0000-0000-0000B90E0000}"/>
    <cellStyle name="20% - Accent3 11 2 5 3 2" xfId="45386" xr:uid="{52C90475-209C-4F4E-BF1E-F929937D8131}"/>
    <cellStyle name="20% - Accent3 11 2 5 4" xfId="29508" xr:uid="{5A475991-E4CB-4503-9354-B05F5FB8B147}"/>
    <cellStyle name="20% - Accent3 11 2 6" xfId="9175" xr:uid="{00000000-0005-0000-0000-0000BA0E0000}"/>
    <cellStyle name="20% - Accent3 11 2 6 2" xfId="17133" xr:uid="{00000000-0005-0000-0000-0000BB0E0000}"/>
    <cellStyle name="20% - Accent3 11 2 6 2 2" xfId="40973" xr:uid="{7419C38B-8197-4AEE-85DF-25E2260AFD65}"/>
    <cellStyle name="20% - Accent3 11 2 6 3" xfId="25077" xr:uid="{00000000-0005-0000-0000-0000BC0E0000}"/>
    <cellStyle name="20% - Accent3 11 2 6 3 2" xfId="48909" xr:uid="{1AEE3D6F-7655-45F7-8CB1-BCF2EA2D57AD}"/>
    <cellStyle name="20% - Accent3 11 2 6 4" xfId="33032" xr:uid="{B2619499-47A9-40BD-9953-378C5C69A7CE}"/>
    <cellStyle name="20% - Accent3 11 2 7" xfId="10071" xr:uid="{00000000-0005-0000-0000-0000BD0E0000}"/>
    <cellStyle name="20% - Accent3 11 2 7 2" xfId="33920" xr:uid="{2C6F230D-B6D6-40C1-A3A9-88DA9FB6383C}"/>
    <cellStyle name="20% - Accent3 11 2 8" xfId="18026" xr:uid="{00000000-0005-0000-0000-0000BE0E0000}"/>
    <cellStyle name="20% - Accent3 11 2 8 2" xfId="41858" xr:uid="{72603BBE-025A-46DC-B119-2AEE5770272B}"/>
    <cellStyle name="20% - Accent3 11 2 9" xfId="25978" xr:uid="{7141A884-6FB6-4DDF-8A65-F129A5AD3250}"/>
    <cellStyle name="20% - Accent3 11 2_Exh G" xfId="2191" xr:uid="{00000000-0005-0000-0000-0000BF0E0000}"/>
    <cellStyle name="20% - Accent3 11 3" xfId="131" xr:uid="{00000000-0005-0000-0000-0000C00E0000}"/>
    <cellStyle name="20% - Accent3 11 3 2" xfId="1157" xr:uid="{00000000-0005-0000-0000-0000C10E0000}"/>
    <cellStyle name="20% - Accent3 11 3 2 2" xfId="4684" xr:uid="{00000000-0005-0000-0000-0000C20E0000}"/>
    <cellStyle name="20% - Accent3 11 3 2 2 2" xfId="8275" xr:uid="{00000000-0005-0000-0000-0000C30E0000}"/>
    <cellStyle name="20% - Accent3 11 3 2 2 2 2" xfId="16245" xr:uid="{00000000-0005-0000-0000-0000C40E0000}"/>
    <cellStyle name="20% - Accent3 11 3 2 2 2 2 2" xfId="40087" xr:uid="{3088271B-F0D0-4CD4-A348-3376C6B59B1E}"/>
    <cellStyle name="20% - Accent3 11 3 2 2 2 3" xfId="24191" xr:uid="{00000000-0005-0000-0000-0000C50E0000}"/>
    <cellStyle name="20% - Accent3 11 3 2 2 2 3 2" xfId="48023" xr:uid="{8E93E41F-A582-4A4B-87AD-3D7EA0B55455}"/>
    <cellStyle name="20% - Accent3 11 3 2 2 2 4" xfId="32146" xr:uid="{960017C3-BAAB-46D2-A63B-29003EA8D1C5}"/>
    <cellStyle name="20% - Accent3 11 3 2 2 3" xfId="12707" xr:uid="{00000000-0005-0000-0000-0000C60E0000}"/>
    <cellStyle name="20% - Accent3 11 3 2 2 3 2" xfId="36556" xr:uid="{5F05B06C-56D6-4D9A-B955-980550798F06}"/>
    <cellStyle name="20% - Accent3 11 3 2 2 4" xfId="20662" xr:uid="{00000000-0005-0000-0000-0000C70E0000}"/>
    <cellStyle name="20% - Accent3 11 3 2 2 4 2" xfId="44494" xr:uid="{FFC9EF9C-6943-4938-B64C-703B6BD9C683}"/>
    <cellStyle name="20% - Accent3 11 3 2 2 5" xfId="28615" xr:uid="{B55F2A97-D05F-478A-9DE1-7A3904A8C5F0}"/>
    <cellStyle name="20% - Accent3 11 3 2 3" xfId="6516" xr:uid="{00000000-0005-0000-0000-0000C80E0000}"/>
    <cellStyle name="20% - Accent3 11 3 2 3 2" xfId="14487" xr:uid="{00000000-0005-0000-0000-0000C90E0000}"/>
    <cellStyle name="20% - Accent3 11 3 2 3 2 2" xfId="38329" xr:uid="{1445B5E3-0EF3-4750-BAFC-C9CB425ED0AC}"/>
    <cellStyle name="20% - Accent3 11 3 2 3 3" xfId="22434" xr:uid="{00000000-0005-0000-0000-0000CA0E0000}"/>
    <cellStyle name="20% - Accent3 11 3 2 3 3 2" xfId="46266" xr:uid="{317C0771-1858-4434-9D42-6F45EBAF5322}"/>
    <cellStyle name="20% - Accent3 11 3 2 3 4" xfId="30388" xr:uid="{66800000-9586-4129-A17C-EA5B54513C83}"/>
    <cellStyle name="20% - Accent3 11 3 2 4" xfId="10951" xr:uid="{00000000-0005-0000-0000-0000CB0E0000}"/>
    <cellStyle name="20% - Accent3 11 3 2 4 2" xfId="34800" xr:uid="{FBEA62CD-488D-4B66-8DD4-CA2A4004144F}"/>
    <cellStyle name="20% - Accent3 11 3 2 5" xfId="18906" xr:uid="{00000000-0005-0000-0000-0000CC0E0000}"/>
    <cellStyle name="20% - Accent3 11 3 2 5 2" xfId="42738" xr:uid="{4E352B09-C29E-4B0D-B032-93511569F5E0}"/>
    <cellStyle name="20% - Accent3 11 3 2 6" xfId="26858" xr:uid="{4A9D680F-3024-4E78-8F2B-4F9829C4145A}"/>
    <cellStyle name="20% - Accent3 11 3 2_Exh G" xfId="2196" xr:uid="{00000000-0005-0000-0000-0000CD0E0000}"/>
    <cellStyle name="20% - Accent3 11 3 3" xfId="3805" xr:uid="{00000000-0005-0000-0000-0000CE0E0000}"/>
    <cellStyle name="20% - Accent3 11 3 3 2" xfId="7397" xr:uid="{00000000-0005-0000-0000-0000CF0E0000}"/>
    <cellStyle name="20% - Accent3 11 3 3 2 2" xfId="15367" xr:uid="{00000000-0005-0000-0000-0000D00E0000}"/>
    <cellStyle name="20% - Accent3 11 3 3 2 2 2" xfId="39209" xr:uid="{AC17FE91-7935-494D-9280-7165A53587E2}"/>
    <cellStyle name="20% - Accent3 11 3 3 2 3" xfId="23313" xr:uid="{00000000-0005-0000-0000-0000D10E0000}"/>
    <cellStyle name="20% - Accent3 11 3 3 2 3 2" xfId="47145" xr:uid="{E48F2B8C-6AA9-4F59-B214-4E10E5F56E79}"/>
    <cellStyle name="20% - Accent3 11 3 3 2 4" xfId="31268" xr:uid="{C21E6079-511B-41CC-9BAA-4EE085DDDDA7}"/>
    <cellStyle name="20% - Accent3 11 3 3 3" xfId="11829" xr:uid="{00000000-0005-0000-0000-0000D20E0000}"/>
    <cellStyle name="20% - Accent3 11 3 3 3 2" xfId="35678" xr:uid="{98B3C98A-F790-4956-98D3-7CF322A715FB}"/>
    <cellStyle name="20% - Accent3 11 3 3 4" xfId="19784" xr:uid="{00000000-0005-0000-0000-0000D30E0000}"/>
    <cellStyle name="20% - Accent3 11 3 3 4 2" xfId="43616" xr:uid="{7A78CFFB-2D0C-4D9E-8F35-1FFE009DCFE7}"/>
    <cellStyle name="20% - Accent3 11 3 3 5" xfId="27737" xr:uid="{B859855A-0A44-4E05-9D7D-7D582E6DF6C4}"/>
    <cellStyle name="20% - Accent3 11 3 4" xfId="5625" xr:uid="{00000000-0005-0000-0000-0000D40E0000}"/>
    <cellStyle name="20% - Accent3 11 3 4 2" xfId="13608" xr:uid="{00000000-0005-0000-0000-0000D50E0000}"/>
    <cellStyle name="20% - Accent3 11 3 4 2 2" xfId="37451" xr:uid="{51D643C2-5C00-44AA-9EB0-81263CD11F43}"/>
    <cellStyle name="20% - Accent3 11 3 4 3" xfId="21556" xr:uid="{00000000-0005-0000-0000-0000D60E0000}"/>
    <cellStyle name="20% - Accent3 11 3 4 3 2" xfId="45388" xr:uid="{A0CC3216-2686-4246-AAE5-E5CB08A3C2A1}"/>
    <cellStyle name="20% - Accent3 11 3 4 4" xfId="29510" xr:uid="{9CA5C75F-86E3-4287-A9E8-FD2F8397DE9F}"/>
    <cellStyle name="20% - Accent3 11 3 5" xfId="9177" xr:uid="{00000000-0005-0000-0000-0000D70E0000}"/>
    <cellStyle name="20% - Accent3 11 3 5 2" xfId="17135" xr:uid="{00000000-0005-0000-0000-0000D80E0000}"/>
    <cellStyle name="20% - Accent3 11 3 5 2 2" xfId="40975" xr:uid="{56B49C7D-E617-4D88-8C05-3B5A25BFBDFA}"/>
    <cellStyle name="20% - Accent3 11 3 5 3" xfId="25079" xr:uid="{00000000-0005-0000-0000-0000D90E0000}"/>
    <cellStyle name="20% - Accent3 11 3 5 3 2" xfId="48911" xr:uid="{9F812906-6788-444B-8C84-84971E5DAB0B}"/>
    <cellStyle name="20% - Accent3 11 3 5 4" xfId="33034" xr:uid="{B7ECBEA2-4AD8-453E-B7B4-32D991F30CCC}"/>
    <cellStyle name="20% - Accent3 11 3 6" xfId="10073" xr:uid="{00000000-0005-0000-0000-0000DA0E0000}"/>
    <cellStyle name="20% - Accent3 11 3 6 2" xfId="33922" xr:uid="{0BF8BF47-06E6-450D-AEE7-F7FC5EDC86D2}"/>
    <cellStyle name="20% - Accent3 11 3 7" xfId="18028" xr:uid="{00000000-0005-0000-0000-0000DB0E0000}"/>
    <cellStyle name="20% - Accent3 11 3 7 2" xfId="41860" xr:uid="{DD01DD44-34E4-4DF1-B99C-80045245E98B}"/>
    <cellStyle name="20% - Accent3 11 3 8" xfId="25980" xr:uid="{C87E9D1F-8F7D-4E67-8305-96CDE385FD81}"/>
    <cellStyle name="20% - Accent3 11 3_Exh G" xfId="2195" xr:uid="{00000000-0005-0000-0000-0000DC0E0000}"/>
    <cellStyle name="20% - Accent3 11 4" xfId="1154" xr:uid="{00000000-0005-0000-0000-0000DD0E0000}"/>
    <cellStyle name="20% - Accent3 11 4 2" xfId="4681" xr:uid="{00000000-0005-0000-0000-0000DE0E0000}"/>
    <cellStyle name="20% - Accent3 11 4 2 2" xfId="8272" xr:uid="{00000000-0005-0000-0000-0000DF0E0000}"/>
    <cellStyle name="20% - Accent3 11 4 2 2 2" xfId="16242" xr:uid="{00000000-0005-0000-0000-0000E00E0000}"/>
    <cellStyle name="20% - Accent3 11 4 2 2 2 2" xfId="40084" xr:uid="{02EA1351-F8D0-4A76-B1FE-51A3CB7AC525}"/>
    <cellStyle name="20% - Accent3 11 4 2 2 3" xfId="24188" xr:uid="{00000000-0005-0000-0000-0000E10E0000}"/>
    <cellStyle name="20% - Accent3 11 4 2 2 3 2" xfId="48020" xr:uid="{B1EC7C74-C315-469E-8EA5-DD92FC59625D}"/>
    <cellStyle name="20% - Accent3 11 4 2 2 4" xfId="32143" xr:uid="{7ABC91D6-E2DD-4F88-AA54-F1ED1B293EF0}"/>
    <cellStyle name="20% - Accent3 11 4 2 3" xfId="12704" xr:uid="{00000000-0005-0000-0000-0000E20E0000}"/>
    <cellStyle name="20% - Accent3 11 4 2 3 2" xfId="36553" xr:uid="{594B1BE0-EA4E-427F-883D-2C06F835B5F6}"/>
    <cellStyle name="20% - Accent3 11 4 2 4" xfId="20659" xr:uid="{00000000-0005-0000-0000-0000E30E0000}"/>
    <cellStyle name="20% - Accent3 11 4 2 4 2" xfId="44491" xr:uid="{5715CF5D-4524-4138-9CCD-C456244C4C3B}"/>
    <cellStyle name="20% - Accent3 11 4 2 5" xfId="28612" xr:uid="{02152A6A-BBAC-4177-90F2-3D3EB1818FA6}"/>
    <cellStyle name="20% - Accent3 11 4 3" xfId="6513" xr:uid="{00000000-0005-0000-0000-0000E40E0000}"/>
    <cellStyle name="20% - Accent3 11 4 3 2" xfId="14484" xr:uid="{00000000-0005-0000-0000-0000E50E0000}"/>
    <cellStyle name="20% - Accent3 11 4 3 2 2" xfId="38326" xr:uid="{FA26E868-DDF9-4DD9-9FA6-993F14CB753C}"/>
    <cellStyle name="20% - Accent3 11 4 3 3" xfId="22431" xr:uid="{00000000-0005-0000-0000-0000E60E0000}"/>
    <cellStyle name="20% - Accent3 11 4 3 3 2" xfId="46263" xr:uid="{B51C99EF-C814-44E8-A47C-B22AE7686151}"/>
    <cellStyle name="20% - Accent3 11 4 3 4" xfId="30385" xr:uid="{D870BA85-CD6D-42E8-A1A5-6C274D9A0AEB}"/>
    <cellStyle name="20% - Accent3 11 4 4" xfId="10948" xr:uid="{00000000-0005-0000-0000-0000E70E0000}"/>
    <cellStyle name="20% - Accent3 11 4 4 2" xfId="34797" xr:uid="{6927767A-CAEB-441A-A202-E4FA08F7E86A}"/>
    <cellStyle name="20% - Accent3 11 4 5" xfId="18903" xr:uid="{00000000-0005-0000-0000-0000E80E0000}"/>
    <cellStyle name="20% - Accent3 11 4 5 2" xfId="42735" xr:uid="{4FBCBB33-F6BF-471C-8C2C-6909F1D7D3A9}"/>
    <cellStyle name="20% - Accent3 11 4 6" xfId="26855" xr:uid="{1D214E6E-3C20-4878-9713-C960F6441D02}"/>
    <cellStyle name="20% - Accent3 11 4_Exh G" xfId="2197" xr:uid="{00000000-0005-0000-0000-0000E90E0000}"/>
    <cellStyle name="20% - Accent3 11 5" xfId="3802" xr:uid="{00000000-0005-0000-0000-0000EA0E0000}"/>
    <cellStyle name="20% - Accent3 11 5 2" xfId="7394" xr:uid="{00000000-0005-0000-0000-0000EB0E0000}"/>
    <cellStyle name="20% - Accent3 11 5 2 2" xfId="15364" xr:uid="{00000000-0005-0000-0000-0000EC0E0000}"/>
    <cellStyle name="20% - Accent3 11 5 2 2 2" xfId="39206" xr:uid="{7825C172-F82A-4501-BBA8-6F1C725C1FF5}"/>
    <cellStyle name="20% - Accent3 11 5 2 3" xfId="23310" xr:uid="{00000000-0005-0000-0000-0000ED0E0000}"/>
    <cellStyle name="20% - Accent3 11 5 2 3 2" xfId="47142" xr:uid="{63A97654-AB5F-4366-A7A2-23E280B384EC}"/>
    <cellStyle name="20% - Accent3 11 5 2 4" xfId="31265" xr:uid="{CF438BFE-3E7E-457F-A9D2-92E7EC237BDD}"/>
    <cellStyle name="20% - Accent3 11 5 3" xfId="11826" xr:uid="{00000000-0005-0000-0000-0000EE0E0000}"/>
    <cellStyle name="20% - Accent3 11 5 3 2" xfId="35675" xr:uid="{FF929754-E5C9-43C2-9033-B9CA29C7AD63}"/>
    <cellStyle name="20% - Accent3 11 5 4" xfId="19781" xr:uid="{00000000-0005-0000-0000-0000EF0E0000}"/>
    <cellStyle name="20% - Accent3 11 5 4 2" xfId="43613" xr:uid="{D2C8B0A4-76BC-4662-A396-B7703C05B335}"/>
    <cellStyle name="20% - Accent3 11 5 5" xfId="27734" xr:uid="{46219BF2-CCE7-4D7D-A69E-456BD6F3A76C}"/>
    <cellStyle name="20% - Accent3 11 6" xfId="5622" xr:uid="{00000000-0005-0000-0000-0000F00E0000}"/>
    <cellStyle name="20% - Accent3 11 6 2" xfId="13605" xr:uid="{00000000-0005-0000-0000-0000F10E0000}"/>
    <cellStyle name="20% - Accent3 11 6 2 2" xfId="37448" xr:uid="{81933AB6-06E0-4BFF-9003-D2D207616D87}"/>
    <cellStyle name="20% - Accent3 11 6 3" xfId="21553" xr:uid="{00000000-0005-0000-0000-0000F20E0000}"/>
    <cellStyle name="20% - Accent3 11 6 3 2" xfId="45385" xr:uid="{BB22EA99-0528-4A57-BB6C-39672FCF93EC}"/>
    <cellStyle name="20% - Accent3 11 6 4" xfId="29507" xr:uid="{563EF2A6-201B-4E00-944B-5F6E14FA4608}"/>
    <cellStyle name="20% - Accent3 11 7" xfId="9174" xr:uid="{00000000-0005-0000-0000-0000F30E0000}"/>
    <cellStyle name="20% - Accent3 11 7 2" xfId="17132" xr:uid="{00000000-0005-0000-0000-0000F40E0000}"/>
    <cellStyle name="20% - Accent3 11 7 2 2" xfId="40972" xr:uid="{3EAFFB55-6A5A-41D4-A579-59C8EBB82B50}"/>
    <cellStyle name="20% - Accent3 11 7 3" xfId="25076" xr:uid="{00000000-0005-0000-0000-0000F50E0000}"/>
    <cellStyle name="20% - Accent3 11 7 3 2" xfId="48908" xr:uid="{44A74F36-5603-458B-BA1D-EC6757FEA6C0}"/>
    <cellStyle name="20% - Accent3 11 7 4" xfId="33031" xr:uid="{CE55750C-CCE1-4A79-BB05-C8513E7F7F03}"/>
    <cellStyle name="20% - Accent3 11 8" xfId="10070" xr:uid="{00000000-0005-0000-0000-0000F60E0000}"/>
    <cellStyle name="20% - Accent3 11 8 2" xfId="33919" xr:uid="{66D7407C-671D-472F-B9A9-C37775992863}"/>
    <cellStyle name="20% - Accent3 11 9" xfId="18025" xr:uid="{00000000-0005-0000-0000-0000F70E0000}"/>
    <cellStyle name="20% - Accent3 11 9 2" xfId="41857" xr:uid="{877974FC-8FF1-4E71-8982-843397C70982}"/>
    <cellStyle name="20% - Accent3 11_Exh G" xfId="2190" xr:uid="{00000000-0005-0000-0000-0000F80E0000}"/>
    <cellStyle name="20% - Accent3 12" xfId="132" xr:uid="{00000000-0005-0000-0000-0000F90E0000}"/>
    <cellStyle name="20% - Accent3 12 10" xfId="25981" xr:uid="{96AB877A-99E6-428D-BB19-A66BCD76AFB2}"/>
    <cellStyle name="20% - Accent3 12 2" xfId="133" xr:uid="{00000000-0005-0000-0000-0000FA0E0000}"/>
    <cellStyle name="20% - Accent3 12 2 2" xfId="134" xr:uid="{00000000-0005-0000-0000-0000FB0E0000}"/>
    <cellStyle name="20% - Accent3 12 2 2 2" xfId="1160" xr:uid="{00000000-0005-0000-0000-0000FC0E0000}"/>
    <cellStyle name="20% - Accent3 12 2 2 2 2" xfId="4687" xr:uid="{00000000-0005-0000-0000-0000FD0E0000}"/>
    <cellStyle name="20% - Accent3 12 2 2 2 2 2" xfId="8278" xr:uid="{00000000-0005-0000-0000-0000FE0E0000}"/>
    <cellStyle name="20% - Accent3 12 2 2 2 2 2 2" xfId="16248" xr:uid="{00000000-0005-0000-0000-0000FF0E0000}"/>
    <cellStyle name="20% - Accent3 12 2 2 2 2 2 2 2" xfId="40090" xr:uid="{3CAF7EC9-0935-4B36-8AD9-5C8B2A23501E}"/>
    <cellStyle name="20% - Accent3 12 2 2 2 2 2 3" xfId="24194" xr:uid="{00000000-0005-0000-0000-0000000F0000}"/>
    <cellStyle name="20% - Accent3 12 2 2 2 2 2 3 2" xfId="48026" xr:uid="{A2E2392D-AF9E-4CF7-AA10-BBA84CE75838}"/>
    <cellStyle name="20% - Accent3 12 2 2 2 2 2 4" xfId="32149" xr:uid="{466DFFD8-CCDA-4D72-8C11-3C4DA3D029AB}"/>
    <cellStyle name="20% - Accent3 12 2 2 2 2 3" xfId="12710" xr:uid="{00000000-0005-0000-0000-0000010F0000}"/>
    <cellStyle name="20% - Accent3 12 2 2 2 2 3 2" xfId="36559" xr:uid="{FA29CACC-CCA1-4703-AFD5-787940AE16FA}"/>
    <cellStyle name="20% - Accent3 12 2 2 2 2 4" xfId="20665" xr:uid="{00000000-0005-0000-0000-0000020F0000}"/>
    <cellStyle name="20% - Accent3 12 2 2 2 2 4 2" xfId="44497" xr:uid="{7772DE29-266D-48C8-9E0A-C34476C1F8D6}"/>
    <cellStyle name="20% - Accent3 12 2 2 2 2 5" xfId="28618" xr:uid="{CDA5E947-6CDA-465A-87E2-1DCA772CC8C6}"/>
    <cellStyle name="20% - Accent3 12 2 2 2 3" xfId="6519" xr:uid="{00000000-0005-0000-0000-0000030F0000}"/>
    <cellStyle name="20% - Accent3 12 2 2 2 3 2" xfId="14490" xr:uid="{00000000-0005-0000-0000-0000040F0000}"/>
    <cellStyle name="20% - Accent3 12 2 2 2 3 2 2" xfId="38332" xr:uid="{F994D001-CB8E-4C6F-84AA-E2B62E378983}"/>
    <cellStyle name="20% - Accent3 12 2 2 2 3 3" xfId="22437" xr:uid="{00000000-0005-0000-0000-0000050F0000}"/>
    <cellStyle name="20% - Accent3 12 2 2 2 3 3 2" xfId="46269" xr:uid="{F65D0053-D237-42D7-8368-772D69F6D523}"/>
    <cellStyle name="20% - Accent3 12 2 2 2 3 4" xfId="30391" xr:uid="{4A6F48D5-D45B-411E-ABB0-93646917DFBD}"/>
    <cellStyle name="20% - Accent3 12 2 2 2 4" xfId="10954" xr:uid="{00000000-0005-0000-0000-0000060F0000}"/>
    <cellStyle name="20% - Accent3 12 2 2 2 4 2" xfId="34803" xr:uid="{050718E7-A085-4E27-8C2B-CADDD59BCF61}"/>
    <cellStyle name="20% - Accent3 12 2 2 2 5" xfId="18909" xr:uid="{00000000-0005-0000-0000-0000070F0000}"/>
    <cellStyle name="20% - Accent3 12 2 2 2 5 2" xfId="42741" xr:uid="{B8403056-90AB-4735-9ACB-2AFA752C1691}"/>
    <cellStyle name="20% - Accent3 12 2 2 2 6" xfId="26861" xr:uid="{3861667D-EB04-4DDD-914E-F7E67E057E34}"/>
    <cellStyle name="20% - Accent3 12 2 2 2_Exh G" xfId="2201" xr:uid="{00000000-0005-0000-0000-0000080F0000}"/>
    <cellStyle name="20% - Accent3 12 2 2 3" xfId="3808" xr:uid="{00000000-0005-0000-0000-0000090F0000}"/>
    <cellStyle name="20% - Accent3 12 2 2 3 2" xfId="7400" xr:uid="{00000000-0005-0000-0000-00000A0F0000}"/>
    <cellStyle name="20% - Accent3 12 2 2 3 2 2" xfId="15370" xr:uid="{00000000-0005-0000-0000-00000B0F0000}"/>
    <cellStyle name="20% - Accent3 12 2 2 3 2 2 2" xfId="39212" xr:uid="{887A200B-055B-4250-BC35-38B790539A2C}"/>
    <cellStyle name="20% - Accent3 12 2 2 3 2 3" xfId="23316" xr:uid="{00000000-0005-0000-0000-00000C0F0000}"/>
    <cellStyle name="20% - Accent3 12 2 2 3 2 3 2" xfId="47148" xr:uid="{DF8BB230-6287-45F3-80BA-36F8BB1784AB}"/>
    <cellStyle name="20% - Accent3 12 2 2 3 2 4" xfId="31271" xr:uid="{AD00BAB3-8EA8-4501-B980-5B5D5604F542}"/>
    <cellStyle name="20% - Accent3 12 2 2 3 3" xfId="11832" xr:uid="{00000000-0005-0000-0000-00000D0F0000}"/>
    <cellStyle name="20% - Accent3 12 2 2 3 3 2" xfId="35681" xr:uid="{9F8867FA-5D9B-413D-BAE3-DB19D66A3CAF}"/>
    <cellStyle name="20% - Accent3 12 2 2 3 4" xfId="19787" xr:uid="{00000000-0005-0000-0000-00000E0F0000}"/>
    <cellStyle name="20% - Accent3 12 2 2 3 4 2" xfId="43619" xr:uid="{2D495AEF-64CC-4102-8678-18D3DD9E1B0F}"/>
    <cellStyle name="20% - Accent3 12 2 2 3 5" xfId="27740" xr:uid="{1B2C3D28-D6D8-4E37-AE63-242CA1DA84AA}"/>
    <cellStyle name="20% - Accent3 12 2 2 4" xfId="5628" xr:uid="{00000000-0005-0000-0000-00000F0F0000}"/>
    <cellStyle name="20% - Accent3 12 2 2 4 2" xfId="13611" xr:uid="{00000000-0005-0000-0000-0000100F0000}"/>
    <cellStyle name="20% - Accent3 12 2 2 4 2 2" xfId="37454" xr:uid="{DCC55823-FEC5-418A-A539-68656A61899F}"/>
    <cellStyle name="20% - Accent3 12 2 2 4 3" xfId="21559" xr:uid="{00000000-0005-0000-0000-0000110F0000}"/>
    <cellStyle name="20% - Accent3 12 2 2 4 3 2" xfId="45391" xr:uid="{4AA917FC-1FBC-4102-8A89-0A64232E57DE}"/>
    <cellStyle name="20% - Accent3 12 2 2 4 4" xfId="29513" xr:uid="{B5C8827F-6412-4733-A1AD-33BCEC96C734}"/>
    <cellStyle name="20% - Accent3 12 2 2 5" xfId="9180" xr:uid="{00000000-0005-0000-0000-0000120F0000}"/>
    <cellStyle name="20% - Accent3 12 2 2 5 2" xfId="17138" xr:uid="{00000000-0005-0000-0000-0000130F0000}"/>
    <cellStyle name="20% - Accent3 12 2 2 5 2 2" xfId="40978" xr:uid="{5675DF44-4E59-4327-9342-5DC745EF174D}"/>
    <cellStyle name="20% - Accent3 12 2 2 5 3" xfId="25082" xr:uid="{00000000-0005-0000-0000-0000140F0000}"/>
    <cellStyle name="20% - Accent3 12 2 2 5 3 2" xfId="48914" xr:uid="{3DAE673D-B760-4037-A9CE-B41D7E86802A}"/>
    <cellStyle name="20% - Accent3 12 2 2 5 4" xfId="33037" xr:uid="{BA02927B-A1FA-4190-B80B-E12796A872B3}"/>
    <cellStyle name="20% - Accent3 12 2 2 6" xfId="10076" xr:uid="{00000000-0005-0000-0000-0000150F0000}"/>
    <cellStyle name="20% - Accent3 12 2 2 6 2" xfId="33925" xr:uid="{572CBD7A-983B-4E76-ABDF-C9A80D3A30D7}"/>
    <cellStyle name="20% - Accent3 12 2 2 7" xfId="18031" xr:uid="{00000000-0005-0000-0000-0000160F0000}"/>
    <cellStyle name="20% - Accent3 12 2 2 7 2" xfId="41863" xr:uid="{790E1F3F-E19D-49D6-ABD4-79E954780090}"/>
    <cellStyle name="20% - Accent3 12 2 2 8" xfId="25983" xr:uid="{DC35636C-057D-4AC4-8BA3-B8D11C55E7AC}"/>
    <cellStyle name="20% - Accent3 12 2 2_Exh G" xfId="2200" xr:uid="{00000000-0005-0000-0000-0000170F0000}"/>
    <cellStyle name="20% - Accent3 12 2 3" xfId="1159" xr:uid="{00000000-0005-0000-0000-0000180F0000}"/>
    <cellStyle name="20% - Accent3 12 2 3 2" xfId="4686" xr:uid="{00000000-0005-0000-0000-0000190F0000}"/>
    <cellStyle name="20% - Accent3 12 2 3 2 2" xfId="8277" xr:uid="{00000000-0005-0000-0000-00001A0F0000}"/>
    <cellStyle name="20% - Accent3 12 2 3 2 2 2" xfId="16247" xr:uid="{00000000-0005-0000-0000-00001B0F0000}"/>
    <cellStyle name="20% - Accent3 12 2 3 2 2 2 2" xfId="40089" xr:uid="{52FCBF32-E703-4268-8993-706CF5A297B3}"/>
    <cellStyle name="20% - Accent3 12 2 3 2 2 3" xfId="24193" xr:uid="{00000000-0005-0000-0000-00001C0F0000}"/>
    <cellStyle name="20% - Accent3 12 2 3 2 2 3 2" xfId="48025" xr:uid="{FB9256F9-4B90-4445-B6F2-7540D50EDBF1}"/>
    <cellStyle name="20% - Accent3 12 2 3 2 2 4" xfId="32148" xr:uid="{380A0907-EF34-4F13-8616-46D250647B2E}"/>
    <cellStyle name="20% - Accent3 12 2 3 2 3" xfId="12709" xr:uid="{00000000-0005-0000-0000-00001D0F0000}"/>
    <cellStyle name="20% - Accent3 12 2 3 2 3 2" xfId="36558" xr:uid="{67F022E3-255E-4994-9056-3BD60058E8B4}"/>
    <cellStyle name="20% - Accent3 12 2 3 2 4" xfId="20664" xr:uid="{00000000-0005-0000-0000-00001E0F0000}"/>
    <cellStyle name="20% - Accent3 12 2 3 2 4 2" xfId="44496" xr:uid="{F87255DC-04BE-4B7A-B2AB-C55C5EEC1F3B}"/>
    <cellStyle name="20% - Accent3 12 2 3 2 5" xfId="28617" xr:uid="{F6EB4843-0577-4FAA-8421-9AEAC61D9F28}"/>
    <cellStyle name="20% - Accent3 12 2 3 3" xfId="6518" xr:uid="{00000000-0005-0000-0000-00001F0F0000}"/>
    <cellStyle name="20% - Accent3 12 2 3 3 2" xfId="14489" xr:uid="{00000000-0005-0000-0000-0000200F0000}"/>
    <cellStyle name="20% - Accent3 12 2 3 3 2 2" xfId="38331" xr:uid="{5AB9A405-019C-4149-A9B3-4315FEF904DE}"/>
    <cellStyle name="20% - Accent3 12 2 3 3 3" xfId="22436" xr:uid="{00000000-0005-0000-0000-0000210F0000}"/>
    <cellStyle name="20% - Accent3 12 2 3 3 3 2" xfId="46268" xr:uid="{F322A7D5-824F-4509-8BB2-220080FFE85D}"/>
    <cellStyle name="20% - Accent3 12 2 3 3 4" xfId="30390" xr:uid="{88A306E9-E921-48C5-A962-D775E607C84D}"/>
    <cellStyle name="20% - Accent3 12 2 3 4" xfId="10953" xr:uid="{00000000-0005-0000-0000-0000220F0000}"/>
    <cellStyle name="20% - Accent3 12 2 3 4 2" xfId="34802" xr:uid="{334978EC-0A9C-4EFE-9B2D-05885A610259}"/>
    <cellStyle name="20% - Accent3 12 2 3 5" xfId="18908" xr:uid="{00000000-0005-0000-0000-0000230F0000}"/>
    <cellStyle name="20% - Accent3 12 2 3 5 2" xfId="42740" xr:uid="{62439268-F587-4593-8405-F4679B33A416}"/>
    <cellStyle name="20% - Accent3 12 2 3 6" xfId="26860" xr:uid="{57658744-9448-4CCC-9019-95771F48C87E}"/>
    <cellStyle name="20% - Accent3 12 2 3_Exh G" xfId="2202" xr:uid="{00000000-0005-0000-0000-0000240F0000}"/>
    <cellStyle name="20% - Accent3 12 2 4" xfId="3807" xr:uid="{00000000-0005-0000-0000-0000250F0000}"/>
    <cellStyle name="20% - Accent3 12 2 4 2" xfId="7399" xr:uid="{00000000-0005-0000-0000-0000260F0000}"/>
    <cellStyle name="20% - Accent3 12 2 4 2 2" xfId="15369" xr:uid="{00000000-0005-0000-0000-0000270F0000}"/>
    <cellStyle name="20% - Accent3 12 2 4 2 2 2" xfId="39211" xr:uid="{367F23E7-9485-454E-9673-3A04824C687C}"/>
    <cellStyle name="20% - Accent3 12 2 4 2 3" xfId="23315" xr:uid="{00000000-0005-0000-0000-0000280F0000}"/>
    <cellStyle name="20% - Accent3 12 2 4 2 3 2" xfId="47147" xr:uid="{7AFBE97B-5A72-4954-B62C-269F42288F96}"/>
    <cellStyle name="20% - Accent3 12 2 4 2 4" xfId="31270" xr:uid="{6C3EEF5C-9654-406B-8310-30A5AAD2132C}"/>
    <cellStyle name="20% - Accent3 12 2 4 3" xfId="11831" xr:uid="{00000000-0005-0000-0000-0000290F0000}"/>
    <cellStyle name="20% - Accent3 12 2 4 3 2" xfId="35680" xr:uid="{CEED7063-326F-485E-8152-0DFF1B257081}"/>
    <cellStyle name="20% - Accent3 12 2 4 4" xfId="19786" xr:uid="{00000000-0005-0000-0000-00002A0F0000}"/>
    <cellStyle name="20% - Accent3 12 2 4 4 2" xfId="43618" xr:uid="{520BB110-805C-455D-A7FE-421CEEEA819A}"/>
    <cellStyle name="20% - Accent3 12 2 4 5" xfId="27739" xr:uid="{0ED1A3EA-09D7-448C-8360-F9C92C29F178}"/>
    <cellStyle name="20% - Accent3 12 2 5" xfId="5627" xr:uid="{00000000-0005-0000-0000-00002B0F0000}"/>
    <cellStyle name="20% - Accent3 12 2 5 2" xfId="13610" xr:uid="{00000000-0005-0000-0000-00002C0F0000}"/>
    <cellStyle name="20% - Accent3 12 2 5 2 2" xfId="37453" xr:uid="{D0BDB96D-AD52-4541-8833-0F41A592A75E}"/>
    <cellStyle name="20% - Accent3 12 2 5 3" xfId="21558" xr:uid="{00000000-0005-0000-0000-00002D0F0000}"/>
    <cellStyle name="20% - Accent3 12 2 5 3 2" xfId="45390" xr:uid="{63592970-4E6D-432A-8D82-8B17DE11FF89}"/>
    <cellStyle name="20% - Accent3 12 2 5 4" xfId="29512" xr:uid="{F65DC496-FE1B-4609-89F6-F4F4F8BB8E64}"/>
    <cellStyle name="20% - Accent3 12 2 6" xfId="9179" xr:uid="{00000000-0005-0000-0000-00002E0F0000}"/>
    <cellStyle name="20% - Accent3 12 2 6 2" xfId="17137" xr:uid="{00000000-0005-0000-0000-00002F0F0000}"/>
    <cellStyle name="20% - Accent3 12 2 6 2 2" xfId="40977" xr:uid="{543D6A01-9D30-43C2-B7CC-194E83621123}"/>
    <cellStyle name="20% - Accent3 12 2 6 3" xfId="25081" xr:uid="{00000000-0005-0000-0000-0000300F0000}"/>
    <cellStyle name="20% - Accent3 12 2 6 3 2" xfId="48913" xr:uid="{F0455BF2-B9E1-4D59-9ADF-D9D8EB6571A6}"/>
    <cellStyle name="20% - Accent3 12 2 6 4" xfId="33036" xr:uid="{A8651F58-2CC9-42E8-A4E3-1D9052F47F0B}"/>
    <cellStyle name="20% - Accent3 12 2 7" xfId="10075" xr:uid="{00000000-0005-0000-0000-0000310F0000}"/>
    <cellStyle name="20% - Accent3 12 2 7 2" xfId="33924" xr:uid="{D6F2A34C-ED85-4315-B182-A8FA4707389F}"/>
    <cellStyle name="20% - Accent3 12 2 8" xfId="18030" xr:uid="{00000000-0005-0000-0000-0000320F0000}"/>
    <cellStyle name="20% - Accent3 12 2 8 2" xfId="41862" xr:uid="{79DAFD42-E76F-4E51-B000-C9505B9191B4}"/>
    <cellStyle name="20% - Accent3 12 2 9" xfId="25982" xr:uid="{C0B00D61-9F80-4254-8CDF-18688D698C12}"/>
    <cellStyle name="20% - Accent3 12 2_Exh G" xfId="2199" xr:uid="{00000000-0005-0000-0000-0000330F0000}"/>
    <cellStyle name="20% - Accent3 12 3" xfId="135" xr:uid="{00000000-0005-0000-0000-0000340F0000}"/>
    <cellStyle name="20% - Accent3 12 3 2" xfId="1161" xr:uid="{00000000-0005-0000-0000-0000350F0000}"/>
    <cellStyle name="20% - Accent3 12 3 2 2" xfId="4688" xr:uid="{00000000-0005-0000-0000-0000360F0000}"/>
    <cellStyle name="20% - Accent3 12 3 2 2 2" xfId="8279" xr:uid="{00000000-0005-0000-0000-0000370F0000}"/>
    <cellStyle name="20% - Accent3 12 3 2 2 2 2" xfId="16249" xr:uid="{00000000-0005-0000-0000-0000380F0000}"/>
    <cellStyle name="20% - Accent3 12 3 2 2 2 2 2" xfId="40091" xr:uid="{E0720EA9-DD20-46FB-AD6F-5B8C66D60E46}"/>
    <cellStyle name="20% - Accent3 12 3 2 2 2 3" xfId="24195" xr:uid="{00000000-0005-0000-0000-0000390F0000}"/>
    <cellStyle name="20% - Accent3 12 3 2 2 2 3 2" xfId="48027" xr:uid="{D05341E7-E23C-4685-AB60-9A924DFBF796}"/>
    <cellStyle name="20% - Accent3 12 3 2 2 2 4" xfId="32150" xr:uid="{B6A095B7-82BC-4738-9468-DCFF955978CC}"/>
    <cellStyle name="20% - Accent3 12 3 2 2 3" xfId="12711" xr:uid="{00000000-0005-0000-0000-00003A0F0000}"/>
    <cellStyle name="20% - Accent3 12 3 2 2 3 2" xfId="36560" xr:uid="{C8F06757-AEBE-4216-BCB0-DD0A4B31E6D2}"/>
    <cellStyle name="20% - Accent3 12 3 2 2 4" xfId="20666" xr:uid="{00000000-0005-0000-0000-00003B0F0000}"/>
    <cellStyle name="20% - Accent3 12 3 2 2 4 2" xfId="44498" xr:uid="{7DCE7469-95C6-4F32-ABD6-B0B1D50356B7}"/>
    <cellStyle name="20% - Accent3 12 3 2 2 5" xfId="28619" xr:uid="{C6707751-BFF4-4544-A4E4-6D47E7E28B8A}"/>
    <cellStyle name="20% - Accent3 12 3 2 3" xfId="6520" xr:uid="{00000000-0005-0000-0000-00003C0F0000}"/>
    <cellStyle name="20% - Accent3 12 3 2 3 2" xfId="14491" xr:uid="{00000000-0005-0000-0000-00003D0F0000}"/>
    <cellStyle name="20% - Accent3 12 3 2 3 2 2" xfId="38333" xr:uid="{A4665754-16F5-48C0-B59D-08B7CCB41700}"/>
    <cellStyle name="20% - Accent3 12 3 2 3 3" xfId="22438" xr:uid="{00000000-0005-0000-0000-00003E0F0000}"/>
    <cellStyle name="20% - Accent3 12 3 2 3 3 2" xfId="46270" xr:uid="{E2795DB1-040E-4F73-AF7D-0E69B07B217F}"/>
    <cellStyle name="20% - Accent3 12 3 2 3 4" xfId="30392" xr:uid="{528C10F6-963E-4AAB-863C-9A4949DDC348}"/>
    <cellStyle name="20% - Accent3 12 3 2 4" xfId="10955" xr:uid="{00000000-0005-0000-0000-00003F0F0000}"/>
    <cellStyle name="20% - Accent3 12 3 2 4 2" xfId="34804" xr:uid="{5C003975-9D52-4550-BF18-1E259BF597DA}"/>
    <cellStyle name="20% - Accent3 12 3 2 5" xfId="18910" xr:uid="{00000000-0005-0000-0000-0000400F0000}"/>
    <cellStyle name="20% - Accent3 12 3 2 5 2" xfId="42742" xr:uid="{4B1CD3BF-6FEC-402A-8ED4-47BFD5B0EADD}"/>
    <cellStyle name="20% - Accent3 12 3 2 6" xfId="26862" xr:uid="{8D7D02B0-AA15-476F-A89C-FCDB865E3D73}"/>
    <cellStyle name="20% - Accent3 12 3 2_Exh G" xfId="2204" xr:uid="{00000000-0005-0000-0000-0000410F0000}"/>
    <cellStyle name="20% - Accent3 12 3 3" xfId="3809" xr:uid="{00000000-0005-0000-0000-0000420F0000}"/>
    <cellStyle name="20% - Accent3 12 3 3 2" xfId="7401" xr:uid="{00000000-0005-0000-0000-0000430F0000}"/>
    <cellStyle name="20% - Accent3 12 3 3 2 2" xfId="15371" xr:uid="{00000000-0005-0000-0000-0000440F0000}"/>
    <cellStyle name="20% - Accent3 12 3 3 2 2 2" xfId="39213" xr:uid="{DCBC72A5-8BBD-41DB-A710-175E11E4247E}"/>
    <cellStyle name="20% - Accent3 12 3 3 2 3" xfId="23317" xr:uid="{00000000-0005-0000-0000-0000450F0000}"/>
    <cellStyle name="20% - Accent3 12 3 3 2 3 2" xfId="47149" xr:uid="{33B80BD8-B391-4D4F-85F0-DD6E8777979E}"/>
    <cellStyle name="20% - Accent3 12 3 3 2 4" xfId="31272" xr:uid="{C81F3534-2038-42DA-870E-D037FE013F9D}"/>
    <cellStyle name="20% - Accent3 12 3 3 3" xfId="11833" xr:uid="{00000000-0005-0000-0000-0000460F0000}"/>
    <cellStyle name="20% - Accent3 12 3 3 3 2" xfId="35682" xr:uid="{6A1BC841-2E8F-4A9F-A6DB-D71712A40DD3}"/>
    <cellStyle name="20% - Accent3 12 3 3 4" xfId="19788" xr:uid="{00000000-0005-0000-0000-0000470F0000}"/>
    <cellStyle name="20% - Accent3 12 3 3 4 2" xfId="43620" xr:uid="{3886621F-9722-4260-B9D3-E91D061C5FBD}"/>
    <cellStyle name="20% - Accent3 12 3 3 5" xfId="27741" xr:uid="{1C431D04-5DCB-488A-8316-E91030778451}"/>
    <cellStyle name="20% - Accent3 12 3 4" xfId="5629" xr:uid="{00000000-0005-0000-0000-0000480F0000}"/>
    <cellStyle name="20% - Accent3 12 3 4 2" xfId="13612" xr:uid="{00000000-0005-0000-0000-0000490F0000}"/>
    <cellStyle name="20% - Accent3 12 3 4 2 2" xfId="37455" xr:uid="{C7D9049F-ADEA-4A75-AD72-47268D417888}"/>
    <cellStyle name="20% - Accent3 12 3 4 3" xfId="21560" xr:uid="{00000000-0005-0000-0000-00004A0F0000}"/>
    <cellStyle name="20% - Accent3 12 3 4 3 2" xfId="45392" xr:uid="{05EA433F-260E-490B-A321-851A13371D83}"/>
    <cellStyle name="20% - Accent3 12 3 4 4" xfId="29514" xr:uid="{BE8F238C-64F1-4631-9AA1-BAFBA46F8D78}"/>
    <cellStyle name="20% - Accent3 12 3 5" xfId="9181" xr:uid="{00000000-0005-0000-0000-00004B0F0000}"/>
    <cellStyle name="20% - Accent3 12 3 5 2" xfId="17139" xr:uid="{00000000-0005-0000-0000-00004C0F0000}"/>
    <cellStyle name="20% - Accent3 12 3 5 2 2" xfId="40979" xr:uid="{E2C1ED24-C3BB-45C7-8D5D-2012682A0ACF}"/>
    <cellStyle name="20% - Accent3 12 3 5 3" xfId="25083" xr:uid="{00000000-0005-0000-0000-00004D0F0000}"/>
    <cellStyle name="20% - Accent3 12 3 5 3 2" xfId="48915" xr:uid="{F332D264-515B-400A-B07F-59AA26A35312}"/>
    <cellStyle name="20% - Accent3 12 3 5 4" xfId="33038" xr:uid="{A53C850D-B6DE-4E3E-9162-CC1BBA5D2DC0}"/>
    <cellStyle name="20% - Accent3 12 3 6" xfId="10077" xr:uid="{00000000-0005-0000-0000-00004E0F0000}"/>
    <cellStyle name="20% - Accent3 12 3 6 2" xfId="33926" xr:uid="{6B44CE81-CB50-486E-9692-F5A6F149C2C4}"/>
    <cellStyle name="20% - Accent3 12 3 7" xfId="18032" xr:uid="{00000000-0005-0000-0000-00004F0F0000}"/>
    <cellStyle name="20% - Accent3 12 3 7 2" xfId="41864" xr:uid="{E9574ED3-1830-4ABB-BF53-C77491511686}"/>
    <cellStyle name="20% - Accent3 12 3 8" xfId="25984" xr:uid="{E94EE6CC-7FCD-4764-8ED4-0588154C86EA}"/>
    <cellStyle name="20% - Accent3 12 3_Exh G" xfId="2203" xr:uid="{00000000-0005-0000-0000-0000500F0000}"/>
    <cellStyle name="20% - Accent3 12 4" xfId="1158" xr:uid="{00000000-0005-0000-0000-0000510F0000}"/>
    <cellStyle name="20% - Accent3 12 4 2" xfId="4685" xr:uid="{00000000-0005-0000-0000-0000520F0000}"/>
    <cellStyle name="20% - Accent3 12 4 2 2" xfId="8276" xr:uid="{00000000-0005-0000-0000-0000530F0000}"/>
    <cellStyle name="20% - Accent3 12 4 2 2 2" xfId="16246" xr:uid="{00000000-0005-0000-0000-0000540F0000}"/>
    <cellStyle name="20% - Accent3 12 4 2 2 2 2" xfId="40088" xr:uid="{67E06420-51FB-460B-B449-4811BB159CAC}"/>
    <cellStyle name="20% - Accent3 12 4 2 2 3" xfId="24192" xr:uid="{00000000-0005-0000-0000-0000550F0000}"/>
    <cellStyle name="20% - Accent3 12 4 2 2 3 2" xfId="48024" xr:uid="{62982C59-90D1-4DCB-B34D-B627F76A076B}"/>
    <cellStyle name="20% - Accent3 12 4 2 2 4" xfId="32147" xr:uid="{D37ABB03-0E8B-46F1-9A01-F39A981F6D65}"/>
    <cellStyle name="20% - Accent3 12 4 2 3" xfId="12708" xr:uid="{00000000-0005-0000-0000-0000560F0000}"/>
    <cellStyle name="20% - Accent3 12 4 2 3 2" xfId="36557" xr:uid="{6FBE3A7D-F9E9-4896-9BD8-28D106496F1B}"/>
    <cellStyle name="20% - Accent3 12 4 2 4" xfId="20663" xr:uid="{00000000-0005-0000-0000-0000570F0000}"/>
    <cellStyle name="20% - Accent3 12 4 2 4 2" xfId="44495" xr:uid="{14C0D255-3347-4DF1-BAA3-B802AF5A9CD1}"/>
    <cellStyle name="20% - Accent3 12 4 2 5" xfId="28616" xr:uid="{D2D48C71-3A2C-4D22-9B20-9F8458EC7D2D}"/>
    <cellStyle name="20% - Accent3 12 4 3" xfId="6517" xr:uid="{00000000-0005-0000-0000-0000580F0000}"/>
    <cellStyle name="20% - Accent3 12 4 3 2" xfId="14488" xr:uid="{00000000-0005-0000-0000-0000590F0000}"/>
    <cellStyle name="20% - Accent3 12 4 3 2 2" xfId="38330" xr:uid="{4A6F547D-F87A-4115-A19C-C4778BD04F3D}"/>
    <cellStyle name="20% - Accent3 12 4 3 3" xfId="22435" xr:uid="{00000000-0005-0000-0000-00005A0F0000}"/>
    <cellStyle name="20% - Accent3 12 4 3 3 2" xfId="46267" xr:uid="{067FBB1A-C89E-42F4-B453-DA8951F973DC}"/>
    <cellStyle name="20% - Accent3 12 4 3 4" xfId="30389" xr:uid="{5EE017A8-1350-4E0A-A982-4B917F062CD3}"/>
    <cellStyle name="20% - Accent3 12 4 4" xfId="10952" xr:uid="{00000000-0005-0000-0000-00005B0F0000}"/>
    <cellStyle name="20% - Accent3 12 4 4 2" xfId="34801" xr:uid="{9B9CD402-DAB2-41E0-9B67-2D439DBD6E1C}"/>
    <cellStyle name="20% - Accent3 12 4 5" xfId="18907" xr:uid="{00000000-0005-0000-0000-00005C0F0000}"/>
    <cellStyle name="20% - Accent3 12 4 5 2" xfId="42739" xr:uid="{3F246B3A-D1DA-4A8B-AAA5-831BCAD602C3}"/>
    <cellStyle name="20% - Accent3 12 4 6" xfId="26859" xr:uid="{D5AB9024-E8B8-471D-AF81-B7F6961E97CE}"/>
    <cellStyle name="20% - Accent3 12 4_Exh G" xfId="2205" xr:uid="{00000000-0005-0000-0000-00005D0F0000}"/>
    <cellStyle name="20% - Accent3 12 5" xfId="3806" xr:uid="{00000000-0005-0000-0000-00005E0F0000}"/>
    <cellStyle name="20% - Accent3 12 5 2" xfId="7398" xr:uid="{00000000-0005-0000-0000-00005F0F0000}"/>
    <cellStyle name="20% - Accent3 12 5 2 2" xfId="15368" xr:uid="{00000000-0005-0000-0000-0000600F0000}"/>
    <cellStyle name="20% - Accent3 12 5 2 2 2" xfId="39210" xr:uid="{FE0E3E3A-F0E5-4C53-BE19-54E67B701F91}"/>
    <cellStyle name="20% - Accent3 12 5 2 3" xfId="23314" xr:uid="{00000000-0005-0000-0000-0000610F0000}"/>
    <cellStyle name="20% - Accent3 12 5 2 3 2" xfId="47146" xr:uid="{C27B4DD0-7B52-4AFC-816A-B4A618E8207D}"/>
    <cellStyle name="20% - Accent3 12 5 2 4" xfId="31269" xr:uid="{F6004FCD-1DAC-4B6C-A3B6-8C4C8CD6A07D}"/>
    <cellStyle name="20% - Accent3 12 5 3" xfId="11830" xr:uid="{00000000-0005-0000-0000-0000620F0000}"/>
    <cellStyle name="20% - Accent3 12 5 3 2" xfId="35679" xr:uid="{31825A7B-D512-4755-8575-3636F35278BC}"/>
    <cellStyle name="20% - Accent3 12 5 4" xfId="19785" xr:uid="{00000000-0005-0000-0000-0000630F0000}"/>
    <cellStyle name="20% - Accent3 12 5 4 2" xfId="43617" xr:uid="{DA1F457D-4B92-4578-A002-A106419A4075}"/>
    <cellStyle name="20% - Accent3 12 5 5" xfId="27738" xr:uid="{378E93D8-C350-4F97-8563-7AFFFD5A35B4}"/>
    <cellStyle name="20% - Accent3 12 6" xfId="5626" xr:uid="{00000000-0005-0000-0000-0000640F0000}"/>
    <cellStyle name="20% - Accent3 12 6 2" xfId="13609" xr:uid="{00000000-0005-0000-0000-0000650F0000}"/>
    <cellStyle name="20% - Accent3 12 6 2 2" xfId="37452" xr:uid="{B461DAD9-B7DE-4B2F-9EC8-870C6E0FB366}"/>
    <cellStyle name="20% - Accent3 12 6 3" xfId="21557" xr:uid="{00000000-0005-0000-0000-0000660F0000}"/>
    <cellStyle name="20% - Accent3 12 6 3 2" xfId="45389" xr:uid="{B0311834-BADC-45B3-9B7F-021461A54470}"/>
    <cellStyle name="20% - Accent3 12 6 4" xfId="29511" xr:uid="{9BE20DE6-F3D5-434A-9483-0EFE99261475}"/>
    <cellStyle name="20% - Accent3 12 7" xfId="9178" xr:uid="{00000000-0005-0000-0000-0000670F0000}"/>
    <cellStyle name="20% - Accent3 12 7 2" xfId="17136" xr:uid="{00000000-0005-0000-0000-0000680F0000}"/>
    <cellStyle name="20% - Accent3 12 7 2 2" xfId="40976" xr:uid="{D285D9AF-C714-4A6A-95E7-90F26D612889}"/>
    <cellStyle name="20% - Accent3 12 7 3" xfId="25080" xr:uid="{00000000-0005-0000-0000-0000690F0000}"/>
    <cellStyle name="20% - Accent3 12 7 3 2" xfId="48912" xr:uid="{0C3211D7-08B9-46C4-8ED3-219C4A2DE521}"/>
    <cellStyle name="20% - Accent3 12 7 4" xfId="33035" xr:uid="{1E755B30-85A8-49AC-AF36-113BB1B618CE}"/>
    <cellStyle name="20% - Accent3 12 8" xfId="10074" xr:uid="{00000000-0005-0000-0000-00006A0F0000}"/>
    <cellStyle name="20% - Accent3 12 8 2" xfId="33923" xr:uid="{187AADC5-B47A-46D1-B7FB-C96A9CCAF5D8}"/>
    <cellStyle name="20% - Accent3 12 9" xfId="18029" xr:uid="{00000000-0005-0000-0000-00006B0F0000}"/>
    <cellStyle name="20% - Accent3 12 9 2" xfId="41861" xr:uid="{941FC88D-DC64-40E6-922B-AD399CA80896}"/>
    <cellStyle name="20% - Accent3 12_Exh G" xfId="2198" xr:uid="{00000000-0005-0000-0000-00006C0F0000}"/>
    <cellStyle name="20% - Accent3 13" xfId="136" xr:uid="{00000000-0005-0000-0000-00006D0F0000}"/>
    <cellStyle name="20% - Accent3 13 10" xfId="25985" xr:uid="{91F198F5-07A9-45D6-8497-ADFBA58B924F}"/>
    <cellStyle name="20% - Accent3 13 2" xfId="137" xr:uid="{00000000-0005-0000-0000-00006E0F0000}"/>
    <cellStyle name="20% - Accent3 13 2 2" xfId="138" xr:uid="{00000000-0005-0000-0000-00006F0F0000}"/>
    <cellStyle name="20% - Accent3 13 2 2 2" xfId="1164" xr:uid="{00000000-0005-0000-0000-0000700F0000}"/>
    <cellStyle name="20% - Accent3 13 2 2 2 2" xfId="4691" xr:uid="{00000000-0005-0000-0000-0000710F0000}"/>
    <cellStyle name="20% - Accent3 13 2 2 2 2 2" xfId="8282" xr:uid="{00000000-0005-0000-0000-0000720F0000}"/>
    <cellStyle name="20% - Accent3 13 2 2 2 2 2 2" xfId="16252" xr:uid="{00000000-0005-0000-0000-0000730F0000}"/>
    <cellStyle name="20% - Accent3 13 2 2 2 2 2 2 2" xfId="40094" xr:uid="{5849A291-69BD-45A7-ADBC-21161E01D174}"/>
    <cellStyle name="20% - Accent3 13 2 2 2 2 2 3" xfId="24198" xr:uid="{00000000-0005-0000-0000-0000740F0000}"/>
    <cellStyle name="20% - Accent3 13 2 2 2 2 2 3 2" xfId="48030" xr:uid="{D91EABC2-5BAE-428A-A822-1F8B0A18D3EF}"/>
    <cellStyle name="20% - Accent3 13 2 2 2 2 2 4" xfId="32153" xr:uid="{23D3C1F0-7931-4E03-92A9-16218C7AEAA1}"/>
    <cellStyle name="20% - Accent3 13 2 2 2 2 3" xfId="12714" xr:uid="{00000000-0005-0000-0000-0000750F0000}"/>
    <cellStyle name="20% - Accent3 13 2 2 2 2 3 2" xfId="36563" xr:uid="{31E42A53-84D9-4D82-B04A-46C3F2023A0A}"/>
    <cellStyle name="20% - Accent3 13 2 2 2 2 4" xfId="20669" xr:uid="{00000000-0005-0000-0000-0000760F0000}"/>
    <cellStyle name="20% - Accent3 13 2 2 2 2 4 2" xfId="44501" xr:uid="{54F7C2C7-2357-4765-9757-3E50FB29B821}"/>
    <cellStyle name="20% - Accent3 13 2 2 2 2 5" xfId="28622" xr:uid="{561431F5-51FC-4AAE-86A6-641BADBE6E8B}"/>
    <cellStyle name="20% - Accent3 13 2 2 2 3" xfId="6523" xr:uid="{00000000-0005-0000-0000-0000770F0000}"/>
    <cellStyle name="20% - Accent3 13 2 2 2 3 2" xfId="14494" xr:uid="{00000000-0005-0000-0000-0000780F0000}"/>
    <cellStyle name="20% - Accent3 13 2 2 2 3 2 2" xfId="38336" xr:uid="{3804F529-8D04-48DF-9602-A0EA6F448FDD}"/>
    <cellStyle name="20% - Accent3 13 2 2 2 3 3" xfId="22441" xr:uid="{00000000-0005-0000-0000-0000790F0000}"/>
    <cellStyle name="20% - Accent3 13 2 2 2 3 3 2" xfId="46273" xr:uid="{0532154D-8DD0-4E55-B6A4-C795F6887BE2}"/>
    <cellStyle name="20% - Accent3 13 2 2 2 3 4" xfId="30395" xr:uid="{8AC2B4CB-4338-495C-99A4-76CFA77409D3}"/>
    <cellStyle name="20% - Accent3 13 2 2 2 4" xfId="10958" xr:uid="{00000000-0005-0000-0000-00007A0F0000}"/>
    <cellStyle name="20% - Accent3 13 2 2 2 4 2" xfId="34807" xr:uid="{4789ADAC-E2DD-44C4-B939-09B88F00B551}"/>
    <cellStyle name="20% - Accent3 13 2 2 2 5" xfId="18913" xr:uid="{00000000-0005-0000-0000-00007B0F0000}"/>
    <cellStyle name="20% - Accent3 13 2 2 2 5 2" xfId="42745" xr:uid="{7ABFCF41-CE8B-4D90-ACF5-1706F4169CF5}"/>
    <cellStyle name="20% - Accent3 13 2 2 2 6" xfId="26865" xr:uid="{EDB17272-38DF-4B61-A706-1E2E5D54CD94}"/>
    <cellStyle name="20% - Accent3 13 2 2 2_Exh G" xfId="2209" xr:uid="{00000000-0005-0000-0000-00007C0F0000}"/>
    <cellStyle name="20% - Accent3 13 2 2 3" xfId="3812" xr:uid="{00000000-0005-0000-0000-00007D0F0000}"/>
    <cellStyle name="20% - Accent3 13 2 2 3 2" xfId="7404" xr:uid="{00000000-0005-0000-0000-00007E0F0000}"/>
    <cellStyle name="20% - Accent3 13 2 2 3 2 2" xfId="15374" xr:uid="{00000000-0005-0000-0000-00007F0F0000}"/>
    <cellStyle name="20% - Accent3 13 2 2 3 2 2 2" xfId="39216" xr:uid="{E0F24ECF-4026-4614-873A-4089C0E08D34}"/>
    <cellStyle name="20% - Accent3 13 2 2 3 2 3" xfId="23320" xr:uid="{00000000-0005-0000-0000-0000800F0000}"/>
    <cellStyle name="20% - Accent3 13 2 2 3 2 3 2" xfId="47152" xr:uid="{FBE236F1-3A70-457C-BB55-399F34B12322}"/>
    <cellStyle name="20% - Accent3 13 2 2 3 2 4" xfId="31275" xr:uid="{4D847CDA-C9FF-4CFB-829E-EFEA08F9AB9E}"/>
    <cellStyle name="20% - Accent3 13 2 2 3 3" xfId="11836" xr:uid="{00000000-0005-0000-0000-0000810F0000}"/>
    <cellStyle name="20% - Accent3 13 2 2 3 3 2" xfId="35685" xr:uid="{69D41052-FBDD-4C4F-B901-19BDFD466348}"/>
    <cellStyle name="20% - Accent3 13 2 2 3 4" xfId="19791" xr:uid="{00000000-0005-0000-0000-0000820F0000}"/>
    <cellStyle name="20% - Accent3 13 2 2 3 4 2" xfId="43623" xr:uid="{656249BB-9CFD-43F6-B02F-D777C1B539AB}"/>
    <cellStyle name="20% - Accent3 13 2 2 3 5" xfId="27744" xr:uid="{5EFB1AC3-8C53-4497-BF74-F19ABE5699DF}"/>
    <cellStyle name="20% - Accent3 13 2 2 4" xfId="5632" xr:uid="{00000000-0005-0000-0000-0000830F0000}"/>
    <cellStyle name="20% - Accent3 13 2 2 4 2" xfId="13615" xr:uid="{00000000-0005-0000-0000-0000840F0000}"/>
    <cellStyle name="20% - Accent3 13 2 2 4 2 2" xfId="37458" xr:uid="{EF211E80-31CA-42E0-8200-BE5BE0495ED1}"/>
    <cellStyle name="20% - Accent3 13 2 2 4 3" xfId="21563" xr:uid="{00000000-0005-0000-0000-0000850F0000}"/>
    <cellStyle name="20% - Accent3 13 2 2 4 3 2" xfId="45395" xr:uid="{CD8CBFF8-15A7-49EF-9CB9-50BAAAE6B7DA}"/>
    <cellStyle name="20% - Accent3 13 2 2 4 4" xfId="29517" xr:uid="{C1CC9775-A659-497D-8048-17041956A035}"/>
    <cellStyle name="20% - Accent3 13 2 2 5" xfId="9184" xr:uid="{00000000-0005-0000-0000-0000860F0000}"/>
    <cellStyle name="20% - Accent3 13 2 2 5 2" xfId="17142" xr:uid="{00000000-0005-0000-0000-0000870F0000}"/>
    <cellStyle name="20% - Accent3 13 2 2 5 2 2" xfId="40982" xr:uid="{28177CFB-D3BD-4F14-B098-F010CF2AFF73}"/>
    <cellStyle name="20% - Accent3 13 2 2 5 3" xfId="25086" xr:uid="{00000000-0005-0000-0000-0000880F0000}"/>
    <cellStyle name="20% - Accent3 13 2 2 5 3 2" xfId="48918" xr:uid="{22BE77AD-DF08-4E54-8F6E-55BEAE24946D}"/>
    <cellStyle name="20% - Accent3 13 2 2 5 4" xfId="33041" xr:uid="{38DC6B34-2D47-4151-8AAE-A353DF9649D7}"/>
    <cellStyle name="20% - Accent3 13 2 2 6" xfId="10080" xr:uid="{00000000-0005-0000-0000-0000890F0000}"/>
    <cellStyle name="20% - Accent3 13 2 2 6 2" xfId="33929" xr:uid="{B237F4BD-EFC0-42CB-8B01-37FC94C16135}"/>
    <cellStyle name="20% - Accent3 13 2 2 7" xfId="18035" xr:uid="{00000000-0005-0000-0000-00008A0F0000}"/>
    <cellStyle name="20% - Accent3 13 2 2 7 2" xfId="41867" xr:uid="{EFCFE390-F77D-4EF2-B651-736FC2390FE6}"/>
    <cellStyle name="20% - Accent3 13 2 2 8" xfId="25987" xr:uid="{A09A44C6-6AC9-453C-AC10-C65A2C8FC259}"/>
    <cellStyle name="20% - Accent3 13 2 2_Exh G" xfId="2208" xr:uid="{00000000-0005-0000-0000-00008B0F0000}"/>
    <cellStyle name="20% - Accent3 13 2 3" xfId="1163" xr:uid="{00000000-0005-0000-0000-00008C0F0000}"/>
    <cellStyle name="20% - Accent3 13 2 3 2" xfId="4690" xr:uid="{00000000-0005-0000-0000-00008D0F0000}"/>
    <cellStyle name="20% - Accent3 13 2 3 2 2" xfId="8281" xr:uid="{00000000-0005-0000-0000-00008E0F0000}"/>
    <cellStyle name="20% - Accent3 13 2 3 2 2 2" xfId="16251" xr:uid="{00000000-0005-0000-0000-00008F0F0000}"/>
    <cellStyle name="20% - Accent3 13 2 3 2 2 2 2" xfId="40093" xr:uid="{30C9B4BD-08E4-4253-8079-B9AA984BF787}"/>
    <cellStyle name="20% - Accent3 13 2 3 2 2 3" xfId="24197" xr:uid="{00000000-0005-0000-0000-0000900F0000}"/>
    <cellStyle name="20% - Accent3 13 2 3 2 2 3 2" xfId="48029" xr:uid="{9F60CD77-CC11-4582-8EC4-3400C5392395}"/>
    <cellStyle name="20% - Accent3 13 2 3 2 2 4" xfId="32152" xr:uid="{76F69DA6-D4F0-4DA6-8241-7AC0BDC39F19}"/>
    <cellStyle name="20% - Accent3 13 2 3 2 3" xfId="12713" xr:uid="{00000000-0005-0000-0000-0000910F0000}"/>
    <cellStyle name="20% - Accent3 13 2 3 2 3 2" xfId="36562" xr:uid="{882D6F2C-04D0-4EAB-A982-7B33A4370637}"/>
    <cellStyle name="20% - Accent3 13 2 3 2 4" xfId="20668" xr:uid="{00000000-0005-0000-0000-0000920F0000}"/>
    <cellStyle name="20% - Accent3 13 2 3 2 4 2" xfId="44500" xr:uid="{2028B013-4962-4237-A5D0-AFEE622668B4}"/>
    <cellStyle name="20% - Accent3 13 2 3 2 5" xfId="28621" xr:uid="{14259A4D-4DDA-46D9-867A-FE92F561F47E}"/>
    <cellStyle name="20% - Accent3 13 2 3 3" xfId="6522" xr:uid="{00000000-0005-0000-0000-0000930F0000}"/>
    <cellStyle name="20% - Accent3 13 2 3 3 2" xfId="14493" xr:uid="{00000000-0005-0000-0000-0000940F0000}"/>
    <cellStyle name="20% - Accent3 13 2 3 3 2 2" xfId="38335" xr:uid="{8A05C2DA-8F15-4881-AE4B-FE9820F9CA6C}"/>
    <cellStyle name="20% - Accent3 13 2 3 3 3" xfId="22440" xr:uid="{00000000-0005-0000-0000-0000950F0000}"/>
    <cellStyle name="20% - Accent3 13 2 3 3 3 2" xfId="46272" xr:uid="{8A08B359-C552-4889-811A-9DDED9EC1244}"/>
    <cellStyle name="20% - Accent3 13 2 3 3 4" xfId="30394" xr:uid="{51F11E89-5784-4581-8A62-23E4218CE29B}"/>
    <cellStyle name="20% - Accent3 13 2 3 4" xfId="10957" xr:uid="{00000000-0005-0000-0000-0000960F0000}"/>
    <cellStyle name="20% - Accent3 13 2 3 4 2" xfId="34806" xr:uid="{6ECCE27E-2DC3-43F4-BE31-F031B6A86344}"/>
    <cellStyle name="20% - Accent3 13 2 3 5" xfId="18912" xr:uid="{00000000-0005-0000-0000-0000970F0000}"/>
    <cellStyle name="20% - Accent3 13 2 3 5 2" xfId="42744" xr:uid="{41CCB2B8-8E79-49B5-A3AA-ECB6306E8D72}"/>
    <cellStyle name="20% - Accent3 13 2 3 6" xfId="26864" xr:uid="{2DE7FA46-891E-4A73-A542-987A31A5B769}"/>
    <cellStyle name="20% - Accent3 13 2 3_Exh G" xfId="2210" xr:uid="{00000000-0005-0000-0000-0000980F0000}"/>
    <cellStyle name="20% - Accent3 13 2 4" xfId="3811" xr:uid="{00000000-0005-0000-0000-0000990F0000}"/>
    <cellStyle name="20% - Accent3 13 2 4 2" xfId="7403" xr:uid="{00000000-0005-0000-0000-00009A0F0000}"/>
    <cellStyle name="20% - Accent3 13 2 4 2 2" xfId="15373" xr:uid="{00000000-0005-0000-0000-00009B0F0000}"/>
    <cellStyle name="20% - Accent3 13 2 4 2 2 2" xfId="39215" xr:uid="{1824185B-B1ED-408E-AFB7-173ACBE396C2}"/>
    <cellStyle name="20% - Accent3 13 2 4 2 3" xfId="23319" xr:uid="{00000000-0005-0000-0000-00009C0F0000}"/>
    <cellStyle name="20% - Accent3 13 2 4 2 3 2" xfId="47151" xr:uid="{C3C44B92-5533-47FF-8154-D58973099775}"/>
    <cellStyle name="20% - Accent3 13 2 4 2 4" xfId="31274" xr:uid="{50456791-99FD-4B00-BC81-183B7E2DC920}"/>
    <cellStyle name="20% - Accent3 13 2 4 3" xfId="11835" xr:uid="{00000000-0005-0000-0000-00009D0F0000}"/>
    <cellStyle name="20% - Accent3 13 2 4 3 2" xfId="35684" xr:uid="{20E18331-ADAB-4665-B96F-3B40FC0D6D80}"/>
    <cellStyle name="20% - Accent3 13 2 4 4" xfId="19790" xr:uid="{00000000-0005-0000-0000-00009E0F0000}"/>
    <cellStyle name="20% - Accent3 13 2 4 4 2" xfId="43622" xr:uid="{BDD373C2-851B-4232-9600-7E49FAA3653E}"/>
    <cellStyle name="20% - Accent3 13 2 4 5" xfId="27743" xr:uid="{CD8F6C5D-504E-4E20-97AC-271A52D14457}"/>
    <cellStyle name="20% - Accent3 13 2 5" xfId="5631" xr:uid="{00000000-0005-0000-0000-00009F0F0000}"/>
    <cellStyle name="20% - Accent3 13 2 5 2" xfId="13614" xr:uid="{00000000-0005-0000-0000-0000A00F0000}"/>
    <cellStyle name="20% - Accent3 13 2 5 2 2" xfId="37457" xr:uid="{22D5AF91-74D2-472B-863D-0C8BF33EB15B}"/>
    <cellStyle name="20% - Accent3 13 2 5 3" xfId="21562" xr:uid="{00000000-0005-0000-0000-0000A10F0000}"/>
    <cellStyle name="20% - Accent3 13 2 5 3 2" xfId="45394" xr:uid="{672AD121-6A94-4094-B55D-1CFC853BD954}"/>
    <cellStyle name="20% - Accent3 13 2 5 4" xfId="29516" xr:uid="{612DD2D8-D1C7-4FE6-9901-A1CD8BC13C24}"/>
    <cellStyle name="20% - Accent3 13 2 6" xfId="9183" xr:uid="{00000000-0005-0000-0000-0000A20F0000}"/>
    <cellStyle name="20% - Accent3 13 2 6 2" xfId="17141" xr:uid="{00000000-0005-0000-0000-0000A30F0000}"/>
    <cellStyle name="20% - Accent3 13 2 6 2 2" xfId="40981" xr:uid="{A6AD1B8A-B75C-4767-BB70-F31B44134E9D}"/>
    <cellStyle name="20% - Accent3 13 2 6 3" xfId="25085" xr:uid="{00000000-0005-0000-0000-0000A40F0000}"/>
    <cellStyle name="20% - Accent3 13 2 6 3 2" xfId="48917" xr:uid="{45637382-AA63-4BFD-B075-945DB03FE142}"/>
    <cellStyle name="20% - Accent3 13 2 6 4" xfId="33040" xr:uid="{C60CF818-EE0B-489B-AF55-D43CCD26BB37}"/>
    <cellStyle name="20% - Accent3 13 2 7" xfId="10079" xr:uid="{00000000-0005-0000-0000-0000A50F0000}"/>
    <cellStyle name="20% - Accent3 13 2 7 2" xfId="33928" xr:uid="{ABD90775-CC00-4A7C-83A7-35A19DB01C3D}"/>
    <cellStyle name="20% - Accent3 13 2 8" xfId="18034" xr:uid="{00000000-0005-0000-0000-0000A60F0000}"/>
    <cellStyle name="20% - Accent3 13 2 8 2" xfId="41866" xr:uid="{6C9AE403-19B4-4CB2-B870-9EE02A077BCB}"/>
    <cellStyle name="20% - Accent3 13 2 9" xfId="25986" xr:uid="{910ADA2E-2480-47B0-9E6A-B9060FB72F53}"/>
    <cellStyle name="20% - Accent3 13 2_Exh G" xfId="2207" xr:uid="{00000000-0005-0000-0000-0000A70F0000}"/>
    <cellStyle name="20% - Accent3 13 3" xfId="139" xr:uid="{00000000-0005-0000-0000-0000A80F0000}"/>
    <cellStyle name="20% - Accent3 13 3 2" xfId="1165" xr:uid="{00000000-0005-0000-0000-0000A90F0000}"/>
    <cellStyle name="20% - Accent3 13 3 2 2" xfId="4692" xr:uid="{00000000-0005-0000-0000-0000AA0F0000}"/>
    <cellStyle name="20% - Accent3 13 3 2 2 2" xfId="8283" xr:uid="{00000000-0005-0000-0000-0000AB0F0000}"/>
    <cellStyle name="20% - Accent3 13 3 2 2 2 2" xfId="16253" xr:uid="{00000000-0005-0000-0000-0000AC0F0000}"/>
    <cellStyle name="20% - Accent3 13 3 2 2 2 2 2" xfId="40095" xr:uid="{D03D4BA2-43D3-482F-8069-A481D7274B0D}"/>
    <cellStyle name="20% - Accent3 13 3 2 2 2 3" xfId="24199" xr:uid="{00000000-0005-0000-0000-0000AD0F0000}"/>
    <cellStyle name="20% - Accent3 13 3 2 2 2 3 2" xfId="48031" xr:uid="{9BBD010B-95AB-400B-8CEC-FAA862656B7C}"/>
    <cellStyle name="20% - Accent3 13 3 2 2 2 4" xfId="32154" xr:uid="{133CC84F-589E-4066-9518-2CC30EED2158}"/>
    <cellStyle name="20% - Accent3 13 3 2 2 3" xfId="12715" xr:uid="{00000000-0005-0000-0000-0000AE0F0000}"/>
    <cellStyle name="20% - Accent3 13 3 2 2 3 2" xfId="36564" xr:uid="{5E4A9F35-87BD-4F3B-AD4B-B903578599D3}"/>
    <cellStyle name="20% - Accent3 13 3 2 2 4" xfId="20670" xr:uid="{00000000-0005-0000-0000-0000AF0F0000}"/>
    <cellStyle name="20% - Accent3 13 3 2 2 4 2" xfId="44502" xr:uid="{1DF30F83-1DFE-44FD-8F46-81FF5F48007B}"/>
    <cellStyle name="20% - Accent3 13 3 2 2 5" xfId="28623" xr:uid="{7DCCD342-61D3-4342-AD19-15FDA7BC8A42}"/>
    <cellStyle name="20% - Accent3 13 3 2 3" xfId="6524" xr:uid="{00000000-0005-0000-0000-0000B00F0000}"/>
    <cellStyle name="20% - Accent3 13 3 2 3 2" xfId="14495" xr:uid="{00000000-0005-0000-0000-0000B10F0000}"/>
    <cellStyle name="20% - Accent3 13 3 2 3 2 2" xfId="38337" xr:uid="{6ADD151B-CBDC-4C4A-90B4-CDE80B6F7B40}"/>
    <cellStyle name="20% - Accent3 13 3 2 3 3" xfId="22442" xr:uid="{00000000-0005-0000-0000-0000B20F0000}"/>
    <cellStyle name="20% - Accent3 13 3 2 3 3 2" xfId="46274" xr:uid="{B94D89C0-FF4A-4C96-B311-C313146C9AEA}"/>
    <cellStyle name="20% - Accent3 13 3 2 3 4" xfId="30396" xr:uid="{EF2E01B6-53E5-4217-A3D3-0396FB3EFE50}"/>
    <cellStyle name="20% - Accent3 13 3 2 4" xfId="10959" xr:uid="{00000000-0005-0000-0000-0000B30F0000}"/>
    <cellStyle name="20% - Accent3 13 3 2 4 2" xfId="34808" xr:uid="{1FC4795B-3A7F-41E4-AAB2-072B1A6DA2B1}"/>
    <cellStyle name="20% - Accent3 13 3 2 5" xfId="18914" xr:uid="{00000000-0005-0000-0000-0000B40F0000}"/>
    <cellStyle name="20% - Accent3 13 3 2 5 2" xfId="42746" xr:uid="{E3DD6EAA-01B3-4CE7-858B-517701803203}"/>
    <cellStyle name="20% - Accent3 13 3 2 6" xfId="26866" xr:uid="{48027043-41B7-4033-8D50-C4B8F58DC96D}"/>
    <cellStyle name="20% - Accent3 13 3 2_Exh G" xfId="2212" xr:uid="{00000000-0005-0000-0000-0000B50F0000}"/>
    <cellStyle name="20% - Accent3 13 3 3" xfId="3813" xr:uid="{00000000-0005-0000-0000-0000B60F0000}"/>
    <cellStyle name="20% - Accent3 13 3 3 2" xfId="7405" xr:uid="{00000000-0005-0000-0000-0000B70F0000}"/>
    <cellStyle name="20% - Accent3 13 3 3 2 2" xfId="15375" xr:uid="{00000000-0005-0000-0000-0000B80F0000}"/>
    <cellStyle name="20% - Accent3 13 3 3 2 2 2" xfId="39217" xr:uid="{A2744F0A-4983-4A9E-AA09-6EF3956A3151}"/>
    <cellStyle name="20% - Accent3 13 3 3 2 3" xfId="23321" xr:uid="{00000000-0005-0000-0000-0000B90F0000}"/>
    <cellStyle name="20% - Accent3 13 3 3 2 3 2" xfId="47153" xr:uid="{82A7445A-FA11-437D-8C0B-8CB86D4EF75E}"/>
    <cellStyle name="20% - Accent3 13 3 3 2 4" xfId="31276" xr:uid="{A8843A31-84B3-42FB-8236-33768DEC4682}"/>
    <cellStyle name="20% - Accent3 13 3 3 3" xfId="11837" xr:uid="{00000000-0005-0000-0000-0000BA0F0000}"/>
    <cellStyle name="20% - Accent3 13 3 3 3 2" xfId="35686" xr:uid="{A5DEF4AA-E355-4D98-826A-3AA223651D76}"/>
    <cellStyle name="20% - Accent3 13 3 3 4" xfId="19792" xr:uid="{00000000-0005-0000-0000-0000BB0F0000}"/>
    <cellStyle name="20% - Accent3 13 3 3 4 2" xfId="43624" xr:uid="{2806ECC2-7DF2-4702-9381-F9680901BC5C}"/>
    <cellStyle name="20% - Accent3 13 3 3 5" xfId="27745" xr:uid="{325C1DB3-3938-4819-B9FE-07C2D40CA63F}"/>
    <cellStyle name="20% - Accent3 13 3 4" xfId="5633" xr:uid="{00000000-0005-0000-0000-0000BC0F0000}"/>
    <cellStyle name="20% - Accent3 13 3 4 2" xfId="13616" xr:uid="{00000000-0005-0000-0000-0000BD0F0000}"/>
    <cellStyle name="20% - Accent3 13 3 4 2 2" xfId="37459" xr:uid="{F3113672-ADCD-4213-B96D-5D050440FAB8}"/>
    <cellStyle name="20% - Accent3 13 3 4 3" xfId="21564" xr:uid="{00000000-0005-0000-0000-0000BE0F0000}"/>
    <cellStyle name="20% - Accent3 13 3 4 3 2" xfId="45396" xr:uid="{15933424-C131-4DCB-8533-882D6342AF76}"/>
    <cellStyle name="20% - Accent3 13 3 4 4" xfId="29518" xr:uid="{4F981B05-8CA4-4BCB-8D2C-E29F08D61711}"/>
    <cellStyle name="20% - Accent3 13 3 5" xfId="9185" xr:uid="{00000000-0005-0000-0000-0000BF0F0000}"/>
    <cellStyle name="20% - Accent3 13 3 5 2" xfId="17143" xr:uid="{00000000-0005-0000-0000-0000C00F0000}"/>
    <cellStyle name="20% - Accent3 13 3 5 2 2" xfId="40983" xr:uid="{E8F22928-0D33-4D9C-A9B2-2381F361CCB2}"/>
    <cellStyle name="20% - Accent3 13 3 5 3" xfId="25087" xr:uid="{00000000-0005-0000-0000-0000C10F0000}"/>
    <cellStyle name="20% - Accent3 13 3 5 3 2" xfId="48919" xr:uid="{29972C61-77C3-4FA1-A891-D3112CBBDE31}"/>
    <cellStyle name="20% - Accent3 13 3 5 4" xfId="33042" xr:uid="{001C0686-9602-4660-BC9D-C668C8BB6A02}"/>
    <cellStyle name="20% - Accent3 13 3 6" xfId="10081" xr:uid="{00000000-0005-0000-0000-0000C20F0000}"/>
    <cellStyle name="20% - Accent3 13 3 6 2" xfId="33930" xr:uid="{6A260EF8-7690-45B7-8D86-E0FBCB2AA343}"/>
    <cellStyle name="20% - Accent3 13 3 7" xfId="18036" xr:uid="{00000000-0005-0000-0000-0000C30F0000}"/>
    <cellStyle name="20% - Accent3 13 3 7 2" xfId="41868" xr:uid="{6EFCAF3F-85FA-4FFF-9CDE-97102D85469A}"/>
    <cellStyle name="20% - Accent3 13 3 8" xfId="25988" xr:uid="{9716B2F6-2A2E-4DA4-8811-1B6B94998C09}"/>
    <cellStyle name="20% - Accent3 13 3_Exh G" xfId="2211" xr:uid="{00000000-0005-0000-0000-0000C40F0000}"/>
    <cellStyle name="20% - Accent3 13 4" xfId="1162" xr:uid="{00000000-0005-0000-0000-0000C50F0000}"/>
    <cellStyle name="20% - Accent3 13 4 2" xfId="4689" xr:uid="{00000000-0005-0000-0000-0000C60F0000}"/>
    <cellStyle name="20% - Accent3 13 4 2 2" xfId="8280" xr:uid="{00000000-0005-0000-0000-0000C70F0000}"/>
    <cellStyle name="20% - Accent3 13 4 2 2 2" xfId="16250" xr:uid="{00000000-0005-0000-0000-0000C80F0000}"/>
    <cellStyle name="20% - Accent3 13 4 2 2 2 2" xfId="40092" xr:uid="{A22D25CC-E4F1-4F5D-AE52-4BFFE691FB4F}"/>
    <cellStyle name="20% - Accent3 13 4 2 2 3" xfId="24196" xr:uid="{00000000-0005-0000-0000-0000C90F0000}"/>
    <cellStyle name="20% - Accent3 13 4 2 2 3 2" xfId="48028" xr:uid="{00027753-F930-4B03-81D5-2D11FDB4B160}"/>
    <cellStyle name="20% - Accent3 13 4 2 2 4" xfId="32151" xr:uid="{5BD64B11-73A7-4198-B936-58E9335333D4}"/>
    <cellStyle name="20% - Accent3 13 4 2 3" xfId="12712" xr:uid="{00000000-0005-0000-0000-0000CA0F0000}"/>
    <cellStyle name="20% - Accent3 13 4 2 3 2" xfId="36561" xr:uid="{60F69C86-8A40-4F1D-B096-B8880B9D602F}"/>
    <cellStyle name="20% - Accent3 13 4 2 4" xfId="20667" xr:uid="{00000000-0005-0000-0000-0000CB0F0000}"/>
    <cellStyle name="20% - Accent3 13 4 2 4 2" xfId="44499" xr:uid="{5FD83D8D-3DF1-4EB5-9596-3937A22EF78E}"/>
    <cellStyle name="20% - Accent3 13 4 2 5" xfId="28620" xr:uid="{4B72F36F-750E-4F11-86B7-F5FD3A89E871}"/>
    <cellStyle name="20% - Accent3 13 4 3" xfId="6521" xr:uid="{00000000-0005-0000-0000-0000CC0F0000}"/>
    <cellStyle name="20% - Accent3 13 4 3 2" xfId="14492" xr:uid="{00000000-0005-0000-0000-0000CD0F0000}"/>
    <cellStyle name="20% - Accent3 13 4 3 2 2" xfId="38334" xr:uid="{FAA3FA3B-5D09-420F-A76C-2C49C7C038DF}"/>
    <cellStyle name="20% - Accent3 13 4 3 3" xfId="22439" xr:uid="{00000000-0005-0000-0000-0000CE0F0000}"/>
    <cellStyle name="20% - Accent3 13 4 3 3 2" xfId="46271" xr:uid="{73E769B9-AF6E-4E7D-9D25-AA51B39B877F}"/>
    <cellStyle name="20% - Accent3 13 4 3 4" xfId="30393" xr:uid="{349D5227-E4C9-4BE5-880E-814B24E426CF}"/>
    <cellStyle name="20% - Accent3 13 4 4" xfId="10956" xr:uid="{00000000-0005-0000-0000-0000CF0F0000}"/>
    <cellStyle name="20% - Accent3 13 4 4 2" xfId="34805" xr:uid="{5E8E59BC-95F9-4AED-B7FB-2E4A326DA10E}"/>
    <cellStyle name="20% - Accent3 13 4 5" xfId="18911" xr:uid="{00000000-0005-0000-0000-0000D00F0000}"/>
    <cellStyle name="20% - Accent3 13 4 5 2" xfId="42743" xr:uid="{878A51D2-7061-4048-B38C-FA98D9929E6F}"/>
    <cellStyle name="20% - Accent3 13 4 6" xfId="26863" xr:uid="{1D2A9AA7-29CE-463A-8770-C3D7FBD5524C}"/>
    <cellStyle name="20% - Accent3 13 4_Exh G" xfId="2213" xr:uid="{00000000-0005-0000-0000-0000D10F0000}"/>
    <cellStyle name="20% - Accent3 13 5" xfId="3810" xr:uid="{00000000-0005-0000-0000-0000D20F0000}"/>
    <cellStyle name="20% - Accent3 13 5 2" xfId="7402" xr:uid="{00000000-0005-0000-0000-0000D30F0000}"/>
    <cellStyle name="20% - Accent3 13 5 2 2" xfId="15372" xr:uid="{00000000-0005-0000-0000-0000D40F0000}"/>
    <cellStyle name="20% - Accent3 13 5 2 2 2" xfId="39214" xr:uid="{DFC841F0-2250-4E2E-9BD4-05039725CD7F}"/>
    <cellStyle name="20% - Accent3 13 5 2 3" xfId="23318" xr:uid="{00000000-0005-0000-0000-0000D50F0000}"/>
    <cellStyle name="20% - Accent3 13 5 2 3 2" xfId="47150" xr:uid="{0DBC58BB-26AF-4B40-B569-16891D9513C6}"/>
    <cellStyle name="20% - Accent3 13 5 2 4" xfId="31273" xr:uid="{96FE6386-53B0-4D5A-83F1-7E971A201805}"/>
    <cellStyle name="20% - Accent3 13 5 3" xfId="11834" xr:uid="{00000000-0005-0000-0000-0000D60F0000}"/>
    <cellStyle name="20% - Accent3 13 5 3 2" xfId="35683" xr:uid="{98B031F4-CBAC-4A1C-9C36-D75BB8A0BD03}"/>
    <cellStyle name="20% - Accent3 13 5 4" xfId="19789" xr:uid="{00000000-0005-0000-0000-0000D70F0000}"/>
    <cellStyle name="20% - Accent3 13 5 4 2" xfId="43621" xr:uid="{A97B63D0-43C7-493F-925C-992E5A018EB9}"/>
    <cellStyle name="20% - Accent3 13 5 5" xfId="27742" xr:uid="{65DFF4CE-3EC5-4B48-9700-4231E2118E1F}"/>
    <cellStyle name="20% - Accent3 13 6" xfId="5630" xr:uid="{00000000-0005-0000-0000-0000D80F0000}"/>
    <cellStyle name="20% - Accent3 13 6 2" xfId="13613" xr:uid="{00000000-0005-0000-0000-0000D90F0000}"/>
    <cellStyle name="20% - Accent3 13 6 2 2" xfId="37456" xr:uid="{F0214DDA-468D-424D-B6CD-F3D6557D2CE5}"/>
    <cellStyle name="20% - Accent3 13 6 3" xfId="21561" xr:uid="{00000000-0005-0000-0000-0000DA0F0000}"/>
    <cellStyle name="20% - Accent3 13 6 3 2" xfId="45393" xr:uid="{1F2EF341-A5DC-4E00-AA10-D70D0758A53A}"/>
    <cellStyle name="20% - Accent3 13 6 4" xfId="29515" xr:uid="{EB8A03E0-1406-4FD5-83D3-A89F0B449E10}"/>
    <cellStyle name="20% - Accent3 13 7" xfId="9182" xr:uid="{00000000-0005-0000-0000-0000DB0F0000}"/>
    <cellStyle name="20% - Accent3 13 7 2" xfId="17140" xr:uid="{00000000-0005-0000-0000-0000DC0F0000}"/>
    <cellStyle name="20% - Accent3 13 7 2 2" xfId="40980" xr:uid="{1E413141-98AC-41E8-8E1A-155213585EDC}"/>
    <cellStyle name="20% - Accent3 13 7 3" xfId="25084" xr:uid="{00000000-0005-0000-0000-0000DD0F0000}"/>
    <cellStyle name="20% - Accent3 13 7 3 2" xfId="48916" xr:uid="{C980E070-00A0-4BE5-82A7-7243B9442000}"/>
    <cellStyle name="20% - Accent3 13 7 4" xfId="33039" xr:uid="{627DFD76-9E01-45DF-B376-982CF8D9139A}"/>
    <cellStyle name="20% - Accent3 13 8" xfId="10078" xr:uid="{00000000-0005-0000-0000-0000DE0F0000}"/>
    <cellStyle name="20% - Accent3 13 8 2" xfId="33927" xr:uid="{ABD32BAA-2E8A-4E69-AD6C-519CC0F00CFD}"/>
    <cellStyle name="20% - Accent3 13 9" xfId="18033" xr:uid="{00000000-0005-0000-0000-0000DF0F0000}"/>
    <cellStyle name="20% - Accent3 13 9 2" xfId="41865" xr:uid="{3523917F-2E1E-4A70-9C51-CC7428CF797B}"/>
    <cellStyle name="20% - Accent3 13_Exh G" xfId="2206" xr:uid="{00000000-0005-0000-0000-0000E00F0000}"/>
    <cellStyle name="20% - Accent3 14" xfId="140" xr:uid="{00000000-0005-0000-0000-0000E10F0000}"/>
    <cellStyle name="20% - Accent3 14 2" xfId="141" xr:uid="{00000000-0005-0000-0000-0000E20F0000}"/>
    <cellStyle name="20% - Accent3 14 2 2" xfId="1167" xr:uid="{00000000-0005-0000-0000-0000E30F0000}"/>
    <cellStyle name="20% - Accent3 14 2 2 2" xfId="4694" xr:uid="{00000000-0005-0000-0000-0000E40F0000}"/>
    <cellStyle name="20% - Accent3 14 2 2 2 2" xfId="8285" xr:uid="{00000000-0005-0000-0000-0000E50F0000}"/>
    <cellStyle name="20% - Accent3 14 2 2 2 2 2" xfId="16255" xr:uid="{00000000-0005-0000-0000-0000E60F0000}"/>
    <cellStyle name="20% - Accent3 14 2 2 2 2 2 2" xfId="40097" xr:uid="{A2FD584B-337B-41C1-B13D-71701109E44D}"/>
    <cellStyle name="20% - Accent3 14 2 2 2 2 3" xfId="24201" xr:uid="{00000000-0005-0000-0000-0000E70F0000}"/>
    <cellStyle name="20% - Accent3 14 2 2 2 2 3 2" xfId="48033" xr:uid="{9D137C4F-0BC1-401C-8D19-8C822CDC6698}"/>
    <cellStyle name="20% - Accent3 14 2 2 2 2 4" xfId="32156" xr:uid="{D0AE2B7C-186B-4658-918F-CC1808B17133}"/>
    <cellStyle name="20% - Accent3 14 2 2 2 3" xfId="12717" xr:uid="{00000000-0005-0000-0000-0000E80F0000}"/>
    <cellStyle name="20% - Accent3 14 2 2 2 3 2" xfId="36566" xr:uid="{20D730FD-1BD6-45F2-920A-C6FBB9A5E7ED}"/>
    <cellStyle name="20% - Accent3 14 2 2 2 4" xfId="20672" xr:uid="{00000000-0005-0000-0000-0000E90F0000}"/>
    <cellStyle name="20% - Accent3 14 2 2 2 4 2" xfId="44504" xr:uid="{E0F914C1-795C-4272-A74D-2FF8C98579B2}"/>
    <cellStyle name="20% - Accent3 14 2 2 2 5" xfId="28625" xr:uid="{488DA431-2A17-4C68-AFEC-5458BBA7B256}"/>
    <cellStyle name="20% - Accent3 14 2 2 3" xfId="6526" xr:uid="{00000000-0005-0000-0000-0000EA0F0000}"/>
    <cellStyle name="20% - Accent3 14 2 2 3 2" xfId="14497" xr:uid="{00000000-0005-0000-0000-0000EB0F0000}"/>
    <cellStyle name="20% - Accent3 14 2 2 3 2 2" xfId="38339" xr:uid="{17E13A81-3ECE-4843-9FC3-95DFBD417DD2}"/>
    <cellStyle name="20% - Accent3 14 2 2 3 3" xfId="22444" xr:uid="{00000000-0005-0000-0000-0000EC0F0000}"/>
    <cellStyle name="20% - Accent3 14 2 2 3 3 2" xfId="46276" xr:uid="{762AC48D-2C9E-4D6B-8448-CFED1ABCC265}"/>
    <cellStyle name="20% - Accent3 14 2 2 3 4" xfId="30398" xr:uid="{D93CB011-DB39-4E51-83B1-2538A2AAFC21}"/>
    <cellStyle name="20% - Accent3 14 2 2 4" xfId="10961" xr:uid="{00000000-0005-0000-0000-0000ED0F0000}"/>
    <cellStyle name="20% - Accent3 14 2 2 4 2" xfId="34810" xr:uid="{4DCE6BFA-FF82-4EA0-88F2-47106EF52069}"/>
    <cellStyle name="20% - Accent3 14 2 2 5" xfId="18916" xr:uid="{00000000-0005-0000-0000-0000EE0F0000}"/>
    <cellStyle name="20% - Accent3 14 2 2 5 2" xfId="42748" xr:uid="{D5E5823D-3054-4AD5-9207-43054D85D9B6}"/>
    <cellStyle name="20% - Accent3 14 2 2 6" xfId="26868" xr:uid="{95BE2CBA-9C5D-4D31-A506-83BA3A48ABFF}"/>
    <cellStyle name="20% - Accent3 14 2 2_Exh G" xfId="2216" xr:uid="{00000000-0005-0000-0000-0000EF0F0000}"/>
    <cellStyle name="20% - Accent3 14 2 3" xfId="3815" xr:uid="{00000000-0005-0000-0000-0000F00F0000}"/>
    <cellStyle name="20% - Accent3 14 2 3 2" xfId="7407" xr:uid="{00000000-0005-0000-0000-0000F10F0000}"/>
    <cellStyle name="20% - Accent3 14 2 3 2 2" xfId="15377" xr:uid="{00000000-0005-0000-0000-0000F20F0000}"/>
    <cellStyle name="20% - Accent3 14 2 3 2 2 2" xfId="39219" xr:uid="{E33A87E5-6941-4ED7-A273-83B991A43842}"/>
    <cellStyle name="20% - Accent3 14 2 3 2 3" xfId="23323" xr:uid="{00000000-0005-0000-0000-0000F30F0000}"/>
    <cellStyle name="20% - Accent3 14 2 3 2 3 2" xfId="47155" xr:uid="{74447DC8-AB05-4C22-8E40-E1A8AF72BECA}"/>
    <cellStyle name="20% - Accent3 14 2 3 2 4" xfId="31278" xr:uid="{6300C90F-076B-41D6-8677-FC8C1BD0FB22}"/>
    <cellStyle name="20% - Accent3 14 2 3 3" xfId="11839" xr:uid="{00000000-0005-0000-0000-0000F40F0000}"/>
    <cellStyle name="20% - Accent3 14 2 3 3 2" xfId="35688" xr:uid="{4090D752-07AD-4E0B-922D-2FE3B32384A0}"/>
    <cellStyle name="20% - Accent3 14 2 3 4" xfId="19794" xr:uid="{00000000-0005-0000-0000-0000F50F0000}"/>
    <cellStyle name="20% - Accent3 14 2 3 4 2" xfId="43626" xr:uid="{B3646DAD-B0B1-4DFA-861C-CF50C0A3A751}"/>
    <cellStyle name="20% - Accent3 14 2 3 5" xfId="27747" xr:uid="{76A9973E-161C-4D68-812A-1E1F737D4A9E}"/>
    <cellStyle name="20% - Accent3 14 2 4" xfId="5635" xr:uid="{00000000-0005-0000-0000-0000F60F0000}"/>
    <cellStyle name="20% - Accent3 14 2 4 2" xfId="13618" xr:uid="{00000000-0005-0000-0000-0000F70F0000}"/>
    <cellStyle name="20% - Accent3 14 2 4 2 2" xfId="37461" xr:uid="{7078B6C6-8E00-4019-9F3E-6F0B22F22707}"/>
    <cellStyle name="20% - Accent3 14 2 4 3" xfId="21566" xr:uid="{00000000-0005-0000-0000-0000F80F0000}"/>
    <cellStyle name="20% - Accent3 14 2 4 3 2" xfId="45398" xr:uid="{F87EBBD2-9F78-4515-9878-D1531C49E4DF}"/>
    <cellStyle name="20% - Accent3 14 2 4 4" xfId="29520" xr:uid="{CB7A3A84-7DFE-4B09-8142-CB6347363C36}"/>
    <cellStyle name="20% - Accent3 14 2 5" xfId="9187" xr:uid="{00000000-0005-0000-0000-0000F90F0000}"/>
    <cellStyle name="20% - Accent3 14 2 5 2" xfId="17145" xr:uid="{00000000-0005-0000-0000-0000FA0F0000}"/>
    <cellStyle name="20% - Accent3 14 2 5 2 2" xfId="40985" xr:uid="{56738862-5073-438A-AA6E-F9AE39B735E3}"/>
    <cellStyle name="20% - Accent3 14 2 5 3" xfId="25089" xr:uid="{00000000-0005-0000-0000-0000FB0F0000}"/>
    <cellStyle name="20% - Accent3 14 2 5 3 2" xfId="48921" xr:uid="{6F8DE297-D374-487B-8E8C-4CA99985BF4B}"/>
    <cellStyle name="20% - Accent3 14 2 5 4" xfId="33044" xr:uid="{74788E61-F54C-4AD5-9309-8F01F6699F40}"/>
    <cellStyle name="20% - Accent3 14 2 6" xfId="10083" xr:uid="{00000000-0005-0000-0000-0000FC0F0000}"/>
    <cellStyle name="20% - Accent3 14 2 6 2" xfId="33932" xr:uid="{3C7824A7-1306-402B-A057-52CD10B14CC5}"/>
    <cellStyle name="20% - Accent3 14 2 7" xfId="18038" xr:uid="{00000000-0005-0000-0000-0000FD0F0000}"/>
    <cellStyle name="20% - Accent3 14 2 7 2" xfId="41870" xr:uid="{78AC2D7F-7FCC-48B3-A78A-51CDDC188668}"/>
    <cellStyle name="20% - Accent3 14 2 8" xfId="25990" xr:uid="{98B52D42-0310-4CB8-B48A-2A73E66D2FA3}"/>
    <cellStyle name="20% - Accent3 14 2_Exh G" xfId="2215" xr:uid="{00000000-0005-0000-0000-0000FE0F0000}"/>
    <cellStyle name="20% - Accent3 14 3" xfId="1166" xr:uid="{00000000-0005-0000-0000-0000FF0F0000}"/>
    <cellStyle name="20% - Accent3 14 3 2" xfId="4693" xr:uid="{00000000-0005-0000-0000-000000100000}"/>
    <cellStyle name="20% - Accent3 14 3 2 2" xfId="8284" xr:uid="{00000000-0005-0000-0000-000001100000}"/>
    <cellStyle name="20% - Accent3 14 3 2 2 2" xfId="16254" xr:uid="{00000000-0005-0000-0000-000002100000}"/>
    <cellStyle name="20% - Accent3 14 3 2 2 2 2" xfId="40096" xr:uid="{34BFFC90-06E5-4460-9931-5440399CC5A8}"/>
    <cellStyle name="20% - Accent3 14 3 2 2 3" xfId="24200" xr:uid="{00000000-0005-0000-0000-000003100000}"/>
    <cellStyle name="20% - Accent3 14 3 2 2 3 2" xfId="48032" xr:uid="{47921CD1-2AA3-49F2-819C-4EFB09D9A654}"/>
    <cellStyle name="20% - Accent3 14 3 2 2 4" xfId="32155" xr:uid="{E032E893-714E-4AA6-A603-2868972BC2E6}"/>
    <cellStyle name="20% - Accent3 14 3 2 3" xfId="12716" xr:uid="{00000000-0005-0000-0000-000004100000}"/>
    <cellStyle name="20% - Accent3 14 3 2 3 2" xfId="36565" xr:uid="{5E497CD8-6D77-48B5-9323-C4B1A78B0F89}"/>
    <cellStyle name="20% - Accent3 14 3 2 4" xfId="20671" xr:uid="{00000000-0005-0000-0000-000005100000}"/>
    <cellStyle name="20% - Accent3 14 3 2 4 2" xfId="44503" xr:uid="{6359CEA3-A5D3-473D-BF21-31C5FA273CAF}"/>
    <cellStyle name="20% - Accent3 14 3 2 5" xfId="28624" xr:uid="{C2EA0B30-8903-4000-BBEB-D7920CEDF7FE}"/>
    <cellStyle name="20% - Accent3 14 3 3" xfId="6525" xr:uid="{00000000-0005-0000-0000-000006100000}"/>
    <cellStyle name="20% - Accent3 14 3 3 2" xfId="14496" xr:uid="{00000000-0005-0000-0000-000007100000}"/>
    <cellStyle name="20% - Accent3 14 3 3 2 2" xfId="38338" xr:uid="{D2233F53-3978-4F06-9006-A4D988D3CDE9}"/>
    <cellStyle name="20% - Accent3 14 3 3 3" xfId="22443" xr:uid="{00000000-0005-0000-0000-000008100000}"/>
    <cellStyle name="20% - Accent3 14 3 3 3 2" xfId="46275" xr:uid="{C758A33B-7873-414A-91F9-4498C0D1AF44}"/>
    <cellStyle name="20% - Accent3 14 3 3 4" xfId="30397" xr:uid="{8D0286E4-A3E5-47BC-9D4D-9FD7594B2634}"/>
    <cellStyle name="20% - Accent3 14 3 4" xfId="10960" xr:uid="{00000000-0005-0000-0000-000009100000}"/>
    <cellStyle name="20% - Accent3 14 3 4 2" xfId="34809" xr:uid="{F9B32712-FC25-4B8E-9393-7A1F11257065}"/>
    <cellStyle name="20% - Accent3 14 3 5" xfId="18915" xr:uid="{00000000-0005-0000-0000-00000A100000}"/>
    <cellStyle name="20% - Accent3 14 3 5 2" xfId="42747" xr:uid="{948DDB4A-820C-45A0-85CA-B3E074FF3DC3}"/>
    <cellStyle name="20% - Accent3 14 3 6" xfId="26867" xr:uid="{122753CE-B4A2-4592-AAB8-FF6D5AD5AE06}"/>
    <cellStyle name="20% - Accent3 14 3_Exh G" xfId="2217" xr:uid="{00000000-0005-0000-0000-00000B100000}"/>
    <cellStyle name="20% - Accent3 14 4" xfId="3814" xr:uid="{00000000-0005-0000-0000-00000C100000}"/>
    <cellStyle name="20% - Accent3 14 4 2" xfId="7406" xr:uid="{00000000-0005-0000-0000-00000D100000}"/>
    <cellStyle name="20% - Accent3 14 4 2 2" xfId="15376" xr:uid="{00000000-0005-0000-0000-00000E100000}"/>
    <cellStyle name="20% - Accent3 14 4 2 2 2" xfId="39218" xr:uid="{CC2688B5-14A5-46E9-AF30-7E132D832EFA}"/>
    <cellStyle name="20% - Accent3 14 4 2 3" xfId="23322" xr:uid="{00000000-0005-0000-0000-00000F100000}"/>
    <cellStyle name="20% - Accent3 14 4 2 3 2" xfId="47154" xr:uid="{CB155442-1604-4637-AE75-4C6254726728}"/>
    <cellStyle name="20% - Accent3 14 4 2 4" xfId="31277" xr:uid="{A3825A41-34F0-4DD6-B806-B37D45D3469F}"/>
    <cellStyle name="20% - Accent3 14 4 3" xfId="11838" xr:uid="{00000000-0005-0000-0000-000010100000}"/>
    <cellStyle name="20% - Accent3 14 4 3 2" xfId="35687" xr:uid="{AAADDF69-AEE4-467E-9630-E28D596510A4}"/>
    <cellStyle name="20% - Accent3 14 4 4" xfId="19793" xr:uid="{00000000-0005-0000-0000-000011100000}"/>
    <cellStyle name="20% - Accent3 14 4 4 2" xfId="43625" xr:uid="{022A9E58-30A8-4CD7-9B67-F11DCEC491EE}"/>
    <cellStyle name="20% - Accent3 14 4 5" xfId="27746" xr:uid="{E36AACFB-5D2C-4785-94C4-3D11DDD4013D}"/>
    <cellStyle name="20% - Accent3 14 5" xfId="5634" xr:uid="{00000000-0005-0000-0000-000012100000}"/>
    <cellStyle name="20% - Accent3 14 5 2" xfId="13617" xr:uid="{00000000-0005-0000-0000-000013100000}"/>
    <cellStyle name="20% - Accent3 14 5 2 2" xfId="37460" xr:uid="{2FAAAA2D-B47F-4B61-B5FB-080F925047CB}"/>
    <cellStyle name="20% - Accent3 14 5 3" xfId="21565" xr:uid="{00000000-0005-0000-0000-000014100000}"/>
    <cellStyle name="20% - Accent3 14 5 3 2" xfId="45397" xr:uid="{C9B5F1F5-9746-4DEC-B9F0-75A5519C6E1F}"/>
    <cellStyle name="20% - Accent3 14 5 4" xfId="29519" xr:uid="{BABFE98E-2607-4A06-A700-4809F40490B8}"/>
    <cellStyle name="20% - Accent3 14 6" xfId="9186" xr:uid="{00000000-0005-0000-0000-000015100000}"/>
    <cellStyle name="20% - Accent3 14 6 2" xfId="17144" xr:uid="{00000000-0005-0000-0000-000016100000}"/>
    <cellStyle name="20% - Accent3 14 6 2 2" xfId="40984" xr:uid="{8B381E33-D24C-49F9-BE54-2BA45423DAB4}"/>
    <cellStyle name="20% - Accent3 14 6 3" xfId="25088" xr:uid="{00000000-0005-0000-0000-000017100000}"/>
    <cellStyle name="20% - Accent3 14 6 3 2" xfId="48920" xr:uid="{8A77DA2F-BEBD-47C2-AA7D-33E5BE6A89E8}"/>
    <cellStyle name="20% - Accent3 14 6 4" xfId="33043" xr:uid="{36A5E80C-5569-4877-9DE3-6F0F7C7953B4}"/>
    <cellStyle name="20% - Accent3 14 7" xfId="10082" xr:uid="{00000000-0005-0000-0000-000018100000}"/>
    <cellStyle name="20% - Accent3 14 7 2" xfId="33931" xr:uid="{78E3E9A9-E367-4A9E-87FD-8497F1CB3AA9}"/>
    <cellStyle name="20% - Accent3 14 8" xfId="18037" xr:uid="{00000000-0005-0000-0000-000019100000}"/>
    <cellStyle name="20% - Accent3 14 8 2" xfId="41869" xr:uid="{C6BBF415-5567-4033-94A9-AD7ABF59FDD3}"/>
    <cellStyle name="20% - Accent3 14 9" xfId="25989" xr:uid="{4F482B42-491F-4CBE-AE6C-1B9D4075EE68}"/>
    <cellStyle name="20% - Accent3 14_Exh G" xfId="2214" xr:uid="{00000000-0005-0000-0000-00001A100000}"/>
    <cellStyle name="20% - Accent3 15" xfId="142" xr:uid="{00000000-0005-0000-0000-00001B100000}"/>
    <cellStyle name="20% - Accent3 15 2" xfId="1168" xr:uid="{00000000-0005-0000-0000-00001C100000}"/>
    <cellStyle name="20% - Accent3 15 2 2" xfId="4695" xr:uid="{00000000-0005-0000-0000-00001D100000}"/>
    <cellStyle name="20% - Accent3 15 2 2 2" xfId="8286" xr:uid="{00000000-0005-0000-0000-00001E100000}"/>
    <cellStyle name="20% - Accent3 15 2 2 2 2" xfId="16256" xr:uid="{00000000-0005-0000-0000-00001F100000}"/>
    <cellStyle name="20% - Accent3 15 2 2 2 2 2" xfId="40098" xr:uid="{70914615-6EEE-4D10-8DBD-08ECCDEAEBE3}"/>
    <cellStyle name="20% - Accent3 15 2 2 2 3" xfId="24202" xr:uid="{00000000-0005-0000-0000-000020100000}"/>
    <cellStyle name="20% - Accent3 15 2 2 2 3 2" xfId="48034" xr:uid="{08CEA411-5915-44C9-BF8C-7DD38F046950}"/>
    <cellStyle name="20% - Accent3 15 2 2 2 4" xfId="32157" xr:uid="{3E555CC1-CF9A-4D43-947B-723B2437E1DE}"/>
    <cellStyle name="20% - Accent3 15 2 2 3" xfId="12718" xr:uid="{00000000-0005-0000-0000-000021100000}"/>
    <cellStyle name="20% - Accent3 15 2 2 3 2" xfId="36567" xr:uid="{93AB5672-DF9A-4603-B960-A0D74937AA8B}"/>
    <cellStyle name="20% - Accent3 15 2 2 4" xfId="20673" xr:uid="{00000000-0005-0000-0000-000022100000}"/>
    <cellStyle name="20% - Accent3 15 2 2 4 2" xfId="44505" xr:uid="{16B26F5E-DD12-4101-B6C0-7E9E4C8414BF}"/>
    <cellStyle name="20% - Accent3 15 2 2 5" xfId="28626" xr:uid="{F726DFC5-C9A3-4085-83F6-1B0B5BE74ACC}"/>
    <cellStyle name="20% - Accent3 15 2 3" xfId="6527" xr:uid="{00000000-0005-0000-0000-000023100000}"/>
    <cellStyle name="20% - Accent3 15 2 3 2" xfId="14498" xr:uid="{00000000-0005-0000-0000-000024100000}"/>
    <cellStyle name="20% - Accent3 15 2 3 2 2" xfId="38340" xr:uid="{7D760FFD-98E3-4359-A580-7A7E26F91EE7}"/>
    <cellStyle name="20% - Accent3 15 2 3 3" xfId="22445" xr:uid="{00000000-0005-0000-0000-000025100000}"/>
    <cellStyle name="20% - Accent3 15 2 3 3 2" xfId="46277" xr:uid="{B1A9CFBC-E9F9-4EC9-BA2E-95820120F7E3}"/>
    <cellStyle name="20% - Accent3 15 2 3 4" xfId="30399" xr:uid="{3CB22BAA-3727-4935-B240-940D3C83FAD0}"/>
    <cellStyle name="20% - Accent3 15 2 4" xfId="10962" xr:uid="{00000000-0005-0000-0000-000026100000}"/>
    <cellStyle name="20% - Accent3 15 2 4 2" xfId="34811" xr:uid="{4BFA1BDB-3DF5-472B-8777-E0EE979B9C3E}"/>
    <cellStyle name="20% - Accent3 15 2 5" xfId="18917" xr:uid="{00000000-0005-0000-0000-000027100000}"/>
    <cellStyle name="20% - Accent3 15 2 5 2" xfId="42749" xr:uid="{267509CF-3AED-421E-8BF3-024B637B4944}"/>
    <cellStyle name="20% - Accent3 15 2 6" xfId="26869" xr:uid="{18A06609-3B45-4610-87B1-0ED6368C8C3E}"/>
    <cellStyle name="20% - Accent3 15 2_Exh G" xfId="2219" xr:uid="{00000000-0005-0000-0000-000028100000}"/>
    <cellStyle name="20% - Accent3 15 3" xfId="3816" xr:uid="{00000000-0005-0000-0000-000029100000}"/>
    <cellStyle name="20% - Accent3 15 3 2" xfId="7408" xr:uid="{00000000-0005-0000-0000-00002A100000}"/>
    <cellStyle name="20% - Accent3 15 3 2 2" xfId="15378" xr:uid="{00000000-0005-0000-0000-00002B100000}"/>
    <cellStyle name="20% - Accent3 15 3 2 2 2" xfId="39220" xr:uid="{D4E07ED0-6181-499D-8D0D-3C1A2484BF80}"/>
    <cellStyle name="20% - Accent3 15 3 2 3" xfId="23324" xr:uid="{00000000-0005-0000-0000-00002C100000}"/>
    <cellStyle name="20% - Accent3 15 3 2 3 2" xfId="47156" xr:uid="{9B9B6281-87C7-494F-A5E6-5448E811AB02}"/>
    <cellStyle name="20% - Accent3 15 3 2 4" xfId="31279" xr:uid="{6B6574A3-A783-4A79-AFFA-27F08F462E61}"/>
    <cellStyle name="20% - Accent3 15 3 3" xfId="11840" xr:uid="{00000000-0005-0000-0000-00002D100000}"/>
    <cellStyle name="20% - Accent3 15 3 3 2" xfId="35689" xr:uid="{983A787B-335B-417B-B6C6-A423135452DE}"/>
    <cellStyle name="20% - Accent3 15 3 4" xfId="19795" xr:uid="{00000000-0005-0000-0000-00002E100000}"/>
    <cellStyle name="20% - Accent3 15 3 4 2" xfId="43627" xr:uid="{5688EA38-0F61-4A91-BAD4-9DA2A992EEDC}"/>
    <cellStyle name="20% - Accent3 15 3 5" xfId="27748" xr:uid="{237092F2-1609-4B95-B004-89F70C0784B8}"/>
    <cellStyle name="20% - Accent3 15 4" xfId="5636" xr:uid="{00000000-0005-0000-0000-00002F100000}"/>
    <cellStyle name="20% - Accent3 15 4 2" xfId="13619" xr:uid="{00000000-0005-0000-0000-000030100000}"/>
    <cellStyle name="20% - Accent3 15 4 2 2" xfId="37462" xr:uid="{F93A985E-90F2-4213-90C4-06692C25C218}"/>
    <cellStyle name="20% - Accent3 15 4 3" xfId="21567" xr:uid="{00000000-0005-0000-0000-000031100000}"/>
    <cellStyle name="20% - Accent3 15 4 3 2" xfId="45399" xr:uid="{17A97B2D-FCD9-42EE-B3A6-60CE50303C4B}"/>
    <cellStyle name="20% - Accent3 15 4 4" xfId="29521" xr:uid="{8A0EA5FB-9203-49C2-93DA-EA6D18B350AF}"/>
    <cellStyle name="20% - Accent3 15 5" xfId="9188" xr:uid="{00000000-0005-0000-0000-000032100000}"/>
    <cellStyle name="20% - Accent3 15 5 2" xfId="17146" xr:uid="{00000000-0005-0000-0000-000033100000}"/>
    <cellStyle name="20% - Accent3 15 5 2 2" xfId="40986" xr:uid="{0E902255-D68D-4C30-98CB-B4218F08444E}"/>
    <cellStyle name="20% - Accent3 15 5 3" xfId="25090" xr:uid="{00000000-0005-0000-0000-000034100000}"/>
    <cellStyle name="20% - Accent3 15 5 3 2" xfId="48922" xr:uid="{5D954AE2-4C13-4A5E-8C1B-DAB96078D06D}"/>
    <cellStyle name="20% - Accent3 15 5 4" xfId="33045" xr:uid="{132E4E3F-5C95-4EC4-A139-AE3C5434FADA}"/>
    <cellStyle name="20% - Accent3 15 6" xfId="10084" xr:uid="{00000000-0005-0000-0000-000035100000}"/>
    <cellStyle name="20% - Accent3 15 6 2" xfId="33933" xr:uid="{FEFC2CFE-E764-4599-9632-44491B63D0A9}"/>
    <cellStyle name="20% - Accent3 15 7" xfId="18039" xr:uid="{00000000-0005-0000-0000-000036100000}"/>
    <cellStyle name="20% - Accent3 15 7 2" xfId="41871" xr:uid="{EC234595-CB7B-4C31-BF6C-EDA003ACBACB}"/>
    <cellStyle name="20% - Accent3 15 8" xfId="25991" xr:uid="{B513E0C4-ECC3-4348-B83B-F04EF2510CBF}"/>
    <cellStyle name="20% - Accent3 15_Exh G" xfId="2218" xr:uid="{00000000-0005-0000-0000-000037100000}"/>
    <cellStyle name="20% - Accent3 16" xfId="842" xr:uid="{00000000-0005-0000-0000-000038100000}"/>
    <cellStyle name="20% - Accent3 16 2" xfId="1777" xr:uid="{00000000-0005-0000-0000-000039100000}"/>
    <cellStyle name="20% - Accent3 16 2 2" xfId="5297" xr:uid="{00000000-0005-0000-0000-00003A100000}"/>
    <cellStyle name="20% - Accent3 16 2 2 2" xfId="8888" xr:uid="{00000000-0005-0000-0000-00003B100000}"/>
    <cellStyle name="20% - Accent3 16 2 2 2 2" xfId="16858" xr:uid="{00000000-0005-0000-0000-00003C100000}"/>
    <cellStyle name="20% - Accent3 16 2 2 2 2 2" xfId="40700" xr:uid="{D2FAE53D-BB5E-465B-A7A5-F36EB5DCAE24}"/>
    <cellStyle name="20% - Accent3 16 2 2 2 3" xfId="24804" xr:uid="{00000000-0005-0000-0000-00003D100000}"/>
    <cellStyle name="20% - Accent3 16 2 2 2 3 2" xfId="48636" xr:uid="{6394EC0B-52BE-4379-B5EA-82747DEA2F04}"/>
    <cellStyle name="20% - Accent3 16 2 2 2 4" xfId="32759" xr:uid="{8F76059D-0FE3-4426-BA00-083EAB226DBE}"/>
    <cellStyle name="20% - Accent3 16 2 2 3" xfId="13320" xr:uid="{00000000-0005-0000-0000-00003E100000}"/>
    <cellStyle name="20% - Accent3 16 2 2 3 2" xfId="37169" xr:uid="{15736504-2A15-4B06-9ACD-A63C8A7DB3DB}"/>
    <cellStyle name="20% - Accent3 16 2 2 4" xfId="21275" xr:uid="{00000000-0005-0000-0000-00003F100000}"/>
    <cellStyle name="20% - Accent3 16 2 2 4 2" xfId="45107" xr:uid="{FCC5F6EE-4F0C-47C1-AD2A-25575FA575FA}"/>
    <cellStyle name="20% - Accent3 16 2 2 5" xfId="29228" xr:uid="{3FCEA4E7-080D-4A27-93B9-22924E5DDA36}"/>
    <cellStyle name="20% - Accent3 16 2 3" xfId="7129" xr:uid="{00000000-0005-0000-0000-000040100000}"/>
    <cellStyle name="20% - Accent3 16 2 3 2" xfId="15100" xr:uid="{00000000-0005-0000-0000-000041100000}"/>
    <cellStyle name="20% - Accent3 16 2 3 2 2" xfId="38942" xr:uid="{9A97F3D3-F77D-48F8-AA57-1E93FC27ED70}"/>
    <cellStyle name="20% - Accent3 16 2 3 3" xfId="23047" xr:uid="{00000000-0005-0000-0000-000042100000}"/>
    <cellStyle name="20% - Accent3 16 2 3 3 2" xfId="46879" xr:uid="{31EA5A4D-03CE-41EF-BDA5-C06B23F7B2B5}"/>
    <cellStyle name="20% - Accent3 16 2 3 4" xfId="31001" xr:uid="{6232270D-448A-4822-980E-3CD9A81BB317}"/>
    <cellStyle name="20% - Accent3 16 2 4" xfId="11564" xr:uid="{00000000-0005-0000-0000-000043100000}"/>
    <cellStyle name="20% - Accent3 16 2 4 2" xfId="35413" xr:uid="{8404D14E-8438-4F33-8939-DBA6839EE292}"/>
    <cellStyle name="20% - Accent3 16 2 5" xfId="19519" xr:uid="{00000000-0005-0000-0000-000044100000}"/>
    <cellStyle name="20% - Accent3 16 2 5 2" xfId="43351" xr:uid="{2AA7D867-EE97-4A02-BEBE-B6A1E2A636CF}"/>
    <cellStyle name="20% - Accent3 16 2 6" xfId="27471" xr:uid="{49FBAD85-53C0-46AD-BA31-F91A1E57423D}"/>
    <cellStyle name="20% - Accent3 16 2_Exh G" xfId="2221" xr:uid="{00000000-0005-0000-0000-000045100000}"/>
    <cellStyle name="20% - Accent3 16 3" xfId="4418" xr:uid="{00000000-0005-0000-0000-000046100000}"/>
    <cellStyle name="20% - Accent3 16 3 2" xfId="8010" xr:uid="{00000000-0005-0000-0000-000047100000}"/>
    <cellStyle name="20% - Accent3 16 3 2 2" xfId="15980" xr:uid="{00000000-0005-0000-0000-000048100000}"/>
    <cellStyle name="20% - Accent3 16 3 2 2 2" xfId="39822" xr:uid="{B227F19E-EC4B-4CBC-8BFA-12F0547ECDF8}"/>
    <cellStyle name="20% - Accent3 16 3 2 3" xfId="23926" xr:uid="{00000000-0005-0000-0000-000049100000}"/>
    <cellStyle name="20% - Accent3 16 3 2 3 2" xfId="47758" xr:uid="{6EEB1033-CC90-4A58-BEF2-A9731FF5392B}"/>
    <cellStyle name="20% - Accent3 16 3 2 4" xfId="31881" xr:uid="{89002077-FD61-420B-8B9E-AA30C47747F5}"/>
    <cellStyle name="20% - Accent3 16 3 3" xfId="12442" xr:uid="{00000000-0005-0000-0000-00004A100000}"/>
    <cellStyle name="20% - Accent3 16 3 3 2" xfId="36291" xr:uid="{FA6EBF80-DEB5-4922-9506-F1FB0A0559C4}"/>
    <cellStyle name="20% - Accent3 16 3 4" xfId="20397" xr:uid="{00000000-0005-0000-0000-00004B100000}"/>
    <cellStyle name="20% - Accent3 16 3 4 2" xfId="44229" xr:uid="{C2F84232-67D7-4328-8688-4EFE4E014590}"/>
    <cellStyle name="20% - Accent3 16 3 5" xfId="28350" xr:uid="{F81B2295-D43E-48E2-A13D-41706CB977CE}"/>
    <cellStyle name="20% - Accent3 16 4" xfId="6248" xr:uid="{00000000-0005-0000-0000-00004C100000}"/>
    <cellStyle name="20% - Accent3 16 4 2" xfId="14222" xr:uid="{00000000-0005-0000-0000-00004D100000}"/>
    <cellStyle name="20% - Accent3 16 4 2 2" xfId="38064" xr:uid="{7A51D122-1FB0-466A-8668-7728B8E88355}"/>
    <cellStyle name="20% - Accent3 16 4 3" xfId="22169" xr:uid="{00000000-0005-0000-0000-00004E100000}"/>
    <cellStyle name="20% - Accent3 16 4 3 2" xfId="46001" xr:uid="{FF9DF59D-97E2-4BB8-A21A-1D37D7DBA17E}"/>
    <cellStyle name="20% - Accent3 16 4 4" xfId="30123" xr:uid="{C8A6B8DD-9F36-463A-A3CC-583BC75446BC}"/>
    <cellStyle name="20% - Accent3 16 5" xfId="9790" xr:uid="{00000000-0005-0000-0000-00004F100000}"/>
    <cellStyle name="20% - Accent3 16 5 2" xfId="17748" xr:uid="{00000000-0005-0000-0000-000050100000}"/>
    <cellStyle name="20% - Accent3 16 5 2 2" xfId="41588" xr:uid="{3F0CEF08-4982-4878-9EB8-655258379364}"/>
    <cellStyle name="20% - Accent3 16 5 3" xfId="25692" xr:uid="{00000000-0005-0000-0000-000051100000}"/>
    <cellStyle name="20% - Accent3 16 5 3 2" xfId="49524" xr:uid="{BC85315B-EF89-4A8B-A179-0E7DB6B0BC04}"/>
    <cellStyle name="20% - Accent3 16 5 4" xfId="33647" xr:uid="{7C97FF52-EBD3-45FB-B7F0-C2DB5CCC12FA}"/>
    <cellStyle name="20% - Accent3 16 6" xfId="10686" xr:uid="{00000000-0005-0000-0000-000052100000}"/>
    <cellStyle name="20% - Accent3 16 6 2" xfId="34535" xr:uid="{F11103D4-BC66-4166-8659-9356B0B917B1}"/>
    <cellStyle name="20% - Accent3 16 7" xfId="18641" xr:uid="{00000000-0005-0000-0000-000053100000}"/>
    <cellStyle name="20% - Accent3 16 7 2" xfId="42473" xr:uid="{785933B2-091A-4D41-8785-4D4C004A010D}"/>
    <cellStyle name="20% - Accent3 16 8" xfId="26593" xr:uid="{519B685E-29FE-4ADE-9104-5516FD718BBB}"/>
    <cellStyle name="20% - Accent3 16_Exh G" xfId="2220" xr:uid="{00000000-0005-0000-0000-000054100000}"/>
    <cellStyle name="20% - Accent3 17" xfId="49787" xr:uid="{DB6CC688-E3D5-4727-A2A7-DC444F6247D5}"/>
    <cellStyle name="20% - Accent3 18" xfId="49827" xr:uid="{5CBDACA4-1F40-4CDD-A77B-30B011A6FA89}"/>
    <cellStyle name="20% - Accent3 2" xfId="143" xr:uid="{00000000-0005-0000-0000-000055100000}"/>
    <cellStyle name="20% - Accent3 2 10" xfId="18040" xr:uid="{00000000-0005-0000-0000-000056100000}"/>
    <cellStyle name="20% - Accent3 2 10 2" xfId="41872" xr:uid="{C705E65B-E8E2-4012-A3D3-3BA7260781A8}"/>
    <cellStyle name="20% - Accent3 2 11" xfId="25992" xr:uid="{081CF791-15B4-40CC-86E7-94FC8514EEFC}"/>
    <cellStyle name="20% - Accent3 2 12" xfId="49772" xr:uid="{E56AE9A0-7888-4ED3-B2D9-2911EB824B94}"/>
    <cellStyle name="20% - Accent3 2 13" xfId="49800" xr:uid="{47C185E8-F829-49A6-A144-8E08F480EBDA}"/>
    <cellStyle name="20% - Accent3 2 14" xfId="49841" xr:uid="{C6E1ACED-9F8C-42E2-A85D-E0E0E14935F9}"/>
    <cellStyle name="20% - Accent3 2 2" xfId="144" xr:uid="{00000000-0005-0000-0000-000057100000}"/>
    <cellStyle name="20% - Accent3 2 2 10" xfId="25993" xr:uid="{215F627A-E8D3-4967-9F07-EF2D62D1FF76}"/>
    <cellStyle name="20% - Accent3 2 2 2" xfId="145" xr:uid="{00000000-0005-0000-0000-000058100000}"/>
    <cellStyle name="20% - Accent3 2 2 2 2" xfId="1171" xr:uid="{00000000-0005-0000-0000-000059100000}"/>
    <cellStyle name="20% - Accent3 2 2 2 2 2" xfId="4698" xr:uid="{00000000-0005-0000-0000-00005A100000}"/>
    <cellStyle name="20% - Accent3 2 2 2 2 2 2" xfId="8289" xr:uid="{00000000-0005-0000-0000-00005B100000}"/>
    <cellStyle name="20% - Accent3 2 2 2 2 2 2 2" xfId="16259" xr:uid="{00000000-0005-0000-0000-00005C100000}"/>
    <cellStyle name="20% - Accent3 2 2 2 2 2 2 2 2" xfId="40101" xr:uid="{515CDD62-EB09-4250-A4C0-046C6E4F7BD6}"/>
    <cellStyle name="20% - Accent3 2 2 2 2 2 2 3" xfId="24205" xr:uid="{00000000-0005-0000-0000-00005D100000}"/>
    <cellStyle name="20% - Accent3 2 2 2 2 2 2 3 2" xfId="48037" xr:uid="{0A8A77A0-0A1D-4664-A5CE-FFF0E2D9A7B8}"/>
    <cellStyle name="20% - Accent3 2 2 2 2 2 2 4" xfId="32160" xr:uid="{B818F9DC-9406-4131-994D-537CBA365E3A}"/>
    <cellStyle name="20% - Accent3 2 2 2 2 2 3" xfId="12721" xr:uid="{00000000-0005-0000-0000-00005E100000}"/>
    <cellStyle name="20% - Accent3 2 2 2 2 2 3 2" xfId="36570" xr:uid="{18DFAC26-E212-4714-9E71-7DF13F12EBA9}"/>
    <cellStyle name="20% - Accent3 2 2 2 2 2 4" xfId="20676" xr:uid="{00000000-0005-0000-0000-00005F100000}"/>
    <cellStyle name="20% - Accent3 2 2 2 2 2 4 2" xfId="44508" xr:uid="{23EBAE12-4306-4905-92E0-FAEAEEA944E9}"/>
    <cellStyle name="20% - Accent3 2 2 2 2 2 5" xfId="28629" xr:uid="{E798AAEE-9B42-4AE4-B1DB-C6105062D3FB}"/>
    <cellStyle name="20% - Accent3 2 2 2 2 3" xfId="6530" xr:uid="{00000000-0005-0000-0000-000060100000}"/>
    <cellStyle name="20% - Accent3 2 2 2 2 3 2" xfId="14501" xr:uid="{00000000-0005-0000-0000-000061100000}"/>
    <cellStyle name="20% - Accent3 2 2 2 2 3 2 2" xfId="38343" xr:uid="{489B298F-3FCE-49EA-98E7-124AB5698594}"/>
    <cellStyle name="20% - Accent3 2 2 2 2 3 3" xfId="22448" xr:uid="{00000000-0005-0000-0000-000062100000}"/>
    <cellStyle name="20% - Accent3 2 2 2 2 3 3 2" xfId="46280" xr:uid="{F6D413F9-3114-43CD-96BD-F735C4388602}"/>
    <cellStyle name="20% - Accent3 2 2 2 2 3 4" xfId="30402" xr:uid="{A55D59DA-E012-49E7-A9D5-D89134CD9195}"/>
    <cellStyle name="20% - Accent3 2 2 2 2 4" xfId="10965" xr:uid="{00000000-0005-0000-0000-000063100000}"/>
    <cellStyle name="20% - Accent3 2 2 2 2 4 2" xfId="34814" xr:uid="{B03F0965-4F5A-4098-8266-34DE4AF54C63}"/>
    <cellStyle name="20% - Accent3 2 2 2 2 5" xfId="18920" xr:uid="{00000000-0005-0000-0000-000064100000}"/>
    <cellStyle name="20% - Accent3 2 2 2 2 5 2" xfId="42752" xr:uid="{5EDECB62-0075-401B-AE6E-0550DBF5AA4D}"/>
    <cellStyle name="20% - Accent3 2 2 2 2 6" xfId="26872" xr:uid="{72870D03-BE39-49D9-BF9D-3BEABE6F7C7C}"/>
    <cellStyle name="20% - Accent3 2 2 2 2_Exh G" xfId="2225" xr:uid="{00000000-0005-0000-0000-000065100000}"/>
    <cellStyle name="20% - Accent3 2 2 2 3" xfId="3819" xr:uid="{00000000-0005-0000-0000-000066100000}"/>
    <cellStyle name="20% - Accent3 2 2 2 3 2" xfId="7411" xr:uid="{00000000-0005-0000-0000-000067100000}"/>
    <cellStyle name="20% - Accent3 2 2 2 3 2 2" xfId="15381" xr:uid="{00000000-0005-0000-0000-000068100000}"/>
    <cellStyle name="20% - Accent3 2 2 2 3 2 2 2" xfId="39223" xr:uid="{B072D117-E9E1-4884-86B4-ABB1F0DE125E}"/>
    <cellStyle name="20% - Accent3 2 2 2 3 2 3" xfId="23327" xr:uid="{00000000-0005-0000-0000-000069100000}"/>
    <cellStyle name="20% - Accent3 2 2 2 3 2 3 2" xfId="47159" xr:uid="{01B925BC-6DE9-4CFD-BFB7-70A890CFBC51}"/>
    <cellStyle name="20% - Accent3 2 2 2 3 2 4" xfId="31282" xr:uid="{0811B7B3-9DCC-4F18-BD3A-78A10D7183CD}"/>
    <cellStyle name="20% - Accent3 2 2 2 3 3" xfId="11843" xr:uid="{00000000-0005-0000-0000-00006A100000}"/>
    <cellStyle name="20% - Accent3 2 2 2 3 3 2" xfId="35692" xr:uid="{ECC17740-74C2-479B-91E9-ABFC03CE005C}"/>
    <cellStyle name="20% - Accent3 2 2 2 3 4" xfId="19798" xr:uid="{00000000-0005-0000-0000-00006B100000}"/>
    <cellStyle name="20% - Accent3 2 2 2 3 4 2" xfId="43630" xr:uid="{997B6F08-93D4-4635-A66C-D32468C02783}"/>
    <cellStyle name="20% - Accent3 2 2 2 3 5" xfId="27751" xr:uid="{7EBC0822-305B-4E17-9ECD-3F33F95BD715}"/>
    <cellStyle name="20% - Accent3 2 2 2 4" xfId="5639" xr:uid="{00000000-0005-0000-0000-00006C100000}"/>
    <cellStyle name="20% - Accent3 2 2 2 4 2" xfId="13622" xr:uid="{00000000-0005-0000-0000-00006D100000}"/>
    <cellStyle name="20% - Accent3 2 2 2 4 2 2" xfId="37465" xr:uid="{8466B959-4477-4CB2-B13D-8DEC85B8CD32}"/>
    <cellStyle name="20% - Accent3 2 2 2 4 3" xfId="21570" xr:uid="{00000000-0005-0000-0000-00006E100000}"/>
    <cellStyle name="20% - Accent3 2 2 2 4 3 2" xfId="45402" xr:uid="{ECBA444A-CC5E-4034-9D17-063D3000DEED}"/>
    <cellStyle name="20% - Accent3 2 2 2 4 4" xfId="29524" xr:uid="{5BC38AFD-04BD-4C24-87D8-00E512A0D391}"/>
    <cellStyle name="20% - Accent3 2 2 2 5" xfId="9191" xr:uid="{00000000-0005-0000-0000-00006F100000}"/>
    <cellStyle name="20% - Accent3 2 2 2 5 2" xfId="17149" xr:uid="{00000000-0005-0000-0000-000070100000}"/>
    <cellStyle name="20% - Accent3 2 2 2 5 2 2" xfId="40989" xr:uid="{396681A2-B187-4FD5-A069-420BD5754573}"/>
    <cellStyle name="20% - Accent3 2 2 2 5 3" xfId="25093" xr:uid="{00000000-0005-0000-0000-000071100000}"/>
    <cellStyle name="20% - Accent3 2 2 2 5 3 2" xfId="48925" xr:uid="{7AD5F9D0-CD17-44D6-8703-1B7A7B477D62}"/>
    <cellStyle name="20% - Accent3 2 2 2 5 4" xfId="33048" xr:uid="{F11DE7BE-0BCF-4879-AD1F-5DFA6A8EB022}"/>
    <cellStyle name="20% - Accent3 2 2 2 6" xfId="10087" xr:uid="{00000000-0005-0000-0000-000072100000}"/>
    <cellStyle name="20% - Accent3 2 2 2 6 2" xfId="33936" xr:uid="{BA523777-154D-4C1D-A2C1-50123D764894}"/>
    <cellStyle name="20% - Accent3 2 2 2 7" xfId="18042" xr:uid="{00000000-0005-0000-0000-000073100000}"/>
    <cellStyle name="20% - Accent3 2 2 2 7 2" xfId="41874" xr:uid="{80F6D5C5-F8D1-4C29-B3E3-B26D5C1E5894}"/>
    <cellStyle name="20% - Accent3 2 2 2 8" xfId="25994" xr:uid="{E3F8C2AC-9304-466E-B012-47D2811EC003}"/>
    <cellStyle name="20% - Accent3 2 2 2_Exh G" xfId="2224" xr:uid="{00000000-0005-0000-0000-000074100000}"/>
    <cellStyle name="20% - Accent3 2 2 3" xfId="885" xr:uid="{00000000-0005-0000-0000-000075100000}"/>
    <cellStyle name="20% - Accent3 2 2 3 2" xfId="1813" xr:uid="{00000000-0005-0000-0000-000076100000}"/>
    <cellStyle name="20% - Accent3 2 2 3 2 2" xfId="5330" xr:uid="{00000000-0005-0000-0000-000077100000}"/>
    <cellStyle name="20% - Accent3 2 2 3 2 2 2" xfId="8921" xr:uid="{00000000-0005-0000-0000-000078100000}"/>
    <cellStyle name="20% - Accent3 2 2 3 2 2 2 2" xfId="16891" xr:uid="{00000000-0005-0000-0000-000079100000}"/>
    <cellStyle name="20% - Accent3 2 2 3 2 2 2 2 2" xfId="40733" xr:uid="{E7811A80-1FE4-4995-A327-AD0CEE2B8EBB}"/>
    <cellStyle name="20% - Accent3 2 2 3 2 2 2 3" xfId="24837" xr:uid="{00000000-0005-0000-0000-00007A100000}"/>
    <cellStyle name="20% - Accent3 2 2 3 2 2 2 3 2" xfId="48669" xr:uid="{760F81BF-8454-4B6E-B0D0-BA1F966D5982}"/>
    <cellStyle name="20% - Accent3 2 2 3 2 2 2 4" xfId="32792" xr:uid="{598C23F6-1193-4A29-928C-9424833E5E0B}"/>
    <cellStyle name="20% - Accent3 2 2 3 2 2 3" xfId="13353" xr:uid="{00000000-0005-0000-0000-00007B100000}"/>
    <cellStyle name="20% - Accent3 2 2 3 2 2 3 2" xfId="37202" xr:uid="{85DAE197-179A-4F17-8F96-D66BA3899375}"/>
    <cellStyle name="20% - Accent3 2 2 3 2 2 4" xfId="21308" xr:uid="{00000000-0005-0000-0000-00007C100000}"/>
    <cellStyle name="20% - Accent3 2 2 3 2 2 4 2" xfId="45140" xr:uid="{8169FB42-0482-471B-8F6C-20F772836279}"/>
    <cellStyle name="20% - Accent3 2 2 3 2 2 5" xfId="29261" xr:uid="{DDFD136A-8566-4B07-BACA-245E24505DE7}"/>
    <cellStyle name="20% - Accent3 2 2 3 2 3" xfId="7162" xr:uid="{00000000-0005-0000-0000-00007D100000}"/>
    <cellStyle name="20% - Accent3 2 2 3 2 3 2" xfId="15133" xr:uid="{00000000-0005-0000-0000-00007E100000}"/>
    <cellStyle name="20% - Accent3 2 2 3 2 3 2 2" xfId="38975" xr:uid="{00F22628-231D-4BA9-8091-4B81CC3A728D}"/>
    <cellStyle name="20% - Accent3 2 2 3 2 3 3" xfId="23080" xr:uid="{00000000-0005-0000-0000-00007F100000}"/>
    <cellStyle name="20% - Accent3 2 2 3 2 3 3 2" xfId="46912" xr:uid="{A765E15E-AD66-4748-BA20-658E52DE631B}"/>
    <cellStyle name="20% - Accent3 2 2 3 2 3 4" xfId="31034" xr:uid="{918E4610-D05E-4DBD-B3C1-83306A247F79}"/>
    <cellStyle name="20% - Accent3 2 2 3 2 4" xfId="11597" xr:uid="{00000000-0005-0000-0000-000080100000}"/>
    <cellStyle name="20% - Accent3 2 2 3 2 4 2" xfId="35446" xr:uid="{55B8F34D-696D-4FC4-ACBA-192B41C1ABC2}"/>
    <cellStyle name="20% - Accent3 2 2 3 2 5" xfId="19552" xr:uid="{00000000-0005-0000-0000-000081100000}"/>
    <cellStyle name="20% - Accent3 2 2 3 2 5 2" xfId="43384" xr:uid="{DACFCCFB-D730-45FB-B647-B1CFE20044AB}"/>
    <cellStyle name="20% - Accent3 2 2 3 2 6" xfId="27504" xr:uid="{87AAA4D4-89C6-4BBF-84B8-71BD81F3D1EB}"/>
    <cellStyle name="20% - Accent3 2 2 3 2_Exh G" xfId="2227" xr:uid="{00000000-0005-0000-0000-000082100000}"/>
    <cellStyle name="20% - Accent3 2 2 3 3" xfId="4451" xr:uid="{00000000-0005-0000-0000-000083100000}"/>
    <cellStyle name="20% - Accent3 2 2 3 3 2" xfId="8043" xr:uid="{00000000-0005-0000-0000-000084100000}"/>
    <cellStyle name="20% - Accent3 2 2 3 3 2 2" xfId="16013" xr:uid="{00000000-0005-0000-0000-000085100000}"/>
    <cellStyle name="20% - Accent3 2 2 3 3 2 2 2" xfId="39855" xr:uid="{9BD1E431-D952-4B47-B0FA-CE9B91CBA332}"/>
    <cellStyle name="20% - Accent3 2 2 3 3 2 3" xfId="23959" xr:uid="{00000000-0005-0000-0000-000086100000}"/>
    <cellStyle name="20% - Accent3 2 2 3 3 2 3 2" xfId="47791" xr:uid="{CE6CADE9-85BA-48F5-8FEA-A978D8D9052D}"/>
    <cellStyle name="20% - Accent3 2 2 3 3 2 4" xfId="31914" xr:uid="{200DFDA7-AC8B-4EB6-A57B-0767CC1E6196}"/>
    <cellStyle name="20% - Accent3 2 2 3 3 3" xfId="12475" xr:uid="{00000000-0005-0000-0000-000087100000}"/>
    <cellStyle name="20% - Accent3 2 2 3 3 3 2" xfId="36324" xr:uid="{3F9EFF60-DBDA-4CEA-B26C-1D6F016B3474}"/>
    <cellStyle name="20% - Accent3 2 2 3 3 4" xfId="20430" xr:uid="{00000000-0005-0000-0000-000088100000}"/>
    <cellStyle name="20% - Accent3 2 2 3 3 4 2" xfId="44262" xr:uid="{BB24A2A0-73D2-4462-BF75-A4038411080B}"/>
    <cellStyle name="20% - Accent3 2 2 3 3 5" xfId="28383" xr:uid="{BAD98E10-CCDD-4563-94FA-FFB287EEA81F}"/>
    <cellStyle name="20% - Accent3 2 2 3 4" xfId="6281" xr:uid="{00000000-0005-0000-0000-000089100000}"/>
    <cellStyle name="20% - Accent3 2 2 3 4 2" xfId="14255" xr:uid="{00000000-0005-0000-0000-00008A100000}"/>
    <cellStyle name="20% - Accent3 2 2 3 4 2 2" xfId="38097" xr:uid="{3B40B9FB-C110-4CF7-9F6F-9A378594C12B}"/>
    <cellStyle name="20% - Accent3 2 2 3 4 3" xfId="22202" xr:uid="{00000000-0005-0000-0000-00008B100000}"/>
    <cellStyle name="20% - Accent3 2 2 3 4 3 2" xfId="46034" xr:uid="{4AFB6DF9-B4EB-4557-862D-C6FB46E89085}"/>
    <cellStyle name="20% - Accent3 2 2 3 4 4" xfId="30156" xr:uid="{D8CD93CE-5FD6-440F-842A-D7D51076284C}"/>
    <cellStyle name="20% - Accent3 2 2 3 5" xfId="9823" xr:uid="{00000000-0005-0000-0000-00008C100000}"/>
    <cellStyle name="20% - Accent3 2 2 3 5 2" xfId="17781" xr:uid="{00000000-0005-0000-0000-00008D100000}"/>
    <cellStyle name="20% - Accent3 2 2 3 5 2 2" xfId="41621" xr:uid="{C3858517-DC9F-4A61-91D2-C0A473619D79}"/>
    <cellStyle name="20% - Accent3 2 2 3 5 3" xfId="25725" xr:uid="{00000000-0005-0000-0000-00008E100000}"/>
    <cellStyle name="20% - Accent3 2 2 3 5 3 2" xfId="49557" xr:uid="{8A07B9CB-EEDD-42AF-BAA6-9C9E5CF01420}"/>
    <cellStyle name="20% - Accent3 2 2 3 5 4" xfId="33680" xr:uid="{F7907D09-DA59-48AD-B3CB-5FF41AEA1F8C}"/>
    <cellStyle name="20% - Accent3 2 2 3 6" xfId="10719" xr:uid="{00000000-0005-0000-0000-00008F100000}"/>
    <cellStyle name="20% - Accent3 2 2 3 6 2" xfId="34568" xr:uid="{D3EB7442-E931-414A-994B-18FD4A6B8A14}"/>
    <cellStyle name="20% - Accent3 2 2 3 7" xfId="18674" xr:uid="{00000000-0005-0000-0000-000090100000}"/>
    <cellStyle name="20% - Accent3 2 2 3 7 2" xfId="42506" xr:uid="{BFF32B50-3120-4F74-88CE-C31DA71CAF84}"/>
    <cellStyle name="20% - Accent3 2 2 3 8" xfId="26626" xr:uid="{6A0E66E4-7C26-4B06-AB1F-C87DFEB94702}"/>
    <cellStyle name="20% - Accent3 2 2 3_Exh G" xfId="2226" xr:uid="{00000000-0005-0000-0000-000091100000}"/>
    <cellStyle name="20% - Accent3 2 2 4" xfId="1170" xr:uid="{00000000-0005-0000-0000-000092100000}"/>
    <cellStyle name="20% - Accent3 2 2 4 2" xfId="4697" xr:uid="{00000000-0005-0000-0000-000093100000}"/>
    <cellStyle name="20% - Accent3 2 2 4 2 2" xfId="8288" xr:uid="{00000000-0005-0000-0000-000094100000}"/>
    <cellStyle name="20% - Accent3 2 2 4 2 2 2" xfId="16258" xr:uid="{00000000-0005-0000-0000-000095100000}"/>
    <cellStyle name="20% - Accent3 2 2 4 2 2 2 2" xfId="40100" xr:uid="{876C3B6F-2325-4272-969C-916009AD820D}"/>
    <cellStyle name="20% - Accent3 2 2 4 2 2 3" xfId="24204" xr:uid="{00000000-0005-0000-0000-000096100000}"/>
    <cellStyle name="20% - Accent3 2 2 4 2 2 3 2" xfId="48036" xr:uid="{856AFB5C-BB62-43CF-9FC3-600975889A11}"/>
    <cellStyle name="20% - Accent3 2 2 4 2 2 4" xfId="32159" xr:uid="{B2BDCD7E-B2AD-477B-9B59-559E7E23603F}"/>
    <cellStyle name="20% - Accent3 2 2 4 2 3" xfId="12720" xr:uid="{00000000-0005-0000-0000-000097100000}"/>
    <cellStyle name="20% - Accent3 2 2 4 2 3 2" xfId="36569" xr:uid="{8EC68858-794A-4B46-B488-A879A2EB4CE4}"/>
    <cellStyle name="20% - Accent3 2 2 4 2 4" xfId="20675" xr:uid="{00000000-0005-0000-0000-000098100000}"/>
    <cellStyle name="20% - Accent3 2 2 4 2 4 2" xfId="44507" xr:uid="{CCA3FAB3-F291-4EBE-9BAA-1D2B91F19FED}"/>
    <cellStyle name="20% - Accent3 2 2 4 2 5" xfId="28628" xr:uid="{128D25D0-9598-4A33-8571-7E8E357534CD}"/>
    <cellStyle name="20% - Accent3 2 2 4 3" xfId="6529" xr:uid="{00000000-0005-0000-0000-000099100000}"/>
    <cellStyle name="20% - Accent3 2 2 4 3 2" xfId="14500" xr:uid="{00000000-0005-0000-0000-00009A100000}"/>
    <cellStyle name="20% - Accent3 2 2 4 3 2 2" xfId="38342" xr:uid="{EB1F928E-403C-47B9-AB5A-799647A0B2BE}"/>
    <cellStyle name="20% - Accent3 2 2 4 3 3" xfId="22447" xr:uid="{00000000-0005-0000-0000-00009B100000}"/>
    <cellStyle name="20% - Accent3 2 2 4 3 3 2" xfId="46279" xr:uid="{802761B0-E3B5-4C43-A22F-5EDC73481BC5}"/>
    <cellStyle name="20% - Accent3 2 2 4 3 4" xfId="30401" xr:uid="{4CA6C231-4A56-4BAC-9022-B3E6ECE59870}"/>
    <cellStyle name="20% - Accent3 2 2 4 4" xfId="10964" xr:uid="{00000000-0005-0000-0000-00009C100000}"/>
    <cellStyle name="20% - Accent3 2 2 4 4 2" xfId="34813" xr:uid="{BB4D0D80-414A-4E88-8843-4C885CE1F047}"/>
    <cellStyle name="20% - Accent3 2 2 4 5" xfId="18919" xr:uid="{00000000-0005-0000-0000-00009D100000}"/>
    <cellStyle name="20% - Accent3 2 2 4 5 2" xfId="42751" xr:uid="{811EE855-9446-495E-A961-8B3F2D23D27D}"/>
    <cellStyle name="20% - Accent3 2 2 4 6" xfId="26871" xr:uid="{16D6709D-A76D-47FC-9C18-E563A78E1105}"/>
    <cellStyle name="20% - Accent3 2 2 4_Exh G" xfId="2228" xr:uid="{00000000-0005-0000-0000-00009E100000}"/>
    <cellStyle name="20% - Accent3 2 2 5" xfId="3818" xr:uid="{00000000-0005-0000-0000-00009F100000}"/>
    <cellStyle name="20% - Accent3 2 2 5 2" xfId="7410" xr:uid="{00000000-0005-0000-0000-0000A0100000}"/>
    <cellStyle name="20% - Accent3 2 2 5 2 2" xfId="15380" xr:uid="{00000000-0005-0000-0000-0000A1100000}"/>
    <cellStyle name="20% - Accent3 2 2 5 2 2 2" xfId="39222" xr:uid="{CA9A16A6-A0F1-4B63-B86C-D14FBD6CC2E2}"/>
    <cellStyle name="20% - Accent3 2 2 5 2 3" xfId="23326" xr:uid="{00000000-0005-0000-0000-0000A2100000}"/>
    <cellStyle name="20% - Accent3 2 2 5 2 3 2" xfId="47158" xr:uid="{80E128F2-7C86-4D25-9BD4-B8D9B0F4832F}"/>
    <cellStyle name="20% - Accent3 2 2 5 2 4" xfId="31281" xr:uid="{F147DCAB-C7CC-4AF6-9FED-211884AC50B8}"/>
    <cellStyle name="20% - Accent3 2 2 5 3" xfId="11842" xr:uid="{00000000-0005-0000-0000-0000A3100000}"/>
    <cellStyle name="20% - Accent3 2 2 5 3 2" xfId="35691" xr:uid="{65B76EB0-0949-4E12-9E22-5F8964EE2C70}"/>
    <cellStyle name="20% - Accent3 2 2 5 4" xfId="19797" xr:uid="{00000000-0005-0000-0000-0000A4100000}"/>
    <cellStyle name="20% - Accent3 2 2 5 4 2" xfId="43629" xr:uid="{EC8908BB-4BBC-4BFC-9FE3-F5C3E89AA31C}"/>
    <cellStyle name="20% - Accent3 2 2 5 5" xfId="27750" xr:uid="{778E3D75-34F1-4043-A627-9D47052AEF66}"/>
    <cellStyle name="20% - Accent3 2 2 6" xfId="5638" xr:uid="{00000000-0005-0000-0000-0000A5100000}"/>
    <cellStyle name="20% - Accent3 2 2 6 2" xfId="13621" xr:uid="{00000000-0005-0000-0000-0000A6100000}"/>
    <cellStyle name="20% - Accent3 2 2 6 2 2" xfId="37464" xr:uid="{EB8ACEA3-8C7B-4C1D-9628-F37B0B6E130F}"/>
    <cellStyle name="20% - Accent3 2 2 6 3" xfId="21569" xr:uid="{00000000-0005-0000-0000-0000A7100000}"/>
    <cellStyle name="20% - Accent3 2 2 6 3 2" xfId="45401" xr:uid="{0A52FEBC-8F12-48A9-884C-345BD1F19AA4}"/>
    <cellStyle name="20% - Accent3 2 2 6 4" xfId="29523" xr:uid="{314A6D39-B974-4F8F-80E0-FA4DCA586C4A}"/>
    <cellStyle name="20% - Accent3 2 2 7" xfId="9190" xr:uid="{00000000-0005-0000-0000-0000A8100000}"/>
    <cellStyle name="20% - Accent3 2 2 7 2" xfId="17148" xr:uid="{00000000-0005-0000-0000-0000A9100000}"/>
    <cellStyle name="20% - Accent3 2 2 7 2 2" xfId="40988" xr:uid="{D114BB70-9BC6-40F8-9CF0-EAA09D8DFC87}"/>
    <cellStyle name="20% - Accent3 2 2 7 3" xfId="25092" xr:uid="{00000000-0005-0000-0000-0000AA100000}"/>
    <cellStyle name="20% - Accent3 2 2 7 3 2" xfId="48924" xr:uid="{5A6DE8A4-182F-43AC-9C79-189BDB055186}"/>
    <cellStyle name="20% - Accent3 2 2 7 4" xfId="33047" xr:uid="{8EE6DD80-560D-4C51-B623-8B957E20AC55}"/>
    <cellStyle name="20% - Accent3 2 2 8" xfId="10086" xr:uid="{00000000-0005-0000-0000-0000AB100000}"/>
    <cellStyle name="20% - Accent3 2 2 8 2" xfId="33935" xr:uid="{BE88BB93-47EA-43E5-B4D5-A72D56ED9E1E}"/>
    <cellStyle name="20% - Accent3 2 2 9" xfId="18041" xr:uid="{00000000-0005-0000-0000-0000AC100000}"/>
    <cellStyle name="20% - Accent3 2 2 9 2" xfId="41873" xr:uid="{90423A8C-CE9D-4548-886F-B8AB89AE129C}"/>
    <cellStyle name="20% - Accent3 2 2_Exh G" xfId="2223" xr:uid="{00000000-0005-0000-0000-0000AD100000}"/>
    <cellStyle name="20% - Accent3 2 3" xfId="146" xr:uid="{00000000-0005-0000-0000-0000AE100000}"/>
    <cellStyle name="20% - Accent3 2 3 2" xfId="1172" xr:uid="{00000000-0005-0000-0000-0000AF100000}"/>
    <cellStyle name="20% - Accent3 2 3 2 2" xfId="4699" xr:uid="{00000000-0005-0000-0000-0000B0100000}"/>
    <cellStyle name="20% - Accent3 2 3 2 2 2" xfId="8290" xr:uid="{00000000-0005-0000-0000-0000B1100000}"/>
    <cellStyle name="20% - Accent3 2 3 2 2 2 2" xfId="16260" xr:uid="{00000000-0005-0000-0000-0000B2100000}"/>
    <cellStyle name="20% - Accent3 2 3 2 2 2 2 2" xfId="40102" xr:uid="{DC0E59E4-D067-4E68-8A40-79741F683543}"/>
    <cellStyle name="20% - Accent3 2 3 2 2 2 3" xfId="24206" xr:uid="{00000000-0005-0000-0000-0000B3100000}"/>
    <cellStyle name="20% - Accent3 2 3 2 2 2 3 2" xfId="48038" xr:uid="{AA120EAC-BB04-4CDA-B1A3-42EDA0787490}"/>
    <cellStyle name="20% - Accent3 2 3 2 2 2 4" xfId="32161" xr:uid="{023DD547-3C22-4D55-B453-670B4DC276E0}"/>
    <cellStyle name="20% - Accent3 2 3 2 2 3" xfId="12722" xr:uid="{00000000-0005-0000-0000-0000B4100000}"/>
    <cellStyle name="20% - Accent3 2 3 2 2 3 2" xfId="36571" xr:uid="{CE00397F-0706-43F4-B908-235D226CA81B}"/>
    <cellStyle name="20% - Accent3 2 3 2 2 4" xfId="20677" xr:uid="{00000000-0005-0000-0000-0000B5100000}"/>
    <cellStyle name="20% - Accent3 2 3 2 2 4 2" xfId="44509" xr:uid="{34A62BFE-81D5-46C7-94CA-A873B39EB957}"/>
    <cellStyle name="20% - Accent3 2 3 2 2 5" xfId="28630" xr:uid="{83D392B7-640F-4473-A99F-BA0659369329}"/>
    <cellStyle name="20% - Accent3 2 3 2 3" xfId="6531" xr:uid="{00000000-0005-0000-0000-0000B6100000}"/>
    <cellStyle name="20% - Accent3 2 3 2 3 2" xfId="14502" xr:uid="{00000000-0005-0000-0000-0000B7100000}"/>
    <cellStyle name="20% - Accent3 2 3 2 3 2 2" xfId="38344" xr:uid="{52E7BC96-24C9-4368-8C4D-1ED929DF7C70}"/>
    <cellStyle name="20% - Accent3 2 3 2 3 3" xfId="22449" xr:uid="{00000000-0005-0000-0000-0000B8100000}"/>
    <cellStyle name="20% - Accent3 2 3 2 3 3 2" xfId="46281" xr:uid="{C8F100DF-881F-4899-A99D-D9FACB59B8BD}"/>
    <cellStyle name="20% - Accent3 2 3 2 3 4" xfId="30403" xr:uid="{07780B16-A09C-42C6-9F13-AC34BAAA73B3}"/>
    <cellStyle name="20% - Accent3 2 3 2 4" xfId="10966" xr:uid="{00000000-0005-0000-0000-0000B9100000}"/>
    <cellStyle name="20% - Accent3 2 3 2 4 2" xfId="34815" xr:uid="{CC4A9BF8-E650-4CD4-A3FA-137A09474402}"/>
    <cellStyle name="20% - Accent3 2 3 2 5" xfId="18921" xr:uid="{00000000-0005-0000-0000-0000BA100000}"/>
    <cellStyle name="20% - Accent3 2 3 2 5 2" xfId="42753" xr:uid="{FED41EB9-3C9C-42D4-9FB5-C25B4C5474C0}"/>
    <cellStyle name="20% - Accent3 2 3 2 6" xfId="26873" xr:uid="{F642225A-B277-40EA-842B-5B401724217C}"/>
    <cellStyle name="20% - Accent3 2 3 2_Exh G" xfId="2230" xr:uid="{00000000-0005-0000-0000-0000BB100000}"/>
    <cellStyle name="20% - Accent3 2 3 3" xfId="3820" xr:uid="{00000000-0005-0000-0000-0000BC100000}"/>
    <cellStyle name="20% - Accent3 2 3 3 2" xfId="7412" xr:uid="{00000000-0005-0000-0000-0000BD100000}"/>
    <cellStyle name="20% - Accent3 2 3 3 2 2" xfId="15382" xr:uid="{00000000-0005-0000-0000-0000BE100000}"/>
    <cellStyle name="20% - Accent3 2 3 3 2 2 2" xfId="39224" xr:uid="{D8ECD8BD-6592-4E8C-8A0E-1A4E08918F01}"/>
    <cellStyle name="20% - Accent3 2 3 3 2 3" xfId="23328" xr:uid="{00000000-0005-0000-0000-0000BF100000}"/>
    <cellStyle name="20% - Accent3 2 3 3 2 3 2" xfId="47160" xr:uid="{4A0B1ACD-1951-4B8A-94B6-3D56CA337A7C}"/>
    <cellStyle name="20% - Accent3 2 3 3 2 4" xfId="31283" xr:uid="{41AEB8FE-02DE-4469-BF9C-1E0F80176BE4}"/>
    <cellStyle name="20% - Accent3 2 3 3 3" xfId="11844" xr:uid="{00000000-0005-0000-0000-0000C0100000}"/>
    <cellStyle name="20% - Accent3 2 3 3 3 2" xfId="35693" xr:uid="{9FE5A840-861F-4FB0-AFF2-E7FE2CDC94D5}"/>
    <cellStyle name="20% - Accent3 2 3 3 4" xfId="19799" xr:uid="{00000000-0005-0000-0000-0000C1100000}"/>
    <cellStyle name="20% - Accent3 2 3 3 4 2" xfId="43631" xr:uid="{B7EAE1B5-75BB-4148-A80C-7E89762A3147}"/>
    <cellStyle name="20% - Accent3 2 3 3 5" xfId="27752" xr:uid="{3D20AA71-B72C-43CD-B5D3-AA39B2B7E38B}"/>
    <cellStyle name="20% - Accent3 2 3 4" xfId="5640" xr:uid="{00000000-0005-0000-0000-0000C2100000}"/>
    <cellStyle name="20% - Accent3 2 3 4 2" xfId="13623" xr:uid="{00000000-0005-0000-0000-0000C3100000}"/>
    <cellStyle name="20% - Accent3 2 3 4 2 2" xfId="37466" xr:uid="{05EE8B9D-1862-460E-A02B-B8695E8E5127}"/>
    <cellStyle name="20% - Accent3 2 3 4 3" xfId="21571" xr:uid="{00000000-0005-0000-0000-0000C4100000}"/>
    <cellStyle name="20% - Accent3 2 3 4 3 2" xfId="45403" xr:uid="{56BBD1F9-2DAE-453E-B3AE-00226B9D5771}"/>
    <cellStyle name="20% - Accent3 2 3 4 4" xfId="29525" xr:uid="{B604A635-4294-4538-A92E-8B5727E97D10}"/>
    <cellStyle name="20% - Accent3 2 3 5" xfId="9192" xr:uid="{00000000-0005-0000-0000-0000C5100000}"/>
    <cellStyle name="20% - Accent3 2 3 5 2" xfId="17150" xr:uid="{00000000-0005-0000-0000-0000C6100000}"/>
    <cellStyle name="20% - Accent3 2 3 5 2 2" xfId="40990" xr:uid="{AE75AEEB-6A34-496C-AA5C-C26FA42849DB}"/>
    <cellStyle name="20% - Accent3 2 3 5 3" xfId="25094" xr:uid="{00000000-0005-0000-0000-0000C7100000}"/>
    <cellStyle name="20% - Accent3 2 3 5 3 2" xfId="48926" xr:uid="{EC67A32B-8F99-4BBA-AE83-374FBF4D88AB}"/>
    <cellStyle name="20% - Accent3 2 3 5 4" xfId="33049" xr:uid="{BA6127AD-2781-478E-9E9F-AE819D11DF82}"/>
    <cellStyle name="20% - Accent3 2 3 6" xfId="10088" xr:uid="{00000000-0005-0000-0000-0000C8100000}"/>
    <cellStyle name="20% - Accent3 2 3 6 2" xfId="33937" xr:uid="{561D10D0-2D11-423C-AAD7-8D5096BC25FB}"/>
    <cellStyle name="20% - Accent3 2 3 7" xfId="18043" xr:uid="{00000000-0005-0000-0000-0000C9100000}"/>
    <cellStyle name="20% - Accent3 2 3 7 2" xfId="41875" xr:uid="{AA34C8CA-1929-4770-961E-E2AC972EB127}"/>
    <cellStyle name="20% - Accent3 2 3 8" xfId="25995" xr:uid="{6A888F19-C86C-4C01-AEA3-3ED47FF4FC6C}"/>
    <cellStyle name="20% - Accent3 2 3_Exh G" xfId="2229" xr:uid="{00000000-0005-0000-0000-0000CA100000}"/>
    <cellStyle name="20% - Accent3 2 4" xfId="884" xr:uid="{00000000-0005-0000-0000-0000CB100000}"/>
    <cellStyle name="20% - Accent3 2 4 2" xfId="1812" xr:uid="{00000000-0005-0000-0000-0000CC100000}"/>
    <cellStyle name="20% - Accent3 2 4 2 2" xfId="5329" xr:uid="{00000000-0005-0000-0000-0000CD100000}"/>
    <cellStyle name="20% - Accent3 2 4 2 2 2" xfId="8920" xr:uid="{00000000-0005-0000-0000-0000CE100000}"/>
    <cellStyle name="20% - Accent3 2 4 2 2 2 2" xfId="16890" xr:uid="{00000000-0005-0000-0000-0000CF100000}"/>
    <cellStyle name="20% - Accent3 2 4 2 2 2 2 2" xfId="40732" xr:uid="{84C5A620-157C-4EB8-89CD-A94FD5819D11}"/>
    <cellStyle name="20% - Accent3 2 4 2 2 2 3" xfId="24836" xr:uid="{00000000-0005-0000-0000-0000D0100000}"/>
    <cellStyle name="20% - Accent3 2 4 2 2 2 3 2" xfId="48668" xr:uid="{E19C2E72-79C9-487F-B9ED-D62618F4E271}"/>
    <cellStyle name="20% - Accent3 2 4 2 2 2 4" xfId="32791" xr:uid="{6D223C6C-7294-4BFD-899C-D3986ACBC28A}"/>
    <cellStyle name="20% - Accent3 2 4 2 2 3" xfId="13352" xr:uid="{00000000-0005-0000-0000-0000D1100000}"/>
    <cellStyle name="20% - Accent3 2 4 2 2 3 2" xfId="37201" xr:uid="{D16920C3-388E-4FE9-8C75-8D93AA0A17EC}"/>
    <cellStyle name="20% - Accent3 2 4 2 2 4" xfId="21307" xr:uid="{00000000-0005-0000-0000-0000D2100000}"/>
    <cellStyle name="20% - Accent3 2 4 2 2 4 2" xfId="45139" xr:uid="{3BAFCDFF-14B2-42BB-86E8-5E5A50760FDF}"/>
    <cellStyle name="20% - Accent3 2 4 2 2 5" xfId="29260" xr:uid="{64ABAE8F-ABD8-4664-8767-F0EE5753FF02}"/>
    <cellStyle name="20% - Accent3 2 4 2 3" xfId="7161" xr:uid="{00000000-0005-0000-0000-0000D3100000}"/>
    <cellStyle name="20% - Accent3 2 4 2 3 2" xfId="15132" xr:uid="{00000000-0005-0000-0000-0000D4100000}"/>
    <cellStyle name="20% - Accent3 2 4 2 3 2 2" xfId="38974" xr:uid="{5194B528-38B6-4433-A4DB-991B21B56A0D}"/>
    <cellStyle name="20% - Accent3 2 4 2 3 3" xfId="23079" xr:uid="{00000000-0005-0000-0000-0000D5100000}"/>
    <cellStyle name="20% - Accent3 2 4 2 3 3 2" xfId="46911" xr:uid="{0139BA7C-CFAC-4046-ADCB-4035F2D793FB}"/>
    <cellStyle name="20% - Accent3 2 4 2 3 4" xfId="31033" xr:uid="{FAFBD0C8-CD1E-455F-AC2A-E882B1FCD18D}"/>
    <cellStyle name="20% - Accent3 2 4 2 4" xfId="11596" xr:uid="{00000000-0005-0000-0000-0000D6100000}"/>
    <cellStyle name="20% - Accent3 2 4 2 4 2" xfId="35445" xr:uid="{677550C6-88B9-48DB-BF7F-24C9E720E48E}"/>
    <cellStyle name="20% - Accent3 2 4 2 5" xfId="19551" xr:uid="{00000000-0005-0000-0000-0000D7100000}"/>
    <cellStyle name="20% - Accent3 2 4 2 5 2" xfId="43383" xr:uid="{343510BD-142D-4D96-9E05-FBF64E146070}"/>
    <cellStyle name="20% - Accent3 2 4 2 6" xfId="27503" xr:uid="{8449EED3-6249-46B7-8377-3BEC80FCEFA8}"/>
    <cellStyle name="20% - Accent3 2 4 2_Exh G" xfId="2232" xr:uid="{00000000-0005-0000-0000-0000D8100000}"/>
    <cellStyle name="20% - Accent3 2 4 3" xfId="4450" xr:uid="{00000000-0005-0000-0000-0000D9100000}"/>
    <cellStyle name="20% - Accent3 2 4 3 2" xfId="8042" xr:uid="{00000000-0005-0000-0000-0000DA100000}"/>
    <cellStyle name="20% - Accent3 2 4 3 2 2" xfId="16012" xr:uid="{00000000-0005-0000-0000-0000DB100000}"/>
    <cellStyle name="20% - Accent3 2 4 3 2 2 2" xfId="39854" xr:uid="{8104E706-9175-4B80-888D-E807D8377308}"/>
    <cellStyle name="20% - Accent3 2 4 3 2 3" xfId="23958" xr:uid="{00000000-0005-0000-0000-0000DC100000}"/>
    <cellStyle name="20% - Accent3 2 4 3 2 3 2" xfId="47790" xr:uid="{C2CCDAE2-B1A6-4927-BDF2-1B02C99AAABD}"/>
    <cellStyle name="20% - Accent3 2 4 3 2 4" xfId="31913" xr:uid="{34479D9A-F7A4-43E2-A2CF-33C2904C000E}"/>
    <cellStyle name="20% - Accent3 2 4 3 3" xfId="12474" xr:uid="{00000000-0005-0000-0000-0000DD100000}"/>
    <cellStyle name="20% - Accent3 2 4 3 3 2" xfId="36323" xr:uid="{3BF3436B-891D-4378-98C4-A83F17EFB6B8}"/>
    <cellStyle name="20% - Accent3 2 4 3 4" xfId="20429" xr:uid="{00000000-0005-0000-0000-0000DE100000}"/>
    <cellStyle name="20% - Accent3 2 4 3 4 2" xfId="44261" xr:uid="{018C9D0E-C337-4DE0-8AA8-2F96DD428299}"/>
    <cellStyle name="20% - Accent3 2 4 3 5" xfId="28382" xr:uid="{0C4900EA-7DAA-4CE5-B706-7304E175A2B3}"/>
    <cellStyle name="20% - Accent3 2 4 4" xfId="6280" xr:uid="{00000000-0005-0000-0000-0000DF100000}"/>
    <cellStyle name="20% - Accent3 2 4 4 2" xfId="14254" xr:uid="{00000000-0005-0000-0000-0000E0100000}"/>
    <cellStyle name="20% - Accent3 2 4 4 2 2" xfId="38096" xr:uid="{8F814DF7-4DE9-465B-A675-60E149750095}"/>
    <cellStyle name="20% - Accent3 2 4 4 3" xfId="22201" xr:uid="{00000000-0005-0000-0000-0000E1100000}"/>
    <cellStyle name="20% - Accent3 2 4 4 3 2" xfId="46033" xr:uid="{D5CE6114-DC28-4BDE-9B37-C884EC7FB6ED}"/>
    <cellStyle name="20% - Accent3 2 4 4 4" xfId="30155" xr:uid="{E5801268-0299-4A68-93C0-2A51FA7BF0BF}"/>
    <cellStyle name="20% - Accent3 2 4 5" xfId="9822" xr:uid="{00000000-0005-0000-0000-0000E2100000}"/>
    <cellStyle name="20% - Accent3 2 4 5 2" xfId="17780" xr:uid="{00000000-0005-0000-0000-0000E3100000}"/>
    <cellStyle name="20% - Accent3 2 4 5 2 2" xfId="41620" xr:uid="{2B35D5EA-27E1-444D-90F1-841396107A59}"/>
    <cellStyle name="20% - Accent3 2 4 5 3" xfId="25724" xr:uid="{00000000-0005-0000-0000-0000E4100000}"/>
    <cellStyle name="20% - Accent3 2 4 5 3 2" xfId="49556" xr:uid="{C8F8AE57-C58F-49D5-84F8-56E4211267B5}"/>
    <cellStyle name="20% - Accent3 2 4 5 4" xfId="33679" xr:uid="{53EE03DA-BD1B-483E-B9CA-74F32DA7F8A7}"/>
    <cellStyle name="20% - Accent3 2 4 6" xfId="10718" xr:uid="{00000000-0005-0000-0000-0000E5100000}"/>
    <cellStyle name="20% - Accent3 2 4 6 2" xfId="34567" xr:uid="{56AD8EDE-E42E-4DD8-A7A1-8CD950AF14DB}"/>
    <cellStyle name="20% - Accent3 2 4 7" xfId="18673" xr:uid="{00000000-0005-0000-0000-0000E6100000}"/>
    <cellStyle name="20% - Accent3 2 4 7 2" xfId="42505" xr:uid="{4EA8F603-B746-48B4-8238-6C3908D0C1BF}"/>
    <cellStyle name="20% - Accent3 2 4 8" xfId="26625" xr:uid="{693AC9A4-EABB-4EEF-97FB-86E2782B8F18}"/>
    <cellStyle name="20% - Accent3 2 4_Exh G" xfId="2231" xr:uid="{00000000-0005-0000-0000-0000E7100000}"/>
    <cellStyle name="20% - Accent3 2 5" xfId="1169" xr:uid="{00000000-0005-0000-0000-0000E8100000}"/>
    <cellStyle name="20% - Accent3 2 5 2" xfId="4696" xr:uid="{00000000-0005-0000-0000-0000E9100000}"/>
    <cellStyle name="20% - Accent3 2 5 2 2" xfId="8287" xr:uid="{00000000-0005-0000-0000-0000EA100000}"/>
    <cellStyle name="20% - Accent3 2 5 2 2 2" xfId="16257" xr:uid="{00000000-0005-0000-0000-0000EB100000}"/>
    <cellStyle name="20% - Accent3 2 5 2 2 2 2" xfId="40099" xr:uid="{7C8D4F85-C14A-4C5B-8B03-929A6F63959E}"/>
    <cellStyle name="20% - Accent3 2 5 2 2 3" xfId="24203" xr:uid="{00000000-0005-0000-0000-0000EC100000}"/>
    <cellStyle name="20% - Accent3 2 5 2 2 3 2" xfId="48035" xr:uid="{E7289D68-1D81-43FE-87AD-6A671E0AE116}"/>
    <cellStyle name="20% - Accent3 2 5 2 2 4" xfId="32158" xr:uid="{BC8E65D2-8730-4C0E-8334-48A9BB8DDC34}"/>
    <cellStyle name="20% - Accent3 2 5 2 3" xfId="12719" xr:uid="{00000000-0005-0000-0000-0000ED100000}"/>
    <cellStyle name="20% - Accent3 2 5 2 3 2" xfId="36568" xr:uid="{C0447495-707C-4912-9433-98F84D4EA6D6}"/>
    <cellStyle name="20% - Accent3 2 5 2 4" xfId="20674" xr:uid="{00000000-0005-0000-0000-0000EE100000}"/>
    <cellStyle name="20% - Accent3 2 5 2 4 2" xfId="44506" xr:uid="{94ED6537-A5F1-4B4F-B8E1-F85CFF801220}"/>
    <cellStyle name="20% - Accent3 2 5 2 5" xfId="28627" xr:uid="{D4968BC5-D34A-4E02-90C2-D62E636C693A}"/>
    <cellStyle name="20% - Accent3 2 5 3" xfId="6528" xr:uid="{00000000-0005-0000-0000-0000EF100000}"/>
    <cellStyle name="20% - Accent3 2 5 3 2" xfId="14499" xr:uid="{00000000-0005-0000-0000-0000F0100000}"/>
    <cellStyle name="20% - Accent3 2 5 3 2 2" xfId="38341" xr:uid="{D7D784BB-9CCC-4A21-BFF9-C9139261CAED}"/>
    <cellStyle name="20% - Accent3 2 5 3 3" xfId="22446" xr:uid="{00000000-0005-0000-0000-0000F1100000}"/>
    <cellStyle name="20% - Accent3 2 5 3 3 2" xfId="46278" xr:uid="{14DEDEEC-E5D0-4C09-8117-7F2C4A55E495}"/>
    <cellStyle name="20% - Accent3 2 5 3 4" xfId="30400" xr:uid="{97F40FD4-3384-49D2-A141-C8B0DA7FD766}"/>
    <cellStyle name="20% - Accent3 2 5 4" xfId="10963" xr:uid="{00000000-0005-0000-0000-0000F2100000}"/>
    <cellStyle name="20% - Accent3 2 5 4 2" xfId="34812" xr:uid="{21CA7674-CD77-4F83-AFA7-6AD03D7281BE}"/>
    <cellStyle name="20% - Accent3 2 5 5" xfId="18918" xr:uid="{00000000-0005-0000-0000-0000F3100000}"/>
    <cellStyle name="20% - Accent3 2 5 5 2" xfId="42750" xr:uid="{C61CB26F-9ACB-447A-9E16-9310143D2442}"/>
    <cellStyle name="20% - Accent3 2 5 6" xfId="26870" xr:uid="{6E8ECB2A-2498-4F47-9A8B-E78E682A9AAE}"/>
    <cellStyle name="20% - Accent3 2 5_Exh G" xfId="2233" xr:uid="{00000000-0005-0000-0000-0000F4100000}"/>
    <cellStyle name="20% - Accent3 2 6" xfId="3817" xr:uid="{00000000-0005-0000-0000-0000F5100000}"/>
    <cellStyle name="20% - Accent3 2 6 2" xfId="7409" xr:uid="{00000000-0005-0000-0000-0000F6100000}"/>
    <cellStyle name="20% - Accent3 2 6 2 2" xfId="15379" xr:uid="{00000000-0005-0000-0000-0000F7100000}"/>
    <cellStyle name="20% - Accent3 2 6 2 2 2" xfId="39221" xr:uid="{715F4299-868A-42AF-8B78-7B9A389F3948}"/>
    <cellStyle name="20% - Accent3 2 6 2 3" xfId="23325" xr:uid="{00000000-0005-0000-0000-0000F8100000}"/>
    <cellStyle name="20% - Accent3 2 6 2 3 2" xfId="47157" xr:uid="{8D51EA9C-FD61-4020-9CF5-E61B2155C357}"/>
    <cellStyle name="20% - Accent3 2 6 2 4" xfId="31280" xr:uid="{5AF7F7C8-8F72-408D-84A4-600D1E82CDDB}"/>
    <cellStyle name="20% - Accent3 2 6 3" xfId="11841" xr:uid="{00000000-0005-0000-0000-0000F9100000}"/>
    <cellStyle name="20% - Accent3 2 6 3 2" xfId="35690" xr:uid="{A9D3855C-A9F3-420D-B15C-432118BCB120}"/>
    <cellStyle name="20% - Accent3 2 6 4" xfId="19796" xr:uid="{00000000-0005-0000-0000-0000FA100000}"/>
    <cellStyle name="20% - Accent3 2 6 4 2" xfId="43628" xr:uid="{5212F338-7FB5-4BF8-BC5A-1DE725674AD0}"/>
    <cellStyle name="20% - Accent3 2 6 5" xfId="27749" xr:uid="{1ACFDEB8-4A52-41A6-B463-DC082650E51C}"/>
    <cellStyle name="20% - Accent3 2 7" xfId="5637" xr:uid="{00000000-0005-0000-0000-0000FB100000}"/>
    <cellStyle name="20% - Accent3 2 7 2" xfId="13620" xr:uid="{00000000-0005-0000-0000-0000FC100000}"/>
    <cellStyle name="20% - Accent3 2 7 2 2" xfId="37463" xr:uid="{BC85502C-E1B5-4B8B-B413-2F0B2452BFDA}"/>
    <cellStyle name="20% - Accent3 2 7 3" xfId="21568" xr:uid="{00000000-0005-0000-0000-0000FD100000}"/>
    <cellStyle name="20% - Accent3 2 7 3 2" xfId="45400" xr:uid="{44358F39-64C1-4447-BBA0-224CC136BC39}"/>
    <cellStyle name="20% - Accent3 2 7 4" xfId="29522" xr:uid="{9FA25383-908F-4CE6-AC52-35052E9DF679}"/>
    <cellStyle name="20% - Accent3 2 8" xfId="9189" xr:uid="{00000000-0005-0000-0000-0000FE100000}"/>
    <cellStyle name="20% - Accent3 2 8 2" xfId="17147" xr:uid="{00000000-0005-0000-0000-0000FF100000}"/>
    <cellStyle name="20% - Accent3 2 8 2 2" xfId="40987" xr:uid="{73684FB1-BCCF-4E93-94D8-AFD29A20AAB8}"/>
    <cellStyle name="20% - Accent3 2 8 3" xfId="25091" xr:uid="{00000000-0005-0000-0000-000000110000}"/>
    <cellStyle name="20% - Accent3 2 8 3 2" xfId="48923" xr:uid="{6E0E0E90-FCF7-48F3-BDD2-9F1193ABEAC8}"/>
    <cellStyle name="20% - Accent3 2 8 4" xfId="33046" xr:uid="{5B7B9966-3BFF-4B96-9B8E-07F6026F0993}"/>
    <cellStyle name="20% - Accent3 2 9" xfId="10085" xr:uid="{00000000-0005-0000-0000-000001110000}"/>
    <cellStyle name="20% - Accent3 2 9 2" xfId="33934" xr:uid="{42BC4D13-62F4-4DE3-8CE7-9F6F869E8241}"/>
    <cellStyle name="20% - Accent3 2_Exh G" xfId="2222" xr:uid="{00000000-0005-0000-0000-000002110000}"/>
    <cellStyle name="20% - Accent3 3" xfId="147" xr:uid="{00000000-0005-0000-0000-000003110000}"/>
    <cellStyle name="20% - Accent3 3 10" xfId="18044" xr:uid="{00000000-0005-0000-0000-000004110000}"/>
    <cellStyle name="20% - Accent3 3 10 2" xfId="41876" xr:uid="{B6640E53-07BE-47A5-B7D8-9A3968FE0788}"/>
    <cellStyle name="20% - Accent3 3 11" xfId="25996" xr:uid="{E33CD951-3B31-4820-9110-7FC01A26248F}"/>
    <cellStyle name="20% - Accent3 3 12" xfId="49758" xr:uid="{44423A31-A165-4E2F-A96B-1B515125CDFD}"/>
    <cellStyle name="20% - Accent3 3 13" xfId="49812" xr:uid="{FD0A2C74-BFAF-4DD1-9F8B-1384F2D6860F}"/>
    <cellStyle name="20% - Accent3 3 2" xfId="148" xr:uid="{00000000-0005-0000-0000-000005110000}"/>
    <cellStyle name="20% - Accent3 3 2 10" xfId="25997" xr:uid="{6765FC4D-0F1C-47D3-845B-7FAEF81FC25E}"/>
    <cellStyle name="20% - Accent3 3 2 2" xfId="149" xr:uid="{00000000-0005-0000-0000-000006110000}"/>
    <cellStyle name="20% - Accent3 3 2 2 2" xfId="1175" xr:uid="{00000000-0005-0000-0000-000007110000}"/>
    <cellStyle name="20% - Accent3 3 2 2 2 2" xfId="4702" xr:uid="{00000000-0005-0000-0000-000008110000}"/>
    <cellStyle name="20% - Accent3 3 2 2 2 2 2" xfId="8293" xr:uid="{00000000-0005-0000-0000-000009110000}"/>
    <cellStyle name="20% - Accent3 3 2 2 2 2 2 2" xfId="16263" xr:uid="{00000000-0005-0000-0000-00000A110000}"/>
    <cellStyle name="20% - Accent3 3 2 2 2 2 2 2 2" xfId="40105" xr:uid="{7AA3C23B-3CE7-4EB3-84AD-2DB770639934}"/>
    <cellStyle name="20% - Accent3 3 2 2 2 2 2 3" xfId="24209" xr:uid="{00000000-0005-0000-0000-00000B110000}"/>
    <cellStyle name="20% - Accent3 3 2 2 2 2 2 3 2" xfId="48041" xr:uid="{F581D678-588E-411C-960A-1CD7BCD065C6}"/>
    <cellStyle name="20% - Accent3 3 2 2 2 2 2 4" xfId="32164" xr:uid="{8716416D-3ABF-429A-B9D5-79C720C90350}"/>
    <cellStyle name="20% - Accent3 3 2 2 2 2 3" xfId="12725" xr:uid="{00000000-0005-0000-0000-00000C110000}"/>
    <cellStyle name="20% - Accent3 3 2 2 2 2 3 2" xfId="36574" xr:uid="{9C994AA1-BACC-4B6A-8320-292328331062}"/>
    <cellStyle name="20% - Accent3 3 2 2 2 2 4" xfId="20680" xr:uid="{00000000-0005-0000-0000-00000D110000}"/>
    <cellStyle name="20% - Accent3 3 2 2 2 2 4 2" xfId="44512" xr:uid="{E278D113-4DD1-4350-8A19-476315E31408}"/>
    <cellStyle name="20% - Accent3 3 2 2 2 2 5" xfId="28633" xr:uid="{B8CED45F-16B6-4F49-88D9-992719F17154}"/>
    <cellStyle name="20% - Accent3 3 2 2 2 3" xfId="6534" xr:uid="{00000000-0005-0000-0000-00000E110000}"/>
    <cellStyle name="20% - Accent3 3 2 2 2 3 2" xfId="14505" xr:uid="{00000000-0005-0000-0000-00000F110000}"/>
    <cellStyle name="20% - Accent3 3 2 2 2 3 2 2" xfId="38347" xr:uid="{8C8FAF62-DAA6-47E6-B229-1F4874F45F48}"/>
    <cellStyle name="20% - Accent3 3 2 2 2 3 3" xfId="22452" xr:uid="{00000000-0005-0000-0000-000010110000}"/>
    <cellStyle name="20% - Accent3 3 2 2 2 3 3 2" xfId="46284" xr:uid="{BFD2A558-DC07-4185-A49F-7E37DAF175EB}"/>
    <cellStyle name="20% - Accent3 3 2 2 2 3 4" xfId="30406" xr:uid="{3FD0A461-9F2A-43E6-A0C3-8D7E00970525}"/>
    <cellStyle name="20% - Accent3 3 2 2 2 4" xfId="10969" xr:uid="{00000000-0005-0000-0000-000011110000}"/>
    <cellStyle name="20% - Accent3 3 2 2 2 4 2" xfId="34818" xr:uid="{72158BF1-0A92-4403-B6F7-F42D90A14323}"/>
    <cellStyle name="20% - Accent3 3 2 2 2 5" xfId="18924" xr:uid="{00000000-0005-0000-0000-000012110000}"/>
    <cellStyle name="20% - Accent3 3 2 2 2 5 2" xfId="42756" xr:uid="{99A1FA0D-C64B-48A4-9B35-18913CE113EF}"/>
    <cellStyle name="20% - Accent3 3 2 2 2 6" xfId="26876" xr:uid="{7C989B61-DB3E-492D-A038-5B9190B01930}"/>
    <cellStyle name="20% - Accent3 3 2 2 2_Exh G" xfId="2237" xr:uid="{00000000-0005-0000-0000-000013110000}"/>
    <cellStyle name="20% - Accent3 3 2 2 3" xfId="3823" xr:uid="{00000000-0005-0000-0000-000014110000}"/>
    <cellStyle name="20% - Accent3 3 2 2 3 2" xfId="7415" xr:uid="{00000000-0005-0000-0000-000015110000}"/>
    <cellStyle name="20% - Accent3 3 2 2 3 2 2" xfId="15385" xr:uid="{00000000-0005-0000-0000-000016110000}"/>
    <cellStyle name="20% - Accent3 3 2 2 3 2 2 2" xfId="39227" xr:uid="{BC73361E-029C-4BF6-B2B8-A1B0C7118023}"/>
    <cellStyle name="20% - Accent3 3 2 2 3 2 3" xfId="23331" xr:uid="{00000000-0005-0000-0000-000017110000}"/>
    <cellStyle name="20% - Accent3 3 2 2 3 2 3 2" xfId="47163" xr:uid="{2F51992F-ACCA-46CD-9BE3-10F17D2196BC}"/>
    <cellStyle name="20% - Accent3 3 2 2 3 2 4" xfId="31286" xr:uid="{A4E0527E-FF01-43A3-B9AF-E3DF9919BF46}"/>
    <cellStyle name="20% - Accent3 3 2 2 3 3" xfId="11847" xr:uid="{00000000-0005-0000-0000-000018110000}"/>
    <cellStyle name="20% - Accent3 3 2 2 3 3 2" xfId="35696" xr:uid="{0F8C5A18-FA04-4E02-A89E-6A2A196ED5D9}"/>
    <cellStyle name="20% - Accent3 3 2 2 3 4" xfId="19802" xr:uid="{00000000-0005-0000-0000-000019110000}"/>
    <cellStyle name="20% - Accent3 3 2 2 3 4 2" xfId="43634" xr:uid="{FF89FC8F-57B4-4766-A6F3-E9B70770CF25}"/>
    <cellStyle name="20% - Accent3 3 2 2 3 5" xfId="27755" xr:uid="{CD93CDDB-63CD-422D-9366-D9827031D074}"/>
    <cellStyle name="20% - Accent3 3 2 2 4" xfId="5643" xr:uid="{00000000-0005-0000-0000-00001A110000}"/>
    <cellStyle name="20% - Accent3 3 2 2 4 2" xfId="13626" xr:uid="{00000000-0005-0000-0000-00001B110000}"/>
    <cellStyle name="20% - Accent3 3 2 2 4 2 2" xfId="37469" xr:uid="{694A13F4-CB98-449F-92C2-793A505D209D}"/>
    <cellStyle name="20% - Accent3 3 2 2 4 3" xfId="21574" xr:uid="{00000000-0005-0000-0000-00001C110000}"/>
    <cellStyle name="20% - Accent3 3 2 2 4 3 2" xfId="45406" xr:uid="{E93798FE-8350-4580-9BA0-B01F196A5A2E}"/>
    <cellStyle name="20% - Accent3 3 2 2 4 4" xfId="29528" xr:uid="{AAB24E8A-4330-4B38-B624-D8EA68B94461}"/>
    <cellStyle name="20% - Accent3 3 2 2 5" xfId="9195" xr:uid="{00000000-0005-0000-0000-00001D110000}"/>
    <cellStyle name="20% - Accent3 3 2 2 5 2" xfId="17153" xr:uid="{00000000-0005-0000-0000-00001E110000}"/>
    <cellStyle name="20% - Accent3 3 2 2 5 2 2" xfId="40993" xr:uid="{C69C2F05-2231-4DEA-9366-A3B11B9C5682}"/>
    <cellStyle name="20% - Accent3 3 2 2 5 3" xfId="25097" xr:uid="{00000000-0005-0000-0000-00001F110000}"/>
    <cellStyle name="20% - Accent3 3 2 2 5 3 2" xfId="48929" xr:uid="{B798CB7A-56A2-4F8A-B0F0-9027DA0A080B}"/>
    <cellStyle name="20% - Accent3 3 2 2 5 4" xfId="33052" xr:uid="{368CF842-24C4-4A88-8486-707A61DD9D87}"/>
    <cellStyle name="20% - Accent3 3 2 2 6" xfId="10091" xr:uid="{00000000-0005-0000-0000-000020110000}"/>
    <cellStyle name="20% - Accent3 3 2 2 6 2" xfId="33940" xr:uid="{A731CD04-7654-4942-9A9E-37FC2C44EAEB}"/>
    <cellStyle name="20% - Accent3 3 2 2 7" xfId="18046" xr:uid="{00000000-0005-0000-0000-000021110000}"/>
    <cellStyle name="20% - Accent3 3 2 2 7 2" xfId="41878" xr:uid="{F47729C4-7B86-4D10-9F79-39AB2E3428ED}"/>
    <cellStyle name="20% - Accent3 3 2 2 8" xfId="25998" xr:uid="{11C8EF43-ED95-4CDC-BB32-0289BAAA3A27}"/>
    <cellStyle name="20% - Accent3 3 2 2_Exh G" xfId="2236" xr:uid="{00000000-0005-0000-0000-000022110000}"/>
    <cellStyle name="20% - Accent3 3 2 3" xfId="887" xr:uid="{00000000-0005-0000-0000-000023110000}"/>
    <cellStyle name="20% - Accent3 3 2 3 2" xfId="1815" xr:uid="{00000000-0005-0000-0000-000024110000}"/>
    <cellStyle name="20% - Accent3 3 2 3 2 2" xfId="5332" xr:uid="{00000000-0005-0000-0000-000025110000}"/>
    <cellStyle name="20% - Accent3 3 2 3 2 2 2" xfId="8923" xr:uid="{00000000-0005-0000-0000-000026110000}"/>
    <cellStyle name="20% - Accent3 3 2 3 2 2 2 2" xfId="16893" xr:uid="{00000000-0005-0000-0000-000027110000}"/>
    <cellStyle name="20% - Accent3 3 2 3 2 2 2 2 2" xfId="40735" xr:uid="{75166FA3-CE47-460A-A8F4-3054F2A4FE2F}"/>
    <cellStyle name="20% - Accent3 3 2 3 2 2 2 3" xfId="24839" xr:uid="{00000000-0005-0000-0000-000028110000}"/>
    <cellStyle name="20% - Accent3 3 2 3 2 2 2 3 2" xfId="48671" xr:uid="{0DF50CCE-6C9A-40B4-B43B-F52614A1C9A0}"/>
    <cellStyle name="20% - Accent3 3 2 3 2 2 2 4" xfId="32794" xr:uid="{FF15A37D-9125-4A8E-B3C4-7D257DFA2B9F}"/>
    <cellStyle name="20% - Accent3 3 2 3 2 2 3" xfId="13355" xr:uid="{00000000-0005-0000-0000-000029110000}"/>
    <cellStyle name="20% - Accent3 3 2 3 2 2 3 2" xfId="37204" xr:uid="{B40C1BA1-00C5-481F-B10B-60F368ACD2F3}"/>
    <cellStyle name="20% - Accent3 3 2 3 2 2 4" xfId="21310" xr:uid="{00000000-0005-0000-0000-00002A110000}"/>
    <cellStyle name="20% - Accent3 3 2 3 2 2 4 2" xfId="45142" xr:uid="{14C4D09B-E0ED-431F-9114-0BC8C652B81A}"/>
    <cellStyle name="20% - Accent3 3 2 3 2 2 5" xfId="29263" xr:uid="{4642E083-0874-45D7-A99C-80A45A35BCA3}"/>
    <cellStyle name="20% - Accent3 3 2 3 2 3" xfId="7164" xr:uid="{00000000-0005-0000-0000-00002B110000}"/>
    <cellStyle name="20% - Accent3 3 2 3 2 3 2" xfId="15135" xr:uid="{00000000-0005-0000-0000-00002C110000}"/>
    <cellStyle name="20% - Accent3 3 2 3 2 3 2 2" xfId="38977" xr:uid="{A9D7C917-644E-4FED-8017-48B029D4D06C}"/>
    <cellStyle name="20% - Accent3 3 2 3 2 3 3" xfId="23082" xr:uid="{00000000-0005-0000-0000-00002D110000}"/>
    <cellStyle name="20% - Accent3 3 2 3 2 3 3 2" xfId="46914" xr:uid="{6DAAC91E-C9BE-4727-A8A5-33E93F9EAB0E}"/>
    <cellStyle name="20% - Accent3 3 2 3 2 3 4" xfId="31036" xr:uid="{B191C312-5CBA-4108-8762-007DC6D0B848}"/>
    <cellStyle name="20% - Accent3 3 2 3 2 4" xfId="11599" xr:uid="{00000000-0005-0000-0000-00002E110000}"/>
    <cellStyle name="20% - Accent3 3 2 3 2 4 2" xfId="35448" xr:uid="{FAAB74FB-B621-4353-9BD4-F9BA4700A247}"/>
    <cellStyle name="20% - Accent3 3 2 3 2 5" xfId="19554" xr:uid="{00000000-0005-0000-0000-00002F110000}"/>
    <cellStyle name="20% - Accent3 3 2 3 2 5 2" xfId="43386" xr:uid="{992F19A0-E140-4B8A-896B-EF5785C8B3DF}"/>
    <cellStyle name="20% - Accent3 3 2 3 2 6" xfId="27506" xr:uid="{6BBCD1B7-0934-42BB-A4F1-EB18D97D77C0}"/>
    <cellStyle name="20% - Accent3 3 2 3 2_Exh G" xfId="2239" xr:uid="{00000000-0005-0000-0000-000030110000}"/>
    <cellStyle name="20% - Accent3 3 2 3 3" xfId="4453" xr:uid="{00000000-0005-0000-0000-000031110000}"/>
    <cellStyle name="20% - Accent3 3 2 3 3 2" xfId="8045" xr:uid="{00000000-0005-0000-0000-000032110000}"/>
    <cellStyle name="20% - Accent3 3 2 3 3 2 2" xfId="16015" xr:uid="{00000000-0005-0000-0000-000033110000}"/>
    <cellStyle name="20% - Accent3 3 2 3 3 2 2 2" xfId="39857" xr:uid="{70FD0A5D-DF72-42C7-A600-50BB13E277DE}"/>
    <cellStyle name="20% - Accent3 3 2 3 3 2 3" xfId="23961" xr:uid="{00000000-0005-0000-0000-000034110000}"/>
    <cellStyle name="20% - Accent3 3 2 3 3 2 3 2" xfId="47793" xr:uid="{89DE9424-00B4-4FA0-9ACB-D22D86106278}"/>
    <cellStyle name="20% - Accent3 3 2 3 3 2 4" xfId="31916" xr:uid="{6B48AF1C-4E43-4697-B554-84BF4DCBDF97}"/>
    <cellStyle name="20% - Accent3 3 2 3 3 3" xfId="12477" xr:uid="{00000000-0005-0000-0000-000035110000}"/>
    <cellStyle name="20% - Accent3 3 2 3 3 3 2" xfId="36326" xr:uid="{63191912-2FD9-4367-BC5B-871BD7243F57}"/>
    <cellStyle name="20% - Accent3 3 2 3 3 4" xfId="20432" xr:uid="{00000000-0005-0000-0000-000036110000}"/>
    <cellStyle name="20% - Accent3 3 2 3 3 4 2" xfId="44264" xr:uid="{80CABD3C-6F88-4B43-A184-7F684A4A628F}"/>
    <cellStyle name="20% - Accent3 3 2 3 3 5" xfId="28385" xr:uid="{5CE15C19-97CE-4786-A10D-79B98CF7F63D}"/>
    <cellStyle name="20% - Accent3 3 2 3 4" xfId="6283" xr:uid="{00000000-0005-0000-0000-000037110000}"/>
    <cellStyle name="20% - Accent3 3 2 3 4 2" xfId="14257" xr:uid="{00000000-0005-0000-0000-000038110000}"/>
    <cellStyle name="20% - Accent3 3 2 3 4 2 2" xfId="38099" xr:uid="{DD3774A2-86B3-4A89-B001-BB2F0E1F1CA1}"/>
    <cellStyle name="20% - Accent3 3 2 3 4 3" xfId="22204" xr:uid="{00000000-0005-0000-0000-000039110000}"/>
    <cellStyle name="20% - Accent3 3 2 3 4 3 2" xfId="46036" xr:uid="{79E13012-7263-4894-A0C3-8276FEEFE144}"/>
    <cellStyle name="20% - Accent3 3 2 3 4 4" xfId="30158" xr:uid="{2460FA36-DFA1-4D9B-ADF3-0A1DCEBD196F}"/>
    <cellStyle name="20% - Accent3 3 2 3 5" xfId="9825" xr:uid="{00000000-0005-0000-0000-00003A110000}"/>
    <cellStyle name="20% - Accent3 3 2 3 5 2" xfId="17783" xr:uid="{00000000-0005-0000-0000-00003B110000}"/>
    <cellStyle name="20% - Accent3 3 2 3 5 2 2" xfId="41623" xr:uid="{80D33100-B0E3-4251-8831-9FC6333CF75D}"/>
    <cellStyle name="20% - Accent3 3 2 3 5 3" xfId="25727" xr:uid="{00000000-0005-0000-0000-00003C110000}"/>
    <cellStyle name="20% - Accent3 3 2 3 5 3 2" xfId="49559" xr:uid="{2221BE4C-AC94-44B0-A7C7-A5669618161A}"/>
    <cellStyle name="20% - Accent3 3 2 3 5 4" xfId="33682" xr:uid="{07571BA0-C3FB-4B23-B80C-D41642102A51}"/>
    <cellStyle name="20% - Accent3 3 2 3 6" xfId="10721" xr:uid="{00000000-0005-0000-0000-00003D110000}"/>
    <cellStyle name="20% - Accent3 3 2 3 6 2" xfId="34570" xr:uid="{6EC427FD-45AF-4E19-A794-A19158979792}"/>
    <cellStyle name="20% - Accent3 3 2 3 7" xfId="18676" xr:uid="{00000000-0005-0000-0000-00003E110000}"/>
    <cellStyle name="20% - Accent3 3 2 3 7 2" xfId="42508" xr:uid="{8429BBED-97F0-4F57-A90E-C4F031241568}"/>
    <cellStyle name="20% - Accent3 3 2 3 8" xfId="26628" xr:uid="{478A6804-56D2-4403-BC4C-D32C39D5E2A1}"/>
    <cellStyle name="20% - Accent3 3 2 3_Exh G" xfId="2238" xr:uid="{00000000-0005-0000-0000-00003F110000}"/>
    <cellStyle name="20% - Accent3 3 2 4" xfId="1174" xr:uid="{00000000-0005-0000-0000-000040110000}"/>
    <cellStyle name="20% - Accent3 3 2 4 2" xfId="4701" xr:uid="{00000000-0005-0000-0000-000041110000}"/>
    <cellStyle name="20% - Accent3 3 2 4 2 2" xfId="8292" xr:uid="{00000000-0005-0000-0000-000042110000}"/>
    <cellStyle name="20% - Accent3 3 2 4 2 2 2" xfId="16262" xr:uid="{00000000-0005-0000-0000-000043110000}"/>
    <cellStyle name="20% - Accent3 3 2 4 2 2 2 2" xfId="40104" xr:uid="{409625B8-B2D9-40EE-910F-3B99694BB163}"/>
    <cellStyle name="20% - Accent3 3 2 4 2 2 3" xfId="24208" xr:uid="{00000000-0005-0000-0000-000044110000}"/>
    <cellStyle name="20% - Accent3 3 2 4 2 2 3 2" xfId="48040" xr:uid="{383086C4-A2A9-44C8-9870-CAC7B1344B35}"/>
    <cellStyle name="20% - Accent3 3 2 4 2 2 4" xfId="32163" xr:uid="{0D734858-D989-46AE-895C-11CDA1C26441}"/>
    <cellStyle name="20% - Accent3 3 2 4 2 3" xfId="12724" xr:uid="{00000000-0005-0000-0000-000045110000}"/>
    <cellStyle name="20% - Accent3 3 2 4 2 3 2" xfId="36573" xr:uid="{FC89607E-AED3-41F1-87F5-CEF5E69B7053}"/>
    <cellStyle name="20% - Accent3 3 2 4 2 4" xfId="20679" xr:uid="{00000000-0005-0000-0000-000046110000}"/>
    <cellStyle name="20% - Accent3 3 2 4 2 4 2" xfId="44511" xr:uid="{3C36ADBD-E1BD-4EA7-941B-4FC42BEB86C1}"/>
    <cellStyle name="20% - Accent3 3 2 4 2 5" xfId="28632" xr:uid="{8B506D6A-FB67-40FA-876C-8ABF57E62F9B}"/>
    <cellStyle name="20% - Accent3 3 2 4 3" xfId="6533" xr:uid="{00000000-0005-0000-0000-000047110000}"/>
    <cellStyle name="20% - Accent3 3 2 4 3 2" xfId="14504" xr:uid="{00000000-0005-0000-0000-000048110000}"/>
    <cellStyle name="20% - Accent3 3 2 4 3 2 2" xfId="38346" xr:uid="{C589E230-9FD6-4F65-8F51-D18BB5C3A151}"/>
    <cellStyle name="20% - Accent3 3 2 4 3 3" xfId="22451" xr:uid="{00000000-0005-0000-0000-000049110000}"/>
    <cellStyle name="20% - Accent3 3 2 4 3 3 2" xfId="46283" xr:uid="{40E62B21-ED33-4759-B3B1-71988C99C434}"/>
    <cellStyle name="20% - Accent3 3 2 4 3 4" xfId="30405" xr:uid="{72051928-62EC-4563-9A12-F9F83CCE354E}"/>
    <cellStyle name="20% - Accent3 3 2 4 4" xfId="10968" xr:uid="{00000000-0005-0000-0000-00004A110000}"/>
    <cellStyle name="20% - Accent3 3 2 4 4 2" xfId="34817" xr:uid="{E4FBB09E-7FAD-4A27-9031-00A7F3696A39}"/>
    <cellStyle name="20% - Accent3 3 2 4 5" xfId="18923" xr:uid="{00000000-0005-0000-0000-00004B110000}"/>
    <cellStyle name="20% - Accent3 3 2 4 5 2" xfId="42755" xr:uid="{60CAC234-6003-4A0E-8A07-44D7617CD1C2}"/>
    <cellStyle name="20% - Accent3 3 2 4 6" xfId="26875" xr:uid="{AA75BFD0-E161-4011-BC25-EF46E08FD5B5}"/>
    <cellStyle name="20% - Accent3 3 2 4_Exh G" xfId="2240" xr:uid="{00000000-0005-0000-0000-00004C110000}"/>
    <cellStyle name="20% - Accent3 3 2 5" xfId="3822" xr:uid="{00000000-0005-0000-0000-00004D110000}"/>
    <cellStyle name="20% - Accent3 3 2 5 2" xfId="7414" xr:uid="{00000000-0005-0000-0000-00004E110000}"/>
    <cellStyle name="20% - Accent3 3 2 5 2 2" xfId="15384" xr:uid="{00000000-0005-0000-0000-00004F110000}"/>
    <cellStyle name="20% - Accent3 3 2 5 2 2 2" xfId="39226" xr:uid="{BAC1FCA6-5A9C-46E4-9BA1-8D155B2A377F}"/>
    <cellStyle name="20% - Accent3 3 2 5 2 3" xfId="23330" xr:uid="{00000000-0005-0000-0000-000050110000}"/>
    <cellStyle name="20% - Accent3 3 2 5 2 3 2" xfId="47162" xr:uid="{905D3FF3-12CA-4AC7-A104-2CC11CD8B942}"/>
    <cellStyle name="20% - Accent3 3 2 5 2 4" xfId="31285" xr:uid="{6A09254D-F7F2-4D67-8291-956CC146A9A0}"/>
    <cellStyle name="20% - Accent3 3 2 5 3" xfId="11846" xr:uid="{00000000-0005-0000-0000-000051110000}"/>
    <cellStyle name="20% - Accent3 3 2 5 3 2" xfId="35695" xr:uid="{63EABB8F-5239-4D1F-A331-B4DC135723DC}"/>
    <cellStyle name="20% - Accent3 3 2 5 4" xfId="19801" xr:uid="{00000000-0005-0000-0000-000052110000}"/>
    <cellStyle name="20% - Accent3 3 2 5 4 2" xfId="43633" xr:uid="{F62DB139-D8EB-41EF-A50A-67BF0F1C00D4}"/>
    <cellStyle name="20% - Accent3 3 2 5 5" xfId="27754" xr:uid="{94BF17A6-D9AE-4D9E-A549-96907B072852}"/>
    <cellStyle name="20% - Accent3 3 2 6" xfId="5642" xr:uid="{00000000-0005-0000-0000-000053110000}"/>
    <cellStyle name="20% - Accent3 3 2 6 2" xfId="13625" xr:uid="{00000000-0005-0000-0000-000054110000}"/>
    <cellStyle name="20% - Accent3 3 2 6 2 2" xfId="37468" xr:uid="{22A480B9-F1D6-4CE7-9915-2E15EAAE75ED}"/>
    <cellStyle name="20% - Accent3 3 2 6 3" xfId="21573" xr:uid="{00000000-0005-0000-0000-000055110000}"/>
    <cellStyle name="20% - Accent3 3 2 6 3 2" xfId="45405" xr:uid="{ED174961-E37E-4EB6-A797-FDF335F2A437}"/>
    <cellStyle name="20% - Accent3 3 2 6 4" xfId="29527" xr:uid="{BB26E9B6-193F-48F3-9B28-9479EA887B01}"/>
    <cellStyle name="20% - Accent3 3 2 7" xfId="9194" xr:uid="{00000000-0005-0000-0000-000056110000}"/>
    <cellStyle name="20% - Accent3 3 2 7 2" xfId="17152" xr:uid="{00000000-0005-0000-0000-000057110000}"/>
    <cellStyle name="20% - Accent3 3 2 7 2 2" xfId="40992" xr:uid="{7F243350-8A5C-4586-B52E-A3A28B7E2A7D}"/>
    <cellStyle name="20% - Accent3 3 2 7 3" xfId="25096" xr:uid="{00000000-0005-0000-0000-000058110000}"/>
    <cellStyle name="20% - Accent3 3 2 7 3 2" xfId="48928" xr:uid="{6D30F59D-D66D-449F-94D0-9AE0C3318EF9}"/>
    <cellStyle name="20% - Accent3 3 2 7 4" xfId="33051" xr:uid="{6CCA5956-BCF2-4A33-A679-9D23012B5E4C}"/>
    <cellStyle name="20% - Accent3 3 2 8" xfId="10090" xr:uid="{00000000-0005-0000-0000-000059110000}"/>
    <cellStyle name="20% - Accent3 3 2 8 2" xfId="33939" xr:uid="{EEFC7A69-314B-45A5-9B6F-CFA0A3154850}"/>
    <cellStyle name="20% - Accent3 3 2 9" xfId="18045" xr:uid="{00000000-0005-0000-0000-00005A110000}"/>
    <cellStyle name="20% - Accent3 3 2 9 2" xfId="41877" xr:uid="{BB936050-64B0-4325-8A9C-08DEDC0B6451}"/>
    <cellStyle name="20% - Accent3 3 2_Exh G" xfId="2235" xr:uid="{00000000-0005-0000-0000-00005B110000}"/>
    <cellStyle name="20% - Accent3 3 3" xfId="150" xr:uid="{00000000-0005-0000-0000-00005C110000}"/>
    <cellStyle name="20% - Accent3 3 3 2" xfId="1176" xr:uid="{00000000-0005-0000-0000-00005D110000}"/>
    <cellStyle name="20% - Accent3 3 3 2 2" xfId="4703" xr:uid="{00000000-0005-0000-0000-00005E110000}"/>
    <cellStyle name="20% - Accent3 3 3 2 2 2" xfId="8294" xr:uid="{00000000-0005-0000-0000-00005F110000}"/>
    <cellStyle name="20% - Accent3 3 3 2 2 2 2" xfId="16264" xr:uid="{00000000-0005-0000-0000-000060110000}"/>
    <cellStyle name="20% - Accent3 3 3 2 2 2 2 2" xfId="40106" xr:uid="{91930C91-F9C1-458D-8AF0-3B2C2432D4FC}"/>
    <cellStyle name="20% - Accent3 3 3 2 2 2 3" xfId="24210" xr:uid="{00000000-0005-0000-0000-000061110000}"/>
    <cellStyle name="20% - Accent3 3 3 2 2 2 3 2" xfId="48042" xr:uid="{EF5EADE7-D86E-4649-80D7-29BC7746C887}"/>
    <cellStyle name="20% - Accent3 3 3 2 2 2 4" xfId="32165" xr:uid="{38A758B1-A7C9-46DA-B8ED-774A6D90A14C}"/>
    <cellStyle name="20% - Accent3 3 3 2 2 3" xfId="12726" xr:uid="{00000000-0005-0000-0000-000062110000}"/>
    <cellStyle name="20% - Accent3 3 3 2 2 3 2" xfId="36575" xr:uid="{D054BC52-F33E-4BD4-B8DC-7694C9D5EFEB}"/>
    <cellStyle name="20% - Accent3 3 3 2 2 4" xfId="20681" xr:uid="{00000000-0005-0000-0000-000063110000}"/>
    <cellStyle name="20% - Accent3 3 3 2 2 4 2" xfId="44513" xr:uid="{FCF89643-4EDB-4587-B9BE-2A0CE0C67A1A}"/>
    <cellStyle name="20% - Accent3 3 3 2 2 5" xfId="28634" xr:uid="{13BC6123-612E-49DD-817F-C3F3CEAD6DAA}"/>
    <cellStyle name="20% - Accent3 3 3 2 3" xfId="6535" xr:uid="{00000000-0005-0000-0000-000064110000}"/>
    <cellStyle name="20% - Accent3 3 3 2 3 2" xfId="14506" xr:uid="{00000000-0005-0000-0000-000065110000}"/>
    <cellStyle name="20% - Accent3 3 3 2 3 2 2" xfId="38348" xr:uid="{112E1F46-4F3C-489F-BB96-DDBDAD4A5488}"/>
    <cellStyle name="20% - Accent3 3 3 2 3 3" xfId="22453" xr:uid="{00000000-0005-0000-0000-000066110000}"/>
    <cellStyle name="20% - Accent3 3 3 2 3 3 2" xfId="46285" xr:uid="{0C35D33B-9F35-473B-BD68-F46D7A962244}"/>
    <cellStyle name="20% - Accent3 3 3 2 3 4" xfId="30407" xr:uid="{1DBC491D-DF74-493B-8CE2-85FE2FA59F0D}"/>
    <cellStyle name="20% - Accent3 3 3 2 4" xfId="10970" xr:uid="{00000000-0005-0000-0000-000067110000}"/>
    <cellStyle name="20% - Accent3 3 3 2 4 2" xfId="34819" xr:uid="{3EFFBA70-8252-4E60-8E5B-5CA2E25D65FF}"/>
    <cellStyle name="20% - Accent3 3 3 2 5" xfId="18925" xr:uid="{00000000-0005-0000-0000-000068110000}"/>
    <cellStyle name="20% - Accent3 3 3 2 5 2" xfId="42757" xr:uid="{F2C503E2-E38D-4803-9271-E371B64D61E4}"/>
    <cellStyle name="20% - Accent3 3 3 2 6" xfId="26877" xr:uid="{3F741962-FA13-4084-9479-41F6276F708D}"/>
    <cellStyle name="20% - Accent3 3 3 2_Exh G" xfId="2242" xr:uid="{00000000-0005-0000-0000-000069110000}"/>
    <cellStyle name="20% - Accent3 3 3 3" xfId="3824" xr:uid="{00000000-0005-0000-0000-00006A110000}"/>
    <cellStyle name="20% - Accent3 3 3 3 2" xfId="7416" xr:uid="{00000000-0005-0000-0000-00006B110000}"/>
    <cellStyle name="20% - Accent3 3 3 3 2 2" xfId="15386" xr:uid="{00000000-0005-0000-0000-00006C110000}"/>
    <cellStyle name="20% - Accent3 3 3 3 2 2 2" xfId="39228" xr:uid="{1712A508-CECC-4965-9B06-80D9EB7B4100}"/>
    <cellStyle name="20% - Accent3 3 3 3 2 3" xfId="23332" xr:uid="{00000000-0005-0000-0000-00006D110000}"/>
    <cellStyle name="20% - Accent3 3 3 3 2 3 2" xfId="47164" xr:uid="{464F2E90-88F9-404E-9708-C5C4DA01A148}"/>
    <cellStyle name="20% - Accent3 3 3 3 2 4" xfId="31287" xr:uid="{E96BFB64-0D49-4C45-AEA1-6D3F9516E3FF}"/>
    <cellStyle name="20% - Accent3 3 3 3 3" xfId="11848" xr:uid="{00000000-0005-0000-0000-00006E110000}"/>
    <cellStyle name="20% - Accent3 3 3 3 3 2" xfId="35697" xr:uid="{46AB1E93-8255-424D-B37E-F405F89B0178}"/>
    <cellStyle name="20% - Accent3 3 3 3 4" xfId="19803" xr:uid="{00000000-0005-0000-0000-00006F110000}"/>
    <cellStyle name="20% - Accent3 3 3 3 4 2" xfId="43635" xr:uid="{061E8724-E46A-4A67-8991-BFB2F5EAF0B0}"/>
    <cellStyle name="20% - Accent3 3 3 3 5" xfId="27756" xr:uid="{39337CAF-6F1C-4BC9-9F15-3F7E08CAEC72}"/>
    <cellStyle name="20% - Accent3 3 3 4" xfId="5644" xr:uid="{00000000-0005-0000-0000-000070110000}"/>
    <cellStyle name="20% - Accent3 3 3 4 2" xfId="13627" xr:uid="{00000000-0005-0000-0000-000071110000}"/>
    <cellStyle name="20% - Accent3 3 3 4 2 2" xfId="37470" xr:uid="{5E924346-2F7B-4F14-927C-1D6F87846AC3}"/>
    <cellStyle name="20% - Accent3 3 3 4 3" xfId="21575" xr:uid="{00000000-0005-0000-0000-000072110000}"/>
    <cellStyle name="20% - Accent3 3 3 4 3 2" xfId="45407" xr:uid="{A8A545B6-8A78-45D6-980B-C648662EAAF6}"/>
    <cellStyle name="20% - Accent3 3 3 4 4" xfId="29529" xr:uid="{D1FC069C-F7D7-4F1C-BC1A-61F0E98D3B33}"/>
    <cellStyle name="20% - Accent3 3 3 5" xfId="9196" xr:uid="{00000000-0005-0000-0000-000073110000}"/>
    <cellStyle name="20% - Accent3 3 3 5 2" xfId="17154" xr:uid="{00000000-0005-0000-0000-000074110000}"/>
    <cellStyle name="20% - Accent3 3 3 5 2 2" xfId="40994" xr:uid="{6ACBC3B9-4958-4F06-86A9-0AB646C4132D}"/>
    <cellStyle name="20% - Accent3 3 3 5 3" xfId="25098" xr:uid="{00000000-0005-0000-0000-000075110000}"/>
    <cellStyle name="20% - Accent3 3 3 5 3 2" xfId="48930" xr:uid="{49BA78AA-DC71-4AC1-88B6-78D2225B5DAB}"/>
    <cellStyle name="20% - Accent3 3 3 5 4" xfId="33053" xr:uid="{626D7673-146A-4E2F-A749-DD9A5A0937CF}"/>
    <cellStyle name="20% - Accent3 3 3 6" xfId="10092" xr:uid="{00000000-0005-0000-0000-000076110000}"/>
    <cellStyle name="20% - Accent3 3 3 6 2" xfId="33941" xr:uid="{13DF51BA-9B67-44BB-A178-82525D036B65}"/>
    <cellStyle name="20% - Accent3 3 3 7" xfId="18047" xr:uid="{00000000-0005-0000-0000-000077110000}"/>
    <cellStyle name="20% - Accent3 3 3 7 2" xfId="41879" xr:uid="{EE087F69-E590-4A84-B976-229B39243B00}"/>
    <cellStyle name="20% - Accent3 3 3 8" xfId="25999" xr:uid="{8D28AFBA-FDE6-4E47-8267-6FC204336247}"/>
    <cellStyle name="20% - Accent3 3 3_Exh G" xfId="2241" xr:uid="{00000000-0005-0000-0000-000078110000}"/>
    <cellStyle name="20% - Accent3 3 4" xfId="886" xr:uid="{00000000-0005-0000-0000-000079110000}"/>
    <cellStyle name="20% - Accent3 3 4 2" xfId="1814" xr:uid="{00000000-0005-0000-0000-00007A110000}"/>
    <cellStyle name="20% - Accent3 3 4 2 2" xfId="5331" xr:uid="{00000000-0005-0000-0000-00007B110000}"/>
    <cellStyle name="20% - Accent3 3 4 2 2 2" xfId="8922" xr:uid="{00000000-0005-0000-0000-00007C110000}"/>
    <cellStyle name="20% - Accent3 3 4 2 2 2 2" xfId="16892" xr:uid="{00000000-0005-0000-0000-00007D110000}"/>
    <cellStyle name="20% - Accent3 3 4 2 2 2 2 2" xfId="40734" xr:uid="{D6E6A2CC-B180-45E6-A441-BD4981CEE279}"/>
    <cellStyle name="20% - Accent3 3 4 2 2 2 3" xfId="24838" xr:uid="{00000000-0005-0000-0000-00007E110000}"/>
    <cellStyle name="20% - Accent3 3 4 2 2 2 3 2" xfId="48670" xr:uid="{FD5976E8-597A-40E6-A099-1D5A364C8DDB}"/>
    <cellStyle name="20% - Accent3 3 4 2 2 2 4" xfId="32793" xr:uid="{7292CA8B-43D5-4D7C-8068-FD31C400809F}"/>
    <cellStyle name="20% - Accent3 3 4 2 2 3" xfId="13354" xr:uid="{00000000-0005-0000-0000-00007F110000}"/>
    <cellStyle name="20% - Accent3 3 4 2 2 3 2" xfId="37203" xr:uid="{38C1E8EB-7001-4648-B888-CA27DD3B97C3}"/>
    <cellStyle name="20% - Accent3 3 4 2 2 4" xfId="21309" xr:uid="{00000000-0005-0000-0000-000080110000}"/>
    <cellStyle name="20% - Accent3 3 4 2 2 4 2" xfId="45141" xr:uid="{9503B30D-F94C-4B0B-943D-3D2A75D3CB4F}"/>
    <cellStyle name="20% - Accent3 3 4 2 2 5" xfId="29262" xr:uid="{3910E0B1-7053-415F-A5CD-0326B094C021}"/>
    <cellStyle name="20% - Accent3 3 4 2 3" xfId="7163" xr:uid="{00000000-0005-0000-0000-000081110000}"/>
    <cellStyle name="20% - Accent3 3 4 2 3 2" xfId="15134" xr:uid="{00000000-0005-0000-0000-000082110000}"/>
    <cellStyle name="20% - Accent3 3 4 2 3 2 2" xfId="38976" xr:uid="{46D9EDAE-CBD8-40FC-BA26-A13B102B759E}"/>
    <cellStyle name="20% - Accent3 3 4 2 3 3" xfId="23081" xr:uid="{00000000-0005-0000-0000-000083110000}"/>
    <cellStyle name="20% - Accent3 3 4 2 3 3 2" xfId="46913" xr:uid="{543BCF4B-3C26-4C09-94AE-FD1DC50892EF}"/>
    <cellStyle name="20% - Accent3 3 4 2 3 4" xfId="31035" xr:uid="{38F3AA85-2D07-4E74-994B-45460124F748}"/>
    <cellStyle name="20% - Accent3 3 4 2 4" xfId="11598" xr:uid="{00000000-0005-0000-0000-000084110000}"/>
    <cellStyle name="20% - Accent3 3 4 2 4 2" xfId="35447" xr:uid="{055926FF-237D-4D8A-A34D-6BC77BA79033}"/>
    <cellStyle name="20% - Accent3 3 4 2 5" xfId="19553" xr:uid="{00000000-0005-0000-0000-000085110000}"/>
    <cellStyle name="20% - Accent3 3 4 2 5 2" xfId="43385" xr:uid="{6DCCE096-6751-490B-832D-BC489D4B3ACF}"/>
    <cellStyle name="20% - Accent3 3 4 2 6" xfId="27505" xr:uid="{D05909DE-C350-41C2-BE86-BA41A5E2858B}"/>
    <cellStyle name="20% - Accent3 3 4 2_Exh G" xfId="2244" xr:uid="{00000000-0005-0000-0000-000086110000}"/>
    <cellStyle name="20% - Accent3 3 4 3" xfId="4452" xr:uid="{00000000-0005-0000-0000-000087110000}"/>
    <cellStyle name="20% - Accent3 3 4 3 2" xfId="8044" xr:uid="{00000000-0005-0000-0000-000088110000}"/>
    <cellStyle name="20% - Accent3 3 4 3 2 2" xfId="16014" xr:uid="{00000000-0005-0000-0000-000089110000}"/>
    <cellStyle name="20% - Accent3 3 4 3 2 2 2" xfId="39856" xr:uid="{5B0796B1-502A-4038-AFFA-B1E9BA4EE9CE}"/>
    <cellStyle name="20% - Accent3 3 4 3 2 3" xfId="23960" xr:uid="{00000000-0005-0000-0000-00008A110000}"/>
    <cellStyle name="20% - Accent3 3 4 3 2 3 2" xfId="47792" xr:uid="{BEC42A2E-8385-4CC4-B1F4-31336C6107A0}"/>
    <cellStyle name="20% - Accent3 3 4 3 2 4" xfId="31915" xr:uid="{63E7DBA1-9BE6-4FA4-83D7-ACBA9A839E2B}"/>
    <cellStyle name="20% - Accent3 3 4 3 3" xfId="12476" xr:uid="{00000000-0005-0000-0000-00008B110000}"/>
    <cellStyle name="20% - Accent3 3 4 3 3 2" xfId="36325" xr:uid="{1416C885-67BD-4662-896C-52AD667CF187}"/>
    <cellStyle name="20% - Accent3 3 4 3 4" xfId="20431" xr:uid="{00000000-0005-0000-0000-00008C110000}"/>
    <cellStyle name="20% - Accent3 3 4 3 4 2" xfId="44263" xr:uid="{738A17AF-4022-43E3-AC01-C7AD8889A9E3}"/>
    <cellStyle name="20% - Accent3 3 4 3 5" xfId="28384" xr:uid="{672F893D-5149-43F3-B063-C1FA4C847FE5}"/>
    <cellStyle name="20% - Accent3 3 4 4" xfId="6282" xr:uid="{00000000-0005-0000-0000-00008D110000}"/>
    <cellStyle name="20% - Accent3 3 4 4 2" xfId="14256" xr:uid="{00000000-0005-0000-0000-00008E110000}"/>
    <cellStyle name="20% - Accent3 3 4 4 2 2" xfId="38098" xr:uid="{8DB639A0-CF14-46EA-9410-70E14075E32C}"/>
    <cellStyle name="20% - Accent3 3 4 4 3" xfId="22203" xr:uid="{00000000-0005-0000-0000-00008F110000}"/>
    <cellStyle name="20% - Accent3 3 4 4 3 2" xfId="46035" xr:uid="{55B679E9-45F8-4F25-B9AC-DF68022CB9EE}"/>
    <cellStyle name="20% - Accent3 3 4 4 4" xfId="30157" xr:uid="{06C7C0BB-F3C3-4F82-BC87-C658FCA2B2EB}"/>
    <cellStyle name="20% - Accent3 3 4 5" xfId="9824" xr:uid="{00000000-0005-0000-0000-000090110000}"/>
    <cellStyle name="20% - Accent3 3 4 5 2" xfId="17782" xr:uid="{00000000-0005-0000-0000-000091110000}"/>
    <cellStyle name="20% - Accent3 3 4 5 2 2" xfId="41622" xr:uid="{181E358D-9C5C-410C-B711-856BFC6322F1}"/>
    <cellStyle name="20% - Accent3 3 4 5 3" xfId="25726" xr:uid="{00000000-0005-0000-0000-000092110000}"/>
    <cellStyle name="20% - Accent3 3 4 5 3 2" xfId="49558" xr:uid="{6FEAD994-281A-43B7-A50D-2EB971C44861}"/>
    <cellStyle name="20% - Accent3 3 4 5 4" xfId="33681" xr:uid="{845E6219-F551-4763-87E8-49C96A2EBA8B}"/>
    <cellStyle name="20% - Accent3 3 4 6" xfId="10720" xr:uid="{00000000-0005-0000-0000-000093110000}"/>
    <cellStyle name="20% - Accent3 3 4 6 2" xfId="34569" xr:uid="{25760CA4-7CA8-41F9-A604-F7F297895DA9}"/>
    <cellStyle name="20% - Accent3 3 4 7" xfId="18675" xr:uid="{00000000-0005-0000-0000-000094110000}"/>
    <cellStyle name="20% - Accent3 3 4 7 2" xfId="42507" xr:uid="{A1B63FC1-1CFB-46AC-B1C2-2AA4A61FBC9D}"/>
    <cellStyle name="20% - Accent3 3 4 8" xfId="26627" xr:uid="{DB1C83F3-55A6-4CF3-859B-F5179A1AC623}"/>
    <cellStyle name="20% - Accent3 3 4_Exh G" xfId="2243" xr:uid="{00000000-0005-0000-0000-000095110000}"/>
    <cellStyle name="20% - Accent3 3 5" xfId="1173" xr:uid="{00000000-0005-0000-0000-000096110000}"/>
    <cellStyle name="20% - Accent3 3 5 2" xfId="4700" xr:uid="{00000000-0005-0000-0000-000097110000}"/>
    <cellStyle name="20% - Accent3 3 5 2 2" xfId="8291" xr:uid="{00000000-0005-0000-0000-000098110000}"/>
    <cellStyle name="20% - Accent3 3 5 2 2 2" xfId="16261" xr:uid="{00000000-0005-0000-0000-000099110000}"/>
    <cellStyle name="20% - Accent3 3 5 2 2 2 2" xfId="40103" xr:uid="{5989EBB7-1FC6-46ED-804A-7D72E0BE9AAD}"/>
    <cellStyle name="20% - Accent3 3 5 2 2 3" xfId="24207" xr:uid="{00000000-0005-0000-0000-00009A110000}"/>
    <cellStyle name="20% - Accent3 3 5 2 2 3 2" xfId="48039" xr:uid="{AE7E55DC-1621-4473-B2F5-2916CB6AF914}"/>
    <cellStyle name="20% - Accent3 3 5 2 2 4" xfId="32162" xr:uid="{86725865-5FDF-42E5-938E-532F81B433C2}"/>
    <cellStyle name="20% - Accent3 3 5 2 3" xfId="12723" xr:uid="{00000000-0005-0000-0000-00009B110000}"/>
    <cellStyle name="20% - Accent3 3 5 2 3 2" xfId="36572" xr:uid="{49F29FA6-6770-45D1-8098-F6424DA2A2A2}"/>
    <cellStyle name="20% - Accent3 3 5 2 4" xfId="20678" xr:uid="{00000000-0005-0000-0000-00009C110000}"/>
    <cellStyle name="20% - Accent3 3 5 2 4 2" xfId="44510" xr:uid="{4F844938-ED4C-4905-B1BE-3D9A42CA3BA6}"/>
    <cellStyle name="20% - Accent3 3 5 2 5" xfId="28631" xr:uid="{5ED9C179-7B06-40C7-BDA4-9F7D53D6FE51}"/>
    <cellStyle name="20% - Accent3 3 5 3" xfId="6532" xr:uid="{00000000-0005-0000-0000-00009D110000}"/>
    <cellStyle name="20% - Accent3 3 5 3 2" xfId="14503" xr:uid="{00000000-0005-0000-0000-00009E110000}"/>
    <cellStyle name="20% - Accent3 3 5 3 2 2" xfId="38345" xr:uid="{7062CF34-67B2-4DFE-B42A-D49E5EDF4745}"/>
    <cellStyle name="20% - Accent3 3 5 3 3" xfId="22450" xr:uid="{00000000-0005-0000-0000-00009F110000}"/>
    <cellStyle name="20% - Accent3 3 5 3 3 2" xfId="46282" xr:uid="{F4F25EA4-B8FC-4334-85EB-7449193429AB}"/>
    <cellStyle name="20% - Accent3 3 5 3 4" xfId="30404" xr:uid="{07DEE7BD-220B-4E80-B78B-495CFBA6D369}"/>
    <cellStyle name="20% - Accent3 3 5 4" xfId="10967" xr:uid="{00000000-0005-0000-0000-0000A0110000}"/>
    <cellStyle name="20% - Accent3 3 5 4 2" xfId="34816" xr:uid="{EC683880-CF1D-4669-ACE2-9648643F417E}"/>
    <cellStyle name="20% - Accent3 3 5 5" xfId="18922" xr:uid="{00000000-0005-0000-0000-0000A1110000}"/>
    <cellStyle name="20% - Accent3 3 5 5 2" xfId="42754" xr:uid="{231D795C-3F6B-4E92-AEE4-0BD2B239E474}"/>
    <cellStyle name="20% - Accent3 3 5 6" xfId="26874" xr:uid="{93149843-2E27-4391-8BFD-6FE4DDA8F011}"/>
    <cellStyle name="20% - Accent3 3 5_Exh G" xfId="2245" xr:uid="{00000000-0005-0000-0000-0000A2110000}"/>
    <cellStyle name="20% - Accent3 3 6" xfId="3821" xr:uid="{00000000-0005-0000-0000-0000A3110000}"/>
    <cellStyle name="20% - Accent3 3 6 2" xfId="7413" xr:uid="{00000000-0005-0000-0000-0000A4110000}"/>
    <cellStyle name="20% - Accent3 3 6 2 2" xfId="15383" xr:uid="{00000000-0005-0000-0000-0000A5110000}"/>
    <cellStyle name="20% - Accent3 3 6 2 2 2" xfId="39225" xr:uid="{E6E3E0CD-5882-4DDC-AC19-B9A0DFAC5222}"/>
    <cellStyle name="20% - Accent3 3 6 2 3" xfId="23329" xr:uid="{00000000-0005-0000-0000-0000A6110000}"/>
    <cellStyle name="20% - Accent3 3 6 2 3 2" xfId="47161" xr:uid="{5AB83E42-78F8-498A-BD59-4B658E927330}"/>
    <cellStyle name="20% - Accent3 3 6 2 4" xfId="31284" xr:uid="{2AE43878-0928-4687-8367-4EF49DA599EE}"/>
    <cellStyle name="20% - Accent3 3 6 3" xfId="11845" xr:uid="{00000000-0005-0000-0000-0000A7110000}"/>
    <cellStyle name="20% - Accent3 3 6 3 2" xfId="35694" xr:uid="{AA9AEC72-2EFB-46E4-8DA6-CDB1F92B4A6C}"/>
    <cellStyle name="20% - Accent3 3 6 4" xfId="19800" xr:uid="{00000000-0005-0000-0000-0000A8110000}"/>
    <cellStyle name="20% - Accent3 3 6 4 2" xfId="43632" xr:uid="{0379D479-35A0-43BB-A278-0D33150B3B32}"/>
    <cellStyle name="20% - Accent3 3 6 5" xfId="27753" xr:uid="{D7CF1541-02E8-47CB-8A8E-1BA82757B642}"/>
    <cellStyle name="20% - Accent3 3 7" xfId="5641" xr:uid="{00000000-0005-0000-0000-0000A9110000}"/>
    <cellStyle name="20% - Accent3 3 7 2" xfId="13624" xr:uid="{00000000-0005-0000-0000-0000AA110000}"/>
    <cellStyle name="20% - Accent3 3 7 2 2" xfId="37467" xr:uid="{588FB524-4234-4328-9829-CD7406B71A3E}"/>
    <cellStyle name="20% - Accent3 3 7 3" xfId="21572" xr:uid="{00000000-0005-0000-0000-0000AB110000}"/>
    <cellStyle name="20% - Accent3 3 7 3 2" xfId="45404" xr:uid="{6B20DA03-8386-4B46-A0B7-75336F2C2BDC}"/>
    <cellStyle name="20% - Accent3 3 7 4" xfId="29526" xr:uid="{1909E208-4FD9-4417-A9B7-384446AEFAAD}"/>
    <cellStyle name="20% - Accent3 3 8" xfId="9193" xr:uid="{00000000-0005-0000-0000-0000AC110000}"/>
    <cellStyle name="20% - Accent3 3 8 2" xfId="17151" xr:uid="{00000000-0005-0000-0000-0000AD110000}"/>
    <cellStyle name="20% - Accent3 3 8 2 2" xfId="40991" xr:uid="{06397F9D-B9D0-4E11-B5C7-43ED400192E6}"/>
    <cellStyle name="20% - Accent3 3 8 3" xfId="25095" xr:uid="{00000000-0005-0000-0000-0000AE110000}"/>
    <cellStyle name="20% - Accent3 3 8 3 2" xfId="48927" xr:uid="{A5A9FF14-D427-462D-A856-5D8E88A9DCA3}"/>
    <cellStyle name="20% - Accent3 3 8 4" xfId="33050" xr:uid="{7BACF0A9-B233-4BB7-91DA-1CBA474DA724}"/>
    <cellStyle name="20% - Accent3 3 9" xfId="10089" xr:uid="{00000000-0005-0000-0000-0000AF110000}"/>
    <cellStyle name="20% - Accent3 3 9 2" xfId="33938" xr:uid="{A0F2B8FC-72AB-4F30-959A-51C064F0810B}"/>
    <cellStyle name="20% - Accent3 3_Exh G" xfId="2234" xr:uid="{00000000-0005-0000-0000-0000B0110000}"/>
    <cellStyle name="20% - Accent3 4" xfId="151" xr:uid="{00000000-0005-0000-0000-0000B1110000}"/>
    <cellStyle name="20% - Accent3 4 10" xfId="18048" xr:uid="{00000000-0005-0000-0000-0000B2110000}"/>
    <cellStyle name="20% - Accent3 4 10 2" xfId="41880" xr:uid="{C2FB0BDE-38D6-4C3E-A418-EFA2BD558951}"/>
    <cellStyle name="20% - Accent3 4 11" xfId="26000" xr:uid="{C69058B4-6240-43B0-BCA7-753610294845}"/>
    <cellStyle name="20% - Accent3 4 2" xfId="152" xr:uid="{00000000-0005-0000-0000-0000B3110000}"/>
    <cellStyle name="20% - Accent3 4 2 10" xfId="26001" xr:uid="{199D1273-F6F4-4A11-8720-D4793967F0FF}"/>
    <cellStyle name="20% - Accent3 4 2 2" xfId="153" xr:uid="{00000000-0005-0000-0000-0000B4110000}"/>
    <cellStyle name="20% - Accent3 4 2 2 2" xfId="1179" xr:uid="{00000000-0005-0000-0000-0000B5110000}"/>
    <cellStyle name="20% - Accent3 4 2 2 2 2" xfId="4706" xr:uid="{00000000-0005-0000-0000-0000B6110000}"/>
    <cellStyle name="20% - Accent3 4 2 2 2 2 2" xfId="8297" xr:uid="{00000000-0005-0000-0000-0000B7110000}"/>
    <cellStyle name="20% - Accent3 4 2 2 2 2 2 2" xfId="16267" xr:uid="{00000000-0005-0000-0000-0000B8110000}"/>
    <cellStyle name="20% - Accent3 4 2 2 2 2 2 2 2" xfId="40109" xr:uid="{B760C253-3BB5-479D-AB50-530F7DCBF437}"/>
    <cellStyle name="20% - Accent3 4 2 2 2 2 2 3" xfId="24213" xr:uid="{00000000-0005-0000-0000-0000B9110000}"/>
    <cellStyle name="20% - Accent3 4 2 2 2 2 2 3 2" xfId="48045" xr:uid="{B6A5C9A4-B2F8-4D8E-924C-CB20CF5DB827}"/>
    <cellStyle name="20% - Accent3 4 2 2 2 2 2 4" xfId="32168" xr:uid="{B6045ACC-7EB1-4583-A6FE-FC32DF67AADC}"/>
    <cellStyle name="20% - Accent3 4 2 2 2 2 3" xfId="12729" xr:uid="{00000000-0005-0000-0000-0000BA110000}"/>
    <cellStyle name="20% - Accent3 4 2 2 2 2 3 2" xfId="36578" xr:uid="{6E71E747-5421-45BF-A5CF-AA3AC5C274D6}"/>
    <cellStyle name="20% - Accent3 4 2 2 2 2 4" xfId="20684" xr:uid="{00000000-0005-0000-0000-0000BB110000}"/>
    <cellStyle name="20% - Accent3 4 2 2 2 2 4 2" xfId="44516" xr:uid="{55F8BE68-C2A6-4465-99C2-87264EA56E3D}"/>
    <cellStyle name="20% - Accent3 4 2 2 2 2 5" xfId="28637" xr:uid="{F612ABE4-78DD-4BA7-9EE3-576BB45CD0B7}"/>
    <cellStyle name="20% - Accent3 4 2 2 2 3" xfId="6538" xr:uid="{00000000-0005-0000-0000-0000BC110000}"/>
    <cellStyle name="20% - Accent3 4 2 2 2 3 2" xfId="14509" xr:uid="{00000000-0005-0000-0000-0000BD110000}"/>
    <cellStyle name="20% - Accent3 4 2 2 2 3 2 2" xfId="38351" xr:uid="{5204F335-110E-49C7-B25F-990B79DBB4FB}"/>
    <cellStyle name="20% - Accent3 4 2 2 2 3 3" xfId="22456" xr:uid="{00000000-0005-0000-0000-0000BE110000}"/>
    <cellStyle name="20% - Accent3 4 2 2 2 3 3 2" xfId="46288" xr:uid="{7A623040-AAA9-4353-BD6B-1E7B7E87D07F}"/>
    <cellStyle name="20% - Accent3 4 2 2 2 3 4" xfId="30410" xr:uid="{36D50D05-8DA7-4A2C-8268-72004BD69457}"/>
    <cellStyle name="20% - Accent3 4 2 2 2 4" xfId="10973" xr:uid="{00000000-0005-0000-0000-0000BF110000}"/>
    <cellStyle name="20% - Accent3 4 2 2 2 4 2" xfId="34822" xr:uid="{FC0EF661-B753-4A73-B81A-74C56A8F1B05}"/>
    <cellStyle name="20% - Accent3 4 2 2 2 5" xfId="18928" xr:uid="{00000000-0005-0000-0000-0000C0110000}"/>
    <cellStyle name="20% - Accent3 4 2 2 2 5 2" xfId="42760" xr:uid="{BB2ACA80-653D-45E6-9847-E614D28E0038}"/>
    <cellStyle name="20% - Accent3 4 2 2 2 6" xfId="26880" xr:uid="{81208B0E-068D-470D-BDA8-305A157E9D59}"/>
    <cellStyle name="20% - Accent3 4 2 2 2_Exh G" xfId="2249" xr:uid="{00000000-0005-0000-0000-0000C1110000}"/>
    <cellStyle name="20% - Accent3 4 2 2 3" xfId="3827" xr:uid="{00000000-0005-0000-0000-0000C2110000}"/>
    <cellStyle name="20% - Accent3 4 2 2 3 2" xfId="7419" xr:uid="{00000000-0005-0000-0000-0000C3110000}"/>
    <cellStyle name="20% - Accent3 4 2 2 3 2 2" xfId="15389" xr:uid="{00000000-0005-0000-0000-0000C4110000}"/>
    <cellStyle name="20% - Accent3 4 2 2 3 2 2 2" xfId="39231" xr:uid="{EB5644EF-0028-40C3-B92A-0756D0DDAA8E}"/>
    <cellStyle name="20% - Accent3 4 2 2 3 2 3" xfId="23335" xr:uid="{00000000-0005-0000-0000-0000C5110000}"/>
    <cellStyle name="20% - Accent3 4 2 2 3 2 3 2" xfId="47167" xr:uid="{F16118D2-66C0-4A52-AEE5-D1C7B6428F08}"/>
    <cellStyle name="20% - Accent3 4 2 2 3 2 4" xfId="31290" xr:uid="{F1C5B673-D436-477D-BED5-FFA1FCAB06ED}"/>
    <cellStyle name="20% - Accent3 4 2 2 3 3" xfId="11851" xr:uid="{00000000-0005-0000-0000-0000C6110000}"/>
    <cellStyle name="20% - Accent3 4 2 2 3 3 2" xfId="35700" xr:uid="{481A4DB9-128D-49C0-BE71-83A7CACDB02F}"/>
    <cellStyle name="20% - Accent3 4 2 2 3 4" xfId="19806" xr:uid="{00000000-0005-0000-0000-0000C7110000}"/>
    <cellStyle name="20% - Accent3 4 2 2 3 4 2" xfId="43638" xr:uid="{76C6028D-81B2-4BAE-9173-64F626BF8E80}"/>
    <cellStyle name="20% - Accent3 4 2 2 3 5" xfId="27759" xr:uid="{10602A91-08D6-4CB9-9FC2-7669D2C4E503}"/>
    <cellStyle name="20% - Accent3 4 2 2 4" xfId="5647" xr:uid="{00000000-0005-0000-0000-0000C8110000}"/>
    <cellStyle name="20% - Accent3 4 2 2 4 2" xfId="13630" xr:uid="{00000000-0005-0000-0000-0000C9110000}"/>
    <cellStyle name="20% - Accent3 4 2 2 4 2 2" xfId="37473" xr:uid="{9B08F98F-CE49-42C0-B2B6-356921650DFE}"/>
    <cellStyle name="20% - Accent3 4 2 2 4 3" xfId="21578" xr:uid="{00000000-0005-0000-0000-0000CA110000}"/>
    <cellStyle name="20% - Accent3 4 2 2 4 3 2" xfId="45410" xr:uid="{96D32231-AD12-4054-9D04-2375367FE628}"/>
    <cellStyle name="20% - Accent3 4 2 2 4 4" xfId="29532" xr:uid="{609FAE8D-787B-4DBB-806A-36ED34FAD028}"/>
    <cellStyle name="20% - Accent3 4 2 2 5" xfId="9199" xr:uid="{00000000-0005-0000-0000-0000CB110000}"/>
    <cellStyle name="20% - Accent3 4 2 2 5 2" xfId="17157" xr:uid="{00000000-0005-0000-0000-0000CC110000}"/>
    <cellStyle name="20% - Accent3 4 2 2 5 2 2" xfId="40997" xr:uid="{D5C4E5C5-97D6-4568-8CC7-67918C1C3115}"/>
    <cellStyle name="20% - Accent3 4 2 2 5 3" xfId="25101" xr:uid="{00000000-0005-0000-0000-0000CD110000}"/>
    <cellStyle name="20% - Accent3 4 2 2 5 3 2" xfId="48933" xr:uid="{DA55D404-0099-492D-99A7-0BEB144685F9}"/>
    <cellStyle name="20% - Accent3 4 2 2 5 4" xfId="33056" xr:uid="{EAF645AB-A867-47DB-B5D5-7DDA89E5BE77}"/>
    <cellStyle name="20% - Accent3 4 2 2 6" xfId="10095" xr:uid="{00000000-0005-0000-0000-0000CE110000}"/>
    <cellStyle name="20% - Accent3 4 2 2 6 2" xfId="33944" xr:uid="{D2C63A42-1628-4BA7-8512-C1ED10896355}"/>
    <cellStyle name="20% - Accent3 4 2 2 7" xfId="18050" xr:uid="{00000000-0005-0000-0000-0000CF110000}"/>
    <cellStyle name="20% - Accent3 4 2 2 7 2" xfId="41882" xr:uid="{6752EF3D-A5FB-4482-AEC0-F4A2D506C407}"/>
    <cellStyle name="20% - Accent3 4 2 2 8" xfId="26002" xr:uid="{F28C8CD5-513B-47E4-9CD7-0B27384184DB}"/>
    <cellStyle name="20% - Accent3 4 2 2_Exh G" xfId="2248" xr:uid="{00000000-0005-0000-0000-0000D0110000}"/>
    <cellStyle name="20% - Accent3 4 2 3" xfId="889" xr:uid="{00000000-0005-0000-0000-0000D1110000}"/>
    <cellStyle name="20% - Accent3 4 2 3 2" xfId="1817" xr:uid="{00000000-0005-0000-0000-0000D2110000}"/>
    <cellStyle name="20% - Accent3 4 2 3 2 2" xfId="5334" xr:uid="{00000000-0005-0000-0000-0000D3110000}"/>
    <cellStyle name="20% - Accent3 4 2 3 2 2 2" xfId="8925" xr:uid="{00000000-0005-0000-0000-0000D4110000}"/>
    <cellStyle name="20% - Accent3 4 2 3 2 2 2 2" xfId="16895" xr:uid="{00000000-0005-0000-0000-0000D5110000}"/>
    <cellStyle name="20% - Accent3 4 2 3 2 2 2 2 2" xfId="40737" xr:uid="{500AF553-7711-41B8-9921-9FBAB6F8B728}"/>
    <cellStyle name="20% - Accent3 4 2 3 2 2 2 3" xfId="24841" xr:uid="{00000000-0005-0000-0000-0000D6110000}"/>
    <cellStyle name="20% - Accent3 4 2 3 2 2 2 3 2" xfId="48673" xr:uid="{112F48EA-5B66-4E14-916A-D0FA3C82A653}"/>
    <cellStyle name="20% - Accent3 4 2 3 2 2 2 4" xfId="32796" xr:uid="{85C8AEB9-23C0-44B6-BBC6-5E68EB86DC24}"/>
    <cellStyle name="20% - Accent3 4 2 3 2 2 3" xfId="13357" xr:uid="{00000000-0005-0000-0000-0000D7110000}"/>
    <cellStyle name="20% - Accent3 4 2 3 2 2 3 2" xfId="37206" xr:uid="{874147A0-BBA6-4B7A-9871-F41179BB9900}"/>
    <cellStyle name="20% - Accent3 4 2 3 2 2 4" xfId="21312" xr:uid="{00000000-0005-0000-0000-0000D8110000}"/>
    <cellStyle name="20% - Accent3 4 2 3 2 2 4 2" xfId="45144" xr:uid="{89E21660-9FBB-4BD0-9083-F41E769C6B74}"/>
    <cellStyle name="20% - Accent3 4 2 3 2 2 5" xfId="29265" xr:uid="{738D09E8-A3D6-408F-8C41-1D2CBC722163}"/>
    <cellStyle name="20% - Accent3 4 2 3 2 3" xfId="7166" xr:uid="{00000000-0005-0000-0000-0000D9110000}"/>
    <cellStyle name="20% - Accent3 4 2 3 2 3 2" xfId="15137" xr:uid="{00000000-0005-0000-0000-0000DA110000}"/>
    <cellStyle name="20% - Accent3 4 2 3 2 3 2 2" xfId="38979" xr:uid="{4DF69E7B-D769-4075-AE2D-43152DBC5D4B}"/>
    <cellStyle name="20% - Accent3 4 2 3 2 3 3" xfId="23084" xr:uid="{00000000-0005-0000-0000-0000DB110000}"/>
    <cellStyle name="20% - Accent3 4 2 3 2 3 3 2" xfId="46916" xr:uid="{9E227C14-5179-4809-AB6F-9D1404953B99}"/>
    <cellStyle name="20% - Accent3 4 2 3 2 3 4" xfId="31038" xr:uid="{C96F2137-2654-485D-A6AB-D5ACBECB5B34}"/>
    <cellStyle name="20% - Accent3 4 2 3 2 4" xfId="11601" xr:uid="{00000000-0005-0000-0000-0000DC110000}"/>
    <cellStyle name="20% - Accent3 4 2 3 2 4 2" xfId="35450" xr:uid="{B0E62BEB-3204-451A-9B4F-F7E26E3CC9A8}"/>
    <cellStyle name="20% - Accent3 4 2 3 2 5" xfId="19556" xr:uid="{00000000-0005-0000-0000-0000DD110000}"/>
    <cellStyle name="20% - Accent3 4 2 3 2 5 2" xfId="43388" xr:uid="{05CEB4B2-E9C8-4864-AF91-26E93966CDA8}"/>
    <cellStyle name="20% - Accent3 4 2 3 2 6" xfId="27508" xr:uid="{142E7EF1-0AFF-440A-A080-70A47900A99D}"/>
    <cellStyle name="20% - Accent3 4 2 3 2_Exh G" xfId="2251" xr:uid="{00000000-0005-0000-0000-0000DE110000}"/>
    <cellStyle name="20% - Accent3 4 2 3 3" xfId="4455" xr:uid="{00000000-0005-0000-0000-0000DF110000}"/>
    <cellStyle name="20% - Accent3 4 2 3 3 2" xfId="8047" xr:uid="{00000000-0005-0000-0000-0000E0110000}"/>
    <cellStyle name="20% - Accent3 4 2 3 3 2 2" xfId="16017" xr:uid="{00000000-0005-0000-0000-0000E1110000}"/>
    <cellStyle name="20% - Accent3 4 2 3 3 2 2 2" xfId="39859" xr:uid="{3B9D5BF1-B1F5-49CF-A45A-D5AF4834D899}"/>
    <cellStyle name="20% - Accent3 4 2 3 3 2 3" xfId="23963" xr:uid="{00000000-0005-0000-0000-0000E2110000}"/>
    <cellStyle name="20% - Accent3 4 2 3 3 2 3 2" xfId="47795" xr:uid="{890FDA5B-C2E4-422C-A176-007CCD8F0375}"/>
    <cellStyle name="20% - Accent3 4 2 3 3 2 4" xfId="31918" xr:uid="{330F431F-6C34-4377-8F52-168F4172ADB2}"/>
    <cellStyle name="20% - Accent3 4 2 3 3 3" xfId="12479" xr:uid="{00000000-0005-0000-0000-0000E3110000}"/>
    <cellStyle name="20% - Accent3 4 2 3 3 3 2" xfId="36328" xr:uid="{63A68E2B-4B21-4431-B1F8-644470A09FD9}"/>
    <cellStyle name="20% - Accent3 4 2 3 3 4" xfId="20434" xr:uid="{00000000-0005-0000-0000-0000E4110000}"/>
    <cellStyle name="20% - Accent3 4 2 3 3 4 2" xfId="44266" xr:uid="{4B2A97FD-21E7-42F6-82A2-C74FA61C86A2}"/>
    <cellStyle name="20% - Accent3 4 2 3 3 5" xfId="28387" xr:uid="{D0FA4A73-A034-428B-A1CD-883E4CD08F21}"/>
    <cellStyle name="20% - Accent3 4 2 3 4" xfId="6285" xr:uid="{00000000-0005-0000-0000-0000E5110000}"/>
    <cellStyle name="20% - Accent3 4 2 3 4 2" xfId="14259" xr:uid="{00000000-0005-0000-0000-0000E6110000}"/>
    <cellStyle name="20% - Accent3 4 2 3 4 2 2" xfId="38101" xr:uid="{4E43363C-D8AE-42DC-A24B-83AB2EFB2254}"/>
    <cellStyle name="20% - Accent3 4 2 3 4 3" xfId="22206" xr:uid="{00000000-0005-0000-0000-0000E7110000}"/>
    <cellStyle name="20% - Accent3 4 2 3 4 3 2" xfId="46038" xr:uid="{4494A1D1-CE6F-43C9-BFF8-CD60AA602808}"/>
    <cellStyle name="20% - Accent3 4 2 3 4 4" xfId="30160" xr:uid="{0348892F-7AF9-4B3B-8753-96CC4A622505}"/>
    <cellStyle name="20% - Accent3 4 2 3 5" xfId="9827" xr:uid="{00000000-0005-0000-0000-0000E8110000}"/>
    <cellStyle name="20% - Accent3 4 2 3 5 2" xfId="17785" xr:uid="{00000000-0005-0000-0000-0000E9110000}"/>
    <cellStyle name="20% - Accent3 4 2 3 5 2 2" xfId="41625" xr:uid="{DBD024FA-398C-45B3-94A1-643A985A8257}"/>
    <cellStyle name="20% - Accent3 4 2 3 5 3" xfId="25729" xr:uid="{00000000-0005-0000-0000-0000EA110000}"/>
    <cellStyle name="20% - Accent3 4 2 3 5 3 2" xfId="49561" xr:uid="{27E9E4D3-CA92-434D-989A-1041DCF70FEF}"/>
    <cellStyle name="20% - Accent3 4 2 3 5 4" xfId="33684" xr:uid="{8D6C3DDD-CF53-4378-8756-91B4D10F3125}"/>
    <cellStyle name="20% - Accent3 4 2 3 6" xfId="10723" xr:uid="{00000000-0005-0000-0000-0000EB110000}"/>
    <cellStyle name="20% - Accent3 4 2 3 6 2" xfId="34572" xr:uid="{845AF36E-B060-4C84-8E88-C308CEE804F0}"/>
    <cellStyle name="20% - Accent3 4 2 3 7" xfId="18678" xr:uid="{00000000-0005-0000-0000-0000EC110000}"/>
    <cellStyle name="20% - Accent3 4 2 3 7 2" xfId="42510" xr:uid="{7AB9895A-D17C-40E6-93DA-C80D16294081}"/>
    <cellStyle name="20% - Accent3 4 2 3 8" xfId="26630" xr:uid="{EC2BD7CA-9FCC-4C26-BA09-B2668717316B}"/>
    <cellStyle name="20% - Accent3 4 2 3_Exh G" xfId="2250" xr:uid="{00000000-0005-0000-0000-0000ED110000}"/>
    <cellStyle name="20% - Accent3 4 2 4" xfId="1178" xr:uid="{00000000-0005-0000-0000-0000EE110000}"/>
    <cellStyle name="20% - Accent3 4 2 4 2" xfId="4705" xr:uid="{00000000-0005-0000-0000-0000EF110000}"/>
    <cellStyle name="20% - Accent3 4 2 4 2 2" xfId="8296" xr:uid="{00000000-0005-0000-0000-0000F0110000}"/>
    <cellStyle name="20% - Accent3 4 2 4 2 2 2" xfId="16266" xr:uid="{00000000-0005-0000-0000-0000F1110000}"/>
    <cellStyle name="20% - Accent3 4 2 4 2 2 2 2" xfId="40108" xr:uid="{BB5EAAA8-E897-4D20-9A40-D09A5A7CC496}"/>
    <cellStyle name="20% - Accent3 4 2 4 2 2 3" xfId="24212" xr:uid="{00000000-0005-0000-0000-0000F2110000}"/>
    <cellStyle name="20% - Accent3 4 2 4 2 2 3 2" xfId="48044" xr:uid="{99A8F275-5D01-4EDC-BBF6-D404BF0A865A}"/>
    <cellStyle name="20% - Accent3 4 2 4 2 2 4" xfId="32167" xr:uid="{12A0ADFB-DE34-47B0-BA85-1CD5B71C4019}"/>
    <cellStyle name="20% - Accent3 4 2 4 2 3" xfId="12728" xr:uid="{00000000-0005-0000-0000-0000F3110000}"/>
    <cellStyle name="20% - Accent3 4 2 4 2 3 2" xfId="36577" xr:uid="{D77E02E8-E9D2-4F06-A0A1-19F1B4AA2325}"/>
    <cellStyle name="20% - Accent3 4 2 4 2 4" xfId="20683" xr:uid="{00000000-0005-0000-0000-0000F4110000}"/>
    <cellStyle name="20% - Accent3 4 2 4 2 4 2" xfId="44515" xr:uid="{C5191EAE-30AC-4C80-99B3-CBD9A32332FC}"/>
    <cellStyle name="20% - Accent3 4 2 4 2 5" xfId="28636" xr:uid="{B59A9087-6606-4DA1-8D81-392F16CD96BA}"/>
    <cellStyle name="20% - Accent3 4 2 4 3" xfId="6537" xr:uid="{00000000-0005-0000-0000-0000F5110000}"/>
    <cellStyle name="20% - Accent3 4 2 4 3 2" xfId="14508" xr:uid="{00000000-0005-0000-0000-0000F6110000}"/>
    <cellStyle name="20% - Accent3 4 2 4 3 2 2" xfId="38350" xr:uid="{700FB238-A898-4786-8A75-8454BB8971C4}"/>
    <cellStyle name="20% - Accent3 4 2 4 3 3" xfId="22455" xr:uid="{00000000-0005-0000-0000-0000F7110000}"/>
    <cellStyle name="20% - Accent3 4 2 4 3 3 2" xfId="46287" xr:uid="{02B37304-8314-4EC1-9A0A-626BB4674528}"/>
    <cellStyle name="20% - Accent3 4 2 4 3 4" xfId="30409" xr:uid="{BF3759C9-21E0-40AD-80EC-5E5A7316A168}"/>
    <cellStyle name="20% - Accent3 4 2 4 4" xfId="10972" xr:uid="{00000000-0005-0000-0000-0000F8110000}"/>
    <cellStyle name="20% - Accent3 4 2 4 4 2" xfId="34821" xr:uid="{E24D6FE7-F392-40AD-991D-0F2B55E554B4}"/>
    <cellStyle name="20% - Accent3 4 2 4 5" xfId="18927" xr:uid="{00000000-0005-0000-0000-0000F9110000}"/>
    <cellStyle name="20% - Accent3 4 2 4 5 2" xfId="42759" xr:uid="{492BC535-ABCB-4679-8F25-3AE403F3B1FA}"/>
    <cellStyle name="20% - Accent3 4 2 4 6" xfId="26879" xr:uid="{C908502D-FE1C-4D94-BC4B-D536B3A17813}"/>
    <cellStyle name="20% - Accent3 4 2 4_Exh G" xfId="2252" xr:uid="{00000000-0005-0000-0000-0000FA110000}"/>
    <cellStyle name="20% - Accent3 4 2 5" xfId="3826" xr:uid="{00000000-0005-0000-0000-0000FB110000}"/>
    <cellStyle name="20% - Accent3 4 2 5 2" xfId="7418" xr:uid="{00000000-0005-0000-0000-0000FC110000}"/>
    <cellStyle name="20% - Accent3 4 2 5 2 2" xfId="15388" xr:uid="{00000000-0005-0000-0000-0000FD110000}"/>
    <cellStyle name="20% - Accent3 4 2 5 2 2 2" xfId="39230" xr:uid="{187A6377-DD8F-4F78-B190-E5BF07B11357}"/>
    <cellStyle name="20% - Accent3 4 2 5 2 3" xfId="23334" xr:uid="{00000000-0005-0000-0000-0000FE110000}"/>
    <cellStyle name="20% - Accent3 4 2 5 2 3 2" xfId="47166" xr:uid="{B2EFFACB-EEDF-4377-B840-B88762233DE4}"/>
    <cellStyle name="20% - Accent3 4 2 5 2 4" xfId="31289" xr:uid="{B6003E23-52B7-4718-9F7F-BAD0C1A4FCA2}"/>
    <cellStyle name="20% - Accent3 4 2 5 3" xfId="11850" xr:uid="{00000000-0005-0000-0000-0000FF110000}"/>
    <cellStyle name="20% - Accent3 4 2 5 3 2" xfId="35699" xr:uid="{244DF869-B88E-4DB3-8FAE-535D659B2C10}"/>
    <cellStyle name="20% - Accent3 4 2 5 4" xfId="19805" xr:uid="{00000000-0005-0000-0000-000000120000}"/>
    <cellStyle name="20% - Accent3 4 2 5 4 2" xfId="43637" xr:uid="{2A4E13CC-8E19-4485-92DB-61AACF433DCB}"/>
    <cellStyle name="20% - Accent3 4 2 5 5" xfId="27758" xr:uid="{BBFE1010-118D-45F5-B281-7016FA4E2C43}"/>
    <cellStyle name="20% - Accent3 4 2 6" xfId="5646" xr:uid="{00000000-0005-0000-0000-000001120000}"/>
    <cellStyle name="20% - Accent3 4 2 6 2" xfId="13629" xr:uid="{00000000-0005-0000-0000-000002120000}"/>
    <cellStyle name="20% - Accent3 4 2 6 2 2" xfId="37472" xr:uid="{C4945963-24D0-40BA-AAE7-AB56052A3CB6}"/>
    <cellStyle name="20% - Accent3 4 2 6 3" xfId="21577" xr:uid="{00000000-0005-0000-0000-000003120000}"/>
    <cellStyle name="20% - Accent3 4 2 6 3 2" xfId="45409" xr:uid="{C822C895-B8CB-4566-AA2F-25B55BD2FCE5}"/>
    <cellStyle name="20% - Accent3 4 2 6 4" xfId="29531" xr:uid="{6471DDAE-5F3F-4083-8542-9CCD6E468889}"/>
    <cellStyle name="20% - Accent3 4 2 7" xfId="9198" xr:uid="{00000000-0005-0000-0000-000004120000}"/>
    <cellStyle name="20% - Accent3 4 2 7 2" xfId="17156" xr:uid="{00000000-0005-0000-0000-000005120000}"/>
    <cellStyle name="20% - Accent3 4 2 7 2 2" xfId="40996" xr:uid="{0208AA61-742B-4930-BA1D-58B2791FBDBD}"/>
    <cellStyle name="20% - Accent3 4 2 7 3" xfId="25100" xr:uid="{00000000-0005-0000-0000-000006120000}"/>
    <cellStyle name="20% - Accent3 4 2 7 3 2" xfId="48932" xr:uid="{CB2A56B5-8950-4D1E-8B26-64E8AEFA2F58}"/>
    <cellStyle name="20% - Accent3 4 2 7 4" xfId="33055" xr:uid="{07665598-70AB-4113-9D13-218F5FDC60C0}"/>
    <cellStyle name="20% - Accent3 4 2 8" xfId="10094" xr:uid="{00000000-0005-0000-0000-000007120000}"/>
    <cellStyle name="20% - Accent3 4 2 8 2" xfId="33943" xr:uid="{945B8D0E-175D-49C5-B291-5BFBD9BF546C}"/>
    <cellStyle name="20% - Accent3 4 2 9" xfId="18049" xr:uid="{00000000-0005-0000-0000-000008120000}"/>
    <cellStyle name="20% - Accent3 4 2 9 2" xfId="41881" xr:uid="{4CE12912-F2BF-43B3-B908-36C32C5E4BE6}"/>
    <cellStyle name="20% - Accent3 4 2_Exh G" xfId="2247" xr:uid="{00000000-0005-0000-0000-000009120000}"/>
    <cellStyle name="20% - Accent3 4 3" xfId="154" xr:uid="{00000000-0005-0000-0000-00000A120000}"/>
    <cellStyle name="20% - Accent3 4 3 2" xfId="1180" xr:uid="{00000000-0005-0000-0000-00000B120000}"/>
    <cellStyle name="20% - Accent3 4 3 2 2" xfId="4707" xr:uid="{00000000-0005-0000-0000-00000C120000}"/>
    <cellStyle name="20% - Accent3 4 3 2 2 2" xfId="8298" xr:uid="{00000000-0005-0000-0000-00000D120000}"/>
    <cellStyle name="20% - Accent3 4 3 2 2 2 2" xfId="16268" xr:uid="{00000000-0005-0000-0000-00000E120000}"/>
    <cellStyle name="20% - Accent3 4 3 2 2 2 2 2" xfId="40110" xr:uid="{2EB33B3B-A7EA-418F-859D-0501F291C277}"/>
    <cellStyle name="20% - Accent3 4 3 2 2 2 3" xfId="24214" xr:uid="{00000000-0005-0000-0000-00000F120000}"/>
    <cellStyle name="20% - Accent3 4 3 2 2 2 3 2" xfId="48046" xr:uid="{1C27697B-A7A2-4B7D-8D39-1E28AED2702B}"/>
    <cellStyle name="20% - Accent3 4 3 2 2 2 4" xfId="32169" xr:uid="{28519BAC-D168-417C-83A9-ADE8156B4DC9}"/>
    <cellStyle name="20% - Accent3 4 3 2 2 3" xfId="12730" xr:uid="{00000000-0005-0000-0000-000010120000}"/>
    <cellStyle name="20% - Accent3 4 3 2 2 3 2" xfId="36579" xr:uid="{076E5EF8-5E4A-4D4B-9E20-41B0A2185ECE}"/>
    <cellStyle name="20% - Accent3 4 3 2 2 4" xfId="20685" xr:uid="{00000000-0005-0000-0000-000011120000}"/>
    <cellStyle name="20% - Accent3 4 3 2 2 4 2" xfId="44517" xr:uid="{78988825-AF2D-4505-990E-FE419A7B5A93}"/>
    <cellStyle name="20% - Accent3 4 3 2 2 5" xfId="28638" xr:uid="{8F786E27-0A4B-4801-A507-A81EE108D782}"/>
    <cellStyle name="20% - Accent3 4 3 2 3" xfId="6539" xr:uid="{00000000-0005-0000-0000-000012120000}"/>
    <cellStyle name="20% - Accent3 4 3 2 3 2" xfId="14510" xr:uid="{00000000-0005-0000-0000-000013120000}"/>
    <cellStyle name="20% - Accent3 4 3 2 3 2 2" xfId="38352" xr:uid="{B58F93D9-BFBB-40DD-85C2-B94C28FDAE2D}"/>
    <cellStyle name="20% - Accent3 4 3 2 3 3" xfId="22457" xr:uid="{00000000-0005-0000-0000-000014120000}"/>
    <cellStyle name="20% - Accent3 4 3 2 3 3 2" xfId="46289" xr:uid="{90EFF5CF-A7BD-47E7-9AF1-3130EFDB2362}"/>
    <cellStyle name="20% - Accent3 4 3 2 3 4" xfId="30411" xr:uid="{40F63C8F-3A2B-4733-82C3-4164CBDB6862}"/>
    <cellStyle name="20% - Accent3 4 3 2 4" xfId="10974" xr:uid="{00000000-0005-0000-0000-000015120000}"/>
    <cellStyle name="20% - Accent3 4 3 2 4 2" xfId="34823" xr:uid="{79E56BF5-CA17-450B-B38A-6D2BF75AAB48}"/>
    <cellStyle name="20% - Accent3 4 3 2 5" xfId="18929" xr:uid="{00000000-0005-0000-0000-000016120000}"/>
    <cellStyle name="20% - Accent3 4 3 2 5 2" xfId="42761" xr:uid="{85FF6BB3-310A-4B1B-8EE1-541D4A73FEBD}"/>
    <cellStyle name="20% - Accent3 4 3 2 6" xfId="26881" xr:uid="{5CDA944C-1782-491E-A8FF-FCA04758CE62}"/>
    <cellStyle name="20% - Accent3 4 3 2_Exh G" xfId="2254" xr:uid="{00000000-0005-0000-0000-000017120000}"/>
    <cellStyle name="20% - Accent3 4 3 3" xfId="3828" xr:uid="{00000000-0005-0000-0000-000018120000}"/>
    <cellStyle name="20% - Accent3 4 3 3 2" xfId="7420" xr:uid="{00000000-0005-0000-0000-000019120000}"/>
    <cellStyle name="20% - Accent3 4 3 3 2 2" xfId="15390" xr:uid="{00000000-0005-0000-0000-00001A120000}"/>
    <cellStyle name="20% - Accent3 4 3 3 2 2 2" xfId="39232" xr:uid="{ED68CFB5-0AEB-4A86-8EC9-0DFAA359D749}"/>
    <cellStyle name="20% - Accent3 4 3 3 2 3" xfId="23336" xr:uid="{00000000-0005-0000-0000-00001B120000}"/>
    <cellStyle name="20% - Accent3 4 3 3 2 3 2" xfId="47168" xr:uid="{A4D6AA2D-B4D5-4E0F-9698-8DAFB0E84DBA}"/>
    <cellStyle name="20% - Accent3 4 3 3 2 4" xfId="31291" xr:uid="{8AD34E3C-860C-4F81-BF1B-45250DB77596}"/>
    <cellStyle name="20% - Accent3 4 3 3 3" xfId="11852" xr:uid="{00000000-0005-0000-0000-00001C120000}"/>
    <cellStyle name="20% - Accent3 4 3 3 3 2" xfId="35701" xr:uid="{30BD46E1-DB57-46CD-9C19-78A5EBC3DF31}"/>
    <cellStyle name="20% - Accent3 4 3 3 4" xfId="19807" xr:uid="{00000000-0005-0000-0000-00001D120000}"/>
    <cellStyle name="20% - Accent3 4 3 3 4 2" xfId="43639" xr:uid="{DF75AF14-E7D4-4621-B22D-59895230BEAF}"/>
    <cellStyle name="20% - Accent3 4 3 3 5" xfId="27760" xr:uid="{3784AA68-498D-41A0-B53C-13A1C07349B1}"/>
    <cellStyle name="20% - Accent3 4 3 4" xfId="5648" xr:uid="{00000000-0005-0000-0000-00001E120000}"/>
    <cellStyle name="20% - Accent3 4 3 4 2" xfId="13631" xr:uid="{00000000-0005-0000-0000-00001F120000}"/>
    <cellStyle name="20% - Accent3 4 3 4 2 2" xfId="37474" xr:uid="{6D2714E4-E78D-4123-A47E-C68890470639}"/>
    <cellStyle name="20% - Accent3 4 3 4 3" xfId="21579" xr:uid="{00000000-0005-0000-0000-000020120000}"/>
    <cellStyle name="20% - Accent3 4 3 4 3 2" xfId="45411" xr:uid="{D2FF5457-B629-4080-8E69-5BA873B45BCB}"/>
    <cellStyle name="20% - Accent3 4 3 4 4" xfId="29533" xr:uid="{1086362E-E68B-4F09-9BDB-B465095815A8}"/>
    <cellStyle name="20% - Accent3 4 3 5" xfId="9200" xr:uid="{00000000-0005-0000-0000-000021120000}"/>
    <cellStyle name="20% - Accent3 4 3 5 2" xfId="17158" xr:uid="{00000000-0005-0000-0000-000022120000}"/>
    <cellStyle name="20% - Accent3 4 3 5 2 2" xfId="40998" xr:uid="{472CEF81-E182-448C-B96F-43BA01B0ACD2}"/>
    <cellStyle name="20% - Accent3 4 3 5 3" xfId="25102" xr:uid="{00000000-0005-0000-0000-000023120000}"/>
    <cellStyle name="20% - Accent3 4 3 5 3 2" xfId="48934" xr:uid="{6CF5B5A1-34B4-46DB-92EE-AE9D593E6F0D}"/>
    <cellStyle name="20% - Accent3 4 3 5 4" xfId="33057" xr:uid="{100CDEC9-D065-4DA1-80AF-FE56E197ABB2}"/>
    <cellStyle name="20% - Accent3 4 3 6" xfId="10096" xr:uid="{00000000-0005-0000-0000-000024120000}"/>
    <cellStyle name="20% - Accent3 4 3 6 2" xfId="33945" xr:uid="{29E77854-86AF-4120-A840-DCB7C0989187}"/>
    <cellStyle name="20% - Accent3 4 3 7" xfId="18051" xr:uid="{00000000-0005-0000-0000-000025120000}"/>
    <cellStyle name="20% - Accent3 4 3 7 2" xfId="41883" xr:uid="{73B81195-51B6-4A2A-BB1D-4DC62848E686}"/>
    <cellStyle name="20% - Accent3 4 3 8" xfId="26003" xr:uid="{E865E0C2-73F3-4B18-AFBA-5A61768B3BF7}"/>
    <cellStyle name="20% - Accent3 4 3_Exh G" xfId="2253" xr:uid="{00000000-0005-0000-0000-000026120000}"/>
    <cellStyle name="20% - Accent3 4 4" xfId="888" xr:uid="{00000000-0005-0000-0000-000027120000}"/>
    <cellStyle name="20% - Accent3 4 4 2" xfId="1816" xr:uid="{00000000-0005-0000-0000-000028120000}"/>
    <cellStyle name="20% - Accent3 4 4 2 2" xfId="5333" xr:uid="{00000000-0005-0000-0000-000029120000}"/>
    <cellStyle name="20% - Accent3 4 4 2 2 2" xfId="8924" xr:uid="{00000000-0005-0000-0000-00002A120000}"/>
    <cellStyle name="20% - Accent3 4 4 2 2 2 2" xfId="16894" xr:uid="{00000000-0005-0000-0000-00002B120000}"/>
    <cellStyle name="20% - Accent3 4 4 2 2 2 2 2" xfId="40736" xr:uid="{B8810A96-EB43-43E5-9132-6EC9BE4141D8}"/>
    <cellStyle name="20% - Accent3 4 4 2 2 2 3" xfId="24840" xr:uid="{00000000-0005-0000-0000-00002C120000}"/>
    <cellStyle name="20% - Accent3 4 4 2 2 2 3 2" xfId="48672" xr:uid="{01A768ED-42FD-4A6E-B9AA-21EE83B1EDF4}"/>
    <cellStyle name="20% - Accent3 4 4 2 2 2 4" xfId="32795" xr:uid="{36253839-6500-4E44-B1A3-F6036D98A7B7}"/>
    <cellStyle name="20% - Accent3 4 4 2 2 3" xfId="13356" xr:uid="{00000000-0005-0000-0000-00002D120000}"/>
    <cellStyle name="20% - Accent3 4 4 2 2 3 2" xfId="37205" xr:uid="{165E82DC-62E9-4083-B132-B0222DCF6CCD}"/>
    <cellStyle name="20% - Accent3 4 4 2 2 4" xfId="21311" xr:uid="{00000000-0005-0000-0000-00002E120000}"/>
    <cellStyle name="20% - Accent3 4 4 2 2 4 2" xfId="45143" xr:uid="{56B4F311-F52B-4FA2-B70C-65C23B2FD629}"/>
    <cellStyle name="20% - Accent3 4 4 2 2 5" xfId="29264" xr:uid="{519DDDA0-C54C-44B2-B1A1-DE6F3D6E810F}"/>
    <cellStyle name="20% - Accent3 4 4 2 3" xfId="7165" xr:uid="{00000000-0005-0000-0000-00002F120000}"/>
    <cellStyle name="20% - Accent3 4 4 2 3 2" xfId="15136" xr:uid="{00000000-0005-0000-0000-000030120000}"/>
    <cellStyle name="20% - Accent3 4 4 2 3 2 2" xfId="38978" xr:uid="{7815D746-F18D-4716-B1B9-891242A7FE04}"/>
    <cellStyle name="20% - Accent3 4 4 2 3 3" xfId="23083" xr:uid="{00000000-0005-0000-0000-000031120000}"/>
    <cellStyle name="20% - Accent3 4 4 2 3 3 2" xfId="46915" xr:uid="{17E46B97-92A7-4917-B28C-F42AE7ECF73B}"/>
    <cellStyle name="20% - Accent3 4 4 2 3 4" xfId="31037" xr:uid="{9A0905C2-D7D7-41EA-A4F2-54C362F7B7A0}"/>
    <cellStyle name="20% - Accent3 4 4 2 4" xfId="11600" xr:uid="{00000000-0005-0000-0000-000032120000}"/>
    <cellStyle name="20% - Accent3 4 4 2 4 2" xfId="35449" xr:uid="{097B44A8-FD57-4BB5-B111-BB09952327F8}"/>
    <cellStyle name="20% - Accent3 4 4 2 5" xfId="19555" xr:uid="{00000000-0005-0000-0000-000033120000}"/>
    <cellStyle name="20% - Accent3 4 4 2 5 2" xfId="43387" xr:uid="{EFB6A902-565D-4FEF-8321-D5E64F107CDD}"/>
    <cellStyle name="20% - Accent3 4 4 2 6" xfId="27507" xr:uid="{F8847333-E37A-4980-8C45-3B2FA1E48C29}"/>
    <cellStyle name="20% - Accent3 4 4 2_Exh G" xfId="2256" xr:uid="{00000000-0005-0000-0000-000034120000}"/>
    <cellStyle name="20% - Accent3 4 4 3" xfId="4454" xr:uid="{00000000-0005-0000-0000-000035120000}"/>
    <cellStyle name="20% - Accent3 4 4 3 2" xfId="8046" xr:uid="{00000000-0005-0000-0000-000036120000}"/>
    <cellStyle name="20% - Accent3 4 4 3 2 2" xfId="16016" xr:uid="{00000000-0005-0000-0000-000037120000}"/>
    <cellStyle name="20% - Accent3 4 4 3 2 2 2" xfId="39858" xr:uid="{A2842A20-4D1D-427F-9BC9-4981487EE4E9}"/>
    <cellStyle name="20% - Accent3 4 4 3 2 3" xfId="23962" xr:uid="{00000000-0005-0000-0000-000038120000}"/>
    <cellStyle name="20% - Accent3 4 4 3 2 3 2" xfId="47794" xr:uid="{61F61B9F-C68C-458C-9527-201228BF30CC}"/>
    <cellStyle name="20% - Accent3 4 4 3 2 4" xfId="31917" xr:uid="{CA598D53-D8DD-4256-AFB7-2A516D366758}"/>
    <cellStyle name="20% - Accent3 4 4 3 3" xfId="12478" xr:uid="{00000000-0005-0000-0000-000039120000}"/>
    <cellStyle name="20% - Accent3 4 4 3 3 2" xfId="36327" xr:uid="{A1504804-95E6-494A-9D1C-CDC30A2ECD89}"/>
    <cellStyle name="20% - Accent3 4 4 3 4" xfId="20433" xr:uid="{00000000-0005-0000-0000-00003A120000}"/>
    <cellStyle name="20% - Accent3 4 4 3 4 2" xfId="44265" xr:uid="{74B59831-1A58-4B89-93B0-3B4F3AE238D1}"/>
    <cellStyle name="20% - Accent3 4 4 3 5" xfId="28386" xr:uid="{E544CB78-BF9F-4A5C-A1C1-1EDE66DC11BA}"/>
    <cellStyle name="20% - Accent3 4 4 4" xfId="6284" xr:uid="{00000000-0005-0000-0000-00003B120000}"/>
    <cellStyle name="20% - Accent3 4 4 4 2" xfId="14258" xr:uid="{00000000-0005-0000-0000-00003C120000}"/>
    <cellStyle name="20% - Accent3 4 4 4 2 2" xfId="38100" xr:uid="{C2D48462-C7A6-47F3-A785-1B00ECED8943}"/>
    <cellStyle name="20% - Accent3 4 4 4 3" xfId="22205" xr:uid="{00000000-0005-0000-0000-00003D120000}"/>
    <cellStyle name="20% - Accent3 4 4 4 3 2" xfId="46037" xr:uid="{1FC4C486-67CE-4940-A690-51B3442780C3}"/>
    <cellStyle name="20% - Accent3 4 4 4 4" xfId="30159" xr:uid="{F6235635-2C42-4B3A-B085-B49ACB8BBFD9}"/>
    <cellStyle name="20% - Accent3 4 4 5" xfId="9826" xr:uid="{00000000-0005-0000-0000-00003E120000}"/>
    <cellStyle name="20% - Accent3 4 4 5 2" xfId="17784" xr:uid="{00000000-0005-0000-0000-00003F120000}"/>
    <cellStyle name="20% - Accent3 4 4 5 2 2" xfId="41624" xr:uid="{5793DF03-44D4-4ED5-A65D-7BB82B0F2249}"/>
    <cellStyle name="20% - Accent3 4 4 5 3" xfId="25728" xr:uid="{00000000-0005-0000-0000-000040120000}"/>
    <cellStyle name="20% - Accent3 4 4 5 3 2" xfId="49560" xr:uid="{A56A6406-6B7D-4855-AF8D-61E04893E65B}"/>
    <cellStyle name="20% - Accent3 4 4 5 4" xfId="33683" xr:uid="{50E72B0A-01DD-447E-919C-608878A88582}"/>
    <cellStyle name="20% - Accent3 4 4 6" xfId="10722" xr:uid="{00000000-0005-0000-0000-000041120000}"/>
    <cellStyle name="20% - Accent3 4 4 6 2" xfId="34571" xr:uid="{5DFA53DB-FD0B-470D-B78B-C8D64D4F6DE2}"/>
    <cellStyle name="20% - Accent3 4 4 7" xfId="18677" xr:uid="{00000000-0005-0000-0000-000042120000}"/>
    <cellStyle name="20% - Accent3 4 4 7 2" xfId="42509" xr:uid="{0FBECE08-F7FC-4CF6-8635-C11FDA58AE74}"/>
    <cellStyle name="20% - Accent3 4 4 8" xfId="26629" xr:uid="{8D825A30-F7C6-48BF-82C1-F3963134EF02}"/>
    <cellStyle name="20% - Accent3 4 4_Exh G" xfId="2255" xr:uid="{00000000-0005-0000-0000-000043120000}"/>
    <cellStyle name="20% - Accent3 4 5" xfId="1177" xr:uid="{00000000-0005-0000-0000-000044120000}"/>
    <cellStyle name="20% - Accent3 4 5 2" xfId="4704" xr:uid="{00000000-0005-0000-0000-000045120000}"/>
    <cellStyle name="20% - Accent3 4 5 2 2" xfId="8295" xr:uid="{00000000-0005-0000-0000-000046120000}"/>
    <cellStyle name="20% - Accent3 4 5 2 2 2" xfId="16265" xr:uid="{00000000-0005-0000-0000-000047120000}"/>
    <cellStyle name="20% - Accent3 4 5 2 2 2 2" xfId="40107" xr:uid="{6FC9FEC2-8D82-447F-AA1C-0B7CFFE06F2A}"/>
    <cellStyle name="20% - Accent3 4 5 2 2 3" xfId="24211" xr:uid="{00000000-0005-0000-0000-000048120000}"/>
    <cellStyle name="20% - Accent3 4 5 2 2 3 2" xfId="48043" xr:uid="{190B1C07-7083-4E9D-8C7D-CDA819F84228}"/>
    <cellStyle name="20% - Accent3 4 5 2 2 4" xfId="32166" xr:uid="{4F79F662-0347-4BE8-A2C8-8286D6BD01B4}"/>
    <cellStyle name="20% - Accent3 4 5 2 3" xfId="12727" xr:uid="{00000000-0005-0000-0000-000049120000}"/>
    <cellStyle name="20% - Accent3 4 5 2 3 2" xfId="36576" xr:uid="{E7DC2DFE-4628-4984-8029-97289AF62729}"/>
    <cellStyle name="20% - Accent3 4 5 2 4" xfId="20682" xr:uid="{00000000-0005-0000-0000-00004A120000}"/>
    <cellStyle name="20% - Accent3 4 5 2 4 2" xfId="44514" xr:uid="{722D4952-1628-4E24-89A5-0F84189C3B2C}"/>
    <cellStyle name="20% - Accent3 4 5 2 5" xfId="28635" xr:uid="{AD23902F-82A5-4D24-B6C4-614B554F1CB3}"/>
    <cellStyle name="20% - Accent3 4 5 3" xfId="6536" xr:uid="{00000000-0005-0000-0000-00004B120000}"/>
    <cellStyle name="20% - Accent3 4 5 3 2" xfId="14507" xr:uid="{00000000-0005-0000-0000-00004C120000}"/>
    <cellStyle name="20% - Accent3 4 5 3 2 2" xfId="38349" xr:uid="{2DCA0145-6828-4ED1-973D-60A24E39188E}"/>
    <cellStyle name="20% - Accent3 4 5 3 3" xfId="22454" xr:uid="{00000000-0005-0000-0000-00004D120000}"/>
    <cellStyle name="20% - Accent3 4 5 3 3 2" xfId="46286" xr:uid="{150D0B61-AD96-4753-9D14-1E54CF47E4F1}"/>
    <cellStyle name="20% - Accent3 4 5 3 4" xfId="30408" xr:uid="{D8A47AF3-8BB9-45B2-8B56-8CF9EA3DF39F}"/>
    <cellStyle name="20% - Accent3 4 5 4" xfId="10971" xr:uid="{00000000-0005-0000-0000-00004E120000}"/>
    <cellStyle name="20% - Accent3 4 5 4 2" xfId="34820" xr:uid="{0257311A-997A-49F4-A756-705B38E943C4}"/>
    <cellStyle name="20% - Accent3 4 5 5" xfId="18926" xr:uid="{00000000-0005-0000-0000-00004F120000}"/>
    <cellStyle name="20% - Accent3 4 5 5 2" xfId="42758" xr:uid="{3D84EE08-B1CE-453D-890E-8C589CAA061B}"/>
    <cellStyle name="20% - Accent3 4 5 6" xfId="26878" xr:uid="{01F7770A-4F8E-47EF-ABD4-3945F3503535}"/>
    <cellStyle name="20% - Accent3 4 5_Exh G" xfId="2257" xr:uid="{00000000-0005-0000-0000-000050120000}"/>
    <cellStyle name="20% - Accent3 4 6" xfId="3825" xr:uid="{00000000-0005-0000-0000-000051120000}"/>
    <cellStyle name="20% - Accent3 4 6 2" xfId="7417" xr:uid="{00000000-0005-0000-0000-000052120000}"/>
    <cellStyle name="20% - Accent3 4 6 2 2" xfId="15387" xr:uid="{00000000-0005-0000-0000-000053120000}"/>
    <cellStyle name="20% - Accent3 4 6 2 2 2" xfId="39229" xr:uid="{EF116AC8-E8A0-465F-9938-AEA4D1C8D292}"/>
    <cellStyle name="20% - Accent3 4 6 2 3" xfId="23333" xr:uid="{00000000-0005-0000-0000-000054120000}"/>
    <cellStyle name="20% - Accent3 4 6 2 3 2" xfId="47165" xr:uid="{11AD49E0-EDAC-43A3-91AC-94032025098E}"/>
    <cellStyle name="20% - Accent3 4 6 2 4" xfId="31288" xr:uid="{F8F577F8-8481-4BFC-8DC4-75AC1DA587F1}"/>
    <cellStyle name="20% - Accent3 4 6 3" xfId="11849" xr:uid="{00000000-0005-0000-0000-000055120000}"/>
    <cellStyle name="20% - Accent3 4 6 3 2" xfId="35698" xr:uid="{B6C1701E-65BD-4279-93A0-49D57C8EAC64}"/>
    <cellStyle name="20% - Accent3 4 6 4" xfId="19804" xr:uid="{00000000-0005-0000-0000-000056120000}"/>
    <cellStyle name="20% - Accent3 4 6 4 2" xfId="43636" xr:uid="{A92D54DF-A89B-4F95-B38D-E85197A99CF2}"/>
    <cellStyle name="20% - Accent3 4 6 5" xfId="27757" xr:uid="{42AADFF1-964B-4F63-8D23-92D41570F0EE}"/>
    <cellStyle name="20% - Accent3 4 7" xfId="5645" xr:uid="{00000000-0005-0000-0000-000057120000}"/>
    <cellStyle name="20% - Accent3 4 7 2" xfId="13628" xr:uid="{00000000-0005-0000-0000-000058120000}"/>
    <cellStyle name="20% - Accent3 4 7 2 2" xfId="37471" xr:uid="{4DF9E97A-CE1E-4E61-9A6B-5464598EAA88}"/>
    <cellStyle name="20% - Accent3 4 7 3" xfId="21576" xr:uid="{00000000-0005-0000-0000-000059120000}"/>
    <cellStyle name="20% - Accent3 4 7 3 2" xfId="45408" xr:uid="{0793D30A-2C5B-47A7-9E99-170EBF9B944B}"/>
    <cellStyle name="20% - Accent3 4 7 4" xfId="29530" xr:uid="{52C518CB-05CC-4B07-AD03-2ECF7E63DDF3}"/>
    <cellStyle name="20% - Accent3 4 8" xfId="9197" xr:uid="{00000000-0005-0000-0000-00005A120000}"/>
    <cellStyle name="20% - Accent3 4 8 2" xfId="17155" xr:uid="{00000000-0005-0000-0000-00005B120000}"/>
    <cellStyle name="20% - Accent3 4 8 2 2" xfId="40995" xr:uid="{04714234-EC74-43F8-952B-3110A656689E}"/>
    <cellStyle name="20% - Accent3 4 8 3" xfId="25099" xr:uid="{00000000-0005-0000-0000-00005C120000}"/>
    <cellStyle name="20% - Accent3 4 8 3 2" xfId="48931" xr:uid="{1DF455F5-30BC-4BCB-B9E0-B398BF336BAC}"/>
    <cellStyle name="20% - Accent3 4 8 4" xfId="33054" xr:uid="{7BC2C539-0FF2-4CE5-A330-82391D7D26C4}"/>
    <cellStyle name="20% - Accent3 4 9" xfId="10093" xr:uid="{00000000-0005-0000-0000-00005D120000}"/>
    <cellStyle name="20% - Accent3 4 9 2" xfId="33942" xr:uid="{E170415D-17B6-4A28-B6FA-B34A47A248C2}"/>
    <cellStyle name="20% - Accent3 4_Exh G" xfId="2246" xr:uid="{00000000-0005-0000-0000-00005E120000}"/>
    <cellStyle name="20% - Accent3 5" xfId="155" xr:uid="{00000000-0005-0000-0000-00005F120000}"/>
    <cellStyle name="20% - Accent3 5 10" xfId="18052" xr:uid="{00000000-0005-0000-0000-000060120000}"/>
    <cellStyle name="20% - Accent3 5 10 2" xfId="41884" xr:uid="{C2420C7D-37CA-417C-BDF2-3DB2AC44A4FE}"/>
    <cellStyle name="20% - Accent3 5 11" xfId="26004" xr:uid="{36E61278-177A-46A7-AFEA-54A0893C56DE}"/>
    <cellStyle name="20% - Accent3 5 2" xfId="156" xr:uid="{00000000-0005-0000-0000-000061120000}"/>
    <cellStyle name="20% - Accent3 5 2 2" xfId="157" xr:uid="{00000000-0005-0000-0000-000062120000}"/>
    <cellStyle name="20% - Accent3 5 2 2 2" xfId="1183" xr:uid="{00000000-0005-0000-0000-000063120000}"/>
    <cellStyle name="20% - Accent3 5 2 2 2 2" xfId="4710" xr:uid="{00000000-0005-0000-0000-000064120000}"/>
    <cellStyle name="20% - Accent3 5 2 2 2 2 2" xfId="8301" xr:uid="{00000000-0005-0000-0000-000065120000}"/>
    <cellStyle name="20% - Accent3 5 2 2 2 2 2 2" xfId="16271" xr:uid="{00000000-0005-0000-0000-000066120000}"/>
    <cellStyle name="20% - Accent3 5 2 2 2 2 2 2 2" xfId="40113" xr:uid="{8531F6A6-5408-46E9-8450-900D283DA286}"/>
    <cellStyle name="20% - Accent3 5 2 2 2 2 2 3" xfId="24217" xr:uid="{00000000-0005-0000-0000-000067120000}"/>
    <cellStyle name="20% - Accent3 5 2 2 2 2 2 3 2" xfId="48049" xr:uid="{02BBCF29-A73A-4504-9231-CAF8030C202A}"/>
    <cellStyle name="20% - Accent3 5 2 2 2 2 2 4" xfId="32172" xr:uid="{8CD2E624-8B41-483E-93A6-81E8F99BDAB6}"/>
    <cellStyle name="20% - Accent3 5 2 2 2 2 3" xfId="12733" xr:uid="{00000000-0005-0000-0000-000068120000}"/>
    <cellStyle name="20% - Accent3 5 2 2 2 2 3 2" xfId="36582" xr:uid="{73164DA9-0DEE-40B7-B82C-B778CEB291AA}"/>
    <cellStyle name="20% - Accent3 5 2 2 2 2 4" xfId="20688" xr:uid="{00000000-0005-0000-0000-000069120000}"/>
    <cellStyle name="20% - Accent3 5 2 2 2 2 4 2" xfId="44520" xr:uid="{192E489F-BE07-4381-B944-55E29A96808D}"/>
    <cellStyle name="20% - Accent3 5 2 2 2 2 5" xfId="28641" xr:uid="{6A21514F-D138-4709-BDC1-AA933B5CB16D}"/>
    <cellStyle name="20% - Accent3 5 2 2 2 3" xfId="6542" xr:uid="{00000000-0005-0000-0000-00006A120000}"/>
    <cellStyle name="20% - Accent3 5 2 2 2 3 2" xfId="14513" xr:uid="{00000000-0005-0000-0000-00006B120000}"/>
    <cellStyle name="20% - Accent3 5 2 2 2 3 2 2" xfId="38355" xr:uid="{D8C88DB3-B342-4E81-8D99-DA6BC29F4C8F}"/>
    <cellStyle name="20% - Accent3 5 2 2 2 3 3" xfId="22460" xr:uid="{00000000-0005-0000-0000-00006C120000}"/>
    <cellStyle name="20% - Accent3 5 2 2 2 3 3 2" xfId="46292" xr:uid="{5E0174E0-B1CE-4D08-BF03-9122F0952168}"/>
    <cellStyle name="20% - Accent3 5 2 2 2 3 4" xfId="30414" xr:uid="{60401F43-0077-46D2-B24A-739916E49112}"/>
    <cellStyle name="20% - Accent3 5 2 2 2 4" xfId="10977" xr:uid="{00000000-0005-0000-0000-00006D120000}"/>
    <cellStyle name="20% - Accent3 5 2 2 2 4 2" xfId="34826" xr:uid="{FE94F4DB-AD2F-425A-A4A6-5827987EDAAF}"/>
    <cellStyle name="20% - Accent3 5 2 2 2 5" xfId="18932" xr:uid="{00000000-0005-0000-0000-00006E120000}"/>
    <cellStyle name="20% - Accent3 5 2 2 2 5 2" xfId="42764" xr:uid="{05728BC7-2179-4CA6-8D21-F25926511026}"/>
    <cellStyle name="20% - Accent3 5 2 2 2 6" xfId="26884" xr:uid="{5B971909-2BC0-438C-A27C-5FDE2AE0FA33}"/>
    <cellStyle name="20% - Accent3 5 2 2 2_Exh G" xfId="2261" xr:uid="{00000000-0005-0000-0000-00006F120000}"/>
    <cellStyle name="20% - Accent3 5 2 2 3" xfId="3831" xr:uid="{00000000-0005-0000-0000-000070120000}"/>
    <cellStyle name="20% - Accent3 5 2 2 3 2" xfId="7423" xr:uid="{00000000-0005-0000-0000-000071120000}"/>
    <cellStyle name="20% - Accent3 5 2 2 3 2 2" xfId="15393" xr:uid="{00000000-0005-0000-0000-000072120000}"/>
    <cellStyle name="20% - Accent3 5 2 2 3 2 2 2" xfId="39235" xr:uid="{5680F2C7-72EB-4A61-9F99-583C6FED8C8D}"/>
    <cellStyle name="20% - Accent3 5 2 2 3 2 3" xfId="23339" xr:uid="{00000000-0005-0000-0000-000073120000}"/>
    <cellStyle name="20% - Accent3 5 2 2 3 2 3 2" xfId="47171" xr:uid="{6A1AD65F-E5D2-4238-A90C-4B2350FC0D86}"/>
    <cellStyle name="20% - Accent3 5 2 2 3 2 4" xfId="31294" xr:uid="{D19CC1F7-EA1F-4AB5-B834-2BA5E30FA75D}"/>
    <cellStyle name="20% - Accent3 5 2 2 3 3" xfId="11855" xr:uid="{00000000-0005-0000-0000-000074120000}"/>
    <cellStyle name="20% - Accent3 5 2 2 3 3 2" xfId="35704" xr:uid="{9DC04DCF-C136-4F8D-B6F3-3774CF85DD23}"/>
    <cellStyle name="20% - Accent3 5 2 2 3 4" xfId="19810" xr:uid="{00000000-0005-0000-0000-000075120000}"/>
    <cellStyle name="20% - Accent3 5 2 2 3 4 2" xfId="43642" xr:uid="{597DA99B-FD94-415D-B7F4-F7442DC96DDB}"/>
    <cellStyle name="20% - Accent3 5 2 2 3 5" xfId="27763" xr:uid="{93E6367B-E641-4CCC-8E42-04CD8BE3DB70}"/>
    <cellStyle name="20% - Accent3 5 2 2 4" xfId="5651" xr:uid="{00000000-0005-0000-0000-000076120000}"/>
    <cellStyle name="20% - Accent3 5 2 2 4 2" xfId="13634" xr:uid="{00000000-0005-0000-0000-000077120000}"/>
    <cellStyle name="20% - Accent3 5 2 2 4 2 2" xfId="37477" xr:uid="{885D5E26-E7BF-445D-B682-D267C8255BF3}"/>
    <cellStyle name="20% - Accent3 5 2 2 4 3" xfId="21582" xr:uid="{00000000-0005-0000-0000-000078120000}"/>
    <cellStyle name="20% - Accent3 5 2 2 4 3 2" xfId="45414" xr:uid="{FDF456FE-3E93-4B07-8FA4-05AEF6E153EA}"/>
    <cellStyle name="20% - Accent3 5 2 2 4 4" xfId="29536" xr:uid="{159B9F03-675C-46E9-9B27-2073175CA7A9}"/>
    <cellStyle name="20% - Accent3 5 2 2 5" xfId="9203" xr:uid="{00000000-0005-0000-0000-000079120000}"/>
    <cellStyle name="20% - Accent3 5 2 2 5 2" xfId="17161" xr:uid="{00000000-0005-0000-0000-00007A120000}"/>
    <cellStyle name="20% - Accent3 5 2 2 5 2 2" xfId="41001" xr:uid="{D151AD84-BB35-4621-938A-E47D5EBC5DD1}"/>
    <cellStyle name="20% - Accent3 5 2 2 5 3" xfId="25105" xr:uid="{00000000-0005-0000-0000-00007B120000}"/>
    <cellStyle name="20% - Accent3 5 2 2 5 3 2" xfId="48937" xr:uid="{394C85E8-B7F8-428B-A79E-E0F1B279464E}"/>
    <cellStyle name="20% - Accent3 5 2 2 5 4" xfId="33060" xr:uid="{F29749F2-DDD3-4DC2-8428-5A7AB32800CA}"/>
    <cellStyle name="20% - Accent3 5 2 2 6" xfId="10099" xr:uid="{00000000-0005-0000-0000-00007C120000}"/>
    <cellStyle name="20% - Accent3 5 2 2 6 2" xfId="33948" xr:uid="{F18EFBFE-4A29-4AB0-A546-2DBC8D77193F}"/>
    <cellStyle name="20% - Accent3 5 2 2 7" xfId="18054" xr:uid="{00000000-0005-0000-0000-00007D120000}"/>
    <cellStyle name="20% - Accent3 5 2 2 7 2" xfId="41886" xr:uid="{540CE81B-B365-486C-B3AD-119BC42A2045}"/>
    <cellStyle name="20% - Accent3 5 2 2 8" xfId="26006" xr:uid="{84EFFCCB-675D-4F33-BF1F-49014B22995D}"/>
    <cellStyle name="20% - Accent3 5 2 2_Exh G" xfId="2260" xr:uid="{00000000-0005-0000-0000-00007E120000}"/>
    <cellStyle name="20% - Accent3 5 2 3" xfId="1182" xr:uid="{00000000-0005-0000-0000-00007F120000}"/>
    <cellStyle name="20% - Accent3 5 2 3 2" xfId="4709" xr:uid="{00000000-0005-0000-0000-000080120000}"/>
    <cellStyle name="20% - Accent3 5 2 3 2 2" xfId="8300" xr:uid="{00000000-0005-0000-0000-000081120000}"/>
    <cellStyle name="20% - Accent3 5 2 3 2 2 2" xfId="16270" xr:uid="{00000000-0005-0000-0000-000082120000}"/>
    <cellStyle name="20% - Accent3 5 2 3 2 2 2 2" xfId="40112" xr:uid="{1C73235F-8111-4034-9720-6A1C96AF7386}"/>
    <cellStyle name="20% - Accent3 5 2 3 2 2 3" xfId="24216" xr:uid="{00000000-0005-0000-0000-000083120000}"/>
    <cellStyle name="20% - Accent3 5 2 3 2 2 3 2" xfId="48048" xr:uid="{E94086E0-7C62-4A6D-84F1-7212E0AF6643}"/>
    <cellStyle name="20% - Accent3 5 2 3 2 2 4" xfId="32171" xr:uid="{0A652AE3-B0A3-4A40-AAC5-2F83168391A0}"/>
    <cellStyle name="20% - Accent3 5 2 3 2 3" xfId="12732" xr:uid="{00000000-0005-0000-0000-000084120000}"/>
    <cellStyle name="20% - Accent3 5 2 3 2 3 2" xfId="36581" xr:uid="{CC8112E5-DB41-4EC7-AEA9-DE93C008896C}"/>
    <cellStyle name="20% - Accent3 5 2 3 2 4" xfId="20687" xr:uid="{00000000-0005-0000-0000-000085120000}"/>
    <cellStyle name="20% - Accent3 5 2 3 2 4 2" xfId="44519" xr:uid="{155DDA0D-968A-45A4-AAF2-764538DE82A0}"/>
    <cellStyle name="20% - Accent3 5 2 3 2 5" xfId="28640" xr:uid="{D01EF92F-86CF-443F-8C7B-EE307F87A9AA}"/>
    <cellStyle name="20% - Accent3 5 2 3 3" xfId="6541" xr:uid="{00000000-0005-0000-0000-000086120000}"/>
    <cellStyle name="20% - Accent3 5 2 3 3 2" xfId="14512" xr:uid="{00000000-0005-0000-0000-000087120000}"/>
    <cellStyle name="20% - Accent3 5 2 3 3 2 2" xfId="38354" xr:uid="{92936EFC-F99D-4E66-B00D-84F68A1BB7CE}"/>
    <cellStyle name="20% - Accent3 5 2 3 3 3" xfId="22459" xr:uid="{00000000-0005-0000-0000-000088120000}"/>
    <cellStyle name="20% - Accent3 5 2 3 3 3 2" xfId="46291" xr:uid="{BDF0E076-E617-4621-B9E7-2AD7F35581B6}"/>
    <cellStyle name="20% - Accent3 5 2 3 3 4" xfId="30413" xr:uid="{48047DC5-B686-43E2-BFB8-22D5F0316699}"/>
    <cellStyle name="20% - Accent3 5 2 3 4" xfId="10976" xr:uid="{00000000-0005-0000-0000-000089120000}"/>
    <cellStyle name="20% - Accent3 5 2 3 4 2" xfId="34825" xr:uid="{AF06BE18-2485-4968-A130-4ED0CCFDDA76}"/>
    <cellStyle name="20% - Accent3 5 2 3 5" xfId="18931" xr:uid="{00000000-0005-0000-0000-00008A120000}"/>
    <cellStyle name="20% - Accent3 5 2 3 5 2" xfId="42763" xr:uid="{A800D26B-9CBF-478D-970B-F627ABDACA70}"/>
    <cellStyle name="20% - Accent3 5 2 3 6" xfId="26883" xr:uid="{A8363798-5267-4077-B182-C9EE30AB97EA}"/>
    <cellStyle name="20% - Accent3 5 2 3_Exh G" xfId="2262" xr:uid="{00000000-0005-0000-0000-00008B120000}"/>
    <cellStyle name="20% - Accent3 5 2 4" xfId="3830" xr:uid="{00000000-0005-0000-0000-00008C120000}"/>
    <cellStyle name="20% - Accent3 5 2 4 2" xfId="7422" xr:uid="{00000000-0005-0000-0000-00008D120000}"/>
    <cellStyle name="20% - Accent3 5 2 4 2 2" xfId="15392" xr:uid="{00000000-0005-0000-0000-00008E120000}"/>
    <cellStyle name="20% - Accent3 5 2 4 2 2 2" xfId="39234" xr:uid="{9CCE4A18-48E7-4B7E-9FF4-3644A1A5E7E9}"/>
    <cellStyle name="20% - Accent3 5 2 4 2 3" xfId="23338" xr:uid="{00000000-0005-0000-0000-00008F120000}"/>
    <cellStyle name="20% - Accent3 5 2 4 2 3 2" xfId="47170" xr:uid="{30094CFB-C239-473C-A465-477555E1F357}"/>
    <cellStyle name="20% - Accent3 5 2 4 2 4" xfId="31293" xr:uid="{8E5417D2-EA72-4CE5-8659-973929CEC286}"/>
    <cellStyle name="20% - Accent3 5 2 4 3" xfId="11854" xr:uid="{00000000-0005-0000-0000-000090120000}"/>
    <cellStyle name="20% - Accent3 5 2 4 3 2" xfId="35703" xr:uid="{B9793186-12E8-4EA4-9332-150704EED8C9}"/>
    <cellStyle name="20% - Accent3 5 2 4 4" xfId="19809" xr:uid="{00000000-0005-0000-0000-000091120000}"/>
    <cellStyle name="20% - Accent3 5 2 4 4 2" xfId="43641" xr:uid="{0DAA5948-13EF-4E32-A4CB-8D6534EA0B15}"/>
    <cellStyle name="20% - Accent3 5 2 4 5" xfId="27762" xr:uid="{E0BA644D-8A20-485E-8A3E-97BDE1F68452}"/>
    <cellStyle name="20% - Accent3 5 2 5" xfId="5650" xr:uid="{00000000-0005-0000-0000-000092120000}"/>
    <cellStyle name="20% - Accent3 5 2 5 2" xfId="13633" xr:uid="{00000000-0005-0000-0000-000093120000}"/>
    <cellStyle name="20% - Accent3 5 2 5 2 2" xfId="37476" xr:uid="{C66C591A-8198-4E7B-AC7A-174BE923AADA}"/>
    <cellStyle name="20% - Accent3 5 2 5 3" xfId="21581" xr:uid="{00000000-0005-0000-0000-000094120000}"/>
    <cellStyle name="20% - Accent3 5 2 5 3 2" xfId="45413" xr:uid="{6EADB63D-8FAC-4B0B-AA90-63BCB9131BD5}"/>
    <cellStyle name="20% - Accent3 5 2 5 4" xfId="29535" xr:uid="{FE900C90-1BA4-4921-8011-368CD53BD5F4}"/>
    <cellStyle name="20% - Accent3 5 2 6" xfId="9202" xr:uid="{00000000-0005-0000-0000-000095120000}"/>
    <cellStyle name="20% - Accent3 5 2 6 2" xfId="17160" xr:uid="{00000000-0005-0000-0000-000096120000}"/>
    <cellStyle name="20% - Accent3 5 2 6 2 2" xfId="41000" xr:uid="{C99A85E1-9FB4-4F46-B1B8-A3E86AACC377}"/>
    <cellStyle name="20% - Accent3 5 2 6 3" xfId="25104" xr:uid="{00000000-0005-0000-0000-000097120000}"/>
    <cellStyle name="20% - Accent3 5 2 6 3 2" xfId="48936" xr:uid="{AD5BCF93-DEA5-4B5D-AFE6-9B49738262ED}"/>
    <cellStyle name="20% - Accent3 5 2 6 4" xfId="33059" xr:uid="{2C8E8E0C-B605-4653-88B5-36AAF34D5AC8}"/>
    <cellStyle name="20% - Accent3 5 2 7" xfId="10098" xr:uid="{00000000-0005-0000-0000-000098120000}"/>
    <cellStyle name="20% - Accent3 5 2 7 2" xfId="33947" xr:uid="{30B33D2C-97FB-447B-B94B-65C65B390F82}"/>
    <cellStyle name="20% - Accent3 5 2 8" xfId="18053" xr:uid="{00000000-0005-0000-0000-000099120000}"/>
    <cellStyle name="20% - Accent3 5 2 8 2" xfId="41885" xr:uid="{1671628F-2B19-49EA-B4DD-FD1C283B90A0}"/>
    <cellStyle name="20% - Accent3 5 2 9" xfId="26005" xr:uid="{E2B45DD8-4B48-4E75-A529-B01903F0D795}"/>
    <cellStyle name="20% - Accent3 5 2_Exh G" xfId="2259" xr:uid="{00000000-0005-0000-0000-00009A120000}"/>
    <cellStyle name="20% - Accent3 5 3" xfId="158" xr:uid="{00000000-0005-0000-0000-00009B120000}"/>
    <cellStyle name="20% - Accent3 5 3 2" xfId="1184" xr:uid="{00000000-0005-0000-0000-00009C120000}"/>
    <cellStyle name="20% - Accent3 5 3 2 2" xfId="4711" xr:uid="{00000000-0005-0000-0000-00009D120000}"/>
    <cellStyle name="20% - Accent3 5 3 2 2 2" xfId="8302" xr:uid="{00000000-0005-0000-0000-00009E120000}"/>
    <cellStyle name="20% - Accent3 5 3 2 2 2 2" xfId="16272" xr:uid="{00000000-0005-0000-0000-00009F120000}"/>
    <cellStyle name="20% - Accent3 5 3 2 2 2 2 2" xfId="40114" xr:uid="{8F7628CB-7B65-431F-B009-AB62DA5D9D84}"/>
    <cellStyle name="20% - Accent3 5 3 2 2 2 3" xfId="24218" xr:uid="{00000000-0005-0000-0000-0000A0120000}"/>
    <cellStyle name="20% - Accent3 5 3 2 2 2 3 2" xfId="48050" xr:uid="{EF3EF9CA-1752-4942-BC33-42091DA03757}"/>
    <cellStyle name="20% - Accent3 5 3 2 2 2 4" xfId="32173" xr:uid="{6976FEA5-1D56-421B-BC10-241B6DEFA6F8}"/>
    <cellStyle name="20% - Accent3 5 3 2 2 3" xfId="12734" xr:uid="{00000000-0005-0000-0000-0000A1120000}"/>
    <cellStyle name="20% - Accent3 5 3 2 2 3 2" xfId="36583" xr:uid="{C99EDDBB-61FC-4AC9-8F68-4CCCBE8E4669}"/>
    <cellStyle name="20% - Accent3 5 3 2 2 4" xfId="20689" xr:uid="{00000000-0005-0000-0000-0000A2120000}"/>
    <cellStyle name="20% - Accent3 5 3 2 2 4 2" xfId="44521" xr:uid="{96F025F0-360A-4CE8-B53B-B4281C085B00}"/>
    <cellStyle name="20% - Accent3 5 3 2 2 5" xfId="28642" xr:uid="{0CF2960B-A0F5-49A5-86E0-44E585C8370C}"/>
    <cellStyle name="20% - Accent3 5 3 2 3" xfId="6543" xr:uid="{00000000-0005-0000-0000-0000A3120000}"/>
    <cellStyle name="20% - Accent3 5 3 2 3 2" xfId="14514" xr:uid="{00000000-0005-0000-0000-0000A4120000}"/>
    <cellStyle name="20% - Accent3 5 3 2 3 2 2" xfId="38356" xr:uid="{35DF8966-80C9-40AD-9AF6-C2D14E61B874}"/>
    <cellStyle name="20% - Accent3 5 3 2 3 3" xfId="22461" xr:uid="{00000000-0005-0000-0000-0000A5120000}"/>
    <cellStyle name="20% - Accent3 5 3 2 3 3 2" xfId="46293" xr:uid="{7F66B2AD-FA2F-4FBE-99E0-E9306083D43A}"/>
    <cellStyle name="20% - Accent3 5 3 2 3 4" xfId="30415" xr:uid="{518F4130-9FF7-40DF-888E-4A6DCD82D0EB}"/>
    <cellStyle name="20% - Accent3 5 3 2 4" xfId="10978" xr:uid="{00000000-0005-0000-0000-0000A6120000}"/>
    <cellStyle name="20% - Accent3 5 3 2 4 2" xfId="34827" xr:uid="{E96C0D7F-6045-4DBE-B6D9-45DA9545753A}"/>
    <cellStyle name="20% - Accent3 5 3 2 5" xfId="18933" xr:uid="{00000000-0005-0000-0000-0000A7120000}"/>
    <cellStyle name="20% - Accent3 5 3 2 5 2" xfId="42765" xr:uid="{26574A94-B85A-42FB-9216-8573479EA677}"/>
    <cellStyle name="20% - Accent3 5 3 2 6" xfId="26885" xr:uid="{D813F121-9C95-4F01-9B7F-C431B54E9DD6}"/>
    <cellStyle name="20% - Accent3 5 3 2_Exh G" xfId="2264" xr:uid="{00000000-0005-0000-0000-0000A8120000}"/>
    <cellStyle name="20% - Accent3 5 3 3" xfId="3832" xr:uid="{00000000-0005-0000-0000-0000A9120000}"/>
    <cellStyle name="20% - Accent3 5 3 3 2" xfId="7424" xr:uid="{00000000-0005-0000-0000-0000AA120000}"/>
    <cellStyle name="20% - Accent3 5 3 3 2 2" xfId="15394" xr:uid="{00000000-0005-0000-0000-0000AB120000}"/>
    <cellStyle name="20% - Accent3 5 3 3 2 2 2" xfId="39236" xr:uid="{63205D1B-2A54-4965-ACE4-19B02434D515}"/>
    <cellStyle name="20% - Accent3 5 3 3 2 3" xfId="23340" xr:uid="{00000000-0005-0000-0000-0000AC120000}"/>
    <cellStyle name="20% - Accent3 5 3 3 2 3 2" xfId="47172" xr:uid="{F53C6E6A-AF69-4F24-9DEB-70780E43116D}"/>
    <cellStyle name="20% - Accent3 5 3 3 2 4" xfId="31295" xr:uid="{B2DD0C52-52BE-4B63-B9F8-DD289D293E22}"/>
    <cellStyle name="20% - Accent3 5 3 3 3" xfId="11856" xr:uid="{00000000-0005-0000-0000-0000AD120000}"/>
    <cellStyle name="20% - Accent3 5 3 3 3 2" xfId="35705" xr:uid="{65A53F67-4C61-468C-B9E1-29FE0F5641A9}"/>
    <cellStyle name="20% - Accent3 5 3 3 4" xfId="19811" xr:uid="{00000000-0005-0000-0000-0000AE120000}"/>
    <cellStyle name="20% - Accent3 5 3 3 4 2" xfId="43643" xr:uid="{34607DDD-51ED-480A-95F4-5D3AE50350EA}"/>
    <cellStyle name="20% - Accent3 5 3 3 5" xfId="27764" xr:uid="{5DD9062B-BB8E-4AEA-847E-67C7BE31A52E}"/>
    <cellStyle name="20% - Accent3 5 3 4" xfId="5652" xr:uid="{00000000-0005-0000-0000-0000AF120000}"/>
    <cellStyle name="20% - Accent3 5 3 4 2" xfId="13635" xr:uid="{00000000-0005-0000-0000-0000B0120000}"/>
    <cellStyle name="20% - Accent3 5 3 4 2 2" xfId="37478" xr:uid="{07E2F9D5-1E8B-438A-ACCC-2AF0AEFCAE7F}"/>
    <cellStyle name="20% - Accent3 5 3 4 3" xfId="21583" xr:uid="{00000000-0005-0000-0000-0000B1120000}"/>
    <cellStyle name="20% - Accent3 5 3 4 3 2" xfId="45415" xr:uid="{06DA822E-881B-4829-829F-EC16709EEEC4}"/>
    <cellStyle name="20% - Accent3 5 3 4 4" xfId="29537" xr:uid="{5AFC224E-A9F4-4F0A-BF8C-B2098D1BDAD1}"/>
    <cellStyle name="20% - Accent3 5 3 5" xfId="9204" xr:uid="{00000000-0005-0000-0000-0000B2120000}"/>
    <cellStyle name="20% - Accent3 5 3 5 2" xfId="17162" xr:uid="{00000000-0005-0000-0000-0000B3120000}"/>
    <cellStyle name="20% - Accent3 5 3 5 2 2" xfId="41002" xr:uid="{59F71586-E7B7-4C18-99AA-AD3D95024E79}"/>
    <cellStyle name="20% - Accent3 5 3 5 3" xfId="25106" xr:uid="{00000000-0005-0000-0000-0000B4120000}"/>
    <cellStyle name="20% - Accent3 5 3 5 3 2" xfId="48938" xr:uid="{7AE3E95E-48CB-4F26-860E-7F9F6091ED5A}"/>
    <cellStyle name="20% - Accent3 5 3 5 4" xfId="33061" xr:uid="{ED2FEFE9-0229-4AFA-BB79-1F52E269268D}"/>
    <cellStyle name="20% - Accent3 5 3 6" xfId="10100" xr:uid="{00000000-0005-0000-0000-0000B5120000}"/>
    <cellStyle name="20% - Accent3 5 3 6 2" xfId="33949" xr:uid="{B46C4583-D0F0-4938-8574-4061D826550B}"/>
    <cellStyle name="20% - Accent3 5 3 7" xfId="18055" xr:uid="{00000000-0005-0000-0000-0000B6120000}"/>
    <cellStyle name="20% - Accent3 5 3 7 2" xfId="41887" xr:uid="{69E09B68-1CF2-4B43-8BA4-5C50C96E7B6D}"/>
    <cellStyle name="20% - Accent3 5 3 8" xfId="26007" xr:uid="{361FFCF5-6816-43D3-921A-1688B4EFEB40}"/>
    <cellStyle name="20% - Accent3 5 3_Exh G" xfId="2263" xr:uid="{00000000-0005-0000-0000-0000B7120000}"/>
    <cellStyle name="20% - Accent3 5 4" xfId="890" xr:uid="{00000000-0005-0000-0000-0000B8120000}"/>
    <cellStyle name="20% - Accent3 5 5" xfId="1181" xr:uid="{00000000-0005-0000-0000-0000B9120000}"/>
    <cellStyle name="20% - Accent3 5 5 2" xfId="4708" xr:uid="{00000000-0005-0000-0000-0000BA120000}"/>
    <cellStyle name="20% - Accent3 5 5 2 2" xfId="8299" xr:uid="{00000000-0005-0000-0000-0000BB120000}"/>
    <cellStyle name="20% - Accent3 5 5 2 2 2" xfId="16269" xr:uid="{00000000-0005-0000-0000-0000BC120000}"/>
    <cellStyle name="20% - Accent3 5 5 2 2 2 2" xfId="40111" xr:uid="{9BDC27B2-3616-4CB3-9B7F-1608B09DAEEC}"/>
    <cellStyle name="20% - Accent3 5 5 2 2 3" xfId="24215" xr:uid="{00000000-0005-0000-0000-0000BD120000}"/>
    <cellStyle name="20% - Accent3 5 5 2 2 3 2" xfId="48047" xr:uid="{B330F8BC-6DD5-477E-9965-52736BC69E69}"/>
    <cellStyle name="20% - Accent3 5 5 2 2 4" xfId="32170" xr:uid="{4A63EA6B-DDB6-46EF-BE7F-1E52B271BDD1}"/>
    <cellStyle name="20% - Accent3 5 5 2 3" xfId="12731" xr:uid="{00000000-0005-0000-0000-0000BE120000}"/>
    <cellStyle name="20% - Accent3 5 5 2 3 2" xfId="36580" xr:uid="{7C2E2813-9EB6-4E70-A73E-4E81BEA64531}"/>
    <cellStyle name="20% - Accent3 5 5 2 4" xfId="20686" xr:uid="{00000000-0005-0000-0000-0000BF120000}"/>
    <cellStyle name="20% - Accent3 5 5 2 4 2" xfId="44518" xr:uid="{0AC5879A-A1E4-4185-9445-FED94D8DB235}"/>
    <cellStyle name="20% - Accent3 5 5 2 5" xfId="28639" xr:uid="{52069224-0972-4001-B8A2-04F0749BACD4}"/>
    <cellStyle name="20% - Accent3 5 5 3" xfId="6540" xr:uid="{00000000-0005-0000-0000-0000C0120000}"/>
    <cellStyle name="20% - Accent3 5 5 3 2" xfId="14511" xr:uid="{00000000-0005-0000-0000-0000C1120000}"/>
    <cellStyle name="20% - Accent3 5 5 3 2 2" xfId="38353" xr:uid="{ED48B24C-F2FD-4065-B560-2816AE3CC93B}"/>
    <cellStyle name="20% - Accent3 5 5 3 3" xfId="22458" xr:uid="{00000000-0005-0000-0000-0000C2120000}"/>
    <cellStyle name="20% - Accent3 5 5 3 3 2" xfId="46290" xr:uid="{324B0BD5-7006-4E8C-B8CE-5C5B0D8F9006}"/>
    <cellStyle name="20% - Accent3 5 5 3 4" xfId="30412" xr:uid="{BED47BAB-DDC7-46B8-A8EF-10D9996AD9C9}"/>
    <cellStyle name="20% - Accent3 5 5 4" xfId="10975" xr:uid="{00000000-0005-0000-0000-0000C3120000}"/>
    <cellStyle name="20% - Accent3 5 5 4 2" xfId="34824" xr:uid="{59B46549-1228-4A6C-B495-DDF21B1DC615}"/>
    <cellStyle name="20% - Accent3 5 5 5" xfId="18930" xr:uid="{00000000-0005-0000-0000-0000C4120000}"/>
    <cellStyle name="20% - Accent3 5 5 5 2" xfId="42762" xr:uid="{3B8B8471-E6D1-4E48-8CDD-28E4467AC21E}"/>
    <cellStyle name="20% - Accent3 5 5 6" xfId="26882" xr:uid="{28D47FE1-4E99-496B-9A4C-99B2403072FC}"/>
    <cellStyle name="20% - Accent3 5 5_Exh G" xfId="2265" xr:uid="{00000000-0005-0000-0000-0000C5120000}"/>
    <cellStyle name="20% - Accent3 5 6" xfId="3829" xr:uid="{00000000-0005-0000-0000-0000C6120000}"/>
    <cellStyle name="20% - Accent3 5 6 2" xfId="7421" xr:uid="{00000000-0005-0000-0000-0000C7120000}"/>
    <cellStyle name="20% - Accent3 5 6 2 2" xfId="15391" xr:uid="{00000000-0005-0000-0000-0000C8120000}"/>
    <cellStyle name="20% - Accent3 5 6 2 2 2" xfId="39233" xr:uid="{FDDB68C6-192F-4575-BF0E-056A28C3DC6F}"/>
    <cellStyle name="20% - Accent3 5 6 2 3" xfId="23337" xr:uid="{00000000-0005-0000-0000-0000C9120000}"/>
    <cellStyle name="20% - Accent3 5 6 2 3 2" xfId="47169" xr:uid="{305854BB-6752-4CA0-83C7-35FE2D0B8CD9}"/>
    <cellStyle name="20% - Accent3 5 6 2 4" xfId="31292" xr:uid="{DB4CD0CF-B096-440C-835D-6113720BC662}"/>
    <cellStyle name="20% - Accent3 5 6 3" xfId="11853" xr:uid="{00000000-0005-0000-0000-0000CA120000}"/>
    <cellStyle name="20% - Accent3 5 6 3 2" xfId="35702" xr:uid="{02C5AD7C-F223-4712-B586-E4E6E966AB0E}"/>
    <cellStyle name="20% - Accent3 5 6 4" xfId="19808" xr:uid="{00000000-0005-0000-0000-0000CB120000}"/>
    <cellStyle name="20% - Accent3 5 6 4 2" xfId="43640" xr:uid="{5F48FB8B-2EAD-4329-8F7F-71647BDD24A2}"/>
    <cellStyle name="20% - Accent3 5 6 5" xfId="27761" xr:uid="{BA9D7540-33A9-43EE-B3FC-301FDA5F4CF8}"/>
    <cellStyle name="20% - Accent3 5 7" xfId="5649" xr:uid="{00000000-0005-0000-0000-0000CC120000}"/>
    <cellStyle name="20% - Accent3 5 7 2" xfId="13632" xr:uid="{00000000-0005-0000-0000-0000CD120000}"/>
    <cellStyle name="20% - Accent3 5 7 2 2" xfId="37475" xr:uid="{41EFD2FC-9C61-4364-B587-6F17D8EC7C5C}"/>
    <cellStyle name="20% - Accent3 5 7 3" xfId="21580" xr:uid="{00000000-0005-0000-0000-0000CE120000}"/>
    <cellStyle name="20% - Accent3 5 7 3 2" xfId="45412" xr:uid="{BE41D626-FBE3-4167-ADF4-C4CA8AD1A460}"/>
    <cellStyle name="20% - Accent3 5 7 4" xfId="29534" xr:uid="{4AA378BC-9ADD-4920-B37B-DB0AAC6A25E7}"/>
    <cellStyle name="20% - Accent3 5 8" xfId="9201" xr:uid="{00000000-0005-0000-0000-0000CF120000}"/>
    <cellStyle name="20% - Accent3 5 8 2" xfId="17159" xr:uid="{00000000-0005-0000-0000-0000D0120000}"/>
    <cellStyle name="20% - Accent3 5 8 2 2" xfId="40999" xr:uid="{3E740367-CD0E-48B7-B57B-2A32AED98FE1}"/>
    <cellStyle name="20% - Accent3 5 8 3" xfId="25103" xr:uid="{00000000-0005-0000-0000-0000D1120000}"/>
    <cellStyle name="20% - Accent3 5 8 3 2" xfId="48935" xr:uid="{5012728D-0FD5-45DE-A5E9-4F9D1463D552}"/>
    <cellStyle name="20% - Accent3 5 8 4" xfId="33058" xr:uid="{961561AD-DA25-4CA5-B7D3-2C6398995517}"/>
    <cellStyle name="20% - Accent3 5 9" xfId="10097" xr:uid="{00000000-0005-0000-0000-0000D2120000}"/>
    <cellStyle name="20% - Accent3 5 9 2" xfId="33946" xr:uid="{1AE0AB78-F8F5-4EC7-A70A-312FD0811984}"/>
    <cellStyle name="20% - Accent3 5_Exh G" xfId="2258" xr:uid="{00000000-0005-0000-0000-0000D3120000}"/>
    <cellStyle name="20% - Accent3 6" xfId="159" xr:uid="{00000000-0005-0000-0000-0000D4120000}"/>
    <cellStyle name="20% - Accent3 6 10" xfId="18056" xr:uid="{00000000-0005-0000-0000-0000D5120000}"/>
    <cellStyle name="20% - Accent3 6 10 2" xfId="41888" xr:uid="{AE89570D-E0B2-4E9F-A23F-244CE782C9CD}"/>
    <cellStyle name="20% - Accent3 6 11" xfId="26008" xr:uid="{179BF5FA-40BF-4456-B2CE-EC7DC91A1AAD}"/>
    <cellStyle name="20% - Accent3 6 2" xfId="160" xr:uid="{00000000-0005-0000-0000-0000D6120000}"/>
    <cellStyle name="20% - Accent3 6 2 2" xfId="161" xr:uid="{00000000-0005-0000-0000-0000D7120000}"/>
    <cellStyle name="20% - Accent3 6 2 2 2" xfId="1187" xr:uid="{00000000-0005-0000-0000-0000D8120000}"/>
    <cellStyle name="20% - Accent3 6 2 2 2 2" xfId="4714" xr:uid="{00000000-0005-0000-0000-0000D9120000}"/>
    <cellStyle name="20% - Accent3 6 2 2 2 2 2" xfId="8305" xr:uid="{00000000-0005-0000-0000-0000DA120000}"/>
    <cellStyle name="20% - Accent3 6 2 2 2 2 2 2" xfId="16275" xr:uid="{00000000-0005-0000-0000-0000DB120000}"/>
    <cellStyle name="20% - Accent3 6 2 2 2 2 2 2 2" xfId="40117" xr:uid="{BCA2BBBB-E8EA-4F3F-B5B8-179E2AAC3431}"/>
    <cellStyle name="20% - Accent3 6 2 2 2 2 2 3" xfId="24221" xr:uid="{00000000-0005-0000-0000-0000DC120000}"/>
    <cellStyle name="20% - Accent3 6 2 2 2 2 2 3 2" xfId="48053" xr:uid="{56F8FCAA-6ADE-4125-A250-1A2FE2003653}"/>
    <cellStyle name="20% - Accent3 6 2 2 2 2 2 4" xfId="32176" xr:uid="{9162850A-A45D-430B-9589-0E752D15E4AF}"/>
    <cellStyle name="20% - Accent3 6 2 2 2 2 3" xfId="12737" xr:uid="{00000000-0005-0000-0000-0000DD120000}"/>
    <cellStyle name="20% - Accent3 6 2 2 2 2 3 2" xfId="36586" xr:uid="{C1F26310-DB14-482A-B26F-AC7A1D0A6EAE}"/>
    <cellStyle name="20% - Accent3 6 2 2 2 2 4" xfId="20692" xr:uid="{00000000-0005-0000-0000-0000DE120000}"/>
    <cellStyle name="20% - Accent3 6 2 2 2 2 4 2" xfId="44524" xr:uid="{8428CA31-C8BD-44A3-AF9F-B31ED2C07A75}"/>
    <cellStyle name="20% - Accent3 6 2 2 2 2 5" xfId="28645" xr:uid="{066FC198-ABDE-400D-8CF2-FD81382486B6}"/>
    <cellStyle name="20% - Accent3 6 2 2 2 3" xfId="6546" xr:uid="{00000000-0005-0000-0000-0000DF120000}"/>
    <cellStyle name="20% - Accent3 6 2 2 2 3 2" xfId="14517" xr:uid="{00000000-0005-0000-0000-0000E0120000}"/>
    <cellStyle name="20% - Accent3 6 2 2 2 3 2 2" xfId="38359" xr:uid="{4DC563B2-26FE-4857-BEE3-B4A35A70C89C}"/>
    <cellStyle name="20% - Accent3 6 2 2 2 3 3" xfId="22464" xr:uid="{00000000-0005-0000-0000-0000E1120000}"/>
    <cellStyle name="20% - Accent3 6 2 2 2 3 3 2" xfId="46296" xr:uid="{295526D8-4D83-4283-B67E-67F04D1FE740}"/>
    <cellStyle name="20% - Accent3 6 2 2 2 3 4" xfId="30418" xr:uid="{0AFE3CF8-6561-4A82-932A-E371905E35AE}"/>
    <cellStyle name="20% - Accent3 6 2 2 2 4" xfId="10981" xr:uid="{00000000-0005-0000-0000-0000E2120000}"/>
    <cellStyle name="20% - Accent3 6 2 2 2 4 2" xfId="34830" xr:uid="{F4D072EC-002D-452C-B16E-AACB855D06B4}"/>
    <cellStyle name="20% - Accent3 6 2 2 2 5" xfId="18936" xr:uid="{00000000-0005-0000-0000-0000E3120000}"/>
    <cellStyle name="20% - Accent3 6 2 2 2 5 2" xfId="42768" xr:uid="{EDB44CB6-3A9F-4D88-B12E-08219A790635}"/>
    <cellStyle name="20% - Accent3 6 2 2 2 6" xfId="26888" xr:uid="{41AE686E-9C54-4AB9-9110-8563391549DE}"/>
    <cellStyle name="20% - Accent3 6 2 2 2_Exh G" xfId="2269" xr:uid="{00000000-0005-0000-0000-0000E4120000}"/>
    <cellStyle name="20% - Accent3 6 2 2 3" xfId="3835" xr:uid="{00000000-0005-0000-0000-0000E5120000}"/>
    <cellStyle name="20% - Accent3 6 2 2 3 2" xfId="7427" xr:uid="{00000000-0005-0000-0000-0000E6120000}"/>
    <cellStyle name="20% - Accent3 6 2 2 3 2 2" xfId="15397" xr:uid="{00000000-0005-0000-0000-0000E7120000}"/>
    <cellStyle name="20% - Accent3 6 2 2 3 2 2 2" xfId="39239" xr:uid="{600C8D09-7C59-41C1-B5F7-9A7B0516AB3A}"/>
    <cellStyle name="20% - Accent3 6 2 2 3 2 3" xfId="23343" xr:uid="{00000000-0005-0000-0000-0000E8120000}"/>
    <cellStyle name="20% - Accent3 6 2 2 3 2 3 2" xfId="47175" xr:uid="{0748037A-89F5-45DA-B7B4-8E1CEF955291}"/>
    <cellStyle name="20% - Accent3 6 2 2 3 2 4" xfId="31298" xr:uid="{2CA10150-17A0-42D1-9B6D-2C70CD3859FF}"/>
    <cellStyle name="20% - Accent3 6 2 2 3 3" xfId="11859" xr:uid="{00000000-0005-0000-0000-0000E9120000}"/>
    <cellStyle name="20% - Accent3 6 2 2 3 3 2" xfId="35708" xr:uid="{6DBB9448-D55B-42D1-A1C1-C79C41B2775B}"/>
    <cellStyle name="20% - Accent3 6 2 2 3 4" xfId="19814" xr:uid="{00000000-0005-0000-0000-0000EA120000}"/>
    <cellStyle name="20% - Accent3 6 2 2 3 4 2" xfId="43646" xr:uid="{751147CC-4762-4F71-901D-C816F604CC17}"/>
    <cellStyle name="20% - Accent3 6 2 2 3 5" xfId="27767" xr:uid="{65BA590B-06D9-4F4E-9348-EC85E1F38CD3}"/>
    <cellStyle name="20% - Accent3 6 2 2 4" xfId="5655" xr:uid="{00000000-0005-0000-0000-0000EB120000}"/>
    <cellStyle name="20% - Accent3 6 2 2 4 2" xfId="13638" xr:uid="{00000000-0005-0000-0000-0000EC120000}"/>
    <cellStyle name="20% - Accent3 6 2 2 4 2 2" xfId="37481" xr:uid="{8A74D438-0761-472C-8691-F23DFA3A4634}"/>
    <cellStyle name="20% - Accent3 6 2 2 4 3" xfId="21586" xr:uid="{00000000-0005-0000-0000-0000ED120000}"/>
    <cellStyle name="20% - Accent3 6 2 2 4 3 2" xfId="45418" xr:uid="{704D449F-2141-4143-8A7B-A7F02BAAB943}"/>
    <cellStyle name="20% - Accent3 6 2 2 4 4" xfId="29540" xr:uid="{3045AB3B-3407-45C3-B65C-F7E7567E60FD}"/>
    <cellStyle name="20% - Accent3 6 2 2 5" xfId="9207" xr:uid="{00000000-0005-0000-0000-0000EE120000}"/>
    <cellStyle name="20% - Accent3 6 2 2 5 2" xfId="17165" xr:uid="{00000000-0005-0000-0000-0000EF120000}"/>
    <cellStyle name="20% - Accent3 6 2 2 5 2 2" xfId="41005" xr:uid="{4EF62761-F60C-4545-8BD4-84C6B1C68607}"/>
    <cellStyle name="20% - Accent3 6 2 2 5 3" xfId="25109" xr:uid="{00000000-0005-0000-0000-0000F0120000}"/>
    <cellStyle name="20% - Accent3 6 2 2 5 3 2" xfId="48941" xr:uid="{AA3CBE0C-2C64-4E11-A3AB-86862031890B}"/>
    <cellStyle name="20% - Accent3 6 2 2 5 4" xfId="33064" xr:uid="{9045A574-00BC-47FC-86CD-BFC1ECD69C64}"/>
    <cellStyle name="20% - Accent3 6 2 2 6" xfId="10103" xr:uid="{00000000-0005-0000-0000-0000F1120000}"/>
    <cellStyle name="20% - Accent3 6 2 2 6 2" xfId="33952" xr:uid="{B2573C5B-4C6A-4211-BE8A-6CAE24532596}"/>
    <cellStyle name="20% - Accent3 6 2 2 7" xfId="18058" xr:uid="{00000000-0005-0000-0000-0000F2120000}"/>
    <cellStyle name="20% - Accent3 6 2 2 7 2" xfId="41890" xr:uid="{4957D0EA-55C6-4CCC-876C-A9BE9BD6ED02}"/>
    <cellStyle name="20% - Accent3 6 2 2 8" xfId="26010" xr:uid="{05E3D913-093D-4FE7-94A1-4A074B60C953}"/>
    <cellStyle name="20% - Accent3 6 2 2_Exh G" xfId="2268" xr:uid="{00000000-0005-0000-0000-0000F3120000}"/>
    <cellStyle name="20% - Accent3 6 2 3" xfId="1186" xr:uid="{00000000-0005-0000-0000-0000F4120000}"/>
    <cellStyle name="20% - Accent3 6 2 3 2" xfId="4713" xr:uid="{00000000-0005-0000-0000-0000F5120000}"/>
    <cellStyle name="20% - Accent3 6 2 3 2 2" xfId="8304" xr:uid="{00000000-0005-0000-0000-0000F6120000}"/>
    <cellStyle name="20% - Accent3 6 2 3 2 2 2" xfId="16274" xr:uid="{00000000-0005-0000-0000-0000F7120000}"/>
    <cellStyle name="20% - Accent3 6 2 3 2 2 2 2" xfId="40116" xr:uid="{C0911728-3F38-41B8-922F-FE15915A50AB}"/>
    <cellStyle name="20% - Accent3 6 2 3 2 2 3" xfId="24220" xr:uid="{00000000-0005-0000-0000-0000F8120000}"/>
    <cellStyle name="20% - Accent3 6 2 3 2 2 3 2" xfId="48052" xr:uid="{C05F6B3F-544A-4B37-B8F6-7E0560AEEE0D}"/>
    <cellStyle name="20% - Accent3 6 2 3 2 2 4" xfId="32175" xr:uid="{B23B058B-25B4-4184-A916-61C915BF465E}"/>
    <cellStyle name="20% - Accent3 6 2 3 2 3" xfId="12736" xr:uid="{00000000-0005-0000-0000-0000F9120000}"/>
    <cellStyle name="20% - Accent3 6 2 3 2 3 2" xfId="36585" xr:uid="{F6784C45-E74D-498A-9D45-2714AFC1161F}"/>
    <cellStyle name="20% - Accent3 6 2 3 2 4" xfId="20691" xr:uid="{00000000-0005-0000-0000-0000FA120000}"/>
    <cellStyle name="20% - Accent3 6 2 3 2 4 2" xfId="44523" xr:uid="{5A06257B-1298-49F6-9E6C-10706D57A420}"/>
    <cellStyle name="20% - Accent3 6 2 3 2 5" xfId="28644" xr:uid="{11C7DD05-D28A-4B2C-ADA0-604B317085CB}"/>
    <cellStyle name="20% - Accent3 6 2 3 3" xfId="6545" xr:uid="{00000000-0005-0000-0000-0000FB120000}"/>
    <cellStyle name="20% - Accent3 6 2 3 3 2" xfId="14516" xr:uid="{00000000-0005-0000-0000-0000FC120000}"/>
    <cellStyle name="20% - Accent3 6 2 3 3 2 2" xfId="38358" xr:uid="{3E02DDE8-6F69-4588-A8BF-B035487E23D2}"/>
    <cellStyle name="20% - Accent3 6 2 3 3 3" xfId="22463" xr:uid="{00000000-0005-0000-0000-0000FD120000}"/>
    <cellStyle name="20% - Accent3 6 2 3 3 3 2" xfId="46295" xr:uid="{77FB41D2-B2B4-44C8-BDF2-476FEA73FE34}"/>
    <cellStyle name="20% - Accent3 6 2 3 3 4" xfId="30417" xr:uid="{8D4CDF99-0A71-441D-9ADA-F4A7549CBFCC}"/>
    <cellStyle name="20% - Accent3 6 2 3 4" xfId="10980" xr:uid="{00000000-0005-0000-0000-0000FE120000}"/>
    <cellStyle name="20% - Accent3 6 2 3 4 2" xfId="34829" xr:uid="{5D118603-A588-4B57-B0D7-AE8284D5708B}"/>
    <cellStyle name="20% - Accent3 6 2 3 5" xfId="18935" xr:uid="{00000000-0005-0000-0000-0000FF120000}"/>
    <cellStyle name="20% - Accent3 6 2 3 5 2" xfId="42767" xr:uid="{19AFAE08-061A-4DFB-B6A1-6DB5806D1CFA}"/>
    <cellStyle name="20% - Accent3 6 2 3 6" xfId="26887" xr:uid="{F7CCE88A-3A3E-403A-998D-596A55ED237D}"/>
    <cellStyle name="20% - Accent3 6 2 3_Exh G" xfId="2270" xr:uid="{00000000-0005-0000-0000-000000130000}"/>
    <cellStyle name="20% - Accent3 6 2 4" xfId="3834" xr:uid="{00000000-0005-0000-0000-000001130000}"/>
    <cellStyle name="20% - Accent3 6 2 4 2" xfId="7426" xr:uid="{00000000-0005-0000-0000-000002130000}"/>
    <cellStyle name="20% - Accent3 6 2 4 2 2" xfId="15396" xr:uid="{00000000-0005-0000-0000-000003130000}"/>
    <cellStyle name="20% - Accent3 6 2 4 2 2 2" xfId="39238" xr:uid="{7FCCD0BE-1920-4AC3-ABC0-F3149F27F5A7}"/>
    <cellStyle name="20% - Accent3 6 2 4 2 3" xfId="23342" xr:uid="{00000000-0005-0000-0000-000004130000}"/>
    <cellStyle name="20% - Accent3 6 2 4 2 3 2" xfId="47174" xr:uid="{752BEC9D-07F9-4029-BE0F-67B2B1B3A598}"/>
    <cellStyle name="20% - Accent3 6 2 4 2 4" xfId="31297" xr:uid="{59A6EE58-3565-48AF-B126-8816530FD8D2}"/>
    <cellStyle name="20% - Accent3 6 2 4 3" xfId="11858" xr:uid="{00000000-0005-0000-0000-000005130000}"/>
    <cellStyle name="20% - Accent3 6 2 4 3 2" xfId="35707" xr:uid="{B5779102-A077-4743-A009-6E3ECA486B39}"/>
    <cellStyle name="20% - Accent3 6 2 4 4" xfId="19813" xr:uid="{00000000-0005-0000-0000-000006130000}"/>
    <cellStyle name="20% - Accent3 6 2 4 4 2" xfId="43645" xr:uid="{99F37979-F077-4EB6-A06F-8022C2A7C33D}"/>
    <cellStyle name="20% - Accent3 6 2 4 5" xfId="27766" xr:uid="{41921DDD-7B30-45B4-AB1D-D464520C34E1}"/>
    <cellStyle name="20% - Accent3 6 2 5" xfId="5654" xr:uid="{00000000-0005-0000-0000-000007130000}"/>
    <cellStyle name="20% - Accent3 6 2 5 2" xfId="13637" xr:uid="{00000000-0005-0000-0000-000008130000}"/>
    <cellStyle name="20% - Accent3 6 2 5 2 2" xfId="37480" xr:uid="{64082061-8115-44E5-AFB9-784275AC81A4}"/>
    <cellStyle name="20% - Accent3 6 2 5 3" xfId="21585" xr:uid="{00000000-0005-0000-0000-000009130000}"/>
    <cellStyle name="20% - Accent3 6 2 5 3 2" xfId="45417" xr:uid="{87772B99-843E-41F9-8E2A-7E75F9CECEE4}"/>
    <cellStyle name="20% - Accent3 6 2 5 4" xfId="29539" xr:uid="{1202F724-2A53-47FF-AE93-1D32FC978ED0}"/>
    <cellStyle name="20% - Accent3 6 2 6" xfId="9206" xr:uid="{00000000-0005-0000-0000-00000A130000}"/>
    <cellStyle name="20% - Accent3 6 2 6 2" xfId="17164" xr:uid="{00000000-0005-0000-0000-00000B130000}"/>
    <cellStyle name="20% - Accent3 6 2 6 2 2" xfId="41004" xr:uid="{9F0D1451-C572-488E-8EDE-3EBBD4DD78DC}"/>
    <cellStyle name="20% - Accent3 6 2 6 3" xfId="25108" xr:uid="{00000000-0005-0000-0000-00000C130000}"/>
    <cellStyle name="20% - Accent3 6 2 6 3 2" xfId="48940" xr:uid="{624D2720-950C-4DF8-B6E1-59E3661922DF}"/>
    <cellStyle name="20% - Accent3 6 2 6 4" xfId="33063" xr:uid="{33167ECC-83A7-4E9A-9D5B-BBFBDFA6F42C}"/>
    <cellStyle name="20% - Accent3 6 2 7" xfId="10102" xr:uid="{00000000-0005-0000-0000-00000D130000}"/>
    <cellStyle name="20% - Accent3 6 2 7 2" xfId="33951" xr:uid="{73F78676-3F65-4C65-A3FE-828CFE8E553C}"/>
    <cellStyle name="20% - Accent3 6 2 8" xfId="18057" xr:uid="{00000000-0005-0000-0000-00000E130000}"/>
    <cellStyle name="20% - Accent3 6 2 8 2" xfId="41889" xr:uid="{CF1A6711-24D1-4DDD-A97C-5CC48FB19FA2}"/>
    <cellStyle name="20% - Accent3 6 2 9" xfId="26009" xr:uid="{A91DA412-36A0-433A-8538-95D1CAF372EE}"/>
    <cellStyle name="20% - Accent3 6 2_Exh G" xfId="2267" xr:uid="{00000000-0005-0000-0000-00000F130000}"/>
    <cellStyle name="20% - Accent3 6 3" xfId="162" xr:uid="{00000000-0005-0000-0000-000010130000}"/>
    <cellStyle name="20% - Accent3 6 3 2" xfId="1188" xr:uid="{00000000-0005-0000-0000-000011130000}"/>
    <cellStyle name="20% - Accent3 6 3 2 2" xfId="4715" xr:uid="{00000000-0005-0000-0000-000012130000}"/>
    <cellStyle name="20% - Accent3 6 3 2 2 2" xfId="8306" xr:uid="{00000000-0005-0000-0000-000013130000}"/>
    <cellStyle name="20% - Accent3 6 3 2 2 2 2" xfId="16276" xr:uid="{00000000-0005-0000-0000-000014130000}"/>
    <cellStyle name="20% - Accent3 6 3 2 2 2 2 2" xfId="40118" xr:uid="{CB765734-4CBD-404D-8D97-927330B946D8}"/>
    <cellStyle name="20% - Accent3 6 3 2 2 2 3" xfId="24222" xr:uid="{00000000-0005-0000-0000-000015130000}"/>
    <cellStyle name="20% - Accent3 6 3 2 2 2 3 2" xfId="48054" xr:uid="{F31E05E6-379D-4F14-AFA6-1807827B9169}"/>
    <cellStyle name="20% - Accent3 6 3 2 2 2 4" xfId="32177" xr:uid="{9B10B30F-CB8C-40B2-A193-16E62844D0DD}"/>
    <cellStyle name="20% - Accent3 6 3 2 2 3" xfId="12738" xr:uid="{00000000-0005-0000-0000-000016130000}"/>
    <cellStyle name="20% - Accent3 6 3 2 2 3 2" xfId="36587" xr:uid="{E467E58D-06F9-46D2-8CEF-1F4C8313D40B}"/>
    <cellStyle name="20% - Accent3 6 3 2 2 4" xfId="20693" xr:uid="{00000000-0005-0000-0000-000017130000}"/>
    <cellStyle name="20% - Accent3 6 3 2 2 4 2" xfId="44525" xr:uid="{417B50FC-F466-4E85-8AC0-4F2CE235964A}"/>
    <cellStyle name="20% - Accent3 6 3 2 2 5" xfId="28646" xr:uid="{7488C01A-36DC-42E0-BF4A-4623B7B7C694}"/>
    <cellStyle name="20% - Accent3 6 3 2 3" xfId="6547" xr:uid="{00000000-0005-0000-0000-000018130000}"/>
    <cellStyle name="20% - Accent3 6 3 2 3 2" xfId="14518" xr:uid="{00000000-0005-0000-0000-000019130000}"/>
    <cellStyle name="20% - Accent3 6 3 2 3 2 2" xfId="38360" xr:uid="{46C2635B-6414-439C-A301-747E51462D19}"/>
    <cellStyle name="20% - Accent3 6 3 2 3 3" xfId="22465" xr:uid="{00000000-0005-0000-0000-00001A130000}"/>
    <cellStyle name="20% - Accent3 6 3 2 3 3 2" xfId="46297" xr:uid="{6E3231EC-8D29-4CCC-9F80-B5F156F2F957}"/>
    <cellStyle name="20% - Accent3 6 3 2 3 4" xfId="30419" xr:uid="{30B5620A-45BE-4668-BD7B-1E256DE532C6}"/>
    <cellStyle name="20% - Accent3 6 3 2 4" xfId="10982" xr:uid="{00000000-0005-0000-0000-00001B130000}"/>
    <cellStyle name="20% - Accent3 6 3 2 4 2" xfId="34831" xr:uid="{1533A5F5-F121-49F0-BD78-3549830EAE46}"/>
    <cellStyle name="20% - Accent3 6 3 2 5" xfId="18937" xr:uid="{00000000-0005-0000-0000-00001C130000}"/>
    <cellStyle name="20% - Accent3 6 3 2 5 2" xfId="42769" xr:uid="{F8CE7178-BFE5-47F3-B1E2-1ECA4E377563}"/>
    <cellStyle name="20% - Accent3 6 3 2 6" xfId="26889" xr:uid="{357E00C6-60D0-447F-A0FF-56F51BB3C562}"/>
    <cellStyle name="20% - Accent3 6 3 2_Exh G" xfId="2272" xr:uid="{00000000-0005-0000-0000-00001D130000}"/>
    <cellStyle name="20% - Accent3 6 3 3" xfId="3836" xr:uid="{00000000-0005-0000-0000-00001E130000}"/>
    <cellStyle name="20% - Accent3 6 3 3 2" xfId="7428" xr:uid="{00000000-0005-0000-0000-00001F130000}"/>
    <cellStyle name="20% - Accent3 6 3 3 2 2" xfId="15398" xr:uid="{00000000-0005-0000-0000-000020130000}"/>
    <cellStyle name="20% - Accent3 6 3 3 2 2 2" xfId="39240" xr:uid="{7F90B549-A335-4DF2-B0B1-6B1B536C515D}"/>
    <cellStyle name="20% - Accent3 6 3 3 2 3" xfId="23344" xr:uid="{00000000-0005-0000-0000-000021130000}"/>
    <cellStyle name="20% - Accent3 6 3 3 2 3 2" xfId="47176" xr:uid="{A143A175-89D9-487F-88D3-2FF9448C900D}"/>
    <cellStyle name="20% - Accent3 6 3 3 2 4" xfId="31299" xr:uid="{844BE49C-CDF5-462C-89A5-6A281CD2DFAB}"/>
    <cellStyle name="20% - Accent3 6 3 3 3" xfId="11860" xr:uid="{00000000-0005-0000-0000-000022130000}"/>
    <cellStyle name="20% - Accent3 6 3 3 3 2" xfId="35709" xr:uid="{E7A1F60A-60AB-4F05-8BEF-5B3501E92AC3}"/>
    <cellStyle name="20% - Accent3 6 3 3 4" xfId="19815" xr:uid="{00000000-0005-0000-0000-000023130000}"/>
    <cellStyle name="20% - Accent3 6 3 3 4 2" xfId="43647" xr:uid="{555C796D-65FD-4D3B-ADC3-F868D5AEC982}"/>
    <cellStyle name="20% - Accent3 6 3 3 5" xfId="27768" xr:uid="{84133587-2B13-452B-BAA6-D7A4FA5C0BE8}"/>
    <cellStyle name="20% - Accent3 6 3 4" xfId="5656" xr:uid="{00000000-0005-0000-0000-000024130000}"/>
    <cellStyle name="20% - Accent3 6 3 4 2" xfId="13639" xr:uid="{00000000-0005-0000-0000-000025130000}"/>
    <cellStyle name="20% - Accent3 6 3 4 2 2" xfId="37482" xr:uid="{5B9FDB83-BD67-4A4F-A720-BF3BA2DAFE98}"/>
    <cellStyle name="20% - Accent3 6 3 4 3" xfId="21587" xr:uid="{00000000-0005-0000-0000-000026130000}"/>
    <cellStyle name="20% - Accent3 6 3 4 3 2" xfId="45419" xr:uid="{F0A5B062-1096-417D-AC58-21440D8C8DDA}"/>
    <cellStyle name="20% - Accent3 6 3 4 4" xfId="29541" xr:uid="{31AE9161-6DBD-4718-B705-BFA9D2D38897}"/>
    <cellStyle name="20% - Accent3 6 3 5" xfId="9208" xr:uid="{00000000-0005-0000-0000-000027130000}"/>
    <cellStyle name="20% - Accent3 6 3 5 2" xfId="17166" xr:uid="{00000000-0005-0000-0000-000028130000}"/>
    <cellStyle name="20% - Accent3 6 3 5 2 2" xfId="41006" xr:uid="{C778CA65-8316-4538-8B8C-1E03BEC1832E}"/>
    <cellStyle name="20% - Accent3 6 3 5 3" xfId="25110" xr:uid="{00000000-0005-0000-0000-000029130000}"/>
    <cellStyle name="20% - Accent3 6 3 5 3 2" xfId="48942" xr:uid="{632117C5-D685-4DC0-A283-2BAE0FF951CA}"/>
    <cellStyle name="20% - Accent3 6 3 5 4" xfId="33065" xr:uid="{2264F270-6AE5-4CC0-9A8E-956B8CAA4DB7}"/>
    <cellStyle name="20% - Accent3 6 3 6" xfId="10104" xr:uid="{00000000-0005-0000-0000-00002A130000}"/>
    <cellStyle name="20% - Accent3 6 3 6 2" xfId="33953" xr:uid="{C2451C53-17DB-4D5C-ABC2-BF4F689C9BEF}"/>
    <cellStyle name="20% - Accent3 6 3 7" xfId="18059" xr:uid="{00000000-0005-0000-0000-00002B130000}"/>
    <cellStyle name="20% - Accent3 6 3 7 2" xfId="41891" xr:uid="{E1AB56F9-56A1-4D2A-80F6-27A714063813}"/>
    <cellStyle name="20% - Accent3 6 3 8" xfId="26011" xr:uid="{B68FEB38-E54E-4858-B260-2626EA4A1BFE}"/>
    <cellStyle name="20% - Accent3 6 3_Exh G" xfId="2271" xr:uid="{00000000-0005-0000-0000-00002C130000}"/>
    <cellStyle name="20% - Accent3 6 4" xfId="891" xr:uid="{00000000-0005-0000-0000-00002D130000}"/>
    <cellStyle name="20% - Accent3 6 4 2" xfId="1818" xr:uid="{00000000-0005-0000-0000-00002E130000}"/>
    <cellStyle name="20% - Accent3 6 4 2 2" xfId="5335" xr:uid="{00000000-0005-0000-0000-00002F130000}"/>
    <cellStyle name="20% - Accent3 6 4 2 2 2" xfId="8926" xr:uid="{00000000-0005-0000-0000-000030130000}"/>
    <cellStyle name="20% - Accent3 6 4 2 2 2 2" xfId="16896" xr:uid="{00000000-0005-0000-0000-000031130000}"/>
    <cellStyle name="20% - Accent3 6 4 2 2 2 2 2" xfId="40738" xr:uid="{39D38B52-B417-4067-874D-914E06854D6E}"/>
    <cellStyle name="20% - Accent3 6 4 2 2 2 3" xfId="24842" xr:uid="{00000000-0005-0000-0000-000032130000}"/>
    <cellStyle name="20% - Accent3 6 4 2 2 2 3 2" xfId="48674" xr:uid="{1FA85CAB-2BDB-47A6-A3D0-76A66BB2D0CB}"/>
    <cellStyle name="20% - Accent3 6 4 2 2 2 4" xfId="32797" xr:uid="{695EC9B3-4989-4987-9972-68103A8BD380}"/>
    <cellStyle name="20% - Accent3 6 4 2 2 3" xfId="13358" xr:uid="{00000000-0005-0000-0000-000033130000}"/>
    <cellStyle name="20% - Accent3 6 4 2 2 3 2" xfId="37207" xr:uid="{2F97A3DF-7C93-48A6-9CB2-F9ECA7C54B20}"/>
    <cellStyle name="20% - Accent3 6 4 2 2 4" xfId="21313" xr:uid="{00000000-0005-0000-0000-000034130000}"/>
    <cellStyle name="20% - Accent3 6 4 2 2 4 2" xfId="45145" xr:uid="{4AE1A3B6-5D7D-4327-9C8A-34BACB740074}"/>
    <cellStyle name="20% - Accent3 6 4 2 2 5" xfId="29266" xr:uid="{A6DD0150-77A0-4599-95BA-52B6478A7B38}"/>
    <cellStyle name="20% - Accent3 6 4 2 3" xfId="7167" xr:uid="{00000000-0005-0000-0000-000035130000}"/>
    <cellStyle name="20% - Accent3 6 4 2 3 2" xfId="15138" xr:uid="{00000000-0005-0000-0000-000036130000}"/>
    <cellStyle name="20% - Accent3 6 4 2 3 2 2" xfId="38980" xr:uid="{D73A8692-9F02-4427-9B44-A3839206147B}"/>
    <cellStyle name="20% - Accent3 6 4 2 3 3" xfId="23085" xr:uid="{00000000-0005-0000-0000-000037130000}"/>
    <cellStyle name="20% - Accent3 6 4 2 3 3 2" xfId="46917" xr:uid="{9BF9C506-D566-4433-A979-473D55BFFD34}"/>
    <cellStyle name="20% - Accent3 6 4 2 3 4" xfId="31039" xr:uid="{C24CC51E-C89E-47AF-AFC8-BEC101974E9B}"/>
    <cellStyle name="20% - Accent3 6 4 2 4" xfId="11602" xr:uid="{00000000-0005-0000-0000-000038130000}"/>
    <cellStyle name="20% - Accent3 6 4 2 4 2" xfId="35451" xr:uid="{ECE9216D-0731-4379-9C16-FFDB1473EC42}"/>
    <cellStyle name="20% - Accent3 6 4 2 5" xfId="19557" xr:uid="{00000000-0005-0000-0000-000039130000}"/>
    <cellStyle name="20% - Accent3 6 4 2 5 2" xfId="43389" xr:uid="{76936206-1DFC-477B-97CA-C5120F118878}"/>
    <cellStyle name="20% - Accent3 6 4 2 6" xfId="27509" xr:uid="{CABB3061-9BD8-449D-80C6-23EC1091BDB4}"/>
    <cellStyle name="20% - Accent3 6 4 2_Exh G" xfId="2274" xr:uid="{00000000-0005-0000-0000-00003A130000}"/>
    <cellStyle name="20% - Accent3 6 4 3" xfId="4456" xr:uid="{00000000-0005-0000-0000-00003B130000}"/>
    <cellStyle name="20% - Accent3 6 4 3 2" xfId="8048" xr:uid="{00000000-0005-0000-0000-00003C130000}"/>
    <cellStyle name="20% - Accent3 6 4 3 2 2" xfId="16018" xr:uid="{00000000-0005-0000-0000-00003D130000}"/>
    <cellStyle name="20% - Accent3 6 4 3 2 2 2" xfId="39860" xr:uid="{B643609E-9D9C-48BF-B18A-D094E9379AC3}"/>
    <cellStyle name="20% - Accent3 6 4 3 2 3" xfId="23964" xr:uid="{00000000-0005-0000-0000-00003E130000}"/>
    <cellStyle name="20% - Accent3 6 4 3 2 3 2" xfId="47796" xr:uid="{C174CC4A-3C25-4981-88E2-B488EEE7E64E}"/>
    <cellStyle name="20% - Accent3 6 4 3 2 4" xfId="31919" xr:uid="{9FBCA08F-DB64-41AD-B2A5-289DA577DC0C}"/>
    <cellStyle name="20% - Accent3 6 4 3 3" xfId="12480" xr:uid="{00000000-0005-0000-0000-00003F130000}"/>
    <cellStyle name="20% - Accent3 6 4 3 3 2" xfId="36329" xr:uid="{7722DFBC-C52F-44E2-AFC8-1959B0CDC56C}"/>
    <cellStyle name="20% - Accent3 6 4 3 4" xfId="20435" xr:uid="{00000000-0005-0000-0000-000040130000}"/>
    <cellStyle name="20% - Accent3 6 4 3 4 2" xfId="44267" xr:uid="{451246AF-CB33-4ED6-8F8B-092F6721889C}"/>
    <cellStyle name="20% - Accent3 6 4 3 5" xfId="28388" xr:uid="{92C22965-F548-4A81-98F5-E587D0F0D8BC}"/>
    <cellStyle name="20% - Accent3 6 4 4" xfId="6286" xr:uid="{00000000-0005-0000-0000-000041130000}"/>
    <cellStyle name="20% - Accent3 6 4 4 2" xfId="14260" xr:uid="{00000000-0005-0000-0000-000042130000}"/>
    <cellStyle name="20% - Accent3 6 4 4 2 2" xfId="38102" xr:uid="{EF835A2E-4D51-41EF-9D62-8DC700833600}"/>
    <cellStyle name="20% - Accent3 6 4 4 3" xfId="22207" xr:uid="{00000000-0005-0000-0000-000043130000}"/>
    <cellStyle name="20% - Accent3 6 4 4 3 2" xfId="46039" xr:uid="{805BC80B-8732-44D5-8DC9-C0FCE15A8271}"/>
    <cellStyle name="20% - Accent3 6 4 4 4" xfId="30161" xr:uid="{35F036AD-5F44-4AF3-9416-17C589BF6917}"/>
    <cellStyle name="20% - Accent3 6 4 5" xfId="9828" xr:uid="{00000000-0005-0000-0000-000044130000}"/>
    <cellStyle name="20% - Accent3 6 4 5 2" xfId="17786" xr:uid="{00000000-0005-0000-0000-000045130000}"/>
    <cellStyle name="20% - Accent3 6 4 5 2 2" xfId="41626" xr:uid="{CA424F05-410C-43DE-9BF3-1AA7DF1ECA6F}"/>
    <cellStyle name="20% - Accent3 6 4 5 3" xfId="25730" xr:uid="{00000000-0005-0000-0000-000046130000}"/>
    <cellStyle name="20% - Accent3 6 4 5 3 2" xfId="49562" xr:uid="{AF87AB56-65B8-42A4-996A-7CFBCE5259B5}"/>
    <cellStyle name="20% - Accent3 6 4 5 4" xfId="33685" xr:uid="{006DD90E-F48E-43B2-A4DF-01C26F3B5D43}"/>
    <cellStyle name="20% - Accent3 6 4 6" xfId="10724" xr:uid="{00000000-0005-0000-0000-000047130000}"/>
    <cellStyle name="20% - Accent3 6 4 6 2" xfId="34573" xr:uid="{7E2A5902-5EBF-4F97-AFDD-CEE06884A494}"/>
    <cellStyle name="20% - Accent3 6 4 7" xfId="18679" xr:uid="{00000000-0005-0000-0000-000048130000}"/>
    <cellStyle name="20% - Accent3 6 4 7 2" xfId="42511" xr:uid="{3B069D40-F502-48A5-AC60-B47B130B1301}"/>
    <cellStyle name="20% - Accent3 6 4 8" xfId="26631" xr:uid="{2B09830D-9741-42D1-8B11-627D6CCEA92E}"/>
    <cellStyle name="20% - Accent3 6 4_Exh G" xfId="2273" xr:uid="{00000000-0005-0000-0000-000049130000}"/>
    <cellStyle name="20% - Accent3 6 5" xfId="1185" xr:uid="{00000000-0005-0000-0000-00004A130000}"/>
    <cellStyle name="20% - Accent3 6 5 2" xfId="4712" xr:uid="{00000000-0005-0000-0000-00004B130000}"/>
    <cellStyle name="20% - Accent3 6 5 2 2" xfId="8303" xr:uid="{00000000-0005-0000-0000-00004C130000}"/>
    <cellStyle name="20% - Accent3 6 5 2 2 2" xfId="16273" xr:uid="{00000000-0005-0000-0000-00004D130000}"/>
    <cellStyle name="20% - Accent3 6 5 2 2 2 2" xfId="40115" xr:uid="{E93BD5D7-A167-49B0-9CC9-14E0CF1F9F7F}"/>
    <cellStyle name="20% - Accent3 6 5 2 2 3" xfId="24219" xr:uid="{00000000-0005-0000-0000-00004E130000}"/>
    <cellStyle name="20% - Accent3 6 5 2 2 3 2" xfId="48051" xr:uid="{28C77BC0-72FE-411E-88D0-38AE7582C0B3}"/>
    <cellStyle name="20% - Accent3 6 5 2 2 4" xfId="32174" xr:uid="{068EA3AD-78DA-4DA5-A59C-26E7B2F100DA}"/>
    <cellStyle name="20% - Accent3 6 5 2 3" xfId="12735" xr:uid="{00000000-0005-0000-0000-00004F130000}"/>
    <cellStyle name="20% - Accent3 6 5 2 3 2" xfId="36584" xr:uid="{0055D75B-DF20-49D1-B9CC-4F6F0EF5E4DC}"/>
    <cellStyle name="20% - Accent3 6 5 2 4" xfId="20690" xr:uid="{00000000-0005-0000-0000-000050130000}"/>
    <cellStyle name="20% - Accent3 6 5 2 4 2" xfId="44522" xr:uid="{4B037008-A638-43FA-80EB-ADB80A832C67}"/>
    <cellStyle name="20% - Accent3 6 5 2 5" xfId="28643" xr:uid="{92B6B4D8-DF75-4B7F-8681-2263A23D7D3D}"/>
    <cellStyle name="20% - Accent3 6 5 3" xfId="6544" xr:uid="{00000000-0005-0000-0000-000051130000}"/>
    <cellStyle name="20% - Accent3 6 5 3 2" xfId="14515" xr:uid="{00000000-0005-0000-0000-000052130000}"/>
    <cellStyle name="20% - Accent3 6 5 3 2 2" xfId="38357" xr:uid="{45641752-2A70-4108-9752-D9C3B092D3A9}"/>
    <cellStyle name="20% - Accent3 6 5 3 3" xfId="22462" xr:uid="{00000000-0005-0000-0000-000053130000}"/>
    <cellStyle name="20% - Accent3 6 5 3 3 2" xfId="46294" xr:uid="{69DFBF6D-E562-4DC1-B614-38DAAFEBE34F}"/>
    <cellStyle name="20% - Accent3 6 5 3 4" xfId="30416" xr:uid="{30E6C99D-F4DE-447E-A132-AC8103B617BE}"/>
    <cellStyle name="20% - Accent3 6 5 4" xfId="10979" xr:uid="{00000000-0005-0000-0000-000054130000}"/>
    <cellStyle name="20% - Accent3 6 5 4 2" xfId="34828" xr:uid="{A06D4D6E-A7AA-4306-9531-596A51C2F9FE}"/>
    <cellStyle name="20% - Accent3 6 5 5" xfId="18934" xr:uid="{00000000-0005-0000-0000-000055130000}"/>
    <cellStyle name="20% - Accent3 6 5 5 2" xfId="42766" xr:uid="{BD3F7F6C-3665-4B72-9013-DAABB1953D72}"/>
    <cellStyle name="20% - Accent3 6 5 6" xfId="26886" xr:uid="{1B11ABA8-B80D-4912-928F-4A9FBE4C12FF}"/>
    <cellStyle name="20% - Accent3 6 5_Exh G" xfId="2275" xr:uid="{00000000-0005-0000-0000-000056130000}"/>
    <cellStyle name="20% - Accent3 6 6" xfId="3833" xr:uid="{00000000-0005-0000-0000-000057130000}"/>
    <cellStyle name="20% - Accent3 6 6 2" xfId="7425" xr:uid="{00000000-0005-0000-0000-000058130000}"/>
    <cellStyle name="20% - Accent3 6 6 2 2" xfId="15395" xr:uid="{00000000-0005-0000-0000-000059130000}"/>
    <cellStyle name="20% - Accent3 6 6 2 2 2" xfId="39237" xr:uid="{9A1029DE-6753-4890-B2FC-E34E50E8FEE6}"/>
    <cellStyle name="20% - Accent3 6 6 2 3" xfId="23341" xr:uid="{00000000-0005-0000-0000-00005A130000}"/>
    <cellStyle name="20% - Accent3 6 6 2 3 2" xfId="47173" xr:uid="{3138037C-67E2-4A4B-8701-85A72DFDC8D0}"/>
    <cellStyle name="20% - Accent3 6 6 2 4" xfId="31296" xr:uid="{4FDFF869-78FD-418D-AE41-ABBF8FCC2418}"/>
    <cellStyle name="20% - Accent3 6 6 3" xfId="11857" xr:uid="{00000000-0005-0000-0000-00005B130000}"/>
    <cellStyle name="20% - Accent3 6 6 3 2" xfId="35706" xr:uid="{94F7F5E3-F444-42C2-95DF-6B4F10278BBA}"/>
    <cellStyle name="20% - Accent3 6 6 4" xfId="19812" xr:uid="{00000000-0005-0000-0000-00005C130000}"/>
    <cellStyle name="20% - Accent3 6 6 4 2" xfId="43644" xr:uid="{6D557031-DF3A-4DBF-B33A-2B2C07BE677A}"/>
    <cellStyle name="20% - Accent3 6 6 5" xfId="27765" xr:uid="{B4A1D0D7-DA54-41DD-AAF1-2C8FCB2B6DEC}"/>
    <cellStyle name="20% - Accent3 6 7" xfId="5653" xr:uid="{00000000-0005-0000-0000-00005D130000}"/>
    <cellStyle name="20% - Accent3 6 7 2" xfId="13636" xr:uid="{00000000-0005-0000-0000-00005E130000}"/>
    <cellStyle name="20% - Accent3 6 7 2 2" xfId="37479" xr:uid="{8E425D2A-AC14-4FB6-8074-EC4498BE1C4E}"/>
    <cellStyle name="20% - Accent3 6 7 3" xfId="21584" xr:uid="{00000000-0005-0000-0000-00005F130000}"/>
    <cellStyle name="20% - Accent3 6 7 3 2" xfId="45416" xr:uid="{F57F1C6A-9DC7-4285-BF69-2C639C66179C}"/>
    <cellStyle name="20% - Accent3 6 7 4" xfId="29538" xr:uid="{1E33980F-FAD9-41ED-892B-68347F45B74A}"/>
    <cellStyle name="20% - Accent3 6 8" xfId="9205" xr:uid="{00000000-0005-0000-0000-000060130000}"/>
    <cellStyle name="20% - Accent3 6 8 2" xfId="17163" xr:uid="{00000000-0005-0000-0000-000061130000}"/>
    <cellStyle name="20% - Accent3 6 8 2 2" xfId="41003" xr:uid="{2CE5CA4E-8940-4CBE-A103-34409878BAEA}"/>
    <cellStyle name="20% - Accent3 6 8 3" xfId="25107" xr:uid="{00000000-0005-0000-0000-000062130000}"/>
    <cellStyle name="20% - Accent3 6 8 3 2" xfId="48939" xr:uid="{4CE10670-C12E-4026-B86B-4D61E9E15B18}"/>
    <cellStyle name="20% - Accent3 6 8 4" xfId="33062" xr:uid="{73CEFD03-B473-4B9C-BF46-42613E58F987}"/>
    <cellStyle name="20% - Accent3 6 9" xfId="10101" xr:uid="{00000000-0005-0000-0000-000063130000}"/>
    <cellStyle name="20% - Accent3 6 9 2" xfId="33950" xr:uid="{C7E579E0-8842-406E-A12B-617A9D90A960}"/>
    <cellStyle name="20% - Accent3 6_Exh G" xfId="2266" xr:uid="{00000000-0005-0000-0000-000064130000}"/>
    <cellStyle name="20% - Accent3 7" xfId="163" xr:uid="{00000000-0005-0000-0000-000065130000}"/>
    <cellStyle name="20% - Accent3 7 10" xfId="18060" xr:uid="{00000000-0005-0000-0000-000066130000}"/>
    <cellStyle name="20% - Accent3 7 10 2" xfId="41892" xr:uid="{435D9D7D-0CAB-4A29-B02B-4CD1DF968CE6}"/>
    <cellStyle name="20% - Accent3 7 11" xfId="26012" xr:uid="{03EB0177-8DD7-46F7-9E65-6204CA880862}"/>
    <cellStyle name="20% - Accent3 7 2" xfId="164" xr:uid="{00000000-0005-0000-0000-000067130000}"/>
    <cellStyle name="20% - Accent3 7 2 2" xfId="165" xr:uid="{00000000-0005-0000-0000-000068130000}"/>
    <cellStyle name="20% - Accent3 7 2 2 2" xfId="1191" xr:uid="{00000000-0005-0000-0000-000069130000}"/>
    <cellStyle name="20% - Accent3 7 2 2 2 2" xfId="4718" xr:uid="{00000000-0005-0000-0000-00006A130000}"/>
    <cellStyle name="20% - Accent3 7 2 2 2 2 2" xfId="8309" xr:uid="{00000000-0005-0000-0000-00006B130000}"/>
    <cellStyle name="20% - Accent3 7 2 2 2 2 2 2" xfId="16279" xr:uid="{00000000-0005-0000-0000-00006C130000}"/>
    <cellStyle name="20% - Accent3 7 2 2 2 2 2 2 2" xfId="40121" xr:uid="{2AAB54A0-7FDB-4876-94B7-68EB9D29FD1F}"/>
    <cellStyle name="20% - Accent3 7 2 2 2 2 2 3" xfId="24225" xr:uid="{00000000-0005-0000-0000-00006D130000}"/>
    <cellStyle name="20% - Accent3 7 2 2 2 2 2 3 2" xfId="48057" xr:uid="{1E036F6A-1F08-4D29-B9D0-5A2992775906}"/>
    <cellStyle name="20% - Accent3 7 2 2 2 2 2 4" xfId="32180" xr:uid="{D2302B1A-2BC3-458B-AF17-D2D408B9FB86}"/>
    <cellStyle name="20% - Accent3 7 2 2 2 2 3" xfId="12741" xr:uid="{00000000-0005-0000-0000-00006E130000}"/>
    <cellStyle name="20% - Accent3 7 2 2 2 2 3 2" xfId="36590" xr:uid="{78869085-4FA4-4346-8974-FFA5553CF056}"/>
    <cellStyle name="20% - Accent3 7 2 2 2 2 4" xfId="20696" xr:uid="{00000000-0005-0000-0000-00006F130000}"/>
    <cellStyle name="20% - Accent3 7 2 2 2 2 4 2" xfId="44528" xr:uid="{96477FC9-AA45-4992-9746-2689BE91C739}"/>
    <cellStyle name="20% - Accent3 7 2 2 2 2 5" xfId="28649" xr:uid="{C3C78958-8D78-4409-B1E0-C064D53C3CC2}"/>
    <cellStyle name="20% - Accent3 7 2 2 2 3" xfId="6550" xr:uid="{00000000-0005-0000-0000-000070130000}"/>
    <cellStyle name="20% - Accent3 7 2 2 2 3 2" xfId="14521" xr:uid="{00000000-0005-0000-0000-000071130000}"/>
    <cellStyle name="20% - Accent3 7 2 2 2 3 2 2" xfId="38363" xr:uid="{32359BA8-D68B-4CA7-A3C6-F6531E0F066B}"/>
    <cellStyle name="20% - Accent3 7 2 2 2 3 3" xfId="22468" xr:uid="{00000000-0005-0000-0000-000072130000}"/>
    <cellStyle name="20% - Accent3 7 2 2 2 3 3 2" xfId="46300" xr:uid="{E4D311EE-64CC-47CD-A841-C7A9F217FEDE}"/>
    <cellStyle name="20% - Accent3 7 2 2 2 3 4" xfId="30422" xr:uid="{DCC45A86-FDE5-409C-8A29-13902F36C647}"/>
    <cellStyle name="20% - Accent3 7 2 2 2 4" xfId="10985" xr:uid="{00000000-0005-0000-0000-000073130000}"/>
    <cellStyle name="20% - Accent3 7 2 2 2 4 2" xfId="34834" xr:uid="{012AD5A8-2892-4893-9907-9E7EA381DDDC}"/>
    <cellStyle name="20% - Accent3 7 2 2 2 5" xfId="18940" xr:uid="{00000000-0005-0000-0000-000074130000}"/>
    <cellStyle name="20% - Accent3 7 2 2 2 5 2" xfId="42772" xr:uid="{BB4C86F0-E593-4B10-9237-DBED96423483}"/>
    <cellStyle name="20% - Accent3 7 2 2 2 6" xfId="26892" xr:uid="{74F4A31C-49B7-4EC8-90FF-934D641BE79A}"/>
    <cellStyle name="20% - Accent3 7 2 2 2_Exh G" xfId="2279" xr:uid="{00000000-0005-0000-0000-000075130000}"/>
    <cellStyle name="20% - Accent3 7 2 2 3" xfId="3839" xr:uid="{00000000-0005-0000-0000-000076130000}"/>
    <cellStyle name="20% - Accent3 7 2 2 3 2" xfId="7431" xr:uid="{00000000-0005-0000-0000-000077130000}"/>
    <cellStyle name="20% - Accent3 7 2 2 3 2 2" xfId="15401" xr:uid="{00000000-0005-0000-0000-000078130000}"/>
    <cellStyle name="20% - Accent3 7 2 2 3 2 2 2" xfId="39243" xr:uid="{46190A47-9BB8-4CDD-BEFF-3601505D4C96}"/>
    <cellStyle name="20% - Accent3 7 2 2 3 2 3" xfId="23347" xr:uid="{00000000-0005-0000-0000-000079130000}"/>
    <cellStyle name="20% - Accent3 7 2 2 3 2 3 2" xfId="47179" xr:uid="{7C549447-34AC-4E91-86CD-206723E80DFF}"/>
    <cellStyle name="20% - Accent3 7 2 2 3 2 4" xfId="31302" xr:uid="{4B9373EB-3516-416E-9D5B-85EF494AD5FB}"/>
    <cellStyle name="20% - Accent3 7 2 2 3 3" xfId="11863" xr:uid="{00000000-0005-0000-0000-00007A130000}"/>
    <cellStyle name="20% - Accent3 7 2 2 3 3 2" xfId="35712" xr:uid="{3799BAC6-543D-4B3A-8EE4-F91525859534}"/>
    <cellStyle name="20% - Accent3 7 2 2 3 4" xfId="19818" xr:uid="{00000000-0005-0000-0000-00007B130000}"/>
    <cellStyle name="20% - Accent3 7 2 2 3 4 2" xfId="43650" xr:uid="{F13409E1-CF51-4E93-AE31-A58A020E8860}"/>
    <cellStyle name="20% - Accent3 7 2 2 3 5" xfId="27771" xr:uid="{DF5FBE9C-D314-4EB9-9C8A-27089A9E21EE}"/>
    <cellStyle name="20% - Accent3 7 2 2 4" xfId="5659" xr:uid="{00000000-0005-0000-0000-00007C130000}"/>
    <cellStyle name="20% - Accent3 7 2 2 4 2" xfId="13642" xr:uid="{00000000-0005-0000-0000-00007D130000}"/>
    <cellStyle name="20% - Accent3 7 2 2 4 2 2" xfId="37485" xr:uid="{1FC6AD10-2C68-4961-8FAF-6A4D5A18E574}"/>
    <cellStyle name="20% - Accent3 7 2 2 4 3" xfId="21590" xr:uid="{00000000-0005-0000-0000-00007E130000}"/>
    <cellStyle name="20% - Accent3 7 2 2 4 3 2" xfId="45422" xr:uid="{29321924-A680-4FF6-B69D-2B9363546A51}"/>
    <cellStyle name="20% - Accent3 7 2 2 4 4" xfId="29544" xr:uid="{1CA5AA11-CEB7-4417-8BDD-8E56B2548EB7}"/>
    <cellStyle name="20% - Accent3 7 2 2 5" xfId="9211" xr:uid="{00000000-0005-0000-0000-00007F130000}"/>
    <cellStyle name="20% - Accent3 7 2 2 5 2" xfId="17169" xr:uid="{00000000-0005-0000-0000-000080130000}"/>
    <cellStyle name="20% - Accent3 7 2 2 5 2 2" xfId="41009" xr:uid="{D406AECF-D367-4902-A03D-036EBEE28B2F}"/>
    <cellStyle name="20% - Accent3 7 2 2 5 3" xfId="25113" xr:uid="{00000000-0005-0000-0000-000081130000}"/>
    <cellStyle name="20% - Accent3 7 2 2 5 3 2" xfId="48945" xr:uid="{E40E2ACF-358A-4242-872C-1458D3D54C6F}"/>
    <cellStyle name="20% - Accent3 7 2 2 5 4" xfId="33068" xr:uid="{845437C6-F356-4F2E-A494-FC4B505A8ADC}"/>
    <cellStyle name="20% - Accent3 7 2 2 6" xfId="10107" xr:uid="{00000000-0005-0000-0000-000082130000}"/>
    <cellStyle name="20% - Accent3 7 2 2 6 2" xfId="33956" xr:uid="{14EB5DA5-0AB1-4444-8657-5E748ACCC904}"/>
    <cellStyle name="20% - Accent3 7 2 2 7" xfId="18062" xr:uid="{00000000-0005-0000-0000-000083130000}"/>
    <cellStyle name="20% - Accent3 7 2 2 7 2" xfId="41894" xr:uid="{02FC6689-D671-490E-980E-0FC021769F52}"/>
    <cellStyle name="20% - Accent3 7 2 2 8" xfId="26014" xr:uid="{8E18429A-C484-4766-B2C1-450F9A565A89}"/>
    <cellStyle name="20% - Accent3 7 2 2_Exh G" xfId="2278" xr:uid="{00000000-0005-0000-0000-000084130000}"/>
    <cellStyle name="20% - Accent3 7 2 3" xfId="1190" xr:uid="{00000000-0005-0000-0000-000085130000}"/>
    <cellStyle name="20% - Accent3 7 2 3 2" xfId="4717" xr:uid="{00000000-0005-0000-0000-000086130000}"/>
    <cellStyle name="20% - Accent3 7 2 3 2 2" xfId="8308" xr:uid="{00000000-0005-0000-0000-000087130000}"/>
    <cellStyle name="20% - Accent3 7 2 3 2 2 2" xfId="16278" xr:uid="{00000000-0005-0000-0000-000088130000}"/>
    <cellStyle name="20% - Accent3 7 2 3 2 2 2 2" xfId="40120" xr:uid="{586298E0-BE39-4BEB-BA09-44DB22C4398F}"/>
    <cellStyle name="20% - Accent3 7 2 3 2 2 3" xfId="24224" xr:uid="{00000000-0005-0000-0000-000089130000}"/>
    <cellStyle name="20% - Accent3 7 2 3 2 2 3 2" xfId="48056" xr:uid="{617138B5-6366-4909-8CC3-2E9B26EF42C5}"/>
    <cellStyle name="20% - Accent3 7 2 3 2 2 4" xfId="32179" xr:uid="{2099908E-074C-44E7-A4BA-D154CCFC037A}"/>
    <cellStyle name="20% - Accent3 7 2 3 2 3" xfId="12740" xr:uid="{00000000-0005-0000-0000-00008A130000}"/>
    <cellStyle name="20% - Accent3 7 2 3 2 3 2" xfId="36589" xr:uid="{CA07EE53-7293-4273-8CCC-E7602BA179CF}"/>
    <cellStyle name="20% - Accent3 7 2 3 2 4" xfId="20695" xr:uid="{00000000-0005-0000-0000-00008B130000}"/>
    <cellStyle name="20% - Accent3 7 2 3 2 4 2" xfId="44527" xr:uid="{30C47542-B1F5-46FA-ABC1-B8A86C074A66}"/>
    <cellStyle name="20% - Accent3 7 2 3 2 5" xfId="28648" xr:uid="{57BD1A26-9E5D-44E2-967D-CA90BE3BCDFC}"/>
    <cellStyle name="20% - Accent3 7 2 3 3" xfId="6549" xr:uid="{00000000-0005-0000-0000-00008C130000}"/>
    <cellStyle name="20% - Accent3 7 2 3 3 2" xfId="14520" xr:uid="{00000000-0005-0000-0000-00008D130000}"/>
    <cellStyle name="20% - Accent3 7 2 3 3 2 2" xfId="38362" xr:uid="{56E4CB60-4C25-4937-93FB-AEB2B38ADB27}"/>
    <cellStyle name="20% - Accent3 7 2 3 3 3" xfId="22467" xr:uid="{00000000-0005-0000-0000-00008E130000}"/>
    <cellStyle name="20% - Accent3 7 2 3 3 3 2" xfId="46299" xr:uid="{3CF5FC6A-1838-4379-895B-0EB3F3C6FA15}"/>
    <cellStyle name="20% - Accent3 7 2 3 3 4" xfId="30421" xr:uid="{B7754247-3441-4875-9A70-49E4DFCF9573}"/>
    <cellStyle name="20% - Accent3 7 2 3 4" xfId="10984" xr:uid="{00000000-0005-0000-0000-00008F130000}"/>
    <cellStyle name="20% - Accent3 7 2 3 4 2" xfId="34833" xr:uid="{94D1A584-DAA4-44E0-8F6B-CBC82BF2FB0B}"/>
    <cellStyle name="20% - Accent3 7 2 3 5" xfId="18939" xr:uid="{00000000-0005-0000-0000-000090130000}"/>
    <cellStyle name="20% - Accent3 7 2 3 5 2" xfId="42771" xr:uid="{319579C0-0378-498A-83AC-52A3885E19D4}"/>
    <cellStyle name="20% - Accent3 7 2 3 6" xfId="26891" xr:uid="{7C56C5FB-695A-4F92-BCC5-F497DE672CAA}"/>
    <cellStyle name="20% - Accent3 7 2 3_Exh G" xfId="2280" xr:uid="{00000000-0005-0000-0000-000091130000}"/>
    <cellStyle name="20% - Accent3 7 2 4" xfId="3838" xr:uid="{00000000-0005-0000-0000-000092130000}"/>
    <cellStyle name="20% - Accent3 7 2 4 2" xfId="7430" xr:uid="{00000000-0005-0000-0000-000093130000}"/>
    <cellStyle name="20% - Accent3 7 2 4 2 2" xfId="15400" xr:uid="{00000000-0005-0000-0000-000094130000}"/>
    <cellStyle name="20% - Accent3 7 2 4 2 2 2" xfId="39242" xr:uid="{461D92C7-B43B-4753-80D8-D2BB4CA88117}"/>
    <cellStyle name="20% - Accent3 7 2 4 2 3" xfId="23346" xr:uid="{00000000-0005-0000-0000-000095130000}"/>
    <cellStyle name="20% - Accent3 7 2 4 2 3 2" xfId="47178" xr:uid="{79CDED39-C01D-43DA-B9A6-F367662A51C1}"/>
    <cellStyle name="20% - Accent3 7 2 4 2 4" xfId="31301" xr:uid="{4EE5E472-5411-4285-B0EC-A3A744A6AE48}"/>
    <cellStyle name="20% - Accent3 7 2 4 3" xfId="11862" xr:uid="{00000000-0005-0000-0000-000096130000}"/>
    <cellStyle name="20% - Accent3 7 2 4 3 2" xfId="35711" xr:uid="{40FB5959-5F5C-4DC6-B8DA-702C33FF299A}"/>
    <cellStyle name="20% - Accent3 7 2 4 4" xfId="19817" xr:uid="{00000000-0005-0000-0000-000097130000}"/>
    <cellStyle name="20% - Accent3 7 2 4 4 2" xfId="43649" xr:uid="{D01B57C9-A511-46B9-B874-DD3DF5957597}"/>
    <cellStyle name="20% - Accent3 7 2 4 5" xfId="27770" xr:uid="{72F0AAC7-5950-4904-B097-6BBD9330B9DB}"/>
    <cellStyle name="20% - Accent3 7 2 5" xfId="5658" xr:uid="{00000000-0005-0000-0000-000098130000}"/>
    <cellStyle name="20% - Accent3 7 2 5 2" xfId="13641" xr:uid="{00000000-0005-0000-0000-000099130000}"/>
    <cellStyle name="20% - Accent3 7 2 5 2 2" xfId="37484" xr:uid="{FC3A77DA-91EF-4A80-8193-87F4ACAC45F8}"/>
    <cellStyle name="20% - Accent3 7 2 5 3" xfId="21589" xr:uid="{00000000-0005-0000-0000-00009A130000}"/>
    <cellStyle name="20% - Accent3 7 2 5 3 2" xfId="45421" xr:uid="{228FB966-7265-4750-8C65-8CA4E88A5801}"/>
    <cellStyle name="20% - Accent3 7 2 5 4" xfId="29543" xr:uid="{0BF5D4C0-690B-495D-8F78-CEA010203E5C}"/>
    <cellStyle name="20% - Accent3 7 2 6" xfId="9210" xr:uid="{00000000-0005-0000-0000-00009B130000}"/>
    <cellStyle name="20% - Accent3 7 2 6 2" xfId="17168" xr:uid="{00000000-0005-0000-0000-00009C130000}"/>
    <cellStyle name="20% - Accent3 7 2 6 2 2" xfId="41008" xr:uid="{EF9200CF-152C-40C8-A6E0-D4F468DD85DB}"/>
    <cellStyle name="20% - Accent3 7 2 6 3" xfId="25112" xr:uid="{00000000-0005-0000-0000-00009D130000}"/>
    <cellStyle name="20% - Accent3 7 2 6 3 2" xfId="48944" xr:uid="{F906FC2F-028E-4ADC-A154-804350BA6478}"/>
    <cellStyle name="20% - Accent3 7 2 6 4" xfId="33067" xr:uid="{EAD23473-0887-4287-B700-4A7F81B2ADCF}"/>
    <cellStyle name="20% - Accent3 7 2 7" xfId="10106" xr:uid="{00000000-0005-0000-0000-00009E130000}"/>
    <cellStyle name="20% - Accent3 7 2 7 2" xfId="33955" xr:uid="{EC33D501-8470-47FB-BBA8-3F38CC20602F}"/>
    <cellStyle name="20% - Accent3 7 2 8" xfId="18061" xr:uid="{00000000-0005-0000-0000-00009F130000}"/>
    <cellStyle name="20% - Accent3 7 2 8 2" xfId="41893" xr:uid="{0610D34E-9DAC-4E51-9BA5-11711E3C6D28}"/>
    <cellStyle name="20% - Accent3 7 2 9" xfId="26013" xr:uid="{30C09B04-F50D-4518-B268-8B92571F82D0}"/>
    <cellStyle name="20% - Accent3 7 2_Exh G" xfId="2277" xr:uid="{00000000-0005-0000-0000-0000A0130000}"/>
    <cellStyle name="20% - Accent3 7 3" xfId="166" xr:uid="{00000000-0005-0000-0000-0000A1130000}"/>
    <cellStyle name="20% - Accent3 7 3 2" xfId="1192" xr:uid="{00000000-0005-0000-0000-0000A2130000}"/>
    <cellStyle name="20% - Accent3 7 3 2 2" xfId="4719" xr:uid="{00000000-0005-0000-0000-0000A3130000}"/>
    <cellStyle name="20% - Accent3 7 3 2 2 2" xfId="8310" xr:uid="{00000000-0005-0000-0000-0000A4130000}"/>
    <cellStyle name="20% - Accent3 7 3 2 2 2 2" xfId="16280" xr:uid="{00000000-0005-0000-0000-0000A5130000}"/>
    <cellStyle name="20% - Accent3 7 3 2 2 2 2 2" xfId="40122" xr:uid="{49DF3DDC-4615-40D6-A2A4-60E5661BECC3}"/>
    <cellStyle name="20% - Accent3 7 3 2 2 2 3" xfId="24226" xr:uid="{00000000-0005-0000-0000-0000A6130000}"/>
    <cellStyle name="20% - Accent3 7 3 2 2 2 3 2" xfId="48058" xr:uid="{D4A1B62C-B5CB-41C4-B9A7-12B3980A3AB5}"/>
    <cellStyle name="20% - Accent3 7 3 2 2 2 4" xfId="32181" xr:uid="{6180084A-9001-4732-85D7-BFE1B5DAE6B9}"/>
    <cellStyle name="20% - Accent3 7 3 2 2 3" xfId="12742" xr:uid="{00000000-0005-0000-0000-0000A7130000}"/>
    <cellStyle name="20% - Accent3 7 3 2 2 3 2" xfId="36591" xr:uid="{EC2678B0-473A-4996-82B2-176725B1ABB9}"/>
    <cellStyle name="20% - Accent3 7 3 2 2 4" xfId="20697" xr:uid="{00000000-0005-0000-0000-0000A8130000}"/>
    <cellStyle name="20% - Accent3 7 3 2 2 4 2" xfId="44529" xr:uid="{4A6C7D7C-9FE6-4222-993B-2EDB38BE8374}"/>
    <cellStyle name="20% - Accent3 7 3 2 2 5" xfId="28650" xr:uid="{D82CABAE-2E17-41F1-AE39-C6EED35F7FE6}"/>
    <cellStyle name="20% - Accent3 7 3 2 3" xfId="6551" xr:uid="{00000000-0005-0000-0000-0000A9130000}"/>
    <cellStyle name="20% - Accent3 7 3 2 3 2" xfId="14522" xr:uid="{00000000-0005-0000-0000-0000AA130000}"/>
    <cellStyle name="20% - Accent3 7 3 2 3 2 2" xfId="38364" xr:uid="{924E0AF1-CFCB-446D-81AE-6F87D4143760}"/>
    <cellStyle name="20% - Accent3 7 3 2 3 3" xfId="22469" xr:uid="{00000000-0005-0000-0000-0000AB130000}"/>
    <cellStyle name="20% - Accent3 7 3 2 3 3 2" xfId="46301" xr:uid="{921732E2-1FE1-4FED-BFC0-9285CDE8268C}"/>
    <cellStyle name="20% - Accent3 7 3 2 3 4" xfId="30423" xr:uid="{2E22C18E-E6D8-47B7-AE7A-3A52FBA200AA}"/>
    <cellStyle name="20% - Accent3 7 3 2 4" xfId="10986" xr:uid="{00000000-0005-0000-0000-0000AC130000}"/>
    <cellStyle name="20% - Accent3 7 3 2 4 2" xfId="34835" xr:uid="{39CD203B-52AC-4CB9-8919-0973FD594106}"/>
    <cellStyle name="20% - Accent3 7 3 2 5" xfId="18941" xr:uid="{00000000-0005-0000-0000-0000AD130000}"/>
    <cellStyle name="20% - Accent3 7 3 2 5 2" xfId="42773" xr:uid="{D74CAF11-2B82-4D0E-B682-F7BB59CA6FD7}"/>
    <cellStyle name="20% - Accent3 7 3 2 6" xfId="26893" xr:uid="{2AC48844-D90F-4CD3-A3FF-E760E586AE65}"/>
    <cellStyle name="20% - Accent3 7 3 2_Exh G" xfId="2282" xr:uid="{00000000-0005-0000-0000-0000AE130000}"/>
    <cellStyle name="20% - Accent3 7 3 3" xfId="3840" xr:uid="{00000000-0005-0000-0000-0000AF130000}"/>
    <cellStyle name="20% - Accent3 7 3 3 2" xfId="7432" xr:uid="{00000000-0005-0000-0000-0000B0130000}"/>
    <cellStyle name="20% - Accent3 7 3 3 2 2" xfId="15402" xr:uid="{00000000-0005-0000-0000-0000B1130000}"/>
    <cellStyle name="20% - Accent3 7 3 3 2 2 2" xfId="39244" xr:uid="{50A88FC9-D1A9-404D-AF27-B2C117A18B15}"/>
    <cellStyle name="20% - Accent3 7 3 3 2 3" xfId="23348" xr:uid="{00000000-0005-0000-0000-0000B2130000}"/>
    <cellStyle name="20% - Accent3 7 3 3 2 3 2" xfId="47180" xr:uid="{93D371E3-D9EA-462F-BAB1-0A780AA13649}"/>
    <cellStyle name="20% - Accent3 7 3 3 2 4" xfId="31303" xr:uid="{4EBA155D-027A-48D9-93AA-17377D077CD5}"/>
    <cellStyle name="20% - Accent3 7 3 3 3" xfId="11864" xr:uid="{00000000-0005-0000-0000-0000B3130000}"/>
    <cellStyle name="20% - Accent3 7 3 3 3 2" xfId="35713" xr:uid="{F2ECD777-8A5F-4906-91EC-63D2FA04C54D}"/>
    <cellStyle name="20% - Accent3 7 3 3 4" xfId="19819" xr:uid="{00000000-0005-0000-0000-0000B4130000}"/>
    <cellStyle name="20% - Accent3 7 3 3 4 2" xfId="43651" xr:uid="{0B94676C-4E5D-41A5-8BA2-08F426F5B85B}"/>
    <cellStyle name="20% - Accent3 7 3 3 5" xfId="27772" xr:uid="{45DFC9DC-86F9-474A-A898-57D3F29FB37B}"/>
    <cellStyle name="20% - Accent3 7 3 4" xfId="5660" xr:uid="{00000000-0005-0000-0000-0000B5130000}"/>
    <cellStyle name="20% - Accent3 7 3 4 2" xfId="13643" xr:uid="{00000000-0005-0000-0000-0000B6130000}"/>
    <cellStyle name="20% - Accent3 7 3 4 2 2" xfId="37486" xr:uid="{FD842B16-E367-4C0C-B7EB-B1CA92A54507}"/>
    <cellStyle name="20% - Accent3 7 3 4 3" xfId="21591" xr:uid="{00000000-0005-0000-0000-0000B7130000}"/>
    <cellStyle name="20% - Accent3 7 3 4 3 2" xfId="45423" xr:uid="{BA124305-F364-48F3-954E-991F5A80D348}"/>
    <cellStyle name="20% - Accent3 7 3 4 4" xfId="29545" xr:uid="{1ECC4119-5E87-4FB1-8D9C-D4B71377348B}"/>
    <cellStyle name="20% - Accent3 7 3 5" xfId="9212" xr:uid="{00000000-0005-0000-0000-0000B8130000}"/>
    <cellStyle name="20% - Accent3 7 3 5 2" xfId="17170" xr:uid="{00000000-0005-0000-0000-0000B9130000}"/>
    <cellStyle name="20% - Accent3 7 3 5 2 2" xfId="41010" xr:uid="{6F4CB018-D422-4CC9-A7BA-36E622159B45}"/>
    <cellStyle name="20% - Accent3 7 3 5 3" xfId="25114" xr:uid="{00000000-0005-0000-0000-0000BA130000}"/>
    <cellStyle name="20% - Accent3 7 3 5 3 2" xfId="48946" xr:uid="{9A40AC0B-BD5B-4F13-B4B6-EB47B25F1478}"/>
    <cellStyle name="20% - Accent3 7 3 5 4" xfId="33069" xr:uid="{CB6D54F8-4C82-4A28-BD16-FF8EEFCD6E02}"/>
    <cellStyle name="20% - Accent3 7 3 6" xfId="10108" xr:uid="{00000000-0005-0000-0000-0000BB130000}"/>
    <cellStyle name="20% - Accent3 7 3 6 2" xfId="33957" xr:uid="{842AD810-BE2E-4F5E-8DAE-65C893551649}"/>
    <cellStyle name="20% - Accent3 7 3 7" xfId="18063" xr:uid="{00000000-0005-0000-0000-0000BC130000}"/>
    <cellStyle name="20% - Accent3 7 3 7 2" xfId="41895" xr:uid="{C29EF8B6-C0E2-4EBB-A160-39AC9C654752}"/>
    <cellStyle name="20% - Accent3 7 3 8" xfId="26015" xr:uid="{E4A68BB0-80AE-4D1E-8BFF-683D8F9A3F4D}"/>
    <cellStyle name="20% - Accent3 7 3_Exh G" xfId="2281" xr:uid="{00000000-0005-0000-0000-0000BD130000}"/>
    <cellStyle name="20% - Accent3 7 4" xfId="892" xr:uid="{00000000-0005-0000-0000-0000BE130000}"/>
    <cellStyle name="20% - Accent3 7 4 2" xfId="1819" xr:uid="{00000000-0005-0000-0000-0000BF130000}"/>
    <cellStyle name="20% - Accent3 7 4 2 2" xfId="5336" xr:uid="{00000000-0005-0000-0000-0000C0130000}"/>
    <cellStyle name="20% - Accent3 7 4 2 2 2" xfId="8927" xr:uid="{00000000-0005-0000-0000-0000C1130000}"/>
    <cellStyle name="20% - Accent3 7 4 2 2 2 2" xfId="16897" xr:uid="{00000000-0005-0000-0000-0000C2130000}"/>
    <cellStyle name="20% - Accent3 7 4 2 2 2 2 2" xfId="40739" xr:uid="{5F645265-05CF-4A68-8810-3B6216908D44}"/>
    <cellStyle name="20% - Accent3 7 4 2 2 2 3" xfId="24843" xr:uid="{00000000-0005-0000-0000-0000C3130000}"/>
    <cellStyle name="20% - Accent3 7 4 2 2 2 3 2" xfId="48675" xr:uid="{0C37DB2E-D917-4B15-9C3B-509DA5C4D55F}"/>
    <cellStyle name="20% - Accent3 7 4 2 2 2 4" xfId="32798" xr:uid="{94C12CE1-DE5B-4CE7-AF3D-8D20D2772875}"/>
    <cellStyle name="20% - Accent3 7 4 2 2 3" xfId="13359" xr:uid="{00000000-0005-0000-0000-0000C4130000}"/>
    <cellStyle name="20% - Accent3 7 4 2 2 3 2" xfId="37208" xr:uid="{DD3E484B-A7A9-465E-9B1F-CFE34860AF30}"/>
    <cellStyle name="20% - Accent3 7 4 2 2 4" xfId="21314" xr:uid="{00000000-0005-0000-0000-0000C5130000}"/>
    <cellStyle name="20% - Accent3 7 4 2 2 4 2" xfId="45146" xr:uid="{BB1ACC08-9089-458D-8639-5486DDFA134E}"/>
    <cellStyle name="20% - Accent3 7 4 2 2 5" xfId="29267" xr:uid="{4BAD837F-A10D-4A60-9BAC-E3A58902B459}"/>
    <cellStyle name="20% - Accent3 7 4 2 3" xfId="7168" xr:uid="{00000000-0005-0000-0000-0000C6130000}"/>
    <cellStyle name="20% - Accent3 7 4 2 3 2" xfId="15139" xr:uid="{00000000-0005-0000-0000-0000C7130000}"/>
    <cellStyle name="20% - Accent3 7 4 2 3 2 2" xfId="38981" xr:uid="{A6683123-AF87-44A4-8B72-E0A7F43C96F9}"/>
    <cellStyle name="20% - Accent3 7 4 2 3 3" xfId="23086" xr:uid="{00000000-0005-0000-0000-0000C8130000}"/>
    <cellStyle name="20% - Accent3 7 4 2 3 3 2" xfId="46918" xr:uid="{540D06D1-3860-462A-A76D-8ED864EE5196}"/>
    <cellStyle name="20% - Accent3 7 4 2 3 4" xfId="31040" xr:uid="{BDC474D2-2ABF-45AF-9AD9-75F3B309205C}"/>
    <cellStyle name="20% - Accent3 7 4 2 4" xfId="11603" xr:uid="{00000000-0005-0000-0000-0000C9130000}"/>
    <cellStyle name="20% - Accent3 7 4 2 4 2" xfId="35452" xr:uid="{937DA7BB-964E-4EBD-B1CF-14F1B57C23AF}"/>
    <cellStyle name="20% - Accent3 7 4 2 5" xfId="19558" xr:uid="{00000000-0005-0000-0000-0000CA130000}"/>
    <cellStyle name="20% - Accent3 7 4 2 5 2" xfId="43390" xr:uid="{E920D772-4A17-47E5-8106-156A3CB3673B}"/>
    <cellStyle name="20% - Accent3 7 4 2 6" xfId="27510" xr:uid="{701EE697-A15B-42DE-A56B-3265E75C5033}"/>
    <cellStyle name="20% - Accent3 7 4 2_Exh G" xfId="2284" xr:uid="{00000000-0005-0000-0000-0000CB130000}"/>
    <cellStyle name="20% - Accent3 7 4 3" xfId="4457" xr:uid="{00000000-0005-0000-0000-0000CC130000}"/>
    <cellStyle name="20% - Accent3 7 4 3 2" xfId="8049" xr:uid="{00000000-0005-0000-0000-0000CD130000}"/>
    <cellStyle name="20% - Accent3 7 4 3 2 2" xfId="16019" xr:uid="{00000000-0005-0000-0000-0000CE130000}"/>
    <cellStyle name="20% - Accent3 7 4 3 2 2 2" xfId="39861" xr:uid="{D05149C4-C463-4125-8DB2-23764D12B971}"/>
    <cellStyle name="20% - Accent3 7 4 3 2 3" xfId="23965" xr:uid="{00000000-0005-0000-0000-0000CF130000}"/>
    <cellStyle name="20% - Accent3 7 4 3 2 3 2" xfId="47797" xr:uid="{446EFB47-C3C3-4FDA-86DA-2715123D1461}"/>
    <cellStyle name="20% - Accent3 7 4 3 2 4" xfId="31920" xr:uid="{81AC562A-B9AE-4850-91CB-ADA400531EEF}"/>
    <cellStyle name="20% - Accent3 7 4 3 3" xfId="12481" xr:uid="{00000000-0005-0000-0000-0000D0130000}"/>
    <cellStyle name="20% - Accent3 7 4 3 3 2" xfId="36330" xr:uid="{69D6BBA0-6575-484C-9918-309EEC371047}"/>
    <cellStyle name="20% - Accent3 7 4 3 4" xfId="20436" xr:uid="{00000000-0005-0000-0000-0000D1130000}"/>
    <cellStyle name="20% - Accent3 7 4 3 4 2" xfId="44268" xr:uid="{E15C6469-0945-4F43-8A4C-AE5B12F2521A}"/>
    <cellStyle name="20% - Accent3 7 4 3 5" xfId="28389" xr:uid="{8602E8DE-F43D-49D1-9882-ED0A04552294}"/>
    <cellStyle name="20% - Accent3 7 4 4" xfId="6287" xr:uid="{00000000-0005-0000-0000-0000D2130000}"/>
    <cellStyle name="20% - Accent3 7 4 4 2" xfId="14261" xr:uid="{00000000-0005-0000-0000-0000D3130000}"/>
    <cellStyle name="20% - Accent3 7 4 4 2 2" xfId="38103" xr:uid="{92D9C13B-C442-460C-A167-B3A65FCB022F}"/>
    <cellStyle name="20% - Accent3 7 4 4 3" xfId="22208" xr:uid="{00000000-0005-0000-0000-0000D4130000}"/>
    <cellStyle name="20% - Accent3 7 4 4 3 2" xfId="46040" xr:uid="{C95FF1F8-A3FE-45AD-A034-6637D3C09EDD}"/>
    <cellStyle name="20% - Accent3 7 4 4 4" xfId="30162" xr:uid="{9CB78339-164B-499B-BC86-0D5A9AF87B8B}"/>
    <cellStyle name="20% - Accent3 7 4 5" xfId="9829" xr:uid="{00000000-0005-0000-0000-0000D5130000}"/>
    <cellStyle name="20% - Accent3 7 4 5 2" xfId="17787" xr:uid="{00000000-0005-0000-0000-0000D6130000}"/>
    <cellStyle name="20% - Accent3 7 4 5 2 2" xfId="41627" xr:uid="{97BF39B3-AE2B-4D9F-937E-9DD3152F4651}"/>
    <cellStyle name="20% - Accent3 7 4 5 3" xfId="25731" xr:uid="{00000000-0005-0000-0000-0000D7130000}"/>
    <cellStyle name="20% - Accent3 7 4 5 3 2" xfId="49563" xr:uid="{54D45E0F-27D2-4611-A651-1AB791E9ECAE}"/>
    <cellStyle name="20% - Accent3 7 4 5 4" xfId="33686" xr:uid="{D7D359F7-8DB2-4BD4-91D2-AEB44CFD26E5}"/>
    <cellStyle name="20% - Accent3 7 4 6" xfId="10725" xr:uid="{00000000-0005-0000-0000-0000D8130000}"/>
    <cellStyle name="20% - Accent3 7 4 6 2" xfId="34574" xr:uid="{2D028E63-9DC0-4ADF-93C6-295D2B44BBE9}"/>
    <cellStyle name="20% - Accent3 7 4 7" xfId="18680" xr:uid="{00000000-0005-0000-0000-0000D9130000}"/>
    <cellStyle name="20% - Accent3 7 4 7 2" xfId="42512" xr:uid="{1EDE052E-07BF-460C-B1B3-9E1513508E14}"/>
    <cellStyle name="20% - Accent3 7 4 8" xfId="26632" xr:uid="{1B4BF223-F88D-43CA-8337-2CBB3060D91B}"/>
    <cellStyle name="20% - Accent3 7 4_Exh G" xfId="2283" xr:uid="{00000000-0005-0000-0000-0000DA130000}"/>
    <cellStyle name="20% - Accent3 7 5" xfId="1189" xr:uid="{00000000-0005-0000-0000-0000DB130000}"/>
    <cellStyle name="20% - Accent3 7 5 2" xfId="4716" xr:uid="{00000000-0005-0000-0000-0000DC130000}"/>
    <cellStyle name="20% - Accent3 7 5 2 2" xfId="8307" xr:uid="{00000000-0005-0000-0000-0000DD130000}"/>
    <cellStyle name="20% - Accent3 7 5 2 2 2" xfId="16277" xr:uid="{00000000-0005-0000-0000-0000DE130000}"/>
    <cellStyle name="20% - Accent3 7 5 2 2 2 2" xfId="40119" xr:uid="{F78D6361-555F-4205-A625-674401489264}"/>
    <cellStyle name="20% - Accent3 7 5 2 2 3" xfId="24223" xr:uid="{00000000-0005-0000-0000-0000DF130000}"/>
    <cellStyle name="20% - Accent3 7 5 2 2 3 2" xfId="48055" xr:uid="{2FFF001D-18CC-4C6A-A69D-3D4A0241DFEB}"/>
    <cellStyle name="20% - Accent3 7 5 2 2 4" xfId="32178" xr:uid="{C6EC2FF8-3574-45DD-8089-48AA919C5643}"/>
    <cellStyle name="20% - Accent3 7 5 2 3" xfId="12739" xr:uid="{00000000-0005-0000-0000-0000E0130000}"/>
    <cellStyle name="20% - Accent3 7 5 2 3 2" xfId="36588" xr:uid="{5F3574FE-4541-4268-932B-26D1C2DA64D2}"/>
    <cellStyle name="20% - Accent3 7 5 2 4" xfId="20694" xr:uid="{00000000-0005-0000-0000-0000E1130000}"/>
    <cellStyle name="20% - Accent3 7 5 2 4 2" xfId="44526" xr:uid="{6059BE15-A111-4B9B-AD6D-C7D7AC5A4D53}"/>
    <cellStyle name="20% - Accent3 7 5 2 5" xfId="28647" xr:uid="{7201A579-9B2E-4099-93AE-1D230B4D3C4A}"/>
    <cellStyle name="20% - Accent3 7 5 3" xfId="6548" xr:uid="{00000000-0005-0000-0000-0000E2130000}"/>
    <cellStyle name="20% - Accent3 7 5 3 2" xfId="14519" xr:uid="{00000000-0005-0000-0000-0000E3130000}"/>
    <cellStyle name="20% - Accent3 7 5 3 2 2" xfId="38361" xr:uid="{C9A4A13D-3167-4D16-946A-783EFEBAA5A4}"/>
    <cellStyle name="20% - Accent3 7 5 3 3" xfId="22466" xr:uid="{00000000-0005-0000-0000-0000E4130000}"/>
    <cellStyle name="20% - Accent3 7 5 3 3 2" xfId="46298" xr:uid="{069EEED1-6CD5-42A9-9AB8-9E1D9FFD940D}"/>
    <cellStyle name="20% - Accent3 7 5 3 4" xfId="30420" xr:uid="{34DFEF2E-B1F8-4AA1-8F85-B4E8EB4E2D69}"/>
    <cellStyle name="20% - Accent3 7 5 4" xfId="10983" xr:uid="{00000000-0005-0000-0000-0000E5130000}"/>
    <cellStyle name="20% - Accent3 7 5 4 2" xfId="34832" xr:uid="{FEDE30B2-5325-4DAA-850C-B33AE8EC8E34}"/>
    <cellStyle name="20% - Accent3 7 5 5" xfId="18938" xr:uid="{00000000-0005-0000-0000-0000E6130000}"/>
    <cellStyle name="20% - Accent3 7 5 5 2" xfId="42770" xr:uid="{5D45007C-5BB1-46F3-88CD-C1D12E61714A}"/>
    <cellStyle name="20% - Accent3 7 5 6" xfId="26890" xr:uid="{56DA7C44-4FA4-49D0-B2F7-E39C71CEF373}"/>
    <cellStyle name="20% - Accent3 7 5_Exh G" xfId="2285" xr:uid="{00000000-0005-0000-0000-0000E7130000}"/>
    <cellStyle name="20% - Accent3 7 6" xfId="3837" xr:uid="{00000000-0005-0000-0000-0000E8130000}"/>
    <cellStyle name="20% - Accent3 7 6 2" xfId="7429" xr:uid="{00000000-0005-0000-0000-0000E9130000}"/>
    <cellStyle name="20% - Accent3 7 6 2 2" xfId="15399" xr:uid="{00000000-0005-0000-0000-0000EA130000}"/>
    <cellStyle name="20% - Accent3 7 6 2 2 2" xfId="39241" xr:uid="{3D767813-CF09-4A65-ADEC-A375DE8D5AAA}"/>
    <cellStyle name="20% - Accent3 7 6 2 3" xfId="23345" xr:uid="{00000000-0005-0000-0000-0000EB130000}"/>
    <cellStyle name="20% - Accent3 7 6 2 3 2" xfId="47177" xr:uid="{16BA5675-FEF9-4201-84DE-6ADD8AACA34E}"/>
    <cellStyle name="20% - Accent3 7 6 2 4" xfId="31300" xr:uid="{10D39963-D604-41BE-B105-0C1D334BD1F4}"/>
    <cellStyle name="20% - Accent3 7 6 3" xfId="11861" xr:uid="{00000000-0005-0000-0000-0000EC130000}"/>
    <cellStyle name="20% - Accent3 7 6 3 2" xfId="35710" xr:uid="{AB2713B3-4A8C-450E-90F2-62FF1D9C25F4}"/>
    <cellStyle name="20% - Accent3 7 6 4" xfId="19816" xr:uid="{00000000-0005-0000-0000-0000ED130000}"/>
    <cellStyle name="20% - Accent3 7 6 4 2" xfId="43648" xr:uid="{BC24D900-8DE2-4123-9E93-D577CE0DEB7F}"/>
    <cellStyle name="20% - Accent3 7 6 5" xfId="27769" xr:uid="{EA9B0F03-9B84-466E-AF24-27DDA138390F}"/>
    <cellStyle name="20% - Accent3 7 7" xfId="5657" xr:uid="{00000000-0005-0000-0000-0000EE130000}"/>
    <cellStyle name="20% - Accent3 7 7 2" xfId="13640" xr:uid="{00000000-0005-0000-0000-0000EF130000}"/>
    <cellStyle name="20% - Accent3 7 7 2 2" xfId="37483" xr:uid="{2ADD237D-C75D-462E-BD72-44C13C91F3D3}"/>
    <cellStyle name="20% - Accent3 7 7 3" xfId="21588" xr:uid="{00000000-0005-0000-0000-0000F0130000}"/>
    <cellStyle name="20% - Accent3 7 7 3 2" xfId="45420" xr:uid="{63AF88B8-2190-4922-8DD5-9589546F2E86}"/>
    <cellStyle name="20% - Accent3 7 7 4" xfId="29542" xr:uid="{54B8B3B0-28D6-479C-AE57-BAB4874210F2}"/>
    <cellStyle name="20% - Accent3 7 8" xfId="9209" xr:uid="{00000000-0005-0000-0000-0000F1130000}"/>
    <cellStyle name="20% - Accent3 7 8 2" xfId="17167" xr:uid="{00000000-0005-0000-0000-0000F2130000}"/>
    <cellStyle name="20% - Accent3 7 8 2 2" xfId="41007" xr:uid="{F71F9E40-F842-44E6-812D-254731F5F6FE}"/>
    <cellStyle name="20% - Accent3 7 8 3" xfId="25111" xr:uid="{00000000-0005-0000-0000-0000F3130000}"/>
    <cellStyle name="20% - Accent3 7 8 3 2" xfId="48943" xr:uid="{04D6253A-E0FF-4D2D-B751-80F41BB37960}"/>
    <cellStyle name="20% - Accent3 7 8 4" xfId="33066" xr:uid="{607917E9-D9CF-4C3D-B3DB-0BF96F33FDD1}"/>
    <cellStyle name="20% - Accent3 7 9" xfId="10105" xr:uid="{00000000-0005-0000-0000-0000F4130000}"/>
    <cellStyle name="20% - Accent3 7 9 2" xfId="33954" xr:uid="{62BB0912-F955-47CA-8157-A1B7FC9E5F54}"/>
    <cellStyle name="20% - Accent3 7_Exh G" xfId="2276" xr:uid="{00000000-0005-0000-0000-0000F5130000}"/>
    <cellStyle name="20% - Accent3 8" xfId="167" xr:uid="{00000000-0005-0000-0000-0000F6130000}"/>
    <cellStyle name="20% - Accent3 8 10" xfId="18064" xr:uid="{00000000-0005-0000-0000-0000F7130000}"/>
    <cellStyle name="20% - Accent3 8 10 2" xfId="41896" xr:uid="{639EB1AC-FCF6-4B5F-B705-FF9E276A534D}"/>
    <cellStyle name="20% - Accent3 8 11" xfId="26016" xr:uid="{301175D6-87C6-4B3C-855B-8DE9A1C69ECC}"/>
    <cellStyle name="20% - Accent3 8 2" xfId="168" xr:uid="{00000000-0005-0000-0000-0000F8130000}"/>
    <cellStyle name="20% - Accent3 8 2 2" xfId="169" xr:uid="{00000000-0005-0000-0000-0000F9130000}"/>
    <cellStyle name="20% - Accent3 8 2 2 2" xfId="1195" xr:uid="{00000000-0005-0000-0000-0000FA130000}"/>
    <cellStyle name="20% - Accent3 8 2 2 2 2" xfId="4722" xr:uid="{00000000-0005-0000-0000-0000FB130000}"/>
    <cellStyle name="20% - Accent3 8 2 2 2 2 2" xfId="8313" xr:uid="{00000000-0005-0000-0000-0000FC130000}"/>
    <cellStyle name="20% - Accent3 8 2 2 2 2 2 2" xfId="16283" xr:uid="{00000000-0005-0000-0000-0000FD130000}"/>
    <cellStyle name="20% - Accent3 8 2 2 2 2 2 2 2" xfId="40125" xr:uid="{8E1F8DA1-8386-4F20-8743-BA7F7979EE33}"/>
    <cellStyle name="20% - Accent3 8 2 2 2 2 2 3" xfId="24229" xr:uid="{00000000-0005-0000-0000-0000FE130000}"/>
    <cellStyle name="20% - Accent3 8 2 2 2 2 2 3 2" xfId="48061" xr:uid="{94E71E54-3E23-46B8-9D22-ECEC87138A43}"/>
    <cellStyle name="20% - Accent3 8 2 2 2 2 2 4" xfId="32184" xr:uid="{57232EF1-603B-403D-8E21-62FE68C85A2E}"/>
    <cellStyle name="20% - Accent3 8 2 2 2 2 3" xfId="12745" xr:uid="{00000000-0005-0000-0000-0000FF130000}"/>
    <cellStyle name="20% - Accent3 8 2 2 2 2 3 2" xfId="36594" xr:uid="{98C71943-1B79-47E8-9C98-6B9C038E7D4F}"/>
    <cellStyle name="20% - Accent3 8 2 2 2 2 4" xfId="20700" xr:uid="{00000000-0005-0000-0000-000000140000}"/>
    <cellStyle name="20% - Accent3 8 2 2 2 2 4 2" xfId="44532" xr:uid="{3BE2E2E6-1D45-477A-8385-472866E3F546}"/>
    <cellStyle name="20% - Accent3 8 2 2 2 2 5" xfId="28653" xr:uid="{B163DFBD-384C-4F85-98D7-AA3E57D7C177}"/>
    <cellStyle name="20% - Accent3 8 2 2 2 3" xfId="6554" xr:uid="{00000000-0005-0000-0000-000001140000}"/>
    <cellStyle name="20% - Accent3 8 2 2 2 3 2" xfId="14525" xr:uid="{00000000-0005-0000-0000-000002140000}"/>
    <cellStyle name="20% - Accent3 8 2 2 2 3 2 2" xfId="38367" xr:uid="{0CA3BD70-78CD-40F8-8BE6-C664B4CA7780}"/>
    <cellStyle name="20% - Accent3 8 2 2 2 3 3" xfId="22472" xr:uid="{00000000-0005-0000-0000-000003140000}"/>
    <cellStyle name="20% - Accent3 8 2 2 2 3 3 2" xfId="46304" xr:uid="{1634DB4D-9BCE-429F-A4B8-DD84072838E0}"/>
    <cellStyle name="20% - Accent3 8 2 2 2 3 4" xfId="30426" xr:uid="{C9D6326F-6CF8-4804-8437-6563EA0AEBCA}"/>
    <cellStyle name="20% - Accent3 8 2 2 2 4" xfId="10989" xr:uid="{00000000-0005-0000-0000-000004140000}"/>
    <cellStyle name="20% - Accent3 8 2 2 2 4 2" xfId="34838" xr:uid="{3806F7F0-1070-43F8-B1AE-C7CE4CB13F33}"/>
    <cellStyle name="20% - Accent3 8 2 2 2 5" xfId="18944" xr:uid="{00000000-0005-0000-0000-000005140000}"/>
    <cellStyle name="20% - Accent3 8 2 2 2 5 2" xfId="42776" xr:uid="{E43C762D-56C1-40FF-9946-745E438F891B}"/>
    <cellStyle name="20% - Accent3 8 2 2 2 6" xfId="26896" xr:uid="{C07E4C61-3103-40D6-97AC-170BFF603362}"/>
    <cellStyle name="20% - Accent3 8 2 2 2_Exh G" xfId="2289" xr:uid="{00000000-0005-0000-0000-000006140000}"/>
    <cellStyle name="20% - Accent3 8 2 2 3" xfId="3843" xr:uid="{00000000-0005-0000-0000-000007140000}"/>
    <cellStyle name="20% - Accent3 8 2 2 3 2" xfId="7435" xr:uid="{00000000-0005-0000-0000-000008140000}"/>
    <cellStyle name="20% - Accent3 8 2 2 3 2 2" xfId="15405" xr:uid="{00000000-0005-0000-0000-000009140000}"/>
    <cellStyle name="20% - Accent3 8 2 2 3 2 2 2" xfId="39247" xr:uid="{BE9ACD02-0DE9-449C-A9B0-2EFBC03D2A6E}"/>
    <cellStyle name="20% - Accent3 8 2 2 3 2 3" xfId="23351" xr:uid="{00000000-0005-0000-0000-00000A140000}"/>
    <cellStyle name="20% - Accent3 8 2 2 3 2 3 2" xfId="47183" xr:uid="{8D1B42FB-6C15-41BB-9E57-63A9DF820ED0}"/>
    <cellStyle name="20% - Accent3 8 2 2 3 2 4" xfId="31306" xr:uid="{7AA8CB37-00D2-44D1-A7B4-7FFB32392DA6}"/>
    <cellStyle name="20% - Accent3 8 2 2 3 3" xfId="11867" xr:uid="{00000000-0005-0000-0000-00000B140000}"/>
    <cellStyle name="20% - Accent3 8 2 2 3 3 2" xfId="35716" xr:uid="{260F1FEB-D401-4D07-B90B-F408FB7A6813}"/>
    <cellStyle name="20% - Accent3 8 2 2 3 4" xfId="19822" xr:uid="{00000000-0005-0000-0000-00000C140000}"/>
    <cellStyle name="20% - Accent3 8 2 2 3 4 2" xfId="43654" xr:uid="{3E892235-7CFB-4DD0-BB0E-12EB3432D4DC}"/>
    <cellStyle name="20% - Accent3 8 2 2 3 5" xfId="27775" xr:uid="{53C44E91-A091-4B92-8DDE-F71CBFD133A4}"/>
    <cellStyle name="20% - Accent3 8 2 2 4" xfId="5663" xr:uid="{00000000-0005-0000-0000-00000D140000}"/>
    <cellStyle name="20% - Accent3 8 2 2 4 2" xfId="13646" xr:uid="{00000000-0005-0000-0000-00000E140000}"/>
    <cellStyle name="20% - Accent3 8 2 2 4 2 2" xfId="37489" xr:uid="{3A53EF5B-BAFE-462F-BE4A-4F49D37DD6C0}"/>
    <cellStyle name="20% - Accent3 8 2 2 4 3" xfId="21594" xr:uid="{00000000-0005-0000-0000-00000F140000}"/>
    <cellStyle name="20% - Accent3 8 2 2 4 3 2" xfId="45426" xr:uid="{EF4CFDEE-651B-457D-9366-50754D735D70}"/>
    <cellStyle name="20% - Accent3 8 2 2 4 4" xfId="29548" xr:uid="{984E6F96-58F6-4DB0-A39C-A18057C84A7F}"/>
    <cellStyle name="20% - Accent3 8 2 2 5" xfId="9215" xr:uid="{00000000-0005-0000-0000-000010140000}"/>
    <cellStyle name="20% - Accent3 8 2 2 5 2" xfId="17173" xr:uid="{00000000-0005-0000-0000-000011140000}"/>
    <cellStyle name="20% - Accent3 8 2 2 5 2 2" xfId="41013" xr:uid="{E8FECC2C-7A1D-4817-95D2-1186CA6AF865}"/>
    <cellStyle name="20% - Accent3 8 2 2 5 3" xfId="25117" xr:uid="{00000000-0005-0000-0000-000012140000}"/>
    <cellStyle name="20% - Accent3 8 2 2 5 3 2" xfId="48949" xr:uid="{8210BE30-C0AA-4609-98E7-CADC99C2213C}"/>
    <cellStyle name="20% - Accent3 8 2 2 5 4" xfId="33072" xr:uid="{18756C93-6CF4-4BEB-9A06-7E4D7B142079}"/>
    <cellStyle name="20% - Accent3 8 2 2 6" xfId="10111" xr:uid="{00000000-0005-0000-0000-000013140000}"/>
    <cellStyle name="20% - Accent3 8 2 2 6 2" xfId="33960" xr:uid="{DF198CC5-AA54-4E90-AD40-194A4F672874}"/>
    <cellStyle name="20% - Accent3 8 2 2 7" xfId="18066" xr:uid="{00000000-0005-0000-0000-000014140000}"/>
    <cellStyle name="20% - Accent3 8 2 2 7 2" xfId="41898" xr:uid="{9B6EB26F-C30F-4CAF-B632-47AEC536E3FF}"/>
    <cellStyle name="20% - Accent3 8 2 2 8" xfId="26018" xr:uid="{BC872FCF-A296-4A51-B48B-F2F16B973335}"/>
    <cellStyle name="20% - Accent3 8 2 2_Exh G" xfId="2288" xr:uid="{00000000-0005-0000-0000-000015140000}"/>
    <cellStyle name="20% - Accent3 8 2 3" xfId="1194" xr:uid="{00000000-0005-0000-0000-000016140000}"/>
    <cellStyle name="20% - Accent3 8 2 3 2" xfId="4721" xr:uid="{00000000-0005-0000-0000-000017140000}"/>
    <cellStyle name="20% - Accent3 8 2 3 2 2" xfId="8312" xr:uid="{00000000-0005-0000-0000-000018140000}"/>
    <cellStyle name="20% - Accent3 8 2 3 2 2 2" xfId="16282" xr:uid="{00000000-0005-0000-0000-000019140000}"/>
    <cellStyle name="20% - Accent3 8 2 3 2 2 2 2" xfId="40124" xr:uid="{6A3DB609-D03B-4E84-8624-398FA997FCF9}"/>
    <cellStyle name="20% - Accent3 8 2 3 2 2 3" xfId="24228" xr:uid="{00000000-0005-0000-0000-00001A140000}"/>
    <cellStyle name="20% - Accent3 8 2 3 2 2 3 2" xfId="48060" xr:uid="{1D870528-45DB-4E4B-BA43-E8294422B1EA}"/>
    <cellStyle name="20% - Accent3 8 2 3 2 2 4" xfId="32183" xr:uid="{DEB69800-F089-45A8-ADE8-0F73D9B550C9}"/>
    <cellStyle name="20% - Accent3 8 2 3 2 3" xfId="12744" xr:uid="{00000000-0005-0000-0000-00001B140000}"/>
    <cellStyle name="20% - Accent3 8 2 3 2 3 2" xfId="36593" xr:uid="{82536CDD-69E1-4887-9FBB-71C2920DA517}"/>
    <cellStyle name="20% - Accent3 8 2 3 2 4" xfId="20699" xr:uid="{00000000-0005-0000-0000-00001C140000}"/>
    <cellStyle name="20% - Accent3 8 2 3 2 4 2" xfId="44531" xr:uid="{3B0905F0-8F2A-4D3D-B3F9-0E2D9F327FB4}"/>
    <cellStyle name="20% - Accent3 8 2 3 2 5" xfId="28652" xr:uid="{971BB298-BCB8-4A22-A3F9-143056608C21}"/>
    <cellStyle name="20% - Accent3 8 2 3 3" xfId="6553" xr:uid="{00000000-0005-0000-0000-00001D140000}"/>
    <cellStyle name="20% - Accent3 8 2 3 3 2" xfId="14524" xr:uid="{00000000-0005-0000-0000-00001E140000}"/>
    <cellStyle name="20% - Accent3 8 2 3 3 2 2" xfId="38366" xr:uid="{776D3CB8-559D-4B53-AA7D-D9E9FDFA3000}"/>
    <cellStyle name="20% - Accent3 8 2 3 3 3" xfId="22471" xr:uid="{00000000-0005-0000-0000-00001F140000}"/>
    <cellStyle name="20% - Accent3 8 2 3 3 3 2" xfId="46303" xr:uid="{DE66646B-EE45-4E83-B5CF-8B000A541EBA}"/>
    <cellStyle name="20% - Accent3 8 2 3 3 4" xfId="30425" xr:uid="{BCC4085B-D91B-407B-ABE9-6E8609F55861}"/>
    <cellStyle name="20% - Accent3 8 2 3 4" xfId="10988" xr:uid="{00000000-0005-0000-0000-000020140000}"/>
    <cellStyle name="20% - Accent3 8 2 3 4 2" xfId="34837" xr:uid="{66ADB88C-C135-4759-9080-91B32285C782}"/>
    <cellStyle name="20% - Accent3 8 2 3 5" xfId="18943" xr:uid="{00000000-0005-0000-0000-000021140000}"/>
    <cellStyle name="20% - Accent3 8 2 3 5 2" xfId="42775" xr:uid="{2C70C476-B360-4DC2-A34F-BCDEF574CF01}"/>
    <cellStyle name="20% - Accent3 8 2 3 6" xfId="26895" xr:uid="{1B130BC4-00DB-407A-BE7F-02D63120232B}"/>
    <cellStyle name="20% - Accent3 8 2 3_Exh G" xfId="2290" xr:uid="{00000000-0005-0000-0000-000022140000}"/>
    <cellStyle name="20% - Accent3 8 2 4" xfId="3842" xr:uid="{00000000-0005-0000-0000-000023140000}"/>
    <cellStyle name="20% - Accent3 8 2 4 2" xfId="7434" xr:uid="{00000000-0005-0000-0000-000024140000}"/>
    <cellStyle name="20% - Accent3 8 2 4 2 2" xfId="15404" xr:uid="{00000000-0005-0000-0000-000025140000}"/>
    <cellStyle name="20% - Accent3 8 2 4 2 2 2" xfId="39246" xr:uid="{BD1A8790-D51D-47A0-BF39-0AAEC09C9163}"/>
    <cellStyle name="20% - Accent3 8 2 4 2 3" xfId="23350" xr:uid="{00000000-0005-0000-0000-000026140000}"/>
    <cellStyle name="20% - Accent3 8 2 4 2 3 2" xfId="47182" xr:uid="{962193BE-4FCB-4AF9-B50D-18D7EC91C01F}"/>
    <cellStyle name="20% - Accent3 8 2 4 2 4" xfId="31305" xr:uid="{E4405514-FB63-4528-855D-C196CB6219B0}"/>
    <cellStyle name="20% - Accent3 8 2 4 3" xfId="11866" xr:uid="{00000000-0005-0000-0000-000027140000}"/>
    <cellStyle name="20% - Accent3 8 2 4 3 2" xfId="35715" xr:uid="{AD8085EB-1BFB-4F02-BBB6-1EEFD98BC3E5}"/>
    <cellStyle name="20% - Accent3 8 2 4 4" xfId="19821" xr:uid="{00000000-0005-0000-0000-000028140000}"/>
    <cellStyle name="20% - Accent3 8 2 4 4 2" xfId="43653" xr:uid="{E723CDD1-28B7-4B04-863C-DF823B1E768D}"/>
    <cellStyle name="20% - Accent3 8 2 4 5" xfId="27774" xr:uid="{1CDB61E7-3AA3-4C3E-9774-5743399B0BF0}"/>
    <cellStyle name="20% - Accent3 8 2 5" xfId="5662" xr:uid="{00000000-0005-0000-0000-000029140000}"/>
    <cellStyle name="20% - Accent3 8 2 5 2" xfId="13645" xr:uid="{00000000-0005-0000-0000-00002A140000}"/>
    <cellStyle name="20% - Accent3 8 2 5 2 2" xfId="37488" xr:uid="{F22E82C5-15DA-4EFF-B2C6-43F1DD26C70A}"/>
    <cellStyle name="20% - Accent3 8 2 5 3" xfId="21593" xr:uid="{00000000-0005-0000-0000-00002B140000}"/>
    <cellStyle name="20% - Accent3 8 2 5 3 2" xfId="45425" xr:uid="{30823552-4D72-466E-83C6-D320E0ED7026}"/>
    <cellStyle name="20% - Accent3 8 2 5 4" xfId="29547" xr:uid="{328996C7-3ED1-4570-B7F9-F5AF6B9AE533}"/>
    <cellStyle name="20% - Accent3 8 2 6" xfId="9214" xr:uid="{00000000-0005-0000-0000-00002C140000}"/>
    <cellStyle name="20% - Accent3 8 2 6 2" xfId="17172" xr:uid="{00000000-0005-0000-0000-00002D140000}"/>
    <cellStyle name="20% - Accent3 8 2 6 2 2" xfId="41012" xr:uid="{252A4868-F90C-4685-A985-0C7CDDDCAFD3}"/>
    <cellStyle name="20% - Accent3 8 2 6 3" xfId="25116" xr:uid="{00000000-0005-0000-0000-00002E140000}"/>
    <cellStyle name="20% - Accent3 8 2 6 3 2" xfId="48948" xr:uid="{F72DEB32-58B9-4746-BDA9-56E292C4D3D4}"/>
    <cellStyle name="20% - Accent3 8 2 6 4" xfId="33071" xr:uid="{A5AA3D34-64F6-40B6-8694-DA8129545381}"/>
    <cellStyle name="20% - Accent3 8 2 7" xfId="10110" xr:uid="{00000000-0005-0000-0000-00002F140000}"/>
    <cellStyle name="20% - Accent3 8 2 7 2" xfId="33959" xr:uid="{2D297502-E46D-4A59-BD78-0081AB99FCD6}"/>
    <cellStyle name="20% - Accent3 8 2 8" xfId="18065" xr:uid="{00000000-0005-0000-0000-000030140000}"/>
    <cellStyle name="20% - Accent3 8 2 8 2" xfId="41897" xr:uid="{A0642B4B-8D2A-4878-8706-1349E57658F5}"/>
    <cellStyle name="20% - Accent3 8 2 9" xfId="26017" xr:uid="{4BA21A9F-CC1D-415A-82CD-918F0FB9B7E5}"/>
    <cellStyle name="20% - Accent3 8 2_Exh G" xfId="2287" xr:uid="{00000000-0005-0000-0000-000031140000}"/>
    <cellStyle name="20% - Accent3 8 3" xfId="170" xr:uid="{00000000-0005-0000-0000-000032140000}"/>
    <cellStyle name="20% - Accent3 8 3 2" xfId="1196" xr:uid="{00000000-0005-0000-0000-000033140000}"/>
    <cellStyle name="20% - Accent3 8 3 2 2" xfId="4723" xr:uid="{00000000-0005-0000-0000-000034140000}"/>
    <cellStyle name="20% - Accent3 8 3 2 2 2" xfId="8314" xr:uid="{00000000-0005-0000-0000-000035140000}"/>
    <cellStyle name="20% - Accent3 8 3 2 2 2 2" xfId="16284" xr:uid="{00000000-0005-0000-0000-000036140000}"/>
    <cellStyle name="20% - Accent3 8 3 2 2 2 2 2" xfId="40126" xr:uid="{BE88E7FF-7F08-4F83-AFDF-F4A0570B0C2E}"/>
    <cellStyle name="20% - Accent3 8 3 2 2 2 3" xfId="24230" xr:uid="{00000000-0005-0000-0000-000037140000}"/>
    <cellStyle name="20% - Accent3 8 3 2 2 2 3 2" xfId="48062" xr:uid="{392271E8-CC92-4637-9283-998CB7394BD4}"/>
    <cellStyle name="20% - Accent3 8 3 2 2 2 4" xfId="32185" xr:uid="{9EDD5456-8376-48C6-8F6F-F0867D7CDC8E}"/>
    <cellStyle name="20% - Accent3 8 3 2 2 3" xfId="12746" xr:uid="{00000000-0005-0000-0000-000038140000}"/>
    <cellStyle name="20% - Accent3 8 3 2 2 3 2" xfId="36595" xr:uid="{F9529D96-4273-4564-892D-5F4E33DE9C12}"/>
    <cellStyle name="20% - Accent3 8 3 2 2 4" xfId="20701" xr:uid="{00000000-0005-0000-0000-000039140000}"/>
    <cellStyle name="20% - Accent3 8 3 2 2 4 2" xfId="44533" xr:uid="{227582FB-FE91-4129-B058-ECFFB9282400}"/>
    <cellStyle name="20% - Accent3 8 3 2 2 5" xfId="28654" xr:uid="{C9FB1ABD-7965-4C81-B7E2-98C7920B7AA4}"/>
    <cellStyle name="20% - Accent3 8 3 2 3" xfId="6555" xr:uid="{00000000-0005-0000-0000-00003A140000}"/>
    <cellStyle name="20% - Accent3 8 3 2 3 2" xfId="14526" xr:uid="{00000000-0005-0000-0000-00003B140000}"/>
    <cellStyle name="20% - Accent3 8 3 2 3 2 2" xfId="38368" xr:uid="{82DABFAA-4541-450D-A753-C1D282EAAE42}"/>
    <cellStyle name="20% - Accent3 8 3 2 3 3" xfId="22473" xr:uid="{00000000-0005-0000-0000-00003C140000}"/>
    <cellStyle name="20% - Accent3 8 3 2 3 3 2" xfId="46305" xr:uid="{659B1578-9DB5-4E46-A64A-8CC7C803742A}"/>
    <cellStyle name="20% - Accent3 8 3 2 3 4" xfId="30427" xr:uid="{354CE2DD-6A08-470B-8A84-1E0433CD29DF}"/>
    <cellStyle name="20% - Accent3 8 3 2 4" xfId="10990" xr:uid="{00000000-0005-0000-0000-00003D140000}"/>
    <cellStyle name="20% - Accent3 8 3 2 4 2" xfId="34839" xr:uid="{3E5BD1E8-6CBC-483F-A0CE-FC485D9A8C4D}"/>
    <cellStyle name="20% - Accent3 8 3 2 5" xfId="18945" xr:uid="{00000000-0005-0000-0000-00003E140000}"/>
    <cellStyle name="20% - Accent3 8 3 2 5 2" xfId="42777" xr:uid="{70D96003-4FCF-45E9-B494-34195F3CCC17}"/>
    <cellStyle name="20% - Accent3 8 3 2 6" xfId="26897" xr:uid="{333F22DF-C1CF-4096-90C3-1AF69E8AB9D0}"/>
    <cellStyle name="20% - Accent3 8 3 2_Exh G" xfId="2292" xr:uid="{00000000-0005-0000-0000-00003F140000}"/>
    <cellStyle name="20% - Accent3 8 3 3" xfId="3844" xr:uid="{00000000-0005-0000-0000-000040140000}"/>
    <cellStyle name="20% - Accent3 8 3 3 2" xfId="7436" xr:uid="{00000000-0005-0000-0000-000041140000}"/>
    <cellStyle name="20% - Accent3 8 3 3 2 2" xfId="15406" xr:uid="{00000000-0005-0000-0000-000042140000}"/>
    <cellStyle name="20% - Accent3 8 3 3 2 2 2" xfId="39248" xr:uid="{2550F957-7125-4AF5-BF76-B3D02A0C3E7B}"/>
    <cellStyle name="20% - Accent3 8 3 3 2 3" xfId="23352" xr:uid="{00000000-0005-0000-0000-000043140000}"/>
    <cellStyle name="20% - Accent3 8 3 3 2 3 2" xfId="47184" xr:uid="{26D64F0A-F70E-433E-9431-D1589F3B7EC9}"/>
    <cellStyle name="20% - Accent3 8 3 3 2 4" xfId="31307" xr:uid="{EEAA4744-FFF6-4725-9E58-57C8267F8226}"/>
    <cellStyle name="20% - Accent3 8 3 3 3" xfId="11868" xr:uid="{00000000-0005-0000-0000-000044140000}"/>
    <cellStyle name="20% - Accent3 8 3 3 3 2" xfId="35717" xr:uid="{D4B5252A-BF22-451F-B180-E78F2D5D8F8F}"/>
    <cellStyle name="20% - Accent3 8 3 3 4" xfId="19823" xr:uid="{00000000-0005-0000-0000-000045140000}"/>
    <cellStyle name="20% - Accent3 8 3 3 4 2" xfId="43655" xr:uid="{6EFED3F2-8850-4143-A7AD-D2C18671708F}"/>
    <cellStyle name="20% - Accent3 8 3 3 5" xfId="27776" xr:uid="{2A185AE6-46E7-4CFB-8D25-802CDC08150E}"/>
    <cellStyle name="20% - Accent3 8 3 4" xfId="5664" xr:uid="{00000000-0005-0000-0000-000046140000}"/>
    <cellStyle name="20% - Accent3 8 3 4 2" xfId="13647" xr:uid="{00000000-0005-0000-0000-000047140000}"/>
    <cellStyle name="20% - Accent3 8 3 4 2 2" xfId="37490" xr:uid="{9B6ADEE0-D0F0-4C31-AC1D-76270A756A0E}"/>
    <cellStyle name="20% - Accent3 8 3 4 3" xfId="21595" xr:uid="{00000000-0005-0000-0000-000048140000}"/>
    <cellStyle name="20% - Accent3 8 3 4 3 2" xfId="45427" xr:uid="{4FE40798-58A7-446B-9631-2DB76B0F184C}"/>
    <cellStyle name="20% - Accent3 8 3 4 4" xfId="29549" xr:uid="{47824DC0-5D54-4843-A796-2924AA696A68}"/>
    <cellStyle name="20% - Accent3 8 3 5" xfId="9216" xr:uid="{00000000-0005-0000-0000-000049140000}"/>
    <cellStyle name="20% - Accent3 8 3 5 2" xfId="17174" xr:uid="{00000000-0005-0000-0000-00004A140000}"/>
    <cellStyle name="20% - Accent3 8 3 5 2 2" xfId="41014" xr:uid="{1D8CA2E5-4320-424F-BA87-0F85534F9053}"/>
    <cellStyle name="20% - Accent3 8 3 5 3" xfId="25118" xr:uid="{00000000-0005-0000-0000-00004B140000}"/>
    <cellStyle name="20% - Accent3 8 3 5 3 2" xfId="48950" xr:uid="{C7A30BA6-C826-4F86-87F1-077319FDB099}"/>
    <cellStyle name="20% - Accent3 8 3 5 4" xfId="33073" xr:uid="{A41F48E2-8B8B-4160-AD30-4900E3B7584D}"/>
    <cellStyle name="20% - Accent3 8 3 6" xfId="10112" xr:uid="{00000000-0005-0000-0000-00004C140000}"/>
    <cellStyle name="20% - Accent3 8 3 6 2" xfId="33961" xr:uid="{B88B3A36-DDAB-4E1B-8B39-D40CC6F3656B}"/>
    <cellStyle name="20% - Accent3 8 3 7" xfId="18067" xr:uid="{00000000-0005-0000-0000-00004D140000}"/>
    <cellStyle name="20% - Accent3 8 3 7 2" xfId="41899" xr:uid="{8EA91AEB-81AF-4A2B-BDDB-36180DA906DF}"/>
    <cellStyle name="20% - Accent3 8 3 8" xfId="26019" xr:uid="{1AA79E3E-7C70-4675-BA81-4B9962CE7F9F}"/>
    <cellStyle name="20% - Accent3 8 3_Exh G" xfId="2291" xr:uid="{00000000-0005-0000-0000-00004E140000}"/>
    <cellStyle name="20% - Accent3 8 4" xfId="893" xr:uid="{00000000-0005-0000-0000-00004F140000}"/>
    <cellStyle name="20% - Accent3 8 4 2" xfId="1820" xr:uid="{00000000-0005-0000-0000-000050140000}"/>
    <cellStyle name="20% - Accent3 8 4 2 2" xfId="5337" xr:uid="{00000000-0005-0000-0000-000051140000}"/>
    <cellStyle name="20% - Accent3 8 4 2 2 2" xfId="8928" xr:uid="{00000000-0005-0000-0000-000052140000}"/>
    <cellStyle name="20% - Accent3 8 4 2 2 2 2" xfId="16898" xr:uid="{00000000-0005-0000-0000-000053140000}"/>
    <cellStyle name="20% - Accent3 8 4 2 2 2 2 2" xfId="40740" xr:uid="{4FDB4832-F09B-426D-9549-CC5A68498778}"/>
    <cellStyle name="20% - Accent3 8 4 2 2 2 3" xfId="24844" xr:uid="{00000000-0005-0000-0000-000054140000}"/>
    <cellStyle name="20% - Accent3 8 4 2 2 2 3 2" xfId="48676" xr:uid="{3ABA3790-AB53-418D-9F32-A25ADACDA62E}"/>
    <cellStyle name="20% - Accent3 8 4 2 2 2 4" xfId="32799" xr:uid="{CE194952-2407-422D-8C79-94EE26E67FF2}"/>
    <cellStyle name="20% - Accent3 8 4 2 2 3" xfId="13360" xr:uid="{00000000-0005-0000-0000-000055140000}"/>
    <cellStyle name="20% - Accent3 8 4 2 2 3 2" xfId="37209" xr:uid="{6A26252E-8D76-4360-B35A-20C55B74E02D}"/>
    <cellStyle name="20% - Accent3 8 4 2 2 4" xfId="21315" xr:uid="{00000000-0005-0000-0000-000056140000}"/>
    <cellStyle name="20% - Accent3 8 4 2 2 4 2" xfId="45147" xr:uid="{3895F62F-CA1D-4BCB-BF21-11C6D77100F8}"/>
    <cellStyle name="20% - Accent3 8 4 2 2 5" xfId="29268" xr:uid="{9957FF5B-ED32-4760-9AC3-667B7A419091}"/>
    <cellStyle name="20% - Accent3 8 4 2 3" xfId="7169" xr:uid="{00000000-0005-0000-0000-000057140000}"/>
    <cellStyle name="20% - Accent3 8 4 2 3 2" xfId="15140" xr:uid="{00000000-0005-0000-0000-000058140000}"/>
    <cellStyle name="20% - Accent3 8 4 2 3 2 2" xfId="38982" xr:uid="{2FF49F4F-1C70-4CA1-B650-E016CCC9AFF1}"/>
    <cellStyle name="20% - Accent3 8 4 2 3 3" xfId="23087" xr:uid="{00000000-0005-0000-0000-000059140000}"/>
    <cellStyle name="20% - Accent3 8 4 2 3 3 2" xfId="46919" xr:uid="{05D18BE4-AF18-48FC-86D5-CDA8B1FD5DA6}"/>
    <cellStyle name="20% - Accent3 8 4 2 3 4" xfId="31041" xr:uid="{94933989-B633-4761-A84E-94E0601464EF}"/>
    <cellStyle name="20% - Accent3 8 4 2 4" xfId="11604" xr:uid="{00000000-0005-0000-0000-00005A140000}"/>
    <cellStyle name="20% - Accent3 8 4 2 4 2" xfId="35453" xr:uid="{E10E473C-1C6C-43DB-976A-F6C7D77FE018}"/>
    <cellStyle name="20% - Accent3 8 4 2 5" xfId="19559" xr:uid="{00000000-0005-0000-0000-00005B140000}"/>
    <cellStyle name="20% - Accent3 8 4 2 5 2" xfId="43391" xr:uid="{B094E22E-4B46-4FDE-B56C-204EEEC8EFA1}"/>
    <cellStyle name="20% - Accent3 8 4 2 6" xfId="27511" xr:uid="{F7279314-C149-4FF8-B29B-066E64C48C0F}"/>
    <cellStyle name="20% - Accent3 8 4 2_Exh G" xfId="2294" xr:uid="{00000000-0005-0000-0000-00005C140000}"/>
    <cellStyle name="20% - Accent3 8 4 3" xfId="4458" xr:uid="{00000000-0005-0000-0000-00005D140000}"/>
    <cellStyle name="20% - Accent3 8 4 3 2" xfId="8050" xr:uid="{00000000-0005-0000-0000-00005E140000}"/>
    <cellStyle name="20% - Accent3 8 4 3 2 2" xfId="16020" xr:uid="{00000000-0005-0000-0000-00005F140000}"/>
    <cellStyle name="20% - Accent3 8 4 3 2 2 2" xfId="39862" xr:uid="{15A0E881-A375-4437-8BB5-E53A93E49599}"/>
    <cellStyle name="20% - Accent3 8 4 3 2 3" xfId="23966" xr:uid="{00000000-0005-0000-0000-000060140000}"/>
    <cellStyle name="20% - Accent3 8 4 3 2 3 2" xfId="47798" xr:uid="{A40F8844-4195-4DE0-9C3C-8401DC966F87}"/>
    <cellStyle name="20% - Accent3 8 4 3 2 4" xfId="31921" xr:uid="{ECF43AB0-6911-4317-BD90-0EA8A6E21346}"/>
    <cellStyle name="20% - Accent3 8 4 3 3" xfId="12482" xr:uid="{00000000-0005-0000-0000-000061140000}"/>
    <cellStyle name="20% - Accent3 8 4 3 3 2" xfId="36331" xr:uid="{93E33A39-7AF4-4919-A3F8-E85BF088F059}"/>
    <cellStyle name="20% - Accent3 8 4 3 4" xfId="20437" xr:uid="{00000000-0005-0000-0000-000062140000}"/>
    <cellStyle name="20% - Accent3 8 4 3 4 2" xfId="44269" xr:uid="{72FE5E22-BA0C-4F25-A370-02D3192CC705}"/>
    <cellStyle name="20% - Accent3 8 4 3 5" xfId="28390" xr:uid="{A9B71E51-73D9-4D72-B5B7-1197D9F4C995}"/>
    <cellStyle name="20% - Accent3 8 4 4" xfId="6288" xr:uid="{00000000-0005-0000-0000-000063140000}"/>
    <cellStyle name="20% - Accent3 8 4 4 2" xfId="14262" xr:uid="{00000000-0005-0000-0000-000064140000}"/>
    <cellStyle name="20% - Accent3 8 4 4 2 2" xfId="38104" xr:uid="{3712A6D6-3987-4B06-AC96-0A43F00794D5}"/>
    <cellStyle name="20% - Accent3 8 4 4 3" xfId="22209" xr:uid="{00000000-0005-0000-0000-000065140000}"/>
    <cellStyle name="20% - Accent3 8 4 4 3 2" xfId="46041" xr:uid="{2E9AB3CE-7519-4D8E-88C7-E08BFE1B7F5E}"/>
    <cellStyle name="20% - Accent3 8 4 4 4" xfId="30163" xr:uid="{A97F7548-5E7B-470C-8DF7-196AD853F878}"/>
    <cellStyle name="20% - Accent3 8 4 5" xfId="9830" xr:uid="{00000000-0005-0000-0000-000066140000}"/>
    <cellStyle name="20% - Accent3 8 4 5 2" xfId="17788" xr:uid="{00000000-0005-0000-0000-000067140000}"/>
    <cellStyle name="20% - Accent3 8 4 5 2 2" xfId="41628" xr:uid="{AA84F16C-1B4B-4680-A60A-185E0E0AF2A2}"/>
    <cellStyle name="20% - Accent3 8 4 5 3" xfId="25732" xr:uid="{00000000-0005-0000-0000-000068140000}"/>
    <cellStyle name="20% - Accent3 8 4 5 3 2" xfId="49564" xr:uid="{2B190F29-CF08-4EE7-A286-339A3E75F05E}"/>
    <cellStyle name="20% - Accent3 8 4 5 4" xfId="33687" xr:uid="{CD519FBF-1C6F-45BA-BF36-A1A18B70DD8B}"/>
    <cellStyle name="20% - Accent3 8 4 6" xfId="10726" xr:uid="{00000000-0005-0000-0000-000069140000}"/>
    <cellStyle name="20% - Accent3 8 4 6 2" xfId="34575" xr:uid="{4A1DF77F-DE11-474E-9E57-A2C8481594BF}"/>
    <cellStyle name="20% - Accent3 8 4 7" xfId="18681" xr:uid="{00000000-0005-0000-0000-00006A140000}"/>
    <cellStyle name="20% - Accent3 8 4 7 2" xfId="42513" xr:uid="{5498C6D3-F7D8-4662-A39F-FC62C08170F2}"/>
    <cellStyle name="20% - Accent3 8 4 8" xfId="26633" xr:uid="{C5FF0F91-1A8F-43E1-9AFA-7F3FF0330A91}"/>
    <cellStyle name="20% - Accent3 8 4_Exh G" xfId="2293" xr:uid="{00000000-0005-0000-0000-00006B140000}"/>
    <cellStyle name="20% - Accent3 8 5" xfId="1193" xr:uid="{00000000-0005-0000-0000-00006C140000}"/>
    <cellStyle name="20% - Accent3 8 5 2" xfId="4720" xr:uid="{00000000-0005-0000-0000-00006D140000}"/>
    <cellStyle name="20% - Accent3 8 5 2 2" xfId="8311" xr:uid="{00000000-0005-0000-0000-00006E140000}"/>
    <cellStyle name="20% - Accent3 8 5 2 2 2" xfId="16281" xr:uid="{00000000-0005-0000-0000-00006F140000}"/>
    <cellStyle name="20% - Accent3 8 5 2 2 2 2" xfId="40123" xr:uid="{684B2407-57F2-45BB-936A-84450FD93EBC}"/>
    <cellStyle name="20% - Accent3 8 5 2 2 3" xfId="24227" xr:uid="{00000000-0005-0000-0000-000070140000}"/>
    <cellStyle name="20% - Accent3 8 5 2 2 3 2" xfId="48059" xr:uid="{C262E4B3-D134-4107-9B59-BB02A1D8A697}"/>
    <cellStyle name="20% - Accent3 8 5 2 2 4" xfId="32182" xr:uid="{9B57FC7C-57F3-4561-A1FE-57C8280282E9}"/>
    <cellStyle name="20% - Accent3 8 5 2 3" xfId="12743" xr:uid="{00000000-0005-0000-0000-000071140000}"/>
    <cellStyle name="20% - Accent3 8 5 2 3 2" xfId="36592" xr:uid="{031D6319-9878-46A7-84A5-B15809BE2B03}"/>
    <cellStyle name="20% - Accent3 8 5 2 4" xfId="20698" xr:uid="{00000000-0005-0000-0000-000072140000}"/>
    <cellStyle name="20% - Accent3 8 5 2 4 2" xfId="44530" xr:uid="{5C0B1EAB-5A38-4DA4-98C2-519F6194DFD0}"/>
    <cellStyle name="20% - Accent3 8 5 2 5" xfId="28651" xr:uid="{13AE26BE-BFFF-4E86-93F8-BCC7CA2C3D65}"/>
    <cellStyle name="20% - Accent3 8 5 3" xfId="6552" xr:uid="{00000000-0005-0000-0000-000073140000}"/>
    <cellStyle name="20% - Accent3 8 5 3 2" xfId="14523" xr:uid="{00000000-0005-0000-0000-000074140000}"/>
    <cellStyle name="20% - Accent3 8 5 3 2 2" xfId="38365" xr:uid="{8A567E1F-2066-42A4-A329-A2EC030475B8}"/>
    <cellStyle name="20% - Accent3 8 5 3 3" xfId="22470" xr:uid="{00000000-0005-0000-0000-000075140000}"/>
    <cellStyle name="20% - Accent3 8 5 3 3 2" xfId="46302" xr:uid="{5224DB80-0B21-4E74-B4C7-69195D63557B}"/>
    <cellStyle name="20% - Accent3 8 5 3 4" xfId="30424" xr:uid="{72F9F337-7D0B-4A9B-86D1-71F1AE103557}"/>
    <cellStyle name="20% - Accent3 8 5 4" xfId="10987" xr:uid="{00000000-0005-0000-0000-000076140000}"/>
    <cellStyle name="20% - Accent3 8 5 4 2" xfId="34836" xr:uid="{1E422875-4C82-43AA-9473-D4AC25CE3F8C}"/>
    <cellStyle name="20% - Accent3 8 5 5" xfId="18942" xr:uid="{00000000-0005-0000-0000-000077140000}"/>
    <cellStyle name="20% - Accent3 8 5 5 2" xfId="42774" xr:uid="{34545472-3005-4B79-A77A-4FF628A3C93A}"/>
    <cellStyle name="20% - Accent3 8 5 6" xfId="26894" xr:uid="{ED88FD6F-CFF8-4772-9263-5EC57F6B64A2}"/>
    <cellStyle name="20% - Accent3 8 5_Exh G" xfId="2295" xr:uid="{00000000-0005-0000-0000-000078140000}"/>
    <cellStyle name="20% - Accent3 8 6" xfId="3841" xr:uid="{00000000-0005-0000-0000-000079140000}"/>
    <cellStyle name="20% - Accent3 8 6 2" xfId="7433" xr:uid="{00000000-0005-0000-0000-00007A140000}"/>
    <cellStyle name="20% - Accent3 8 6 2 2" xfId="15403" xr:uid="{00000000-0005-0000-0000-00007B140000}"/>
    <cellStyle name="20% - Accent3 8 6 2 2 2" xfId="39245" xr:uid="{94454EF1-D37F-4A24-8B35-DBF54047CB1C}"/>
    <cellStyle name="20% - Accent3 8 6 2 3" xfId="23349" xr:uid="{00000000-0005-0000-0000-00007C140000}"/>
    <cellStyle name="20% - Accent3 8 6 2 3 2" xfId="47181" xr:uid="{6B95BFA7-BE25-4E39-BC93-433965F186BC}"/>
    <cellStyle name="20% - Accent3 8 6 2 4" xfId="31304" xr:uid="{671BC6A3-AE5F-4A69-97C7-0B24480FBA3F}"/>
    <cellStyle name="20% - Accent3 8 6 3" xfId="11865" xr:uid="{00000000-0005-0000-0000-00007D140000}"/>
    <cellStyle name="20% - Accent3 8 6 3 2" xfId="35714" xr:uid="{9CFF9F51-2F13-42EB-BC3B-F2A569A5B496}"/>
    <cellStyle name="20% - Accent3 8 6 4" xfId="19820" xr:uid="{00000000-0005-0000-0000-00007E140000}"/>
    <cellStyle name="20% - Accent3 8 6 4 2" xfId="43652" xr:uid="{CE423196-BD3F-416A-A1E0-D1E3393E0E96}"/>
    <cellStyle name="20% - Accent3 8 6 5" xfId="27773" xr:uid="{060B50C8-2EB7-4DBA-BC68-9AAE2BAD9B13}"/>
    <cellStyle name="20% - Accent3 8 7" xfId="5661" xr:uid="{00000000-0005-0000-0000-00007F140000}"/>
    <cellStyle name="20% - Accent3 8 7 2" xfId="13644" xr:uid="{00000000-0005-0000-0000-000080140000}"/>
    <cellStyle name="20% - Accent3 8 7 2 2" xfId="37487" xr:uid="{15A81B93-8994-4409-A797-D991C5F0E595}"/>
    <cellStyle name="20% - Accent3 8 7 3" xfId="21592" xr:uid="{00000000-0005-0000-0000-000081140000}"/>
    <cellStyle name="20% - Accent3 8 7 3 2" xfId="45424" xr:uid="{E76309CB-F858-4345-B8EB-826BB8E13353}"/>
    <cellStyle name="20% - Accent3 8 7 4" xfId="29546" xr:uid="{61500F1E-DD39-49E3-8738-7DE91600CAAE}"/>
    <cellStyle name="20% - Accent3 8 8" xfId="9213" xr:uid="{00000000-0005-0000-0000-000082140000}"/>
    <cellStyle name="20% - Accent3 8 8 2" xfId="17171" xr:uid="{00000000-0005-0000-0000-000083140000}"/>
    <cellStyle name="20% - Accent3 8 8 2 2" xfId="41011" xr:uid="{B7A9B587-A5B1-4F2C-B576-DD7B1A582FB7}"/>
    <cellStyle name="20% - Accent3 8 8 3" xfId="25115" xr:uid="{00000000-0005-0000-0000-000084140000}"/>
    <cellStyle name="20% - Accent3 8 8 3 2" xfId="48947" xr:uid="{E2C81954-A407-4134-A1C4-88AE271CF5E2}"/>
    <cellStyle name="20% - Accent3 8 8 4" xfId="33070" xr:uid="{676FABE0-FDE1-447C-9EF6-8CE37DB30680}"/>
    <cellStyle name="20% - Accent3 8 9" xfId="10109" xr:uid="{00000000-0005-0000-0000-000085140000}"/>
    <cellStyle name="20% - Accent3 8 9 2" xfId="33958" xr:uid="{42B8B552-5C59-479C-B05B-9D205F4A2E95}"/>
    <cellStyle name="20% - Accent3 8_Exh G" xfId="2286" xr:uid="{00000000-0005-0000-0000-000086140000}"/>
    <cellStyle name="20% - Accent3 9" xfId="171" xr:uid="{00000000-0005-0000-0000-000087140000}"/>
    <cellStyle name="20% - Accent3 9 10" xfId="18068" xr:uid="{00000000-0005-0000-0000-000088140000}"/>
    <cellStyle name="20% - Accent3 9 10 2" xfId="41900" xr:uid="{385AB4ED-348F-4EB8-8B98-6917D1B491E3}"/>
    <cellStyle name="20% - Accent3 9 11" xfId="26020" xr:uid="{09BCE94D-BE8D-4351-AB22-8C4BD60E4285}"/>
    <cellStyle name="20% - Accent3 9 2" xfId="172" xr:uid="{00000000-0005-0000-0000-000089140000}"/>
    <cellStyle name="20% - Accent3 9 2 2" xfId="173" xr:uid="{00000000-0005-0000-0000-00008A140000}"/>
    <cellStyle name="20% - Accent3 9 2 2 2" xfId="1199" xr:uid="{00000000-0005-0000-0000-00008B140000}"/>
    <cellStyle name="20% - Accent3 9 2 2 2 2" xfId="4726" xr:uid="{00000000-0005-0000-0000-00008C140000}"/>
    <cellStyle name="20% - Accent3 9 2 2 2 2 2" xfId="8317" xr:uid="{00000000-0005-0000-0000-00008D140000}"/>
    <cellStyle name="20% - Accent3 9 2 2 2 2 2 2" xfId="16287" xr:uid="{00000000-0005-0000-0000-00008E140000}"/>
    <cellStyle name="20% - Accent3 9 2 2 2 2 2 2 2" xfId="40129" xr:uid="{B7C12DCF-BA12-4340-A421-0184FD5C8673}"/>
    <cellStyle name="20% - Accent3 9 2 2 2 2 2 3" xfId="24233" xr:uid="{00000000-0005-0000-0000-00008F140000}"/>
    <cellStyle name="20% - Accent3 9 2 2 2 2 2 3 2" xfId="48065" xr:uid="{9DC86057-B758-44D2-AE78-C1AC1C9F32AE}"/>
    <cellStyle name="20% - Accent3 9 2 2 2 2 2 4" xfId="32188" xr:uid="{E67A3762-6167-4E97-8419-F4AFE69F1DE6}"/>
    <cellStyle name="20% - Accent3 9 2 2 2 2 3" xfId="12749" xr:uid="{00000000-0005-0000-0000-000090140000}"/>
    <cellStyle name="20% - Accent3 9 2 2 2 2 3 2" xfId="36598" xr:uid="{998E31BA-EE08-48CE-ABC4-9A96E4130151}"/>
    <cellStyle name="20% - Accent3 9 2 2 2 2 4" xfId="20704" xr:uid="{00000000-0005-0000-0000-000091140000}"/>
    <cellStyle name="20% - Accent3 9 2 2 2 2 4 2" xfId="44536" xr:uid="{82D96AD6-E758-443A-9CEC-DADD3F144C07}"/>
    <cellStyle name="20% - Accent3 9 2 2 2 2 5" xfId="28657" xr:uid="{5B9BF274-CB35-4709-AB8E-E445A607DA6D}"/>
    <cellStyle name="20% - Accent3 9 2 2 2 3" xfId="6558" xr:uid="{00000000-0005-0000-0000-000092140000}"/>
    <cellStyle name="20% - Accent3 9 2 2 2 3 2" xfId="14529" xr:uid="{00000000-0005-0000-0000-000093140000}"/>
    <cellStyle name="20% - Accent3 9 2 2 2 3 2 2" xfId="38371" xr:uid="{AAB87F57-C8C0-437B-8BAF-1FBCDE045C60}"/>
    <cellStyle name="20% - Accent3 9 2 2 2 3 3" xfId="22476" xr:uid="{00000000-0005-0000-0000-000094140000}"/>
    <cellStyle name="20% - Accent3 9 2 2 2 3 3 2" xfId="46308" xr:uid="{6986C662-E857-411A-B5E4-1B0891566021}"/>
    <cellStyle name="20% - Accent3 9 2 2 2 3 4" xfId="30430" xr:uid="{F243C2F3-0773-4704-BF0C-06682BD52898}"/>
    <cellStyle name="20% - Accent3 9 2 2 2 4" xfId="10993" xr:uid="{00000000-0005-0000-0000-000095140000}"/>
    <cellStyle name="20% - Accent3 9 2 2 2 4 2" xfId="34842" xr:uid="{52D1E14A-2D4F-4E25-BF05-53779F16AF63}"/>
    <cellStyle name="20% - Accent3 9 2 2 2 5" xfId="18948" xr:uid="{00000000-0005-0000-0000-000096140000}"/>
    <cellStyle name="20% - Accent3 9 2 2 2 5 2" xfId="42780" xr:uid="{52FE93B9-8E71-4058-9660-8C9D3F3290D8}"/>
    <cellStyle name="20% - Accent3 9 2 2 2 6" xfId="26900" xr:uid="{40DA7A99-5379-422E-8341-BD116841BC35}"/>
    <cellStyle name="20% - Accent3 9 2 2 2_Exh G" xfId="2299" xr:uid="{00000000-0005-0000-0000-000097140000}"/>
    <cellStyle name="20% - Accent3 9 2 2 3" xfId="3847" xr:uid="{00000000-0005-0000-0000-000098140000}"/>
    <cellStyle name="20% - Accent3 9 2 2 3 2" xfId="7439" xr:uid="{00000000-0005-0000-0000-000099140000}"/>
    <cellStyle name="20% - Accent3 9 2 2 3 2 2" xfId="15409" xr:uid="{00000000-0005-0000-0000-00009A140000}"/>
    <cellStyle name="20% - Accent3 9 2 2 3 2 2 2" xfId="39251" xr:uid="{1F528E3A-2C0E-4930-8754-95C65098943F}"/>
    <cellStyle name="20% - Accent3 9 2 2 3 2 3" xfId="23355" xr:uid="{00000000-0005-0000-0000-00009B140000}"/>
    <cellStyle name="20% - Accent3 9 2 2 3 2 3 2" xfId="47187" xr:uid="{FA6D55AA-96C5-4055-8D9A-0AECE54CA5E8}"/>
    <cellStyle name="20% - Accent3 9 2 2 3 2 4" xfId="31310" xr:uid="{6CFD7E09-BF62-4323-8C7F-07655C9F7ACF}"/>
    <cellStyle name="20% - Accent3 9 2 2 3 3" xfId="11871" xr:uid="{00000000-0005-0000-0000-00009C140000}"/>
    <cellStyle name="20% - Accent3 9 2 2 3 3 2" xfId="35720" xr:uid="{5A69B9F8-2F3E-489F-B237-145F2E3C56EA}"/>
    <cellStyle name="20% - Accent3 9 2 2 3 4" xfId="19826" xr:uid="{00000000-0005-0000-0000-00009D140000}"/>
    <cellStyle name="20% - Accent3 9 2 2 3 4 2" xfId="43658" xr:uid="{6A56500B-2538-4B28-ADF7-FB2B382A219E}"/>
    <cellStyle name="20% - Accent3 9 2 2 3 5" xfId="27779" xr:uid="{3570D0A6-F059-4499-839D-17E9F85962F5}"/>
    <cellStyle name="20% - Accent3 9 2 2 4" xfId="5667" xr:uid="{00000000-0005-0000-0000-00009E140000}"/>
    <cellStyle name="20% - Accent3 9 2 2 4 2" xfId="13650" xr:uid="{00000000-0005-0000-0000-00009F140000}"/>
    <cellStyle name="20% - Accent3 9 2 2 4 2 2" xfId="37493" xr:uid="{68F7B1C1-EE94-42E4-875A-7051660CD218}"/>
    <cellStyle name="20% - Accent3 9 2 2 4 3" xfId="21598" xr:uid="{00000000-0005-0000-0000-0000A0140000}"/>
    <cellStyle name="20% - Accent3 9 2 2 4 3 2" xfId="45430" xr:uid="{C8D161E8-A491-4633-ABDF-A6661CF8C8C3}"/>
    <cellStyle name="20% - Accent3 9 2 2 4 4" xfId="29552" xr:uid="{44B99822-9D89-4B58-9D1F-6759686B1D0C}"/>
    <cellStyle name="20% - Accent3 9 2 2 5" xfId="9219" xr:uid="{00000000-0005-0000-0000-0000A1140000}"/>
    <cellStyle name="20% - Accent3 9 2 2 5 2" xfId="17177" xr:uid="{00000000-0005-0000-0000-0000A2140000}"/>
    <cellStyle name="20% - Accent3 9 2 2 5 2 2" xfId="41017" xr:uid="{748A18BA-C181-4995-987F-E1836D9004D2}"/>
    <cellStyle name="20% - Accent3 9 2 2 5 3" xfId="25121" xr:uid="{00000000-0005-0000-0000-0000A3140000}"/>
    <cellStyle name="20% - Accent3 9 2 2 5 3 2" xfId="48953" xr:uid="{112995C9-14F5-4492-80F8-2AD8F6B64B9C}"/>
    <cellStyle name="20% - Accent3 9 2 2 5 4" xfId="33076" xr:uid="{2C8E3B95-9571-4E31-85E5-035B1130BFA7}"/>
    <cellStyle name="20% - Accent3 9 2 2 6" xfId="10115" xr:uid="{00000000-0005-0000-0000-0000A4140000}"/>
    <cellStyle name="20% - Accent3 9 2 2 6 2" xfId="33964" xr:uid="{5CD302B2-031E-449A-90BC-C9E044C3AF93}"/>
    <cellStyle name="20% - Accent3 9 2 2 7" xfId="18070" xr:uid="{00000000-0005-0000-0000-0000A5140000}"/>
    <cellStyle name="20% - Accent3 9 2 2 7 2" xfId="41902" xr:uid="{A20577DB-1215-4715-BD80-7D196E7C9F62}"/>
    <cellStyle name="20% - Accent3 9 2 2 8" xfId="26022" xr:uid="{E9AC216D-BCD9-4DAC-9F31-6B15F0385E7E}"/>
    <cellStyle name="20% - Accent3 9 2 2_Exh G" xfId="2298" xr:uid="{00000000-0005-0000-0000-0000A6140000}"/>
    <cellStyle name="20% - Accent3 9 2 3" xfId="1198" xr:uid="{00000000-0005-0000-0000-0000A7140000}"/>
    <cellStyle name="20% - Accent3 9 2 3 2" xfId="4725" xr:uid="{00000000-0005-0000-0000-0000A8140000}"/>
    <cellStyle name="20% - Accent3 9 2 3 2 2" xfId="8316" xr:uid="{00000000-0005-0000-0000-0000A9140000}"/>
    <cellStyle name="20% - Accent3 9 2 3 2 2 2" xfId="16286" xr:uid="{00000000-0005-0000-0000-0000AA140000}"/>
    <cellStyle name="20% - Accent3 9 2 3 2 2 2 2" xfId="40128" xr:uid="{D7C8AD8F-71F0-4B2C-8C08-54ED0F17C2DC}"/>
    <cellStyle name="20% - Accent3 9 2 3 2 2 3" xfId="24232" xr:uid="{00000000-0005-0000-0000-0000AB140000}"/>
    <cellStyle name="20% - Accent3 9 2 3 2 2 3 2" xfId="48064" xr:uid="{3BE9E440-C78E-4DFE-98FE-6FB394223CD2}"/>
    <cellStyle name="20% - Accent3 9 2 3 2 2 4" xfId="32187" xr:uid="{FF50FCE9-DACD-4C84-8BB0-1B893FBD30BB}"/>
    <cellStyle name="20% - Accent3 9 2 3 2 3" xfId="12748" xr:uid="{00000000-0005-0000-0000-0000AC140000}"/>
    <cellStyle name="20% - Accent3 9 2 3 2 3 2" xfId="36597" xr:uid="{159D6013-0CB2-4919-8352-2573FA4B7549}"/>
    <cellStyle name="20% - Accent3 9 2 3 2 4" xfId="20703" xr:uid="{00000000-0005-0000-0000-0000AD140000}"/>
    <cellStyle name="20% - Accent3 9 2 3 2 4 2" xfId="44535" xr:uid="{1D143755-2056-421A-B0DB-879F98BFFB7F}"/>
    <cellStyle name="20% - Accent3 9 2 3 2 5" xfId="28656" xr:uid="{C7F6E8C0-4126-4838-85B6-90E0B2D4A529}"/>
    <cellStyle name="20% - Accent3 9 2 3 3" xfId="6557" xr:uid="{00000000-0005-0000-0000-0000AE140000}"/>
    <cellStyle name="20% - Accent3 9 2 3 3 2" xfId="14528" xr:uid="{00000000-0005-0000-0000-0000AF140000}"/>
    <cellStyle name="20% - Accent3 9 2 3 3 2 2" xfId="38370" xr:uid="{B8A08A04-2B79-487D-8AC6-97907DCDFF7C}"/>
    <cellStyle name="20% - Accent3 9 2 3 3 3" xfId="22475" xr:uid="{00000000-0005-0000-0000-0000B0140000}"/>
    <cellStyle name="20% - Accent3 9 2 3 3 3 2" xfId="46307" xr:uid="{EA73B769-2DC1-43A8-9E68-C72AF1AA9A38}"/>
    <cellStyle name="20% - Accent3 9 2 3 3 4" xfId="30429" xr:uid="{E199FB02-2E8F-4E70-BDBE-BC54922F5959}"/>
    <cellStyle name="20% - Accent3 9 2 3 4" xfId="10992" xr:uid="{00000000-0005-0000-0000-0000B1140000}"/>
    <cellStyle name="20% - Accent3 9 2 3 4 2" xfId="34841" xr:uid="{41CFD704-F6F2-4B21-B754-8F44B95EC6F5}"/>
    <cellStyle name="20% - Accent3 9 2 3 5" xfId="18947" xr:uid="{00000000-0005-0000-0000-0000B2140000}"/>
    <cellStyle name="20% - Accent3 9 2 3 5 2" xfId="42779" xr:uid="{7AFCAE14-9F78-4743-8E2E-7993C3D7A187}"/>
    <cellStyle name="20% - Accent3 9 2 3 6" xfId="26899" xr:uid="{F1A893C5-DB98-4B96-9BC2-85FC8B3C66E8}"/>
    <cellStyle name="20% - Accent3 9 2 3_Exh G" xfId="2300" xr:uid="{00000000-0005-0000-0000-0000B3140000}"/>
    <cellStyle name="20% - Accent3 9 2 4" xfId="3846" xr:uid="{00000000-0005-0000-0000-0000B4140000}"/>
    <cellStyle name="20% - Accent3 9 2 4 2" xfId="7438" xr:uid="{00000000-0005-0000-0000-0000B5140000}"/>
    <cellStyle name="20% - Accent3 9 2 4 2 2" xfId="15408" xr:uid="{00000000-0005-0000-0000-0000B6140000}"/>
    <cellStyle name="20% - Accent3 9 2 4 2 2 2" xfId="39250" xr:uid="{FB65C384-0791-4618-A720-12CB5D0BFF66}"/>
    <cellStyle name="20% - Accent3 9 2 4 2 3" xfId="23354" xr:uid="{00000000-0005-0000-0000-0000B7140000}"/>
    <cellStyle name="20% - Accent3 9 2 4 2 3 2" xfId="47186" xr:uid="{7F62659A-D286-4CA5-B814-2B05E82834C9}"/>
    <cellStyle name="20% - Accent3 9 2 4 2 4" xfId="31309" xr:uid="{F00DE273-AF3A-4D21-9D64-351A21E2C198}"/>
    <cellStyle name="20% - Accent3 9 2 4 3" xfId="11870" xr:uid="{00000000-0005-0000-0000-0000B8140000}"/>
    <cellStyle name="20% - Accent3 9 2 4 3 2" xfId="35719" xr:uid="{C0601436-0252-4CB9-81D9-EBC318CFAB7B}"/>
    <cellStyle name="20% - Accent3 9 2 4 4" xfId="19825" xr:uid="{00000000-0005-0000-0000-0000B9140000}"/>
    <cellStyle name="20% - Accent3 9 2 4 4 2" xfId="43657" xr:uid="{126865DF-1612-4E2A-AE00-7B32D4B3C4A1}"/>
    <cellStyle name="20% - Accent3 9 2 4 5" xfId="27778" xr:uid="{3DE6927B-4B5D-4118-AC60-DE5437BBC5FF}"/>
    <cellStyle name="20% - Accent3 9 2 5" xfId="5666" xr:uid="{00000000-0005-0000-0000-0000BA140000}"/>
    <cellStyle name="20% - Accent3 9 2 5 2" xfId="13649" xr:uid="{00000000-0005-0000-0000-0000BB140000}"/>
    <cellStyle name="20% - Accent3 9 2 5 2 2" xfId="37492" xr:uid="{EEC900DF-F878-4488-8D67-BC1E4F370D8F}"/>
    <cellStyle name="20% - Accent3 9 2 5 3" xfId="21597" xr:uid="{00000000-0005-0000-0000-0000BC140000}"/>
    <cellStyle name="20% - Accent3 9 2 5 3 2" xfId="45429" xr:uid="{2D91EDB7-996C-44FF-B0BC-0239CD666930}"/>
    <cellStyle name="20% - Accent3 9 2 5 4" xfId="29551" xr:uid="{589391C8-EFA6-4A9E-9848-F7F3E640D6B7}"/>
    <cellStyle name="20% - Accent3 9 2 6" xfId="9218" xr:uid="{00000000-0005-0000-0000-0000BD140000}"/>
    <cellStyle name="20% - Accent3 9 2 6 2" xfId="17176" xr:uid="{00000000-0005-0000-0000-0000BE140000}"/>
    <cellStyle name="20% - Accent3 9 2 6 2 2" xfId="41016" xr:uid="{FE4FD6EA-8F7A-4631-AA78-9F6017D1957C}"/>
    <cellStyle name="20% - Accent3 9 2 6 3" xfId="25120" xr:uid="{00000000-0005-0000-0000-0000BF140000}"/>
    <cellStyle name="20% - Accent3 9 2 6 3 2" xfId="48952" xr:uid="{7D0FCB70-B1A1-4805-9862-90B1CA6DF28A}"/>
    <cellStyle name="20% - Accent3 9 2 6 4" xfId="33075" xr:uid="{5E6C1497-8C33-4672-A783-B0809EDD7062}"/>
    <cellStyle name="20% - Accent3 9 2 7" xfId="10114" xr:uid="{00000000-0005-0000-0000-0000C0140000}"/>
    <cellStyle name="20% - Accent3 9 2 7 2" xfId="33963" xr:uid="{44A06B9B-14CC-4EBE-9CAB-CA33BB3EFE76}"/>
    <cellStyle name="20% - Accent3 9 2 8" xfId="18069" xr:uid="{00000000-0005-0000-0000-0000C1140000}"/>
    <cellStyle name="20% - Accent3 9 2 8 2" xfId="41901" xr:uid="{A4066BE9-333F-4FF8-87DF-58A146C2F78D}"/>
    <cellStyle name="20% - Accent3 9 2 9" xfId="26021" xr:uid="{BF9842D0-CEE7-4954-9394-AB961AE53112}"/>
    <cellStyle name="20% - Accent3 9 2_Exh G" xfId="2297" xr:uid="{00000000-0005-0000-0000-0000C2140000}"/>
    <cellStyle name="20% - Accent3 9 3" xfId="174" xr:uid="{00000000-0005-0000-0000-0000C3140000}"/>
    <cellStyle name="20% - Accent3 9 3 2" xfId="1200" xr:uid="{00000000-0005-0000-0000-0000C4140000}"/>
    <cellStyle name="20% - Accent3 9 3 2 2" xfId="4727" xr:uid="{00000000-0005-0000-0000-0000C5140000}"/>
    <cellStyle name="20% - Accent3 9 3 2 2 2" xfId="8318" xr:uid="{00000000-0005-0000-0000-0000C6140000}"/>
    <cellStyle name="20% - Accent3 9 3 2 2 2 2" xfId="16288" xr:uid="{00000000-0005-0000-0000-0000C7140000}"/>
    <cellStyle name="20% - Accent3 9 3 2 2 2 2 2" xfId="40130" xr:uid="{0CB056F6-12D9-4C80-8E91-D30C4F974D2A}"/>
    <cellStyle name="20% - Accent3 9 3 2 2 2 3" xfId="24234" xr:uid="{00000000-0005-0000-0000-0000C8140000}"/>
    <cellStyle name="20% - Accent3 9 3 2 2 2 3 2" xfId="48066" xr:uid="{352E9727-D09D-45A1-A374-A33875E66BA7}"/>
    <cellStyle name="20% - Accent3 9 3 2 2 2 4" xfId="32189" xr:uid="{2EB79B4D-E15D-4551-9550-EB6C1A1E43D0}"/>
    <cellStyle name="20% - Accent3 9 3 2 2 3" xfId="12750" xr:uid="{00000000-0005-0000-0000-0000C9140000}"/>
    <cellStyle name="20% - Accent3 9 3 2 2 3 2" xfId="36599" xr:uid="{1B6C61F7-268A-4F9B-BCD0-7C8DA32A6817}"/>
    <cellStyle name="20% - Accent3 9 3 2 2 4" xfId="20705" xr:uid="{00000000-0005-0000-0000-0000CA140000}"/>
    <cellStyle name="20% - Accent3 9 3 2 2 4 2" xfId="44537" xr:uid="{9FA5FCF2-22DA-4057-8FB5-BA6AA6EDA75D}"/>
    <cellStyle name="20% - Accent3 9 3 2 2 5" xfId="28658" xr:uid="{BD75BF92-C4A8-4293-9A79-CE9E97058918}"/>
    <cellStyle name="20% - Accent3 9 3 2 3" xfId="6559" xr:uid="{00000000-0005-0000-0000-0000CB140000}"/>
    <cellStyle name="20% - Accent3 9 3 2 3 2" xfId="14530" xr:uid="{00000000-0005-0000-0000-0000CC140000}"/>
    <cellStyle name="20% - Accent3 9 3 2 3 2 2" xfId="38372" xr:uid="{8E332A04-C94C-49F3-A26B-AF5C896E1DDC}"/>
    <cellStyle name="20% - Accent3 9 3 2 3 3" xfId="22477" xr:uid="{00000000-0005-0000-0000-0000CD140000}"/>
    <cellStyle name="20% - Accent3 9 3 2 3 3 2" xfId="46309" xr:uid="{97648D8B-8BB9-4F31-85E9-FD5A900CF7C7}"/>
    <cellStyle name="20% - Accent3 9 3 2 3 4" xfId="30431" xr:uid="{716107AE-F2AB-4B43-B23F-46D8F9A2B74B}"/>
    <cellStyle name="20% - Accent3 9 3 2 4" xfId="10994" xr:uid="{00000000-0005-0000-0000-0000CE140000}"/>
    <cellStyle name="20% - Accent3 9 3 2 4 2" xfId="34843" xr:uid="{85754EB5-C388-4A49-BB50-EEC9DD7F26AD}"/>
    <cellStyle name="20% - Accent3 9 3 2 5" xfId="18949" xr:uid="{00000000-0005-0000-0000-0000CF140000}"/>
    <cellStyle name="20% - Accent3 9 3 2 5 2" xfId="42781" xr:uid="{ED4BF40D-F34E-45B6-B278-66B9381DD7BD}"/>
    <cellStyle name="20% - Accent3 9 3 2 6" xfId="26901" xr:uid="{1C8F9E74-3905-4E9A-A116-3A2D0EBB45E4}"/>
    <cellStyle name="20% - Accent3 9 3 2_Exh G" xfId="2302" xr:uid="{00000000-0005-0000-0000-0000D0140000}"/>
    <cellStyle name="20% - Accent3 9 3 3" xfId="3848" xr:uid="{00000000-0005-0000-0000-0000D1140000}"/>
    <cellStyle name="20% - Accent3 9 3 3 2" xfId="7440" xr:uid="{00000000-0005-0000-0000-0000D2140000}"/>
    <cellStyle name="20% - Accent3 9 3 3 2 2" xfId="15410" xr:uid="{00000000-0005-0000-0000-0000D3140000}"/>
    <cellStyle name="20% - Accent3 9 3 3 2 2 2" xfId="39252" xr:uid="{1139BB4E-B451-440E-A1F1-128030F78C56}"/>
    <cellStyle name="20% - Accent3 9 3 3 2 3" xfId="23356" xr:uid="{00000000-0005-0000-0000-0000D4140000}"/>
    <cellStyle name="20% - Accent3 9 3 3 2 3 2" xfId="47188" xr:uid="{6A7B64D3-A853-4173-A9E2-538E03E86286}"/>
    <cellStyle name="20% - Accent3 9 3 3 2 4" xfId="31311" xr:uid="{298D74C9-877E-4EB2-907E-372F6FF44834}"/>
    <cellStyle name="20% - Accent3 9 3 3 3" xfId="11872" xr:uid="{00000000-0005-0000-0000-0000D5140000}"/>
    <cellStyle name="20% - Accent3 9 3 3 3 2" xfId="35721" xr:uid="{A201DD90-897F-4FE1-BF65-4B813326284E}"/>
    <cellStyle name="20% - Accent3 9 3 3 4" xfId="19827" xr:uid="{00000000-0005-0000-0000-0000D6140000}"/>
    <cellStyle name="20% - Accent3 9 3 3 4 2" xfId="43659" xr:uid="{33BD83C2-2422-4A04-99C2-E7194C8F6F35}"/>
    <cellStyle name="20% - Accent3 9 3 3 5" xfId="27780" xr:uid="{1DF7EA5D-2240-4E66-987C-41452FFC4DAE}"/>
    <cellStyle name="20% - Accent3 9 3 4" xfId="5668" xr:uid="{00000000-0005-0000-0000-0000D7140000}"/>
    <cellStyle name="20% - Accent3 9 3 4 2" xfId="13651" xr:uid="{00000000-0005-0000-0000-0000D8140000}"/>
    <cellStyle name="20% - Accent3 9 3 4 2 2" xfId="37494" xr:uid="{B737035C-C39D-444D-933D-BEA30DC1420C}"/>
    <cellStyle name="20% - Accent3 9 3 4 3" xfId="21599" xr:uid="{00000000-0005-0000-0000-0000D9140000}"/>
    <cellStyle name="20% - Accent3 9 3 4 3 2" xfId="45431" xr:uid="{36D7B509-8E76-4DCF-9153-91D17CC0268C}"/>
    <cellStyle name="20% - Accent3 9 3 4 4" xfId="29553" xr:uid="{9D2135EC-C468-4B1C-A396-117B96D1A1F8}"/>
    <cellStyle name="20% - Accent3 9 3 5" xfId="9220" xr:uid="{00000000-0005-0000-0000-0000DA140000}"/>
    <cellStyle name="20% - Accent3 9 3 5 2" xfId="17178" xr:uid="{00000000-0005-0000-0000-0000DB140000}"/>
    <cellStyle name="20% - Accent3 9 3 5 2 2" xfId="41018" xr:uid="{977DC873-74A3-4DD5-9A61-60B43B7EFCD0}"/>
    <cellStyle name="20% - Accent3 9 3 5 3" xfId="25122" xr:uid="{00000000-0005-0000-0000-0000DC140000}"/>
    <cellStyle name="20% - Accent3 9 3 5 3 2" xfId="48954" xr:uid="{73E6C3DF-16A9-4E7F-8016-16143097B5E7}"/>
    <cellStyle name="20% - Accent3 9 3 5 4" xfId="33077" xr:uid="{B371CBC6-0F27-4EA8-BF23-9DBC849C78F3}"/>
    <cellStyle name="20% - Accent3 9 3 6" xfId="10116" xr:uid="{00000000-0005-0000-0000-0000DD140000}"/>
    <cellStyle name="20% - Accent3 9 3 6 2" xfId="33965" xr:uid="{3DEEBA39-3698-429B-AD7F-097FEEF92B09}"/>
    <cellStyle name="20% - Accent3 9 3 7" xfId="18071" xr:uid="{00000000-0005-0000-0000-0000DE140000}"/>
    <cellStyle name="20% - Accent3 9 3 7 2" xfId="41903" xr:uid="{6BE1AA18-8A0B-433B-B9F5-504B7CFDAC62}"/>
    <cellStyle name="20% - Accent3 9 3 8" xfId="26023" xr:uid="{6A957332-5207-43DF-AD81-CA33499B0451}"/>
    <cellStyle name="20% - Accent3 9 3_Exh G" xfId="2301" xr:uid="{00000000-0005-0000-0000-0000DF140000}"/>
    <cellStyle name="20% - Accent3 9 4" xfId="894" xr:uid="{00000000-0005-0000-0000-0000E0140000}"/>
    <cellStyle name="20% - Accent3 9 4 2" xfId="1821" xr:uid="{00000000-0005-0000-0000-0000E1140000}"/>
    <cellStyle name="20% - Accent3 9 4 2 2" xfId="5338" xr:uid="{00000000-0005-0000-0000-0000E2140000}"/>
    <cellStyle name="20% - Accent3 9 4 2 2 2" xfId="8929" xr:uid="{00000000-0005-0000-0000-0000E3140000}"/>
    <cellStyle name="20% - Accent3 9 4 2 2 2 2" xfId="16899" xr:uid="{00000000-0005-0000-0000-0000E4140000}"/>
    <cellStyle name="20% - Accent3 9 4 2 2 2 2 2" xfId="40741" xr:uid="{FD8E7011-EAC3-4406-9088-03F70BDCBC3F}"/>
    <cellStyle name="20% - Accent3 9 4 2 2 2 3" xfId="24845" xr:uid="{00000000-0005-0000-0000-0000E5140000}"/>
    <cellStyle name="20% - Accent3 9 4 2 2 2 3 2" xfId="48677" xr:uid="{FE034497-E8B0-416B-BABC-077EE98E9477}"/>
    <cellStyle name="20% - Accent3 9 4 2 2 2 4" xfId="32800" xr:uid="{1CDEBDF1-390D-4696-A417-3A81C5BA7F34}"/>
    <cellStyle name="20% - Accent3 9 4 2 2 3" xfId="13361" xr:uid="{00000000-0005-0000-0000-0000E6140000}"/>
    <cellStyle name="20% - Accent3 9 4 2 2 3 2" xfId="37210" xr:uid="{DCAA0EF9-A40B-40CB-8EF5-D73302FD3CCF}"/>
    <cellStyle name="20% - Accent3 9 4 2 2 4" xfId="21316" xr:uid="{00000000-0005-0000-0000-0000E7140000}"/>
    <cellStyle name="20% - Accent3 9 4 2 2 4 2" xfId="45148" xr:uid="{37EF1A8C-DD58-49F5-BA99-F4F942412207}"/>
    <cellStyle name="20% - Accent3 9 4 2 2 5" xfId="29269" xr:uid="{8C8B8036-FF4B-49F6-B78F-785F326CE40E}"/>
    <cellStyle name="20% - Accent3 9 4 2 3" xfId="7170" xr:uid="{00000000-0005-0000-0000-0000E8140000}"/>
    <cellStyle name="20% - Accent3 9 4 2 3 2" xfId="15141" xr:uid="{00000000-0005-0000-0000-0000E9140000}"/>
    <cellStyle name="20% - Accent3 9 4 2 3 2 2" xfId="38983" xr:uid="{773B1E98-480C-492F-9692-943D762E3A0D}"/>
    <cellStyle name="20% - Accent3 9 4 2 3 3" xfId="23088" xr:uid="{00000000-0005-0000-0000-0000EA140000}"/>
    <cellStyle name="20% - Accent3 9 4 2 3 3 2" xfId="46920" xr:uid="{3E089E2E-DDE9-4959-9797-FE352621F73B}"/>
    <cellStyle name="20% - Accent3 9 4 2 3 4" xfId="31042" xr:uid="{4C11658F-3EBB-428C-ABF3-D1EC5127D76F}"/>
    <cellStyle name="20% - Accent3 9 4 2 4" xfId="11605" xr:uid="{00000000-0005-0000-0000-0000EB140000}"/>
    <cellStyle name="20% - Accent3 9 4 2 4 2" xfId="35454" xr:uid="{6E44BD39-1622-484C-9438-40C43B61851A}"/>
    <cellStyle name="20% - Accent3 9 4 2 5" xfId="19560" xr:uid="{00000000-0005-0000-0000-0000EC140000}"/>
    <cellStyle name="20% - Accent3 9 4 2 5 2" xfId="43392" xr:uid="{F12BD5D0-0AEC-4FFA-8038-9AAB8A474C05}"/>
    <cellStyle name="20% - Accent3 9 4 2 6" xfId="27512" xr:uid="{A2A5613E-8C3A-41E4-8B96-D0D75F079804}"/>
    <cellStyle name="20% - Accent3 9 4 2_Exh G" xfId="2304" xr:uid="{00000000-0005-0000-0000-0000ED140000}"/>
    <cellStyle name="20% - Accent3 9 4 3" xfId="4459" xr:uid="{00000000-0005-0000-0000-0000EE140000}"/>
    <cellStyle name="20% - Accent3 9 4 3 2" xfId="8051" xr:uid="{00000000-0005-0000-0000-0000EF140000}"/>
    <cellStyle name="20% - Accent3 9 4 3 2 2" xfId="16021" xr:uid="{00000000-0005-0000-0000-0000F0140000}"/>
    <cellStyle name="20% - Accent3 9 4 3 2 2 2" xfId="39863" xr:uid="{E26EA180-0A2B-40FF-8D53-770B3AD5A5D2}"/>
    <cellStyle name="20% - Accent3 9 4 3 2 3" xfId="23967" xr:uid="{00000000-0005-0000-0000-0000F1140000}"/>
    <cellStyle name="20% - Accent3 9 4 3 2 3 2" xfId="47799" xr:uid="{1B3DD492-688D-4FE6-8E0D-33A356144D56}"/>
    <cellStyle name="20% - Accent3 9 4 3 2 4" xfId="31922" xr:uid="{7F493C64-DFFE-467F-B873-6044DE6628AF}"/>
    <cellStyle name="20% - Accent3 9 4 3 3" xfId="12483" xr:uid="{00000000-0005-0000-0000-0000F2140000}"/>
    <cellStyle name="20% - Accent3 9 4 3 3 2" xfId="36332" xr:uid="{14071E49-62DB-4C3E-B780-8557C106470B}"/>
    <cellStyle name="20% - Accent3 9 4 3 4" xfId="20438" xr:uid="{00000000-0005-0000-0000-0000F3140000}"/>
    <cellStyle name="20% - Accent3 9 4 3 4 2" xfId="44270" xr:uid="{DC7AABC5-78F1-43BF-A2D4-D9AE872283D2}"/>
    <cellStyle name="20% - Accent3 9 4 3 5" xfId="28391" xr:uid="{1A4EB8FD-68C4-42A9-A4E1-E62B63714587}"/>
    <cellStyle name="20% - Accent3 9 4 4" xfId="6289" xr:uid="{00000000-0005-0000-0000-0000F4140000}"/>
    <cellStyle name="20% - Accent3 9 4 4 2" xfId="14263" xr:uid="{00000000-0005-0000-0000-0000F5140000}"/>
    <cellStyle name="20% - Accent3 9 4 4 2 2" xfId="38105" xr:uid="{EBC6B371-61F2-43AC-961F-5CF9DFBC7453}"/>
    <cellStyle name="20% - Accent3 9 4 4 3" xfId="22210" xr:uid="{00000000-0005-0000-0000-0000F6140000}"/>
    <cellStyle name="20% - Accent3 9 4 4 3 2" xfId="46042" xr:uid="{42CD0C5B-FAE8-4662-A7D6-D3B6F7301168}"/>
    <cellStyle name="20% - Accent3 9 4 4 4" xfId="30164" xr:uid="{9FF44706-2102-446E-BFA5-121CE8BF9837}"/>
    <cellStyle name="20% - Accent3 9 4 5" xfId="9831" xr:uid="{00000000-0005-0000-0000-0000F7140000}"/>
    <cellStyle name="20% - Accent3 9 4 5 2" xfId="17789" xr:uid="{00000000-0005-0000-0000-0000F8140000}"/>
    <cellStyle name="20% - Accent3 9 4 5 2 2" xfId="41629" xr:uid="{1C7A1641-43F4-46B8-A178-159AFFA556F4}"/>
    <cellStyle name="20% - Accent3 9 4 5 3" xfId="25733" xr:uid="{00000000-0005-0000-0000-0000F9140000}"/>
    <cellStyle name="20% - Accent3 9 4 5 3 2" xfId="49565" xr:uid="{48143ED0-5113-4383-A492-62EBD8F0C65A}"/>
    <cellStyle name="20% - Accent3 9 4 5 4" xfId="33688" xr:uid="{43DB76FC-39AC-4510-99F4-9759835B1DE3}"/>
    <cellStyle name="20% - Accent3 9 4 6" xfId="10727" xr:uid="{00000000-0005-0000-0000-0000FA140000}"/>
    <cellStyle name="20% - Accent3 9 4 6 2" xfId="34576" xr:uid="{2885A20F-5D2B-4283-9F1E-498F0E5DF4C3}"/>
    <cellStyle name="20% - Accent3 9 4 7" xfId="18682" xr:uid="{00000000-0005-0000-0000-0000FB140000}"/>
    <cellStyle name="20% - Accent3 9 4 7 2" xfId="42514" xr:uid="{24D5E474-F503-41D5-AB35-C1DDFFB94D6F}"/>
    <cellStyle name="20% - Accent3 9 4 8" xfId="26634" xr:uid="{C66B4614-1005-4887-8BE1-DA22156740B1}"/>
    <cellStyle name="20% - Accent3 9 4_Exh G" xfId="2303" xr:uid="{00000000-0005-0000-0000-0000FC140000}"/>
    <cellStyle name="20% - Accent3 9 5" xfId="1197" xr:uid="{00000000-0005-0000-0000-0000FD140000}"/>
    <cellStyle name="20% - Accent3 9 5 2" xfId="4724" xr:uid="{00000000-0005-0000-0000-0000FE140000}"/>
    <cellStyle name="20% - Accent3 9 5 2 2" xfId="8315" xr:uid="{00000000-0005-0000-0000-0000FF140000}"/>
    <cellStyle name="20% - Accent3 9 5 2 2 2" xfId="16285" xr:uid="{00000000-0005-0000-0000-000000150000}"/>
    <cellStyle name="20% - Accent3 9 5 2 2 2 2" xfId="40127" xr:uid="{5F21681E-E8E2-44C7-BC2E-67BD9FFDED20}"/>
    <cellStyle name="20% - Accent3 9 5 2 2 3" xfId="24231" xr:uid="{00000000-0005-0000-0000-000001150000}"/>
    <cellStyle name="20% - Accent3 9 5 2 2 3 2" xfId="48063" xr:uid="{2259CAF4-88E4-4852-B5B6-85A780F85EC3}"/>
    <cellStyle name="20% - Accent3 9 5 2 2 4" xfId="32186" xr:uid="{836AE203-9BEB-4AAF-88FA-465410C13099}"/>
    <cellStyle name="20% - Accent3 9 5 2 3" xfId="12747" xr:uid="{00000000-0005-0000-0000-000002150000}"/>
    <cellStyle name="20% - Accent3 9 5 2 3 2" xfId="36596" xr:uid="{60166B33-2449-44F8-8047-BC1073EFC2BF}"/>
    <cellStyle name="20% - Accent3 9 5 2 4" xfId="20702" xr:uid="{00000000-0005-0000-0000-000003150000}"/>
    <cellStyle name="20% - Accent3 9 5 2 4 2" xfId="44534" xr:uid="{E9C1F6F6-ECCF-414D-81B9-8043215DA4BC}"/>
    <cellStyle name="20% - Accent3 9 5 2 5" xfId="28655" xr:uid="{03DC1EA0-BD09-434E-A8CB-75113258B1F2}"/>
    <cellStyle name="20% - Accent3 9 5 3" xfId="6556" xr:uid="{00000000-0005-0000-0000-000004150000}"/>
    <cellStyle name="20% - Accent3 9 5 3 2" xfId="14527" xr:uid="{00000000-0005-0000-0000-000005150000}"/>
    <cellStyle name="20% - Accent3 9 5 3 2 2" xfId="38369" xr:uid="{46D4F9EE-B09B-428C-AF9F-403A2B3DE642}"/>
    <cellStyle name="20% - Accent3 9 5 3 3" xfId="22474" xr:uid="{00000000-0005-0000-0000-000006150000}"/>
    <cellStyle name="20% - Accent3 9 5 3 3 2" xfId="46306" xr:uid="{54E74C03-31C4-4E24-946D-A3333E98CA96}"/>
    <cellStyle name="20% - Accent3 9 5 3 4" xfId="30428" xr:uid="{7A29D798-DDBC-465C-AED3-91D6C47BE8CC}"/>
    <cellStyle name="20% - Accent3 9 5 4" xfId="10991" xr:uid="{00000000-0005-0000-0000-000007150000}"/>
    <cellStyle name="20% - Accent3 9 5 4 2" xfId="34840" xr:uid="{0B7532A6-4BBF-46CB-8D73-6E9968C74197}"/>
    <cellStyle name="20% - Accent3 9 5 5" xfId="18946" xr:uid="{00000000-0005-0000-0000-000008150000}"/>
    <cellStyle name="20% - Accent3 9 5 5 2" xfId="42778" xr:uid="{DCE1746E-93C9-40B9-9D8D-D32A937F1A7C}"/>
    <cellStyle name="20% - Accent3 9 5 6" xfId="26898" xr:uid="{2F6D3814-1122-4833-9070-4A45659780C1}"/>
    <cellStyle name="20% - Accent3 9 5_Exh G" xfId="2305" xr:uid="{00000000-0005-0000-0000-000009150000}"/>
    <cellStyle name="20% - Accent3 9 6" xfId="3845" xr:uid="{00000000-0005-0000-0000-00000A150000}"/>
    <cellStyle name="20% - Accent3 9 6 2" xfId="7437" xr:uid="{00000000-0005-0000-0000-00000B150000}"/>
    <cellStyle name="20% - Accent3 9 6 2 2" xfId="15407" xr:uid="{00000000-0005-0000-0000-00000C150000}"/>
    <cellStyle name="20% - Accent3 9 6 2 2 2" xfId="39249" xr:uid="{AE63065B-29B2-4575-9B9A-B4BFDF4AEBDD}"/>
    <cellStyle name="20% - Accent3 9 6 2 3" xfId="23353" xr:uid="{00000000-0005-0000-0000-00000D150000}"/>
    <cellStyle name="20% - Accent3 9 6 2 3 2" xfId="47185" xr:uid="{37EBDE0E-3C9C-4E58-8B2E-FDED7C1E817C}"/>
    <cellStyle name="20% - Accent3 9 6 2 4" xfId="31308" xr:uid="{4684D424-CF16-4BF7-9E45-3A5A393626B4}"/>
    <cellStyle name="20% - Accent3 9 6 3" xfId="11869" xr:uid="{00000000-0005-0000-0000-00000E150000}"/>
    <cellStyle name="20% - Accent3 9 6 3 2" xfId="35718" xr:uid="{7403103F-5870-4E9D-8F91-36C9B674380B}"/>
    <cellStyle name="20% - Accent3 9 6 4" xfId="19824" xr:uid="{00000000-0005-0000-0000-00000F150000}"/>
    <cellStyle name="20% - Accent3 9 6 4 2" xfId="43656" xr:uid="{F04D24F0-5D00-4D05-9076-35B74D5F765C}"/>
    <cellStyle name="20% - Accent3 9 6 5" xfId="27777" xr:uid="{32E17575-CBC6-4F53-BC4B-E1A014264D2B}"/>
    <cellStyle name="20% - Accent3 9 7" xfId="5665" xr:uid="{00000000-0005-0000-0000-000010150000}"/>
    <cellStyle name="20% - Accent3 9 7 2" xfId="13648" xr:uid="{00000000-0005-0000-0000-000011150000}"/>
    <cellStyle name="20% - Accent3 9 7 2 2" xfId="37491" xr:uid="{7F3EC53E-C744-45AF-A878-B11A02D1E10E}"/>
    <cellStyle name="20% - Accent3 9 7 3" xfId="21596" xr:uid="{00000000-0005-0000-0000-000012150000}"/>
    <cellStyle name="20% - Accent3 9 7 3 2" xfId="45428" xr:uid="{F095DD1A-0F12-4863-859C-5C441E7CB34C}"/>
    <cellStyle name="20% - Accent3 9 7 4" xfId="29550" xr:uid="{BFFFE00B-0723-4914-A42F-5737CC00CC17}"/>
    <cellStyle name="20% - Accent3 9 8" xfId="9217" xr:uid="{00000000-0005-0000-0000-000013150000}"/>
    <cellStyle name="20% - Accent3 9 8 2" xfId="17175" xr:uid="{00000000-0005-0000-0000-000014150000}"/>
    <cellStyle name="20% - Accent3 9 8 2 2" xfId="41015" xr:uid="{BAC9DA51-2446-4133-A57F-EC0E20A87258}"/>
    <cellStyle name="20% - Accent3 9 8 3" xfId="25119" xr:uid="{00000000-0005-0000-0000-000015150000}"/>
    <cellStyle name="20% - Accent3 9 8 3 2" xfId="48951" xr:uid="{A64122E5-F97F-4244-BCC0-5C1693A80EC2}"/>
    <cellStyle name="20% - Accent3 9 8 4" xfId="33074" xr:uid="{7D538913-FCBE-4525-A31C-F88FAF40DF2A}"/>
    <cellStyle name="20% - Accent3 9 9" xfId="10113" xr:uid="{00000000-0005-0000-0000-000016150000}"/>
    <cellStyle name="20% - Accent3 9 9 2" xfId="33962" xr:uid="{43D3D088-7E98-43DE-8516-B3C42D16493F}"/>
    <cellStyle name="20% - Accent3 9_Exh G" xfId="2296" xr:uid="{00000000-0005-0000-0000-000017150000}"/>
    <cellStyle name="20% - Accent4" xfId="49691" builtinId="42" customBuiltin="1"/>
    <cellStyle name="20% - Accent4 10" xfId="175" xr:uid="{00000000-0005-0000-0000-000018150000}"/>
    <cellStyle name="20% - Accent4 10 10" xfId="18072" xr:uid="{00000000-0005-0000-0000-000019150000}"/>
    <cellStyle name="20% - Accent4 10 10 2" xfId="41904" xr:uid="{16C6ABD7-1802-4D6C-82B9-1FFE6003C3D2}"/>
    <cellStyle name="20% - Accent4 10 11" xfId="26024" xr:uid="{97C73937-31D1-4176-90D5-40B33734DD01}"/>
    <cellStyle name="20% - Accent4 10 2" xfId="176" xr:uid="{00000000-0005-0000-0000-00001A150000}"/>
    <cellStyle name="20% - Accent4 10 2 2" xfId="177" xr:uid="{00000000-0005-0000-0000-00001B150000}"/>
    <cellStyle name="20% - Accent4 10 2 2 2" xfId="1203" xr:uid="{00000000-0005-0000-0000-00001C150000}"/>
    <cellStyle name="20% - Accent4 10 2 2 2 2" xfId="4730" xr:uid="{00000000-0005-0000-0000-00001D150000}"/>
    <cellStyle name="20% - Accent4 10 2 2 2 2 2" xfId="8321" xr:uid="{00000000-0005-0000-0000-00001E150000}"/>
    <cellStyle name="20% - Accent4 10 2 2 2 2 2 2" xfId="16291" xr:uid="{00000000-0005-0000-0000-00001F150000}"/>
    <cellStyle name="20% - Accent4 10 2 2 2 2 2 2 2" xfId="40133" xr:uid="{A8B9E22C-AE54-4DAC-B53B-B5F329ACC4A2}"/>
    <cellStyle name="20% - Accent4 10 2 2 2 2 2 3" xfId="24237" xr:uid="{00000000-0005-0000-0000-000020150000}"/>
    <cellStyle name="20% - Accent4 10 2 2 2 2 2 3 2" xfId="48069" xr:uid="{8C98EADD-1E1F-4331-B63E-D2CB971F071E}"/>
    <cellStyle name="20% - Accent4 10 2 2 2 2 2 4" xfId="32192" xr:uid="{76D1E5AD-7A3B-48FF-AA48-B3F2F0414862}"/>
    <cellStyle name="20% - Accent4 10 2 2 2 2 3" xfId="12753" xr:uid="{00000000-0005-0000-0000-000021150000}"/>
    <cellStyle name="20% - Accent4 10 2 2 2 2 3 2" xfId="36602" xr:uid="{D85BEAC5-D709-403D-86C0-DF8C06DCDB53}"/>
    <cellStyle name="20% - Accent4 10 2 2 2 2 4" xfId="20708" xr:uid="{00000000-0005-0000-0000-000022150000}"/>
    <cellStyle name="20% - Accent4 10 2 2 2 2 4 2" xfId="44540" xr:uid="{37DC7FC6-99AC-4C21-86AA-5D5882461D60}"/>
    <cellStyle name="20% - Accent4 10 2 2 2 2 5" xfId="28661" xr:uid="{4E3D27AB-1A05-4632-975F-73028D8E7BB3}"/>
    <cellStyle name="20% - Accent4 10 2 2 2 3" xfId="6562" xr:uid="{00000000-0005-0000-0000-000023150000}"/>
    <cellStyle name="20% - Accent4 10 2 2 2 3 2" xfId="14533" xr:uid="{00000000-0005-0000-0000-000024150000}"/>
    <cellStyle name="20% - Accent4 10 2 2 2 3 2 2" xfId="38375" xr:uid="{3EF91D84-F058-486B-844F-68CBDA8B1A34}"/>
    <cellStyle name="20% - Accent4 10 2 2 2 3 3" xfId="22480" xr:uid="{00000000-0005-0000-0000-000025150000}"/>
    <cellStyle name="20% - Accent4 10 2 2 2 3 3 2" xfId="46312" xr:uid="{EAB39257-B043-42E9-BA4B-7C06E2481C5A}"/>
    <cellStyle name="20% - Accent4 10 2 2 2 3 4" xfId="30434" xr:uid="{AB493DF0-0326-4D94-88C4-E2179B660D9A}"/>
    <cellStyle name="20% - Accent4 10 2 2 2 4" xfId="10997" xr:uid="{00000000-0005-0000-0000-000026150000}"/>
    <cellStyle name="20% - Accent4 10 2 2 2 4 2" xfId="34846" xr:uid="{066EF958-1E69-4433-A2F8-07592A003C5D}"/>
    <cellStyle name="20% - Accent4 10 2 2 2 5" xfId="18952" xr:uid="{00000000-0005-0000-0000-000027150000}"/>
    <cellStyle name="20% - Accent4 10 2 2 2 5 2" xfId="42784" xr:uid="{8D8142BA-4803-49EC-A306-51EFC522BB5A}"/>
    <cellStyle name="20% - Accent4 10 2 2 2 6" xfId="26904" xr:uid="{57FC2B10-612A-4EB7-9603-C72BC0E71E32}"/>
    <cellStyle name="20% - Accent4 10 2 2 2_Exh G" xfId="2309" xr:uid="{00000000-0005-0000-0000-000028150000}"/>
    <cellStyle name="20% - Accent4 10 2 2 3" xfId="3851" xr:uid="{00000000-0005-0000-0000-000029150000}"/>
    <cellStyle name="20% - Accent4 10 2 2 3 2" xfId="7443" xr:uid="{00000000-0005-0000-0000-00002A150000}"/>
    <cellStyle name="20% - Accent4 10 2 2 3 2 2" xfId="15413" xr:uid="{00000000-0005-0000-0000-00002B150000}"/>
    <cellStyle name="20% - Accent4 10 2 2 3 2 2 2" xfId="39255" xr:uid="{2F5A7FEA-B033-434B-9564-BAFE43B27395}"/>
    <cellStyle name="20% - Accent4 10 2 2 3 2 3" xfId="23359" xr:uid="{00000000-0005-0000-0000-00002C150000}"/>
    <cellStyle name="20% - Accent4 10 2 2 3 2 3 2" xfId="47191" xr:uid="{8BA645BC-DDBB-4133-A76D-DFDBD6D27FEF}"/>
    <cellStyle name="20% - Accent4 10 2 2 3 2 4" xfId="31314" xr:uid="{90A5EBFF-1F23-4019-9C90-5EF19CB9835B}"/>
    <cellStyle name="20% - Accent4 10 2 2 3 3" xfId="11875" xr:uid="{00000000-0005-0000-0000-00002D150000}"/>
    <cellStyle name="20% - Accent4 10 2 2 3 3 2" xfId="35724" xr:uid="{B53CAA47-DAE3-4817-94F3-F3023A5150D8}"/>
    <cellStyle name="20% - Accent4 10 2 2 3 4" xfId="19830" xr:uid="{00000000-0005-0000-0000-00002E150000}"/>
    <cellStyle name="20% - Accent4 10 2 2 3 4 2" xfId="43662" xr:uid="{DA040A11-DCC7-4092-B14C-F398B92E0F6F}"/>
    <cellStyle name="20% - Accent4 10 2 2 3 5" xfId="27783" xr:uid="{39689948-C971-4F16-987D-1872B4DBC146}"/>
    <cellStyle name="20% - Accent4 10 2 2 4" xfId="5671" xr:uid="{00000000-0005-0000-0000-00002F150000}"/>
    <cellStyle name="20% - Accent4 10 2 2 4 2" xfId="13654" xr:uid="{00000000-0005-0000-0000-000030150000}"/>
    <cellStyle name="20% - Accent4 10 2 2 4 2 2" xfId="37497" xr:uid="{4489DA08-9F8E-4D81-AFB8-D9A16F765C88}"/>
    <cellStyle name="20% - Accent4 10 2 2 4 3" xfId="21602" xr:uid="{00000000-0005-0000-0000-000031150000}"/>
    <cellStyle name="20% - Accent4 10 2 2 4 3 2" xfId="45434" xr:uid="{6D9FCA03-4F4C-48FC-851B-A75DD5308898}"/>
    <cellStyle name="20% - Accent4 10 2 2 4 4" xfId="29556" xr:uid="{0D5BDFCC-1B16-40D9-9C6A-39F63943B857}"/>
    <cellStyle name="20% - Accent4 10 2 2 5" xfId="9223" xr:uid="{00000000-0005-0000-0000-000032150000}"/>
    <cellStyle name="20% - Accent4 10 2 2 5 2" xfId="17181" xr:uid="{00000000-0005-0000-0000-000033150000}"/>
    <cellStyle name="20% - Accent4 10 2 2 5 2 2" xfId="41021" xr:uid="{FAA91C26-DBB0-45A7-8678-11E437449C84}"/>
    <cellStyle name="20% - Accent4 10 2 2 5 3" xfId="25125" xr:uid="{00000000-0005-0000-0000-000034150000}"/>
    <cellStyle name="20% - Accent4 10 2 2 5 3 2" xfId="48957" xr:uid="{6563033C-5898-4F1B-AE86-350D51F886DE}"/>
    <cellStyle name="20% - Accent4 10 2 2 5 4" xfId="33080" xr:uid="{261D4A02-0B28-4E1A-AC33-9CF5EC0F07D0}"/>
    <cellStyle name="20% - Accent4 10 2 2 6" xfId="10119" xr:uid="{00000000-0005-0000-0000-000035150000}"/>
    <cellStyle name="20% - Accent4 10 2 2 6 2" xfId="33968" xr:uid="{31E497AF-3310-438B-A346-F072FF4E3FD0}"/>
    <cellStyle name="20% - Accent4 10 2 2 7" xfId="18074" xr:uid="{00000000-0005-0000-0000-000036150000}"/>
    <cellStyle name="20% - Accent4 10 2 2 7 2" xfId="41906" xr:uid="{DF6A3FEB-F0DC-4567-AA96-E34B4C2FD456}"/>
    <cellStyle name="20% - Accent4 10 2 2 8" xfId="26026" xr:uid="{CB2D27BF-7033-4E89-918C-46E95356AE61}"/>
    <cellStyle name="20% - Accent4 10 2 2_Exh G" xfId="2308" xr:uid="{00000000-0005-0000-0000-000037150000}"/>
    <cellStyle name="20% - Accent4 10 2 3" xfId="1202" xr:uid="{00000000-0005-0000-0000-000038150000}"/>
    <cellStyle name="20% - Accent4 10 2 3 2" xfId="4729" xr:uid="{00000000-0005-0000-0000-000039150000}"/>
    <cellStyle name="20% - Accent4 10 2 3 2 2" xfId="8320" xr:uid="{00000000-0005-0000-0000-00003A150000}"/>
    <cellStyle name="20% - Accent4 10 2 3 2 2 2" xfId="16290" xr:uid="{00000000-0005-0000-0000-00003B150000}"/>
    <cellStyle name="20% - Accent4 10 2 3 2 2 2 2" xfId="40132" xr:uid="{64020D15-9BCC-41D2-93DF-9E5BA1ECA8B6}"/>
    <cellStyle name="20% - Accent4 10 2 3 2 2 3" xfId="24236" xr:uid="{00000000-0005-0000-0000-00003C150000}"/>
    <cellStyle name="20% - Accent4 10 2 3 2 2 3 2" xfId="48068" xr:uid="{D8BC23C8-0B8B-4DB2-BBE7-58C237EAE1E8}"/>
    <cellStyle name="20% - Accent4 10 2 3 2 2 4" xfId="32191" xr:uid="{5C3E22D0-EF12-4B2F-99D8-AC1F8E37DB21}"/>
    <cellStyle name="20% - Accent4 10 2 3 2 3" xfId="12752" xr:uid="{00000000-0005-0000-0000-00003D150000}"/>
    <cellStyle name="20% - Accent4 10 2 3 2 3 2" xfId="36601" xr:uid="{445A4A56-D98C-42D8-9EEA-A25E1EF864F2}"/>
    <cellStyle name="20% - Accent4 10 2 3 2 4" xfId="20707" xr:uid="{00000000-0005-0000-0000-00003E150000}"/>
    <cellStyle name="20% - Accent4 10 2 3 2 4 2" xfId="44539" xr:uid="{3B28C993-1FA4-455C-9726-210633B1BA40}"/>
    <cellStyle name="20% - Accent4 10 2 3 2 5" xfId="28660" xr:uid="{1C65A439-CD38-4CFD-B82C-D7BF7BB6BBEA}"/>
    <cellStyle name="20% - Accent4 10 2 3 3" xfId="6561" xr:uid="{00000000-0005-0000-0000-00003F150000}"/>
    <cellStyle name="20% - Accent4 10 2 3 3 2" xfId="14532" xr:uid="{00000000-0005-0000-0000-000040150000}"/>
    <cellStyle name="20% - Accent4 10 2 3 3 2 2" xfId="38374" xr:uid="{BF12241D-D908-420D-B36C-FF50DDC5B8E6}"/>
    <cellStyle name="20% - Accent4 10 2 3 3 3" xfId="22479" xr:uid="{00000000-0005-0000-0000-000041150000}"/>
    <cellStyle name="20% - Accent4 10 2 3 3 3 2" xfId="46311" xr:uid="{5491C274-8EF3-4F92-A437-23CE2088A1C3}"/>
    <cellStyle name="20% - Accent4 10 2 3 3 4" xfId="30433" xr:uid="{D517CD3B-C42F-4EF7-AF62-FEFF30340A2C}"/>
    <cellStyle name="20% - Accent4 10 2 3 4" xfId="10996" xr:uid="{00000000-0005-0000-0000-000042150000}"/>
    <cellStyle name="20% - Accent4 10 2 3 4 2" xfId="34845" xr:uid="{9CA606DC-2B3C-444F-BFF3-BC1FF7501EBF}"/>
    <cellStyle name="20% - Accent4 10 2 3 5" xfId="18951" xr:uid="{00000000-0005-0000-0000-000043150000}"/>
    <cellStyle name="20% - Accent4 10 2 3 5 2" xfId="42783" xr:uid="{61E7E5D9-F51D-488E-A82D-B37D1C3A1637}"/>
    <cellStyle name="20% - Accent4 10 2 3 6" xfId="26903" xr:uid="{CE05AF8C-8E09-4ECC-BC24-14CCA5C7E8BB}"/>
    <cellStyle name="20% - Accent4 10 2 3_Exh G" xfId="2310" xr:uid="{00000000-0005-0000-0000-000044150000}"/>
    <cellStyle name="20% - Accent4 10 2 4" xfId="3850" xr:uid="{00000000-0005-0000-0000-000045150000}"/>
    <cellStyle name="20% - Accent4 10 2 4 2" xfId="7442" xr:uid="{00000000-0005-0000-0000-000046150000}"/>
    <cellStyle name="20% - Accent4 10 2 4 2 2" xfId="15412" xr:uid="{00000000-0005-0000-0000-000047150000}"/>
    <cellStyle name="20% - Accent4 10 2 4 2 2 2" xfId="39254" xr:uid="{22C97E26-C5C8-4C6E-86C5-88D1B0D9910D}"/>
    <cellStyle name="20% - Accent4 10 2 4 2 3" xfId="23358" xr:uid="{00000000-0005-0000-0000-000048150000}"/>
    <cellStyle name="20% - Accent4 10 2 4 2 3 2" xfId="47190" xr:uid="{06E79EAA-CD49-4150-88AF-08259518DF6D}"/>
    <cellStyle name="20% - Accent4 10 2 4 2 4" xfId="31313" xr:uid="{44F41D6A-366C-4848-88B0-D23B63160010}"/>
    <cellStyle name="20% - Accent4 10 2 4 3" xfId="11874" xr:uid="{00000000-0005-0000-0000-000049150000}"/>
    <cellStyle name="20% - Accent4 10 2 4 3 2" xfId="35723" xr:uid="{E96DF573-48BE-450D-9F5B-8C972A64A04C}"/>
    <cellStyle name="20% - Accent4 10 2 4 4" xfId="19829" xr:uid="{00000000-0005-0000-0000-00004A150000}"/>
    <cellStyle name="20% - Accent4 10 2 4 4 2" xfId="43661" xr:uid="{A7163727-4E54-46C6-A482-65F6B7D3A66D}"/>
    <cellStyle name="20% - Accent4 10 2 4 5" xfId="27782" xr:uid="{F6E66A1B-C26A-4DC9-A609-43B5736BF900}"/>
    <cellStyle name="20% - Accent4 10 2 5" xfId="5670" xr:uid="{00000000-0005-0000-0000-00004B150000}"/>
    <cellStyle name="20% - Accent4 10 2 5 2" xfId="13653" xr:uid="{00000000-0005-0000-0000-00004C150000}"/>
    <cellStyle name="20% - Accent4 10 2 5 2 2" xfId="37496" xr:uid="{7E73B51F-52DB-4AA5-913F-0AC3BAAE221B}"/>
    <cellStyle name="20% - Accent4 10 2 5 3" xfId="21601" xr:uid="{00000000-0005-0000-0000-00004D150000}"/>
    <cellStyle name="20% - Accent4 10 2 5 3 2" xfId="45433" xr:uid="{295E67B8-F342-4A69-AAF2-F66941AAFFDC}"/>
    <cellStyle name="20% - Accent4 10 2 5 4" xfId="29555" xr:uid="{5DD75077-557F-40F3-AA4A-0C7615A6E1CC}"/>
    <cellStyle name="20% - Accent4 10 2 6" xfId="9222" xr:uid="{00000000-0005-0000-0000-00004E150000}"/>
    <cellStyle name="20% - Accent4 10 2 6 2" xfId="17180" xr:uid="{00000000-0005-0000-0000-00004F150000}"/>
    <cellStyle name="20% - Accent4 10 2 6 2 2" xfId="41020" xr:uid="{5BE2E86E-C61C-4AED-86D8-BB5F175679FC}"/>
    <cellStyle name="20% - Accent4 10 2 6 3" xfId="25124" xr:uid="{00000000-0005-0000-0000-000050150000}"/>
    <cellStyle name="20% - Accent4 10 2 6 3 2" xfId="48956" xr:uid="{89A07EBA-F341-4163-A3EB-96FFE2819FED}"/>
    <cellStyle name="20% - Accent4 10 2 6 4" xfId="33079" xr:uid="{1B350481-2811-4BE6-B8E9-07876A15FBF6}"/>
    <cellStyle name="20% - Accent4 10 2 7" xfId="10118" xr:uid="{00000000-0005-0000-0000-000051150000}"/>
    <cellStyle name="20% - Accent4 10 2 7 2" xfId="33967" xr:uid="{B706DC68-8B23-42F0-AF55-293B9E89CAF8}"/>
    <cellStyle name="20% - Accent4 10 2 8" xfId="18073" xr:uid="{00000000-0005-0000-0000-000052150000}"/>
    <cellStyle name="20% - Accent4 10 2 8 2" xfId="41905" xr:uid="{782C6BF3-86D9-4FAC-86F1-88DB00384278}"/>
    <cellStyle name="20% - Accent4 10 2 9" xfId="26025" xr:uid="{00BCA8A8-5205-4BE3-996B-46F2B14E9190}"/>
    <cellStyle name="20% - Accent4 10 2_Exh G" xfId="2307" xr:uid="{00000000-0005-0000-0000-000053150000}"/>
    <cellStyle name="20% - Accent4 10 3" xfId="178" xr:uid="{00000000-0005-0000-0000-000054150000}"/>
    <cellStyle name="20% - Accent4 10 3 2" xfId="1204" xr:uid="{00000000-0005-0000-0000-000055150000}"/>
    <cellStyle name="20% - Accent4 10 3 2 2" xfId="4731" xr:uid="{00000000-0005-0000-0000-000056150000}"/>
    <cellStyle name="20% - Accent4 10 3 2 2 2" xfId="8322" xr:uid="{00000000-0005-0000-0000-000057150000}"/>
    <cellStyle name="20% - Accent4 10 3 2 2 2 2" xfId="16292" xr:uid="{00000000-0005-0000-0000-000058150000}"/>
    <cellStyle name="20% - Accent4 10 3 2 2 2 2 2" xfId="40134" xr:uid="{88AF0B6E-8A9B-44C3-B7BC-57F20AA13335}"/>
    <cellStyle name="20% - Accent4 10 3 2 2 2 3" xfId="24238" xr:uid="{00000000-0005-0000-0000-000059150000}"/>
    <cellStyle name="20% - Accent4 10 3 2 2 2 3 2" xfId="48070" xr:uid="{BBE44B71-C689-487A-B263-CE754601966C}"/>
    <cellStyle name="20% - Accent4 10 3 2 2 2 4" xfId="32193" xr:uid="{E8615AE5-AE30-4F77-ACA5-7B2AD9D13E9A}"/>
    <cellStyle name="20% - Accent4 10 3 2 2 3" xfId="12754" xr:uid="{00000000-0005-0000-0000-00005A150000}"/>
    <cellStyle name="20% - Accent4 10 3 2 2 3 2" xfId="36603" xr:uid="{90EE0088-82A5-4C29-A6F6-B4EE03EE446A}"/>
    <cellStyle name="20% - Accent4 10 3 2 2 4" xfId="20709" xr:uid="{00000000-0005-0000-0000-00005B150000}"/>
    <cellStyle name="20% - Accent4 10 3 2 2 4 2" xfId="44541" xr:uid="{4C09EBEF-F8FD-483A-A879-48F1B5FC311E}"/>
    <cellStyle name="20% - Accent4 10 3 2 2 5" xfId="28662" xr:uid="{46D98C04-F832-4EF2-81AC-BB5636FC1278}"/>
    <cellStyle name="20% - Accent4 10 3 2 3" xfId="6563" xr:uid="{00000000-0005-0000-0000-00005C150000}"/>
    <cellStyle name="20% - Accent4 10 3 2 3 2" xfId="14534" xr:uid="{00000000-0005-0000-0000-00005D150000}"/>
    <cellStyle name="20% - Accent4 10 3 2 3 2 2" xfId="38376" xr:uid="{72B511B6-FEB0-43F3-9ADD-7C25EAB6710F}"/>
    <cellStyle name="20% - Accent4 10 3 2 3 3" xfId="22481" xr:uid="{00000000-0005-0000-0000-00005E150000}"/>
    <cellStyle name="20% - Accent4 10 3 2 3 3 2" xfId="46313" xr:uid="{F917EF94-E0ED-4D63-846B-678E8A8BB236}"/>
    <cellStyle name="20% - Accent4 10 3 2 3 4" xfId="30435" xr:uid="{2A7A664E-D013-47C7-AA0A-D47CEA146265}"/>
    <cellStyle name="20% - Accent4 10 3 2 4" xfId="10998" xr:uid="{00000000-0005-0000-0000-00005F150000}"/>
    <cellStyle name="20% - Accent4 10 3 2 4 2" xfId="34847" xr:uid="{3A8FC78D-FCAD-42D2-A932-280DD641FF6F}"/>
    <cellStyle name="20% - Accent4 10 3 2 5" xfId="18953" xr:uid="{00000000-0005-0000-0000-000060150000}"/>
    <cellStyle name="20% - Accent4 10 3 2 5 2" xfId="42785" xr:uid="{06BC5900-B804-447A-8598-FDBD97B561F0}"/>
    <cellStyle name="20% - Accent4 10 3 2 6" xfId="26905" xr:uid="{B8DD3B67-50AB-4C6A-9017-D0373F4DD4B9}"/>
    <cellStyle name="20% - Accent4 10 3 2_Exh G" xfId="2312" xr:uid="{00000000-0005-0000-0000-000061150000}"/>
    <cellStyle name="20% - Accent4 10 3 3" xfId="3852" xr:uid="{00000000-0005-0000-0000-000062150000}"/>
    <cellStyle name="20% - Accent4 10 3 3 2" xfId="7444" xr:uid="{00000000-0005-0000-0000-000063150000}"/>
    <cellStyle name="20% - Accent4 10 3 3 2 2" xfId="15414" xr:uid="{00000000-0005-0000-0000-000064150000}"/>
    <cellStyle name="20% - Accent4 10 3 3 2 2 2" xfId="39256" xr:uid="{66AFA5DE-19C3-4984-8E21-A1C95642B567}"/>
    <cellStyle name="20% - Accent4 10 3 3 2 3" xfId="23360" xr:uid="{00000000-0005-0000-0000-000065150000}"/>
    <cellStyle name="20% - Accent4 10 3 3 2 3 2" xfId="47192" xr:uid="{607587A6-0F4B-424A-A584-D0F5646D3034}"/>
    <cellStyle name="20% - Accent4 10 3 3 2 4" xfId="31315" xr:uid="{CA69BBCD-8A58-4F01-93DF-3E8D5FB24911}"/>
    <cellStyle name="20% - Accent4 10 3 3 3" xfId="11876" xr:uid="{00000000-0005-0000-0000-000066150000}"/>
    <cellStyle name="20% - Accent4 10 3 3 3 2" xfId="35725" xr:uid="{C1263396-4B69-486C-9531-46FD5AE0DFBC}"/>
    <cellStyle name="20% - Accent4 10 3 3 4" xfId="19831" xr:uid="{00000000-0005-0000-0000-000067150000}"/>
    <cellStyle name="20% - Accent4 10 3 3 4 2" xfId="43663" xr:uid="{1F8284BE-CAFA-4C14-ABFE-980F295D5565}"/>
    <cellStyle name="20% - Accent4 10 3 3 5" xfId="27784" xr:uid="{CFBF4359-758E-4C55-8CDB-6F2310C31F2A}"/>
    <cellStyle name="20% - Accent4 10 3 4" xfId="5672" xr:uid="{00000000-0005-0000-0000-000068150000}"/>
    <cellStyle name="20% - Accent4 10 3 4 2" xfId="13655" xr:uid="{00000000-0005-0000-0000-000069150000}"/>
    <cellStyle name="20% - Accent4 10 3 4 2 2" xfId="37498" xr:uid="{72BE41A8-603C-421A-BAE9-54C3A800786A}"/>
    <cellStyle name="20% - Accent4 10 3 4 3" xfId="21603" xr:uid="{00000000-0005-0000-0000-00006A150000}"/>
    <cellStyle name="20% - Accent4 10 3 4 3 2" xfId="45435" xr:uid="{7F7C401C-B6A8-47B3-955D-9FC9E6F0AB2E}"/>
    <cellStyle name="20% - Accent4 10 3 4 4" xfId="29557" xr:uid="{2513CE3D-D20D-411F-B961-89DF08BAB0E4}"/>
    <cellStyle name="20% - Accent4 10 3 5" xfId="9224" xr:uid="{00000000-0005-0000-0000-00006B150000}"/>
    <cellStyle name="20% - Accent4 10 3 5 2" xfId="17182" xr:uid="{00000000-0005-0000-0000-00006C150000}"/>
    <cellStyle name="20% - Accent4 10 3 5 2 2" xfId="41022" xr:uid="{D7D6B323-0647-498C-9CAF-18518797503F}"/>
    <cellStyle name="20% - Accent4 10 3 5 3" xfId="25126" xr:uid="{00000000-0005-0000-0000-00006D150000}"/>
    <cellStyle name="20% - Accent4 10 3 5 3 2" xfId="48958" xr:uid="{6A459695-B6A8-4FF4-9384-54F2282F17D5}"/>
    <cellStyle name="20% - Accent4 10 3 5 4" xfId="33081" xr:uid="{FF61CA36-A66B-4E2F-B945-B6A595F19641}"/>
    <cellStyle name="20% - Accent4 10 3 6" xfId="10120" xr:uid="{00000000-0005-0000-0000-00006E150000}"/>
    <cellStyle name="20% - Accent4 10 3 6 2" xfId="33969" xr:uid="{C2367BA0-4F52-4E29-8B7B-5BC8FEA1B396}"/>
    <cellStyle name="20% - Accent4 10 3 7" xfId="18075" xr:uid="{00000000-0005-0000-0000-00006F150000}"/>
    <cellStyle name="20% - Accent4 10 3 7 2" xfId="41907" xr:uid="{E2530F8E-D264-4147-8499-BF3C094B04E1}"/>
    <cellStyle name="20% - Accent4 10 3 8" xfId="26027" xr:uid="{66AD16FB-BA04-4ECB-A8B8-9B728DCEDF67}"/>
    <cellStyle name="20% - Accent4 10 3_Exh G" xfId="2311" xr:uid="{00000000-0005-0000-0000-000070150000}"/>
    <cellStyle name="20% - Accent4 10 4" xfId="895" xr:uid="{00000000-0005-0000-0000-000071150000}"/>
    <cellStyle name="20% - Accent4 10 5" xfId="1201" xr:uid="{00000000-0005-0000-0000-000072150000}"/>
    <cellStyle name="20% - Accent4 10 5 2" xfId="4728" xr:uid="{00000000-0005-0000-0000-000073150000}"/>
    <cellStyle name="20% - Accent4 10 5 2 2" xfId="8319" xr:uid="{00000000-0005-0000-0000-000074150000}"/>
    <cellStyle name="20% - Accent4 10 5 2 2 2" xfId="16289" xr:uid="{00000000-0005-0000-0000-000075150000}"/>
    <cellStyle name="20% - Accent4 10 5 2 2 2 2" xfId="40131" xr:uid="{DC966311-1FDA-4A47-94D1-D467F7C833E1}"/>
    <cellStyle name="20% - Accent4 10 5 2 2 3" xfId="24235" xr:uid="{00000000-0005-0000-0000-000076150000}"/>
    <cellStyle name="20% - Accent4 10 5 2 2 3 2" xfId="48067" xr:uid="{BF85413C-2207-4095-AC37-5E282D267E8F}"/>
    <cellStyle name="20% - Accent4 10 5 2 2 4" xfId="32190" xr:uid="{AEFEF5D5-0ABC-4AF6-AB98-D787ECD71C1C}"/>
    <cellStyle name="20% - Accent4 10 5 2 3" xfId="12751" xr:uid="{00000000-0005-0000-0000-000077150000}"/>
    <cellStyle name="20% - Accent4 10 5 2 3 2" xfId="36600" xr:uid="{80360BFC-A6DA-48EF-A3B1-45B49562EA7D}"/>
    <cellStyle name="20% - Accent4 10 5 2 4" xfId="20706" xr:uid="{00000000-0005-0000-0000-000078150000}"/>
    <cellStyle name="20% - Accent4 10 5 2 4 2" xfId="44538" xr:uid="{81CC9945-CDE2-47B5-A5F5-E3B51F3FB8C6}"/>
    <cellStyle name="20% - Accent4 10 5 2 5" xfId="28659" xr:uid="{72F968E1-DB0B-496E-8224-16BF7FF32F18}"/>
    <cellStyle name="20% - Accent4 10 5 3" xfId="6560" xr:uid="{00000000-0005-0000-0000-000079150000}"/>
    <cellStyle name="20% - Accent4 10 5 3 2" xfId="14531" xr:uid="{00000000-0005-0000-0000-00007A150000}"/>
    <cellStyle name="20% - Accent4 10 5 3 2 2" xfId="38373" xr:uid="{5A7E1C88-3899-4154-AB64-97D635B4055E}"/>
    <cellStyle name="20% - Accent4 10 5 3 3" xfId="22478" xr:uid="{00000000-0005-0000-0000-00007B150000}"/>
    <cellStyle name="20% - Accent4 10 5 3 3 2" xfId="46310" xr:uid="{B7C09F68-6FE0-4642-BC02-1AC88F871475}"/>
    <cellStyle name="20% - Accent4 10 5 3 4" xfId="30432" xr:uid="{6A9493D7-E681-40AC-89C8-A7956FBA598E}"/>
    <cellStyle name="20% - Accent4 10 5 4" xfId="10995" xr:uid="{00000000-0005-0000-0000-00007C150000}"/>
    <cellStyle name="20% - Accent4 10 5 4 2" xfId="34844" xr:uid="{C9D46572-DE55-45E4-9598-FFD468BCBFE4}"/>
    <cellStyle name="20% - Accent4 10 5 5" xfId="18950" xr:uid="{00000000-0005-0000-0000-00007D150000}"/>
    <cellStyle name="20% - Accent4 10 5 5 2" xfId="42782" xr:uid="{70530A8C-0299-49FD-852A-71098D9398B9}"/>
    <cellStyle name="20% - Accent4 10 5 6" xfId="26902" xr:uid="{AA1396D1-0391-4138-B96C-030BDC9C70F4}"/>
    <cellStyle name="20% - Accent4 10 5_Exh G" xfId="2313" xr:uid="{00000000-0005-0000-0000-00007E150000}"/>
    <cellStyle name="20% - Accent4 10 6" xfId="3849" xr:uid="{00000000-0005-0000-0000-00007F150000}"/>
    <cellStyle name="20% - Accent4 10 6 2" xfId="7441" xr:uid="{00000000-0005-0000-0000-000080150000}"/>
    <cellStyle name="20% - Accent4 10 6 2 2" xfId="15411" xr:uid="{00000000-0005-0000-0000-000081150000}"/>
    <cellStyle name="20% - Accent4 10 6 2 2 2" xfId="39253" xr:uid="{616EDD69-1E13-4391-8FCB-8AFF043D4D17}"/>
    <cellStyle name="20% - Accent4 10 6 2 3" xfId="23357" xr:uid="{00000000-0005-0000-0000-000082150000}"/>
    <cellStyle name="20% - Accent4 10 6 2 3 2" xfId="47189" xr:uid="{77E21415-4792-4DBC-B7BB-49B77C3232B8}"/>
    <cellStyle name="20% - Accent4 10 6 2 4" xfId="31312" xr:uid="{10795B4A-B4BA-4A41-980A-3F8DA2717DF4}"/>
    <cellStyle name="20% - Accent4 10 6 3" xfId="11873" xr:uid="{00000000-0005-0000-0000-000083150000}"/>
    <cellStyle name="20% - Accent4 10 6 3 2" xfId="35722" xr:uid="{B931BB6D-1D79-4F5A-99D3-716D8B8A15B8}"/>
    <cellStyle name="20% - Accent4 10 6 4" xfId="19828" xr:uid="{00000000-0005-0000-0000-000084150000}"/>
    <cellStyle name="20% - Accent4 10 6 4 2" xfId="43660" xr:uid="{A8496F56-5BF2-409D-843B-116F66FB3D3D}"/>
    <cellStyle name="20% - Accent4 10 6 5" xfId="27781" xr:uid="{0F5433B6-CE89-407F-AD74-AF5685366957}"/>
    <cellStyle name="20% - Accent4 10 7" xfId="5669" xr:uid="{00000000-0005-0000-0000-000085150000}"/>
    <cellStyle name="20% - Accent4 10 7 2" xfId="13652" xr:uid="{00000000-0005-0000-0000-000086150000}"/>
    <cellStyle name="20% - Accent4 10 7 2 2" xfId="37495" xr:uid="{360EC7BB-BE3A-4146-AFA8-7FA6DBF5FBF0}"/>
    <cellStyle name="20% - Accent4 10 7 3" xfId="21600" xr:uid="{00000000-0005-0000-0000-000087150000}"/>
    <cellStyle name="20% - Accent4 10 7 3 2" xfId="45432" xr:uid="{8CC2091E-1631-4652-8B6B-693C64ADBE64}"/>
    <cellStyle name="20% - Accent4 10 7 4" xfId="29554" xr:uid="{E447226C-6292-48B5-BE89-5D2D36213063}"/>
    <cellStyle name="20% - Accent4 10 8" xfId="9221" xr:uid="{00000000-0005-0000-0000-000088150000}"/>
    <cellStyle name="20% - Accent4 10 8 2" xfId="17179" xr:uid="{00000000-0005-0000-0000-000089150000}"/>
    <cellStyle name="20% - Accent4 10 8 2 2" xfId="41019" xr:uid="{8EF4ABF5-726D-48FA-818E-310C3FFF2042}"/>
    <cellStyle name="20% - Accent4 10 8 3" xfId="25123" xr:uid="{00000000-0005-0000-0000-00008A150000}"/>
    <cellStyle name="20% - Accent4 10 8 3 2" xfId="48955" xr:uid="{45170288-4A42-439F-B4A7-A02FF1801083}"/>
    <cellStyle name="20% - Accent4 10 8 4" xfId="33078" xr:uid="{63C29B17-AA96-4155-BCF2-D03A8CCC1CEE}"/>
    <cellStyle name="20% - Accent4 10 9" xfId="10117" xr:uid="{00000000-0005-0000-0000-00008B150000}"/>
    <cellStyle name="20% - Accent4 10 9 2" xfId="33966" xr:uid="{EA705EE1-3753-4CC8-96A2-297EABDDA327}"/>
    <cellStyle name="20% - Accent4 10_Exh G" xfId="2306" xr:uid="{00000000-0005-0000-0000-00008C150000}"/>
    <cellStyle name="20% - Accent4 11" xfId="179" xr:uid="{00000000-0005-0000-0000-00008D150000}"/>
    <cellStyle name="20% - Accent4 11 10" xfId="26028" xr:uid="{BDC8E03A-CF4B-44AB-8E7D-DAA683D261AB}"/>
    <cellStyle name="20% - Accent4 11 2" xfId="180" xr:uid="{00000000-0005-0000-0000-00008E150000}"/>
    <cellStyle name="20% - Accent4 11 2 2" xfId="181" xr:uid="{00000000-0005-0000-0000-00008F150000}"/>
    <cellStyle name="20% - Accent4 11 2 2 2" xfId="1207" xr:uid="{00000000-0005-0000-0000-000090150000}"/>
    <cellStyle name="20% - Accent4 11 2 2 2 2" xfId="4734" xr:uid="{00000000-0005-0000-0000-000091150000}"/>
    <cellStyle name="20% - Accent4 11 2 2 2 2 2" xfId="8325" xr:uid="{00000000-0005-0000-0000-000092150000}"/>
    <cellStyle name="20% - Accent4 11 2 2 2 2 2 2" xfId="16295" xr:uid="{00000000-0005-0000-0000-000093150000}"/>
    <cellStyle name="20% - Accent4 11 2 2 2 2 2 2 2" xfId="40137" xr:uid="{1DCEF28A-5918-4FAF-8C04-EB41EE47AEB1}"/>
    <cellStyle name="20% - Accent4 11 2 2 2 2 2 3" xfId="24241" xr:uid="{00000000-0005-0000-0000-000094150000}"/>
    <cellStyle name="20% - Accent4 11 2 2 2 2 2 3 2" xfId="48073" xr:uid="{D93BBA92-FCA8-4810-9BFB-432DA6CC59CF}"/>
    <cellStyle name="20% - Accent4 11 2 2 2 2 2 4" xfId="32196" xr:uid="{B5D2352D-1FE3-4ED7-B163-D1AC479AE4B0}"/>
    <cellStyle name="20% - Accent4 11 2 2 2 2 3" xfId="12757" xr:uid="{00000000-0005-0000-0000-000095150000}"/>
    <cellStyle name="20% - Accent4 11 2 2 2 2 3 2" xfId="36606" xr:uid="{8FE521DC-BDDC-4BB2-9491-78C6DF392424}"/>
    <cellStyle name="20% - Accent4 11 2 2 2 2 4" xfId="20712" xr:uid="{00000000-0005-0000-0000-000096150000}"/>
    <cellStyle name="20% - Accent4 11 2 2 2 2 4 2" xfId="44544" xr:uid="{AE59A4F6-2C83-4D14-92BE-56AC0698E9DD}"/>
    <cellStyle name="20% - Accent4 11 2 2 2 2 5" xfId="28665" xr:uid="{46DBD68E-CFDC-4692-8F9A-DEC2D90D31AD}"/>
    <cellStyle name="20% - Accent4 11 2 2 2 3" xfId="6566" xr:uid="{00000000-0005-0000-0000-000097150000}"/>
    <cellStyle name="20% - Accent4 11 2 2 2 3 2" xfId="14537" xr:uid="{00000000-0005-0000-0000-000098150000}"/>
    <cellStyle name="20% - Accent4 11 2 2 2 3 2 2" xfId="38379" xr:uid="{FF6AF8F9-F833-4DA1-98F3-060929277860}"/>
    <cellStyle name="20% - Accent4 11 2 2 2 3 3" xfId="22484" xr:uid="{00000000-0005-0000-0000-000099150000}"/>
    <cellStyle name="20% - Accent4 11 2 2 2 3 3 2" xfId="46316" xr:uid="{1BC7A11E-8135-4B2D-952F-692EB6BB4225}"/>
    <cellStyle name="20% - Accent4 11 2 2 2 3 4" xfId="30438" xr:uid="{50A6A34A-16A4-4D3E-AA8C-90F9794294EE}"/>
    <cellStyle name="20% - Accent4 11 2 2 2 4" xfId="11001" xr:uid="{00000000-0005-0000-0000-00009A150000}"/>
    <cellStyle name="20% - Accent4 11 2 2 2 4 2" xfId="34850" xr:uid="{36B84685-B312-4CBE-8A6A-B39C32ED79D0}"/>
    <cellStyle name="20% - Accent4 11 2 2 2 5" xfId="18956" xr:uid="{00000000-0005-0000-0000-00009B150000}"/>
    <cellStyle name="20% - Accent4 11 2 2 2 5 2" xfId="42788" xr:uid="{7B4A3263-650A-4760-B1D9-84FDBE2D2952}"/>
    <cellStyle name="20% - Accent4 11 2 2 2 6" xfId="26908" xr:uid="{72FFB77F-B781-49CA-9D03-025BA4C08C9F}"/>
    <cellStyle name="20% - Accent4 11 2 2 2_Exh G" xfId="2317" xr:uid="{00000000-0005-0000-0000-00009C150000}"/>
    <cellStyle name="20% - Accent4 11 2 2 3" xfId="3855" xr:uid="{00000000-0005-0000-0000-00009D150000}"/>
    <cellStyle name="20% - Accent4 11 2 2 3 2" xfId="7447" xr:uid="{00000000-0005-0000-0000-00009E150000}"/>
    <cellStyle name="20% - Accent4 11 2 2 3 2 2" xfId="15417" xr:uid="{00000000-0005-0000-0000-00009F150000}"/>
    <cellStyle name="20% - Accent4 11 2 2 3 2 2 2" xfId="39259" xr:uid="{16726827-DEF0-411B-8CE7-C7F1B636F07E}"/>
    <cellStyle name="20% - Accent4 11 2 2 3 2 3" xfId="23363" xr:uid="{00000000-0005-0000-0000-0000A0150000}"/>
    <cellStyle name="20% - Accent4 11 2 2 3 2 3 2" xfId="47195" xr:uid="{7C6793B9-7A7F-4AC4-A826-0BAC4313E1EC}"/>
    <cellStyle name="20% - Accent4 11 2 2 3 2 4" xfId="31318" xr:uid="{A44B9F49-2425-411F-AEDD-59CCFF5FE34E}"/>
    <cellStyle name="20% - Accent4 11 2 2 3 3" xfId="11879" xr:uid="{00000000-0005-0000-0000-0000A1150000}"/>
    <cellStyle name="20% - Accent4 11 2 2 3 3 2" xfId="35728" xr:uid="{E5EC2F9D-3BB3-4C0F-BEB6-3B889B643435}"/>
    <cellStyle name="20% - Accent4 11 2 2 3 4" xfId="19834" xr:uid="{00000000-0005-0000-0000-0000A2150000}"/>
    <cellStyle name="20% - Accent4 11 2 2 3 4 2" xfId="43666" xr:uid="{9B256A4F-F09F-46EA-A31F-C0E48DC176F4}"/>
    <cellStyle name="20% - Accent4 11 2 2 3 5" xfId="27787" xr:uid="{2AAC4CCB-2173-470C-9B85-413E23992960}"/>
    <cellStyle name="20% - Accent4 11 2 2 4" xfId="5675" xr:uid="{00000000-0005-0000-0000-0000A3150000}"/>
    <cellStyle name="20% - Accent4 11 2 2 4 2" xfId="13658" xr:uid="{00000000-0005-0000-0000-0000A4150000}"/>
    <cellStyle name="20% - Accent4 11 2 2 4 2 2" xfId="37501" xr:uid="{3911875F-FE4A-408F-AA30-D3F382890120}"/>
    <cellStyle name="20% - Accent4 11 2 2 4 3" xfId="21606" xr:uid="{00000000-0005-0000-0000-0000A5150000}"/>
    <cellStyle name="20% - Accent4 11 2 2 4 3 2" xfId="45438" xr:uid="{4FB36950-C87D-405B-B1A3-49ED4914A3B9}"/>
    <cellStyle name="20% - Accent4 11 2 2 4 4" xfId="29560" xr:uid="{9E520545-9DDF-4136-84F8-E5B384C04576}"/>
    <cellStyle name="20% - Accent4 11 2 2 5" xfId="9227" xr:uid="{00000000-0005-0000-0000-0000A6150000}"/>
    <cellStyle name="20% - Accent4 11 2 2 5 2" xfId="17185" xr:uid="{00000000-0005-0000-0000-0000A7150000}"/>
    <cellStyle name="20% - Accent4 11 2 2 5 2 2" xfId="41025" xr:uid="{CB2184E6-2B2D-4D61-B2E4-DBFFD8E0538E}"/>
    <cellStyle name="20% - Accent4 11 2 2 5 3" xfId="25129" xr:uid="{00000000-0005-0000-0000-0000A8150000}"/>
    <cellStyle name="20% - Accent4 11 2 2 5 3 2" xfId="48961" xr:uid="{862C3AC2-04B7-4A26-ADDB-46518EB59C27}"/>
    <cellStyle name="20% - Accent4 11 2 2 5 4" xfId="33084" xr:uid="{190C4582-674A-410A-85C7-8CD1F0752740}"/>
    <cellStyle name="20% - Accent4 11 2 2 6" xfId="10123" xr:uid="{00000000-0005-0000-0000-0000A9150000}"/>
    <cellStyle name="20% - Accent4 11 2 2 6 2" xfId="33972" xr:uid="{7A18680E-170D-4E18-80E5-14DA0FFE9095}"/>
    <cellStyle name="20% - Accent4 11 2 2 7" xfId="18078" xr:uid="{00000000-0005-0000-0000-0000AA150000}"/>
    <cellStyle name="20% - Accent4 11 2 2 7 2" xfId="41910" xr:uid="{21C73FCF-4C56-431A-9E11-8040D61A7C1B}"/>
    <cellStyle name="20% - Accent4 11 2 2 8" xfId="26030" xr:uid="{1A44994F-B61E-4F2C-9854-EE619F78077F}"/>
    <cellStyle name="20% - Accent4 11 2 2_Exh G" xfId="2316" xr:uid="{00000000-0005-0000-0000-0000AB150000}"/>
    <cellStyle name="20% - Accent4 11 2 3" xfId="1206" xr:uid="{00000000-0005-0000-0000-0000AC150000}"/>
    <cellStyle name="20% - Accent4 11 2 3 2" xfId="4733" xr:uid="{00000000-0005-0000-0000-0000AD150000}"/>
    <cellStyle name="20% - Accent4 11 2 3 2 2" xfId="8324" xr:uid="{00000000-0005-0000-0000-0000AE150000}"/>
    <cellStyle name="20% - Accent4 11 2 3 2 2 2" xfId="16294" xr:uid="{00000000-0005-0000-0000-0000AF150000}"/>
    <cellStyle name="20% - Accent4 11 2 3 2 2 2 2" xfId="40136" xr:uid="{B52CA9B9-4FF5-4E92-9F73-00CA6D71CF0C}"/>
    <cellStyle name="20% - Accent4 11 2 3 2 2 3" xfId="24240" xr:uid="{00000000-0005-0000-0000-0000B0150000}"/>
    <cellStyle name="20% - Accent4 11 2 3 2 2 3 2" xfId="48072" xr:uid="{2EBC5B06-F692-4274-BAB3-4E69E0BC1AAC}"/>
    <cellStyle name="20% - Accent4 11 2 3 2 2 4" xfId="32195" xr:uid="{26F1D267-3AAA-448F-95B1-71756A69EF51}"/>
    <cellStyle name="20% - Accent4 11 2 3 2 3" xfId="12756" xr:uid="{00000000-0005-0000-0000-0000B1150000}"/>
    <cellStyle name="20% - Accent4 11 2 3 2 3 2" xfId="36605" xr:uid="{E82EC15C-7652-4017-9553-B32DC6A3B640}"/>
    <cellStyle name="20% - Accent4 11 2 3 2 4" xfId="20711" xr:uid="{00000000-0005-0000-0000-0000B2150000}"/>
    <cellStyle name="20% - Accent4 11 2 3 2 4 2" xfId="44543" xr:uid="{191BF4FC-AD25-4A32-B012-3B83D1E12456}"/>
    <cellStyle name="20% - Accent4 11 2 3 2 5" xfId="28664" xr:uid="{C16D68CA-94F1-4A95-9380-3B2B681B63D7}"/>
    <cellStyle name="20% - Accent4 11 2 3 3" xfId="6565" xr:uid="{00000000-0005-0000-0000-0000B3150000}"/>
    <cellStyle name="20% - Accent4 11 2 3 3 2" xfId="14536" xr:uid="{00000000-0005-0000-0000-0000B4150000}"/>
    <cellStyle name="20% - Accent4 11 2 3 3 2 2" xfId="38378" xr:uid="{9A2D6161-1EE3-444F-A5C3-BC59A68A4405}"/>
    <cellStyle name="20% - Accent4 11 2 3 3 3" xfId="22483" xr:uid="{00000000-0005-0000-0000-0000B5150000}"/>
    <cellStyle name="20% - Accent4 11 2 3 3 3 2" xfId="46315" xr:uid="{81611B60-D9F5-4712-9BC9-25E94DBF9190}"/>
    <cellStyle name="20% - Accent4 11 2 3 3 4" xfId="30437" xr:uid="{EB6F2FCA-31FF-409A-BB69-7BFD7B19175D}"/>
    <cellStyle name="20% - Accent4 11 2 3 4" xfId="11000" xr:uid="{00000000-0005-0000-0000-0000B6150000}"/>
    <cellStyle name="20% - Accent4 11 2 3 4 2" xfId="34849" xr:uid="{E12BF34E-163E-4B36-BEA6-FC3C630A016F}"/>
    <cellStyle name="20% - Accent4 11 2 3 5" xfId="18955" xr:uid="{00000000-0005-0000-0000-0000B7150000}"/>
    <cellStyle name="20% - Accent4 11 2 3 5 2" xfId="42787" xr:uid="{047DD8DA-2550-49E4-93DE-F197C3801332}"/>
    <cellStyle name="20% - Accent4 11 2 3 6" xfId="26907" xr:uid="{7B1ADCDB-BB59-45BD-AA04-1F09FEE865B9}"/>
    <cellStyle name="20% - Accent4 11 2 3_Exh G" xfId="2318" xr:uid="{00000000-0005-0000-0000-0000B8150000}"/>
    <cellStyle name="20% - Accent4 11 2 4" xfId="3854" xr:uid="{00000000-0005-0000-0000-0000B9150000}"/>
    <cellStyle name="20% - Accent4 11 2 4 2" xfId="7446" xr:uid="{00000000-0005-0000-0000-0000BA150000}"/>
    <cellStyle name="20% - Accent4 11 2 4 2 2" xfId="15416" xr:uid="{00000000-0005-0000-0000-0000BB150000}"/>
    <cellStyle name="20% - Accent4 11 2 4 2 2 2" xfId="39258" xr:uid="{28C065E6-9F04-4BE9-A979-87FFE44C6971}"/>
    <cellStyle name="20% - Accent4 11 2 4 2 3" xfId="23362" xr:uid="{00000000-0005-0000-0000-0000BC150000}"/>
    <cellStyle name="20% - Accent4 11 2 4 2 3 2" xfId="47194" xr:uid="{77637918-0B6E-4C41-AE82-91C2FFB6142E}"/>
    <cellStyle name="20% - Accent4 11 2 4 2 4" xfId="31317" xr:uid="{613C1F34-F3CE-47C1-88AF-C194955C82E9}"/>
    <cellStyle name="20% - Accent4 11 2 4 3" xfId="11878" xr:uid="{00000000-0005-0000-0000-0000BD150000}"/>
    <cellStyle name="20% - Accent4 11 2 4 3 2" xfId="35727" xr:uid="{CCADD2EE-7D3B-4017-A173-768869842A4D}"/>
    <cellStyle name="20% - Accent4 11 2 4 4" xfId="19833" xr:uid="{00000000-0005-0000-0000-0000BE150000}"/>
    <cellStyle name="20% - Accent4 11 2 4 4 2" xfId="43665" xr:uid="{BE8F8A70-1ACF-45AF-B64F-0423B59AF7F2}"/>
    <cellStyle name="20% - Accent4 11 2 4 5" xfId="27786" xr:uid="{5293BF40-E20C-4D30-9B0B-076A64D4D6EC}"/>
    <cellStyle name="20% - Accent4 11 2 5" xfId="5674" xr:uid="{00000000-0005-0000-0000-0000BF150000}"/>
    <cellStyle name="20% - Accent4 11 2 5 2" xfId="13657" xr:uid="{00000000-0005-0000-0000-0000C0150000}"/>
    <cellStyle name="20% - Accent4 11 2 5 2 2" xfId="37500" xr:uid="{5E3808ED-2AE4-4C64-9A18-FA4B71E33504}"/>
    <cellStyle name="20% - Accent4 11 2 5 3" xfId="21605" xr:uid="{00000000-0005-0000-0000-0000C1150000}"/>
    <cellStyle name="20% - Accent4 11 2 5 3 2" xfId="45437" xr:uid="{5620B62D-8670-4D86-ADCC-ED3108FCA52B}"/>
    <cellStyle name="20% - Accent4 11 2 5 4" xfId="29559" xr:uid="{82C00095-CC8B-464B-888F-0D5E9F3D7AD1}"/>
    <cellStyle name="20% - Accent4 11 2 6" xfId="9226" xr:uid="{00000000-0005-0000-0000-0000C2150000}"/>
    <cellStyle name="20% - Accent4 11 2 6 2" xfId="17184" xr:uid="{00000000-0005-0000-0000-0000C3150000}"/>
    <cellStyle name="20% - Accent4 11 2 6 2 2" xfId="41024" xr:uid="{8774B525-0832-4359-BA37-309241B43472}"/>
    <cellStyle name="20% - Accent4 11 2 6 3" xfId="25128" xr:uid="{00000000-0005-0000-0000-0000C4150000}"/>
    <cellStyle name="20% - Accent4 11 2 6 3 2" xfId="48960" xr:uid="{0E098764-382C-4343-A95E-F384DC4BDC63}"/>
    <cellStyle name="20% - Accent4 11 2 6 4" xfId="33083" xr:uid="{303714C6-20F5-4554-A3FE-B7AB0E60BC1B}"/>
    <cellStyle name="20% - Accent4 11 2 7" xfId="10122" xr:uid="{00000000-0005-0000-0000-0000C5150000}"/>
    <cellStyle name="20% - Accent4 11 2 7 2" xfId="33971" xr:uid="{75C603DF-C886-4D9B-A9C9-74DD753D09C3}"/>
    <cellStyle name="20% - Accent4 11 2 8" xfId="18077" xr:uid="{00000000-0005-0000-0000-0000C6150000}"/>
    <cellStyle name="20% - Accent4 11 2 8 2" xfId="41909" xr:uid="{627FC1CC-D8B2-4D58-AE9A-20929063093D}"/>
    <cellStyle name="20% - Accent4 11 2 9" xfId="26029" xr:uid="{EC190855-D00B-48C7-BB2B-2734C5165676}"/>
    <cellStyle name="20% - Accent4 11 2_Exh G" xfId="2315" xr:uid="{00000000-0005-0000-0000-0000C7150000}"/>
    <cellStyle name="20% - Accent4 11 3" xfId="182" xr:uid="{00000000-0005-0000-0000-0000C8150000}"/>
    <cellStyle name="20% - Accent4 11 3 2" xfId="1208" xr:uid="{00000000-0005-0000-0000-0000C9150000}"/>
    <cellStyle name="20% - Accent4 11 3 2 2" xfId="4735" xr:uid="{00000000-0005-0000-0000-0000CA150000}"/>
    <cellStyle name="20% - Accent4 11 3 2 2 2" xfId="8326" xr:uid="{00000000-0005-0000-0000-0000CB150000}"/>
    <cellStyle name="20% - Accent4 11 3 2 2 2 2" xfId="16296" xr:uid="{00000000-0005-0000-0000-0000CC150000}"/>
    <cellStyle name="20% - Accent4 11 3 2 2 2 2 2" xfId="40138" xr:uid="{7728494C-6A0D-496F-BF2F-B0C672699AEB}"/>
    <cellStyle name="20% - Accent4 11 3 2 2 2 3" xfId="24242" xr:uid="{00000000-0005-0000-0000-0000CD150000}"/>
    <cellStyle name="20% - Accent4 11 3 2 2 2 3 2" xfId="48074" xr:uid="{BC8552C0-4A44-49C4-9C01-DD01D14DBB36}"/>
    <cellStyle name="20% - Accent4 11 3 2 2 2 4" xfId="32197" xr:uid="{96AF4C8C-B981-45CB-BAF6-3D46E0F3E5AB}"/>
    <cellStyle name="20% - Accent4 11 3 2 2 3" xfId="12758" xr:uid="{00000000-0005-0000-0000-0000CE150000}"/>
    <cellStyle name="20% - Accent4 11 3 2 2 3 2" xfId="36607" xr:uid="{1D3DFF48-3C72-46CA-BC38-80CA0DE4986E}"/>
    <cellStyle name="20% - Accent4 11 3 2 2 4" xfId="20713" xr:uid="{00000000-0005-0000-0000-0000CF150000}"/>
    <cellStyle name="20% - Accent4 11 3 2 2 4 2" xfId="44545" xr:uid="{CFC8B57C-0B90-434C-A67A-651BEBAEC3E4}"/>
    <cellStyle name="20% - Accent4 11 3 2 2 5" xfId="28666" xr:uid="{5B6A203E-49B6-44D9-B7F6-4B109D71E16D}"/>
    <cellStyle name="20% - Accent4 11 3 2 3" xfId="6567" xr:uid="{00000000-0005-0000-0000-0000D0150000}"/>
    <cellStyle name="20% - Accent4 11 3 2 3 2" xfId="14538" xr:uid="{00000000-0005-0000-0000-0000D1150000}"/>
    <cellStyle name="20% - Accent4 11 3 2 3 2 2" xfId="38380" xr:uid="{FC2F5D1F-36B0-42F6-A4F6-1928079D75D2}"/>
    <cellStyle name="20% - Accent4 11 3 2 3 3" xfId="22485" xr:uid="{00000000-0005-0000-0000-0000D2150000}"/>
    <cellStyle name="20% - Accent4 11 3 2 3 3 2" xfId="46317" xr:uid="{6AAFA889-38A0-4C19-A980-243F10E190EB}"/>
    <cellStyle name="20% - Accent4 11 3 2 3 4" xfId="30439" xr:uid="{1339FB02-E09E-49BF-8B06-6AFDDB977E69}"/>
    <cellStyle name="20% - Accent4 11 3 2 4" xfId="11002" xr:uid="{00000000-0005-0000-0000-0000D3150000}"/>
    <cellStyle name="20% - Accent4 11 3 2 4 2" xfId="34851" xr:uid="{B852E5B6-B9E1-4701-91F7-9CF4544878DE}"/>
    <cellStyle name="20% - Accent4 11 3 2 5" xfId="18957" xr:uid="{00000000-0005-0000-0000-0000D4150000}"/>
    <cellStyle name="20% - Accent4 11 3 2 5 2" xfId="42789" xr:uid="{7FB4DE12-992C-40BD-9141-2966A2DFBC38}"/>
    <cellStyle name="20% - Accent4 11 3 2 6" xfId="26909" xr:uid="{C749CE0F-A5F1-4187-A42D-DF9AA1308E69}"/>
    <cellStyle name="20% - Accent4 11 3 2_Exh G" xfId="2320" xr:uid="{00000000-0005-0000-0000-0000D5150000}"/>
    <cellStyle name="20% - Accent4 11 3 3" xfId="3856" xr:uid="{00000000-0005-0000-0000-0000D6150000}"/>
    <cellStyle name="20% - Accent4 11 3 3 2" xfId="7448" xr:uid="{00000000-0005-0000-0000-0000D7150000}"/>
    <cellStyle name="20% - Accent4 11 3 3 2 2" xfId="15418" xr:uid="{00000000-0005-0000-0000-0000D8150000}"/>
    <cellStyle name="20% - Accent4 11 3 3 2 2 2" xfId="39260" xr:uid="{1E9F6D65-D2BB-4F1A-8737-3D51B4D5B6EA}"/>
    <cellStyle name="20% - Accent4 11 3 3 2 3" xfId="23364" xr:uid="{00000000-0005-0000-0000-0000D9150000}"/>
    <cellStyle name="20% - Accent4 11 3 3 2 3 2" xfId="47196" xr:uid="{7F0B8D72-1E74-4611-A571-9E3D416F464B}"/>
    <cellStyle name="20% - Accent4 11 3 3 2 4" xfId="31319" xr:uid="{E1E4F0F1-1AFD-4985-88B3-FD5E8F6AF94D}"/>
    <cellStyle name="20% - Accent4 11 3 3 3" xfId="11880" xr:uid="{00000000-0005-0000-0000-0000DA150000}"/>
    <cellStyle name="20% - Accent4 11 3 3 3 2" xfId="35729" xr:uid="{B675256A-A566-4BA8-8AFA-E9C5C20E4C42}"/>
    <cellStyle name="20% - Accent4 11 3 3 4" xfId="19835" xr:uid="{00000000-0005-0000-0000-0000DB150000}"/>
    <cellStyle name="20% - Accent4 11 3 3 4 2" xfId="43667" xr:uid="{16E6D20D-8BC6-4E4C-A01D-EE513D469C97}"/>
    <cellStyle name="20% - Accent4 11 3 3 5" xfId="27788" xr:uid="{A116636C-45ED-4FFC-AE37-DE7A9D33E912}"/>
    <cellStyle name="20% - Accent4 11 3 4" xfId="5676" xr:uid="{00000000-0005-0000-0000-0000DC150000}"/>
    <cellStyle name="20% - Accent4 11 3 4 2" xfId="13659" xr:uid="{00000000-0005-0000-0000-0000DD150000}"/>
    <cellStyle name="20% - Accent4 11 3 4 2 2" xfId="37502" xr:uid="{5570DA48-BCEE-4011-A409-DF6EAC4660D1}"/>
    <cellStyle name="20% - Accent4 11 3 4 3" xfId="21607" xr:uid="{00000000-0005-0000-0000-0000DE150000}"/>
    <cellStyle name="20% - Accent4 11 3 4 3 2" xfId="45439" xr:uid="{C1CE9D3D-4FE6-4950-A2D1-C1AEF0737231}"/>
    <cellStyle name="20% - Accent4 11 3 4 4" xfId="29561" xr:uid="{27F7CF36-0CE1-45EF-A228-64DCE6D4612B}"/>
    <cellStyle name="20% - Accent4 11 3 5" xfId="9228" xr:uid="{00000000-0005-0000-0000-0000DF150000}"/>
    <cellStyle name="20% - Accent4 11 3 5 2" xfId="17186" xr:uid="{00000000-0005-0000-0000-0000E0150000}"/>
    <cellStyle name="20% - Accent4 11 3 5 2 2" xfId="41026" xr:uid="{45EAC9B6-C599-48DE-BAEA-79C5F3D4B74D}"/>
    <cellStyle name="20% - Accent4 11 3 5 3" xfId="25130" xr:uid="{00000000-0005-0000-0000-0000E1150000}"/>
    <cellStyle name="20% - Accent4 11 3 5 3 2" xfId="48962" xr:uid="{460F77A9-A846-4706-B1D7-F7DE910AE2E2}"/>
    <cellStyle name="20% - Accent4 11 3 5 4" xfId="33085" xr:uid="{C0224C64-4C73-41A4-B386-38CE82D5F219}"/>
    <cellStyle name="20% - Accent4 11 3 6" xfId="10124" xr:uid="{00000000-0005-0000-0000-0000E2150000}"/>
    <cellStyle name="20% - Accent4 11 3 6 2" xfId="33973" xr:uid="{0A279D6F-2117-464D-8CDB-26FD79AAEDD4}"/>
    <cellStyle name="20% - Accent4 11 3 7" xfId="18079" xr:uid="{00000000-0005-0000-0000-0000E3150000}"/>
    <cellStyle name="20% - Accent4 11 3 7 2" xfId="41911" xr:uid="{58B6D9FA-7AAA-47B0-875A-4F0BCFA2036F}"/>
    <cellStyle name="20% - Accent4 11 3 8" xfId="26031" xr:uid="{BE95DE7F-A7D1-4308-B6BD-2EF5DD5EC435}"/>
    <cellStyle name="20% - Accent4 11 3_Exh G" xfId="2319" xr:uid="{00000000-0005-0000-0000-0000E4150000}"/>
    <cellStyle name="20% - Accent4 11 4" xfId="1205" xr:uid="{00000000-0005-0000-0000-0000E5150000}"/>
    <cellStyle name="20% - Accent4 11 4 2" xfId="4732" xr:uid="{00000000-0005-0000-0000-0000E6150000}"/>
    <cellStyle name="20% - Accent4 11 4 2 2" xfId="8323" xr:uid="{00000000-0005-0000-0000-0000E7150000}"/>
    <cellStyle name="20% - Accent4 11 4 2 2 2" xfId="16293" xr:uid="{00000000-0005-0000-0000-0000E8150000}"/>
    <cellStyle name="20% - Accent4 11 4 2 2 2 2" xfId="40135" xr:uid="{A998DDC2-269A-4C23-8834-0184B925F188}"/>
    <cellStyle name="20% - Accent4 11 4 2 2 3" xfId="24239" xr:uid="{00000000-0005-0000-0000-0000E9150000}"/>
    <cellStyle name="20% - Accent4 11 4 2 2 3 2" xfId="48071" xr:uid="{A103453B-3AA8-4D62-B358-55F582DABC03}"/>
    <cellStyle name="20% - Accent4 11 4 2 2 4" xfId="32194" xr:uid="{93F9D95F-31BC-44F3-B485-D263935DC85C}"/>
    <cellStyle name="20% - Accent4 11 4 2 3" xfId="12755" xr:uid="{00000000-0005-0000-0000-0000EA150000}"/>
    <cellStyle name="20% - Accent4 11 4 2 3 2" xfId="36604" xr:uid="{5E68E9DC-C0FD-4917-9F43-8F559C0887B8}"/>
    <cellStyle name="20% - Accent4 11 4 2 4" xfId="20710" xr:uid="{00000000-0005-0000-0000-0000EB150000}"/>
    <cellStyle name="20% - Accent4 11 4 2 4 2" xfId="44542" xr:uid="{7AD58E3F-4841-4153-80F2-822BE5B7C772}"/>
    <cellStyle name="20% - Accent4 11 4 2 5" xfId="28663" xr:uid="{A150AA2E-95C7-4A89-ACBF-B064D8D62743}"/>
    <cellStyle name="20% - Accent4 11 4 3" xfId="6564" xr:uid="{00000000-0005-0000-0000-0000EC150000}"/>
    <cellStyle name="20% - Accent4 11 4 3 2" xfId="14535" xr:uid="{00000000-0005-0000-0000-0000ED150000}"/>
    <cellStyle name="20% - Accent4 11 4 3 2 2" xfId="38377" xr:uid="{0B7A7551-3A6D-4624-8D3A-3DA6EA2E1249}"/>
    <cellStyle name="20% - Accent4 11 4 3 3" xfId="22482" xr:uid="{00000000-0005-0000-0000-0000EE150000}"/>
    <cellStyle name="20% - Accent4 11 4 3 3 2" xfId="46314" xr:uid="{F9DAA9DE-3076-4831-A404-58A7B24F427A}"/>
    <cellStyle name="20% - Accent4 11 4 3 4" xfId="30436" xr:uid="{6FDB28F6-1BFC-40CD-AAE7-52876BBE4377}"/>
    <cellStyle name="20% - Accent4 11 4 4" xfId="10999" xr:uid="{00000000-0005-0000-0000-0000EF150000}"/>
    <cellStyle name="20% - Accent4 11 4 4 2" xfId="34848" xr:uid="{13D90BF1-FEC8-49D7-911F-D495089D32CE}"/>
    <cellStyle name="20% - Accent4 11 4 5" xfId="18954" xr:uid="{00000000-0005-0000-0000-0000F0150000}"/>
    <cellStyle name="20% - Accent4 11 4 5 2" xfId="42786" xr:uid="{3675DEE1-BB06-471A-BBAC-6A594B7235B8}"/>
    <cellStyle name="20% - Accent4 11 4 6" xfId="26906" xr:uid="{7FB80FB8-8686-4A35-8CCC-75ED76CB7FB0}"/>
    <cellStyle name="20% - Accent4 11 4_Exh G" xfId="2321" xr:uid="{00000000-0005-0000-0000-0000F1150000}"/>
    <cellStyle name="20% - Accent4 11 5" xfId="3853" xr:uid="{00000000-0005-0000-0000-0000F2150000}"/>
    <cellStyle name="20% - Accent4 11 5 2" xfId="7445" xr:uid="{00000000-0005-0000-0000-0000F3150000}"/>
    <cellStyle name="20% - Accent4 11 5 2 2" xfId="15415" xr:uid="{00000000-0005-0000-0000-0000F4150000}"/>
    <cellStyle name="20% - Accent4 11 5 2 2 2" xfId="39257" xr:uid="{618C9EAE-688C-4B0F-8DA8-31CADBB94FD5}"/>
    <cellStyle name="20% - Accent4 11 5 2 3" xfId="23361" xr:uid="{00000000-0005-0000-0000-0000F5150000}"/>
    <cellStyle name="20% - Accent4 11 5 2 3 2" xfId="47193" xr:uid="{80BC86B9-4065-47EC-82B2-A3CC2B827394}"/>
    <cellStyle name="20% - Accent4 11 5 2 4" xfId="31316" xr:uid="{1830D61E-FD9B-4B00-B4FD-9036132E4D42}"/>
    <cellStyle name="20% - Accent4 11 5 3" xfId="11877" xr:uid="{00000000-0005-0000-0000-0000F6150000}"/>
    <cellStyle name="20% - Accent4 11 5 3 2" xfId="35726" xr:uid="{81872AB2-41EC-420E-A112-91C8952400DC}"/>
    <cellStyle name="20% - Accent4 11 5 4" xfId="19832" xr:uid="{00000000-0005-0000-0000-0000F7150000}"/>
    <cellStyle name="20% - Accent4 11 5 4 2" xfId="43664" xr:uid="{A895BF5E-E28D-4746-8E1D-92D61A407552}"/>
    <cellStyle name="20% - Accent4 11 5 5" xfId="27785" xr:uid="{67D5B266-9462-4AB2-BA03-869CF452AF5C}"/>
    <cellStyle name="20% - Accent4 11 6" xfId="5673" xr:uid="{00000000-0005-0000-0000-0000F8150000}"/>
    <cellStyle name="20% - Accent4 11 6 2" xfId="13656" xr:uid="{00000000-0005-0000-0000-0000F9150000}"/>
    <cellStyle name="20% - Accent4 11 6 2 2" xfId="37499" xr:uid="{D6BF039A-DA00-4688-B0DB-808D306CDA85}"/>
    <cellStyle name="20% - Accent4 11 6 3" xfId="21604" xr:uid="{00000000-0005-0000-0000-0000FA150000}"/>
    <cellStyle name="20% - Accent4 11 6 3 2" xfId="45436" xr:uid="{AAB5CFD3-B575-4116-9249-AA27677E06E0}"/>
    <cellStyle name="20% - Accent4 11 6 4" xfId="29558" xr:uid="{E840B43D-BC31-45E7-9EC8-44D98725A90C}"/>
    <cellStyle name="20% - Accent4 11 7" xfId="9225" xr:uid="{00000000-0005-0000-0000-0000FB150000}"/>
    <cellStyle name="20% - Accent4 11 7 2" xfId="17183" xr:uid="{00000000-0005-0000-0000-0000FC150000}"/>
    <cellStyle name="20% - Accent4 11 7 2 2" xfId="41023" xr:uid="{6FF4B179-E7CD-473D-BAFB-B23BDA2296B5}"/>
    <cellStyle name="20% - Accent4 11 7 3" xfId="25127" xr:uid="{00000000-0005-0000-0000-0000FD150000}"/>
    <cellStyle name="20% - Accent4 11 7 3 2" xfId="48959" xr:uid="{69B3B36C-0A43-423E-A5BC-63F2D1C6962C}"/>
    <cellStyle name="20% - Accent4 11 7 4" xfId="33082" xr:uid="{063298CE-8FC6-4C29-B26D-924544C42493}"/>
    <cellStyle name="20% - Accent4 11 8" xfId="10121" xr:uid="{00000000-0005-0000-0000-0000FE150000}"/>
    <cellStyle name="20% - Accent4 11 8 2" xfId="33970" xr:uid="{B22BF482-ECC3-4444-890B-7EC4FC668881}"/>
    <cellStyle name="20% - Accent4 11 9" xfId="18076" xr:uid="{00000000-0005-0000-0000-0000FF150000}"/>
    <cellStyle name="20% - Accent4 11 9 2" xfId="41908" xr:uid="{771DD72A-4A69-428D-B94D-63FED03EE4CD}"/>
    <cellStyle name="20% - Accent4 11_Exh G" xfId="2314" xr:uid="{00000000-0005-0000-0000-000000160000}"/>
    <cellStyle name="20% - Accent4 12" xfId="183" xr:uid="{00000000-0005-0000-0000-000001160000}"/>
    <cellStyle name="20% - Accent4 12 10" xfId="26032" xr:uid="{6CF9B369-A0DC-4D39-8240-A40D811BA7D2}"/>
    <cellStyle name="20% - Accent4 12 2" xfId="184" xr:uid="{00000000-0005-0000-0000-000002160000}"/>
    <cellStyle name="20% - Accent4 12 2 2" xfId="185" xr:uid="{00000000-0005-0000-0000-000003160000}"/>
    <cellStyle name="20% - Accent4 12 2 2 2" xfId="1211" xr:uid="{00000000-0005-0000-0000-000004160000}"/>
    <cellStyle name="20% - Accent4 12 2 2 2 2" xfId="4738" xr:uid="{00000000-0005-0000-0000-000005160000}"/>
    <cellStyle name="20% - Accent4 12 2 2 2 2 2" xfId="8329" xr:uid="{00000000-0005-0000-0000-000006160000}"/>
    <cellStyle name="20% - Accent4 12 2 2 2 2 2 2" xfId="16299" xr:uid="{00000000-0005-0000-0000-000007160000}"/>
    <cellStyle name="20% - Accent4 12 2 2 2 2 2 2 2" xfId="40141" xr:uid="{B4687F4C-827B-494E-A64D-1A827BADEFCE}"/>
    <cellStyle name="20% - Accent4 12 2 2 2 2 2 3" xfId="24245" xr:uid="{00000000-0005-0000-0000-000008160000}"/>
    <cellStyle name="20% - Accent4 12 2 2 2 2 2 3 2" xfId="48077" xr:uid="{85DCC25F-E9E8-41F1-A222-70D1F9CDC450}"/>
    <cellStyle name="20% - Accent4 12 2 2 2 2 2 4" xfId="32200" xr:uid="{48DE0789-4362-472F-970C-D04002C9358C}"/>
    <cellStyle name="20% - Accent4 12 2 2 2 2 3" xfId="12761" xr:uid="{00000000-0005-0000-0000-000009160000}"/>
    <cellStyle name="20% - Accent4 12 2 2 2 2 3 2" xfId="36610" xr:uid="{FF774A3F-F5F0-4432-872F-A9BCF8F6F92B}"/>
    <cellStyle name="20% - Accent4 12 2 2 2 2 4" xfId="20716" xr:uid="{00000000-0005-0000-0000-00000A160000}"/>
    <cellStyle name="20% - Accent4 12 2 2 2 2 4 2" xfId="44548" xr:uid="{2C401732-7D73-438D-9BCC-7E7A4AA48556}"/>
    <cellStyle name="20% - Accent4 12 2 2 2 2 5" xfId="28669" xr:uid="{3CA61447-7D31-4F87-AB9A-5BA80C4CEEE4}"/>
    <cellStyle name="20% - Accent4 12 2 2 2 3" xfId="6570" xr:uid="{00000000-0005-0000-0000-00000B160000}"/>
    <cellStyle name="20% - Accent4 12 2 2 2 3 2" xfId="14541" xr:uid="{00000000-0005-0000-0000-00000C160000}"/>
    <cellStyle name="20% - Accent4 12 2 2 2 3 2 2" xfId="38383" xr:uid="{63B2B3FD-4C6F-4B4F-B268-942616333834}"/>
    <cellStyle name="20% - Accent4 12 2 2 2 3 3" xfId="22488" xr:uid="{00000000-0005-0000-0000-00000D160000}"/>
    <cellStyle name="20% - Accent4 12 2 2 2 3 3 2" xfId="46320" xr:uid="{AFB0BF52-B507-4E5A-B01C-78318A30ED17}"/>
    <cellStyle name="20% - Accent4 12 2 2 2 3 4" xfId="30442" xr:uid="{B4AEC5AC-C58A-40CB-A4BC-5D61AA40828A}"/>
    <cellStyle name="20% - Accent4 12 2 2 2 4" xfId="11005" xr:uid="{00000000-0005-0000-0000-00000E160000}"/>
    <cellStyle name="20% - Accent4 12 2 2 2 4 2" xfId="34854" xr:uid="{CA393414-21BE-4FDA-9325-4032802D7C89}"/>
    <cellStyle name="20% - Accent4 12 2 2 2 5" xfId="18960" xr:uid="{00000000-0005-0000-0000-00000F160000}"/>
    <cellStyle name="20% - Accent4 12 2 2 2 5 2" xfId="42792" xr:uid="{B4BFB7E3-5FF5-4553-A4A0-2A19D28B32BB}"/>
    <cellStyle name="20% - Accent4 12 2 2 2 6" xfId="26912" xr:uid="{D28F58A1-CAC5-4230-A67A-628C505784BF}"/>
    <cellStyle name="20% - Accent4 12 2 2 2_Exh G" xfId="2325" xr:uid="{00000000-0005-0000-0000-000010160000}"/>
    <cellStyle name="20% - Accent4 12 2 2 3" xfId="3859" xr:uid="{00000000-0005-0000-0000-000011160000}"/>
    <cellStyle name="20% - Accent4 12 2 2 3 2" xfId="7451" xr:uid="{00000000-0005-0000-0000-000012160000}"/>
    <cellStyle name="20% - Accent4 12 2 2 3 2 2" xfId="15421" xr:uid="{00000000-0005-0000-0000-000013160000}"/>
    <cellStyle name="20% - Accent4 12 2 2 3 2 2 2" xfId="39263" xr:uid="{33196827-927C-4430-B571-4E4BC202DD2F}"/>
    <cellStyle name="20% - Accent4 12 2 2 3 2 3" xfId="23367" xr:uid="{00000000-0005-0000-0000-000014160000}"/>
    <cellStyle name="20% - Accent4 12 2 2 3 2 3 2" xfId="47199" xr:uid="{2C878BAC-0574-46FC-BAD6-7B6C7637C95C}"/>
    <cellStyle name="20% - Accent4 12 2 2 3 2 4" xfId="31322" xr:uid="{548D2F52-5DEF-4364-A7FC-DDE67C04DA98}"/>
    <cellStyle name="20% - Accent4 12 2 2 3 3" xfId="11883" xr:uid="{00000000-0005-0000-0000-000015160000}"/>
    <cellStyle name="20% - Accent4 12 2 2 3 3 2" xfId="35732" xr:uid="{9821DF50-50D9-4A33-BB33-9CFD09AA0D5E}"/>
    <cellStyle name="20% - Accent4 12 2 2 3 4" xfId="19838" xr:uid="{00000000-0005-0000-0000-000016160000}"/>
    <cellStyle name="20% - Accent4 12 2 2 3 4 2" xfId="43670" xr:uid="{AF9E34B7-89AA-495B-BC71-21C5C4033E81}"/>
    <cellStyle name="20% - Accent4 12 2 2 3 5" xfId="27791" xr:uid="{0804760C-BEDD-4707-ADBD-E3AC0D4C2D95}"/>
    <cellStyle name="20% - Accent4 12 2 2 4" xfId="5679" xr:uid="{00000000-0005-0000-0000-000017160000}"/>
    <cellStyle name="20% - Accent4 12 2 2 4 2" xfId="13662" xr:uid="{00000000-0005-0000-0000-000018160000}"/>
    <cellStyle name="20% - Accent4 12 2 2 4 2 2" xfId="37505" xr:uid="{EA39DBBD-7366-4222-93E4-C53431CEC142}"/>
    <cellStyle name="20% - Accent4 12 2 2 4 3" xfId="21610" xr:uid="{00000000-0005-0000-0000-000019160000}"/>
    <cellStyle name="20% - Accent4 12 2 2 4 3 2" xfId="45442" xr:uid="{2270718A-5DB1-4BB3-9871-EFD3743C4E4D}"/>
    <cellStyle name="20% - Accent4 12 2 2 4 4" xfId="29564" xr:uid="{1094387D-B8F1-4E2A-A2B2-C21CCB467F4D}"/>
    <cellStyle name="20% - Accent4 12 2 2 5" xfId="9231" xr:uid="{00000000-0005-0000-0000-00001A160000}"/>
    <cellStyle name="20% - Accent4 12 2 2 5 2" xfId="17189" xr:uid="{00000000-0005-0000-0000-00001B160000}"/>
    <cellStyle name="20% - Accent4 12 2 2 5 2 2" xfId="41029" xr:uid="{DFC49B45-4D09-48ED-A481-DDFE2925EA0C}"/>
    <cellStyle name="20% - Accent4 12 2 2 5 3" xfId="25133" xr:uid="{00000000-0005-0000-0000-00001C160000}"/>
    <cellStyle name="20% - Accent4 12 2 2 5 3 2" xfId="48965" xr:uid="{ADA11EF1-84A3-484E-BF12-0BA3AD08D069}"/>
    <cellStyle name="20% - Accent4 12 2 2 5 4" xfId="33088" xr:uid="{F54C9D6C-1FC2-4C1C-9969-EC6C95382B5E}"/>
    <cellStyle name="20% - Accent4 12 2 2 6" xfId="10127" xr:uid="{00000000-0005-0000-0000-00001D160000}"/>
    <cellStyle name="20% - Accent4 12 2 2 6 2" xfId="33976" xr:uid="{C5BBCFFE-7841-487A-A647-A3A615C6EF66}"/>
    <cellStyle name="20% - Accent4 12 2 2 7" xfId="18082" xr:uid="{00000000-0005-0000-0000-00001E160000}"/>
    <cellStyle name="20% - Accent4 12 2 2 7 2" xfId="41914" xr:uid="{B3CE8B93-4AA6-4F54-BC8A-90ED8CB03368}"/>
    <cellStyle name="20% - Accent4 12 2 2 8" xfId="26034" xr:uid="{9EAB7A8C-2ADA-490C-86B7-AF518CCE1ADA}"/>
    <cellStyle name="20% - Accent4 12 2 2_Exh G" xfId="2324" xr:uid="{00000000-0005-0000-0000-00001F160000}"/>
    <cellStyle name="20% - Accent4 12 2 3" xfId="1210" xr:uid="{00000000-0005-0000-0000-000020160000}"/>
    <cellStyle name="20% - Accent4 12 2 3 2" xfId="4737" xr:uid="{00000000-0005-0000-0000-000021160000}"/>
    <cellStyle name="20% - Accent4 12 2 3 2 2" xfId="8328" xr:uid="{00000000-0005-0000-0000-000022160000}"/>
    <cellStyle name="20% - Accent4 12 2 3 2 2 2" xfId="16298" xr:uid="{00000000-0005-0000-0000-000023160000}"/>
    <cellStyle name="20% - Accent4 12 2 3 2 2 2 2" xfId="40140" xr:uid="{3DFB20A8-DC3E-4997-AC31-E855F10ADFCE}"/>
    <cellStyle name="20% - Accent4 12 2 3 2 2 3" xfId="24244" xr:uid="{00000000-0005-0000-0000-000024160000}"/>
    <cellStyle name="20% - Accent4 12 2 3 2 2 3 2" xfId="48076" xr:uid="{DF116907-2E82-40E9-9D3B-080B5FE86B98}"/>
    <cellStyle name="20% - Accent4 12 2 3 2 2 4" xfId="32199" xr:uid="{6E385BA1-B135-4356-97C4-BEC990311311}"/>
    <cellStyle name="20% - Accent4 12 2 3 2 3" xfId="12760" xr:uid="{00000000-0005-0000-0000-000025160000}"/>
    <cellStyle name="20% - Accent4 12 2 3 2 3 2" xfId="36609" xr:uid="{B1FEF9EE-87CD-4333-AD4E-A21D0ED6675B}"/>
    <cellStyle name="20% - Accent4 12 2 3 2 4" xfId="20715" xr:uid="{00000000-0005-0000-0000-000026160000}"/>
    <cellStyle name="20% - Accent4 12 2 3 2 4 2" xfId="44547" xr:uid="{B0DA0BAB-B6E5-42DD-BCB4-576049BE992E}"/>
    <cellStyle name="20% - Accent4 12 2 3 2 5" xfId="28668" xr:uid="{4E14BD1E-9297-4768-AAE2-EEF06FDE441D}"/>
    <cellStyle name="20% - Accent4 12 2 3 3" xfId="6569" xr:uid="{00000000-0005-0000-0000-000027160000}"/>
    <cellStyle name="20% - Accent4 12 2 3 3 2" xfId="14540" xr:uid="{00000000-0005-0000-0000-000028160000}"/>
    <cellStyle name="20% - Accent4 12 2 3 3 2 2" xfId="38382" xr:uid="{ECC57FC2-056F-46DA-8899-C318981C6FEA}"/>
    <cellStyle name="20% - Accent4 12 2 3 3 3" xfId="22487" xr:uid="{00000000-0005-0000-0000-000029160000}"/>
    <cellStyle name="20% - Accent4 12 2 3 3 3 2" xfId="46319" xr:uid="{4710358D-B554-435F-BB54-AA84420697C7}"/>
    <cellStyle name="20% - Accent4 12 2 3 3 4" xfId="30441" xr:uid="{0EE95819-EC54-4B5E-98A7-E8D3DF96B6E9}"/>
    <cellStyle name="20% - Accent4 12 2 3 4" xfId="11004" xr:uid="{00000000-0005-0000-0000-00002A160000}"/>
    <cellStyle name="20% - Accent4 12 2 3 4 2" xfId="34853" xr:uid="{94F6A2C6-5AB1-4AA5-80BF-42C6604CFC90}"/>
    <cellStyle name="20% - Accent4 12 2 3 5" xfId="18959" xr:uid="{00000000-0005-0000-0000-00002B160000}"/>
    <cellStyle name="20% - Accent4 12 2 3 5 2" xfId="42791" xr:uid="{FAD97375-234B-4B26-884A-CC227FF847C1}"/>
    <cellStyle name="20% - Accent4 12 2 3 6" xfId="26911" xr:uid="{C0BAE6C6-A157-4414-8C46-6BF26C67ECDA}"/>
    <cellStyle name="20% - Accent4 12 2 3_Exh G" xfId="2326" xr:uid="{00000000-0005-0000-0000-00002C160000}"/>
    <cellStyle name="20% - Accent4 12 2 4" xfId="3858" xr:uid="{00000000-0005-0000-0000-00002D160000}"/>
    <cellStyle name="20% - Accent4 12 2 4 2" xfId="7450" xr:uid="{00000000-0005-0000-0000-00002E160000}"/>
    <cellStyle name="20% - Accent4 12 2 4 2 2" xfId="15420" xr:uid="{00000000-0005-0000-0000-00002F160000}"/>
    <cellStyle name="20% - Accent4 12 2 4 2 2 2" xfId="39262" xr:uid="{A11B3628-D79A-4D88-A3D1-2B315F6CF3B3}"/>
    <cellStyle name="20% - Accent4 12 2 4 2 3" xfId="23366" xr:uid="{00000000-0005-0000-0000-000030160000}"/>
    <cellStyle name="20% - Accent4 12 2 4 2 3 2" xfId="47198" xr:uid="{6BADF46B-BAAD-41DF-BA8D-D0EA4CBDBE30}"/>
    <cellStyle name="20% - Accent4 12 2 4 2 4" xfId="31321" xr:uid="{8C6FBD2F-90B5-4164-98B4-DE2E502FC86F}"/>
    <cellStyle name="20% - Accent4 12 2 4 3" xfId="11882" xr:uid="{00000000-0005-0000-0000-000031160000}"/>
    <cellStyle name="20% - Accent4 12 2 4 3 2" xfId="35731" xr:uid="{918B7B0B-D0E8-42CF-BBFC-042498FDDA0C}"/>
    <cellStyle name="20% - Accent4 12 2 4 4" xfId="19837" xr:uid="{00000000-0005-0000-0000-000032160000}"/>
    <cellStyle name="20% - Accent4 12 2 4 4 2" xfId="43669" xr:uid="{3EFEE22A-1123-46A3-84DB-EC4627565886}"/>
    <cellStyle name="20% - Accent4 12 2 4 5" xfId="27790" xr:uid="{51CE409C-A06B-4F59-8838-6E3091E21B85}"/>
    <cellStyle name="20% - Accent4 12 2 5" xfId="5678" xr:uid="{00000000-0005-0000-0000-000033160000}"/>
    <cellStyle name="20% - Accent4 12 2 5 2" xfId="13661" xr:uid="{00000000-0005-0000-0000-000034160000}"/>
    <cellStyle name="20% - Accent4 12 2 5 2 2" xfId="37504" xr:uid="{2E0AE052-505B-4C03-9338-F17A88A9756A}"/>
    <cellStyle name="20% - Accent4 12 2 5 3" xfId="21609" xr:uid="{00000000-0005-0000-0000-000035160000}"/>
    <cellStyle name="20% - Accent4 12 2 5 3 2" xfId="45441" xr:uid="{7AA24F0F-D850-4EBC-B426-9E52E9DDE38C}"/>
    <cellStyle name="20% - Accent4 12 2 5 4" xfId="29563" xr:uid="{BC16B37B-4185-4D9B-BBA7-6D9800F51F3E}"/>
    <cellStyle name="20% - Accent4 12 2 6" xfId="9230" xr:uid="{00000000-0005-0000-0000-000036160000}"/>
    <cellStyle name="20% - Accent4 12 2 6 2" xfId="17188" xr:uid="{00000000-0005-0000-0000-000037160000}"/>
    <cellStyle name="20% - Accent4 12 2 6 2 2" xfId="41028" xr:uid="{FD3D546A-B85D-4766-AF90-3511A8F59FAC}"/>
    <cellStyle name="20% - Accent4 12 2 6 3" xfId="25132" xr:uid="{00000000-0005-0000-0000-000038160000}"/>
    <cellStyle name="20% - Accent4 12 2 6 3 2" xfId="48964" xr:uid="{F1EBBB8C-A1D1-4959-BFAC-E3F10B782B6E}"/>
    <cellStyle name="20% - Accent4 12 2 6 4" xfId="33087" xr:uid="{CCF29C7C-44F2-4B25-8CA1-4D6349ADC44F}"/>
    <cellStyle name="20% - Accent4 12 2 7" xfId="10126" xr:uid="{00000000-0005-0000-0000-000039160000}"/>
    <cellStyle name="20% - Accent4 12 2 7 2" xfId="33975" xr:uid="{AC43B768-2689-45EE-B2EA-6BF664411DD5}"/>
    <cellStyle name="20% - Accent4 12 2 8" xfId="18081" xr:uid="{00000000-0005-0000-0000-00003A160000}"/>
    <cellStyle name="20% - Accent4 12 2 8 2" xfId="41913" xr:uid="{67645EAE-B615-4E32-ACFD-DA15F4E6CE48}"/>
    <cellStyle name="20% - Accent4 12 2 9" xfId="26033" xr:uid="{810BA896-AE9C-4AA2-8744-CAEA6D45E4CD}"/>
    <cellStyle name="20% - Accent4 12 2_Exh G" xfId="2323" xr:uid="{00000000-0005-0000-0000-00003B160000}"/>
    <cellStyle name="20% - Accent4 12 3" xfId="186" xr:uid="{00000000-0005-0000-0000-00003C160000}"/>
    <cellStyle name="20% - Accent4 12 3 2" xfId="1212" xr:uid="{00000000-0005-0000-0000-00003D160000}"/>
    <cellStyle name="20% - Accent4 12 3 2 2" xfId="4739" xr:uid="{00000000-0005-0000-0000-00003E160000}"/>
    <cellStyle name="20% - Accent4 12 3 2 2 2" xfId="8330" xr:uid="{00000000-0005-0000-0000-00003F160000}"/>
    <cellStyle name="20% - Accent4 12 3 2 2 2 2" xfId="16300" xr:uid="{00000000-0005-0000-0000-000040160000}"/>
    <cellStyle name="20% - Accent4 12 3 2 2 2 2 2" xfId="40142" xr:uid="{7C13217E-7768-4471-B807-2AE0B296B37A}"/>
    <cellStyle name="20% - Accent4 12 3 2 2 2 3" xfId="24246" xr:uid="{00000000-0005-0000-0000-000041160000}"/>
    <cellStyle name="20% - Accent4 12 3 2 2 2 3 2" xfId="48078" xr:uid="{01D2C9AE-C03F-4FA6-84FF-7331DF7EDDCF}"/>
    <cellStyle name="20% - Accent4 12 3 2 2 2 4" xfId="32201" xr:uid="{C77EC8E7-50D0-46AC-9104-4859EF505F41}"/>
    <cellStyle name="20% - Accent4 12 3 2 2 3" xfId="12762" xr:uid="{00000000-0005-0000-0000-000042160000}"/>
    <cellStyle name="20% - Accent4 12 3 2 2 3 2" xfId="36611" xr:uid="{801A5FC0-7538-473D-AEFB-89AC5090B8AB}"/>
    <cellStyle name="20% - Accent4 12 3 2 2 4" xfId="20717" xr:uid="{00000000-0005-0000-0000-000043160000}"/>
    <cellStyle name="20% - Accent4 12 3 2 2 4 2" xfId="44549" xr:uid="{45909E42-B398-4CC3-9BDA-61B2C5B81D1C}"/>
    <cellStyle name="20% - Accent4 12 3 2 2 5" xfId="28670" xr:uid="{9014D20B-6CD7-45A2-B8D0-0FA638B89061}"/>
    <cellStyle name="20% - Accent4 12 3 2 3" xfId="6571" xr:uid="{00000000-0005-0000-0000-000044160000}"/>
    <cellStyle name="20% - Accent4 12 3 2 3 2" xfId="14542" xr:uid="{00000000-0005-0000-0000-000045160000}"/>
    <cellStyle name="20% - Accent4 12 3 2 3 2 2" xfId="38384" xr:uid="{E0512257-90F0-4E0F-8995-9AC5214C8D1B}"/>
    <cellStyle name="20% - Accent4 12 3 2 3 3" xfId="22489" xr:uid="{00000000-0005-0000-0000-000046160000}"/>
    <cellStyle name="20% - Accent4 12 3 2 3 3 2" xfId="46321" xr:uid="{250F8098-E0F5-40F9-BB0F-54D1D3120A25}"/>
    <cellStyle name="20% - Accent4 12 3 2 3 4" xfId="30443" xr:uid="{08305654-87E4-48AB-B609-CF23DCAEBC43}"/>
    <cellStyle name="20% - Accent4 12 3 2 4" xfId="11006" xr:uid="{00000000-0005-0000-0000-000047160000}"/>
    <cellStyle name="20% - Accent4 12 3 2 4 2" xfId="34855" xr:uid="{0C0BD62C-F074-46F2-B1BE-7AB8150706A7}"/>
    <cellStyle name="20% - Accent4 12 3 2 5" xfId="18961" xr:uid="{00000000-0005-0000-0000-000048160000}"/>
    <cellStyle name="20% - Accent4 12 3 2 5 2" xfId="42793" xr:uid="{5D6F59D5-6437-474C-BBA8-02E8388A3037}"/>
    <cellStyle name="20% - Accent4 12 3 2 6" xfId="26913" xr:uid="{D7EF6FED-7F42-4392-8584-DDF360AE38A0}"/>
    <cellStyle name="20% - Accent4 12 3 2_Exh G" xfId="2328" xr:uid="{00000000-0005-0000-0000-000049160000}"/>
    <cellStyle name="20% - Accent4 12 3 3" xfId="3860" xr:uid="{00000000-0005-0000-0000-00004A160000}"/>
    <cellStyle name="20% - Accent4 12 3 3 2" xfId="7452" xr:uid="{00000000-0005-0000-0000-00004B160000}"/>
    <cellStyle name="20% - Accent4 12 3 3 2 2" xfId="15422" xr:uid="{00000000-0005-0000-0000-00004C160000}"/>
    <cellStyle name="20% - Accent4 12 3 3 2 2 2" xfId="39264" xr:uid="{AEE72240-C820-4473-89FF-532D355813A6}"/>
    <cellStyle name="20% - Accent4 12 3 3 2 3" xfId="23368" xr:uid="{00000000-0005-0000-0000-00004D160000}"/>
    <cellStyle name="20% - Accent4 12 3 3 2 3 2" xfId="47200" xr:uid="{1D2D67F2-22F8-47C0-9DEB-C6B6FB0F2763}"/>
    <cellStyle name="20% - Accent4 12 3 3 2 4" xfId="31323" xr:uid="{18CA2048-8CEA-4DFD-8676-9AA6E1A0BD2A}"/>
    <cellStyle name="20% - Accent4 12 3 3 3" xfId="11884" xr:uid="{00000000-0005-0000-0000-00004E160000}"/>
    <cellStyle name="20% - Accent4 12 3 3 3 2" xfId="35733" xr:uid="{0A107440-AF17-494D-9C24-B82487B02001}"/>
    <cellStyle name="20% - Accent4 12 3 3 4" xfId="19839" xr:uid="{00000000-0005-0000-0000-00004F160000}"/>
    <cellStyle name="20% - Accent4 12 3 3 4 2" xfId="43671" xr:uid="{8D3638BA-7C0C-4BE6-B6E4-DE7D34AD5ACB}"/>
    <cellStyle name="20% - Accent4 12 3 3 5" xfId="27792" xr:uid="{B752CB4A-FB73-4A57-AFCC-B2762DB52DDA}"/>
    <cellStyle name="20% - Accent4 12 3 4" xfId="5680" xr:uid="{00000000-0005-0000-0000-000050160000}"/>
    <cellStyle name="20% - Accent4 12 3 4 2" xfId="13663" xr:uid="{00000000-0005-0000-0000-000051160000}"/>
    <cellStyle name="20% - Accent4 12 3 4 2 2" xfId="37506" xr:uid="{4C4762D3-5FFD-471F-84AE-97918CDD42F5}"/>
    <cellStyle name="20% - Accent4 12 3 4 3" xfId="21611" xr:uid="{00000000-0005-0000-0000-000052160000}"/>
    <cellStyle name="20% - Accent4 12 3 4 3 2" xfId="45443" xr:uid="{DF444F12-ECD3-480B-AD68-078C9889CEA7}"/>
    <cellStyle name="20% - Accent4 12 3 4 4" xfId="29565" xr:uid="{C7227B8A-6B42-4139-910E-C3A5C8DD3447}"/>
    <cellStyle name="20% - Accent4 12 3 5" xfId="9232" xr:uid="{00000000-0005-0000-0000-000053160000}"/>
    <cellStyle name="20% - Accent4 12 3 5 2" xfId="17190" xr:uid="{00000000-0005-0000-0000-000054160000}"/>
    <cellStyle name="20% - Accent4 12 3 5 2 2" xfId="41030" xr:uid="{37E58E72-77B5-47E3-978D-0C9F39B55748}"/>
    <cellStyle name="20% - Accent4 12 3 5 3" xfId="25134" xr:uid="{00000000-0005-0000-0000-000055160000}"/>
    <cellStyle name="20% - Accent4 12 3 5 3 2" xfId="48966" xr:uid="{9B422FBD-10B4-4970-88BD-B6106D1E4CC9}"/>
    <cellStyle name="20% - Accent4 12 3 5 4" xfId="33089" xr:uid="{BF4892AE-B876-454D-A651-ABC7060F26BC}"/>
    <cellStyle name="20% - Accent4 12 3 6" xfId="10128" xr:uid="{00000000-0005-0000-0000-000056160000}"/>
    <cellStyle name="20% - Accent4 12 3 6 2" xfId="33977" xr:uid="{6319D469-3022-4DC5-A449-2F52BE44D15B}"/>
    <cellStyle name="20% - Accent4 12 3 7" xfId="18083" xr:uid="{00000000-0005-0000-0000-000057160000}"/>
    <cellStyle name="20% - Accent4 12 3 7 2" xfId="41915" xr:uid="{D56BEDF7-2E85-4E47-9432-10ABFD887027}"/>
    <cellStyle name="20% - Accent4 12 3 8" xfId="26035" xr:uid="{50EC9E41-1503-4680-B762-248BA242EF28}"/>
    <cellStyle name="20% - Accent4 12 3_Exh G" xfId="2327" xr:uid="{00000000-0005-0000-0000-000058160000}"/>
    <cellStyle name="20% - Accent4 12 4" xfId="1209" xr:uid="{00000000-0005-0000-0000-000059160000}"/>
    <cellStyle name="20% - Accent4 12 4 2" xfId="4736" xr:uid="{00000000-0005-0000-0000-00005A160000}"/>
    <cellStyle name="20% - Accent4 12 4 2 2" xfId="8327" xr:uid="{00000000-0005-0000-0000-00005B160000}"/>
    <cellStyle name="20% - Accent4 12 4 2 2 2" xfId="16297" xr:uid="{00000000-0005-0000-0000-00005C160000}"/>
    <cellStyle name="20% - Accent4 12 4 2 2 2 2" xfId="40139" xr:uid="{FB3CA43B-E3AA-4622-828A-71E821D02732}"/>
    <cellStyle name="20% - Accent4 12 4 2 2 3" xfId="24243" xr:uid="{00000000-0005-0000-0000-00005D160000}"/>
    <cellStyle name="20% - Accent4 12 4 2 2 3 2" xfId="48075" xr:uid="{2808A028-AC6A-4F5F-A528-F22B1CF4C6E2}"/>
    <cellStyle name="20% - Accent4 12 4 2 2 4" xfId="32198" xr:uid="{92F1B3C4-F7F7-4A3D-8856-72E40CFDDE02}"/>
    <cellStyle name="20% - Accent4 12 4 2 3" xfId="12759" xr:uid="{00000000-0005-0000-0000-00005E160000}"/>
    <cellStyle name="20% - Accent4 12 4 2 3 2" xfId="36608" xr:uid="{3768BB8F-D4FB-4749-9269-D8C2780C8718}"/>
    <cellStyle name="20% - Accent4 12 4 2 4" xfId="20714" xr:uid="{00000000-0005-0000-0000-00005F160000}"/>
    <cellStyle name="20% - Accent4 12 4 2 4 2" xfId="44546" xr:uid="{7BE0F957-6567-490B-89DE-545C30E3CC3E}"/>
    <cellStyle name="20% - Accent4 12 4 2 5" xfId="28667" xr:uid="{BCA0D2E8-58E0-4E04-9E82-B7EAEB6595F9}"/>
    <cellStyle name="20% - Accent4 12 4 3" xfId="6568" xr:uid="{00000000-0005-0000-0000-000060160000}"/>
    <cellStyle name="20% - Accent4 12 4 3 2" xfId="14539" xr:uid="{00000000-0005-0000-0000-000061160000}"/>
    <cellStyle name="20% - Accent4 12 4 3 2 2" xfId="38381" xr:uid="{8B8BB47E-B409-4317-98A6-5CBFFF2676CA}"/>
    <cellStyle name="20% - Accent4 12 4 3 3" xfId="22486" xr:uid="{00000000-0005-0000-0000-000062160000}"/>
    <cellStyle name="20% - Accent4 12 4 3 3 2" xfId="46318" xr:uid="{99A45C95-B149-4C19-8592-9993A0F95C5D}"/>
    <cellStyle name="20% - Accent4 12 4 3 4" xfId="30440" xr:uid="{2345F73D-86FA-471D-9BD8-D29BEC5A3801}"/>
    <cellStyle name="20% - Accent4 12 4 4" xfId="11003" xr:uid="{00000000-0005-0000-0000-000063160000}"/>
    <cellStyle name="20% - Accent4 12 4 4 2" xfId="34852" xr:uid="{895E5F28-5822-4C72-878F-C9F9B3C3F776}"/>
    <cellStyle name="20% - Accent4 12 4 5" xfId="18958" xr:uid="{00000000-0005-0000-0000-000064160000}"/>
    <cellStyle name="20% - Accent4 12 4 5 2" xfId="42790" xr:uid="{33B25F61-224D-44FF-BBDA-BDF1EEDAF02A}"/>
    <cellStyle name="20% - Accent4 12 4 6" xfId="26910" xr:uid="{4845F2E3-575E-497C-9014-ACDEF4F8251F}"/>
    <cellStyle name="20% - Accent4 12 4_Exh G" xfId="2329" xr:uid="{00000000-0005-0000-0000-000065160000}"/>
    <cellStyle name="20% - Accent4 12 5" xfId="3857" xr:uid="{00000000-0005-0000-0000-000066160000}"/>
    <cellStyle name="20% - Accent4 12 5 2" xfId="7449" xr:uid="{00000000-0005-0000-0000-000067160000}"/>
    <cellStyle name="20% - Accent4 12 5 2 2" xfId="15419" xr:uid="{00000000-0005-0000-0000-000068160000}"/>
    <cellStyle name="20% - Accent4 12 5 2 2 2" xfId="39261" xr:uid="{B9237904-DDF7-4531-8808-578AC898F258}"/>
    <cellStyle name="20% - Accent4 12 5 2 3" xfId="23365" xr:uid="{00000000-0005-0000-0000-000069160000}"/>
    <cellStyle name="20% - Accent4 12 5 2 3 2" xfId="47197" xr:uid="{AE2348D7-F613-4436-9A77-2094E53A3598}"/>
    <cellStyle name="20% - Accent4 12 5 2 4" xfId="31320" xr:uid="{E8AE57A0-DB30-406A-BFAD-D542F5852DD9}"/>
    <cellStyle name="20% - Accent4 12 5 3" xfId="11881" xr:uid="{00000000-0005-0000-0000-00006A160000}"/>
    <cellStyle name="20% - Accent4 12 5 3 2" xfId="35730" xr:uid="{39630328-C66F-44E1-8806-01AB66484C27}"/>
    <cellStyle name="20% - Accent4 12 5 4" xfId="19836" xr:uid="{00000000-0005-0000-0000-00006B160000}"/>
    <cellStyle name="20% - Accent4 12 5 4 2" xfId="43668" xr:uid="{ED507C33-DDE7-44FD-A20A-0BE7031E778F}"/>
    <cellStyle name="20% - Accent4 12 5 5" xfId="27789" xr:uid="{90651E93-AC7D-4879-B0B0-E6DFA7F3575B}"/>
    <cellStyle name="20% - Accent4 12 6" xfId="5677" xr:uid="{00000000-0005-0000-0000-00006C160000}"/>
    <cellStyle name="20% - Accent4 12 6 2" xfId="13660" xr:uid="{00000000-0005-0000-0000-00006D160000}"/>
    <cellStyle name="20% - Accent4 12 6 2 2" xfId="37503" xr:uid="{524392F8-9FF7-499C-9CF6-C6240402CA80}"/>
    <cellStyle name="20% - Accent4 12 6 3" xfId="21608" xr:uid="{00000000-0005-0000-0000-00006E160000}"/>
    <cellStyle name="20% - Accent4 12 6 3 2" xfId="45440" xr:uid="{A577D628-D9E7-4105-BED8-CC07CBE2BE99}"/>
    <cellStyle name="20% - Accent4 12 6 4" xfId="29562" xr:uid="{0CF89D1A-94BA-4405-AD12-2195D356D0EE}"/>
    <cellStyle name="20% - Accent4 12 7" xfId="9229" xr:uid="{00000000-0005-0000-0000-00006F160000}"/>
    <cellStyle name="20% - Accent4 12 7 2" xfId="17187" xr:uid="{00000000-0005-0000-0000-000070160000}"/>
    <cellStyle name="20% - Accent4 12 7 2 2" xfId="41027" xr:uid="{24F6F55A-77FE-4B14-BB03-250EAA3EF1DC}"/>
    <cellStyle name="20% - Accent4 12 7 3" xfId="25131" xr:uid="{00000000-0005-0000-0000-000071160000}"/>
    <cellStyle name="20% - Accent4 12 7 3 2" xfId="48963" xr:uid="{B1E16701-4202-4BE8-8E47-45512DB237CA}"/>
    <cellStyle name="20% - Accent4 12 7 4" xfId="33086" xr:uid="{8C25E8D8-D9AE-4CC5-9BD7-488619B0779B}"/>
    <cellStyle name="20% - Accent4 12 8" xfId="10125" xr:uid="{00000000-0005-0000-0000-000072160000}"/>
    <cellStyle name="20% - Accent4 12 8 2" xfId="33974" xr:uid="{B5D4C626-70BA-4D25-9632-6F225F5B6B9A}"/>
    <cellStyle name="20% - Accent4 12 9" xfId="18080" xr:uid="{00000000-0005-0000-0000-000073160000}"/>
    <cellStyle name="20% - Accent4 12 9 2" xfId="41912" xr:uid="{1524F188-B1C7-4A71-8D63-41CEF65E045D}"/>
    <cellStyle name="20% - Accent4 12_Exh G" xfId="2322" xr:uid="{00000000-0005-0000-0000-000074160000}"/>
    <cellStyle name="20% - Accent4 13" xfId="187" xr:uid="{00000000-0005-0000-0000-000075160000}"/>
    <cellStyle name="20% - Accent4 13 10" xfId="26036" xr:uid="{D4291A3F-414A-46E7-B053-504E8B60AC0D}"/>
    <cellStyle name="20% - Accent4 13 2" xfId="188" xr:uid="{00000000-0005-0000-0000-000076160000}"/>
    <cellStyle name="20% - Accent4 13 2 2" xfId="189" xr:uid="{00000000-0005-0000-0000-000077160000}"/>
    <cellStyle name="20% - Accent4 13 2 2 2" xfId="1215" xr:uid="{00000000-0005-0000-0000-000078160000}"/>
    <cellStyle name="20% - Accent4 13 2 2 2 2" xfId="4742" xr:uid="{00000000-0005-0000-0000-000079160000}"/>
    <cellStyle name="20% - Accent4 13 2 2 2 2 2" xfId="8333" xr:uid="{00000000-0005-0000-0000-00007A160000}"/>
    <cellStyle name="20% - Accent4 13 2 2 2 2 2 2" xfId="16303" xr:uid="{00000000-0005-0000-0000-00007B160000}"/>
    <cellStyle name="20% - Accent4 13 2 2 2 2 2 2 2" xfId="40145" xr:uid="{93BC912A-5323-4100-BA59-7D7052A62878}"/>
    <cellStyle name="20% - Accent4 13 2 2 2 2 2 3" xfId="24249" xr:uid="{00000000-0005-0000-0000-00007C160000}"/>
    <cellStyle name="20% - Accent4 13 2 2 2 2 2 3 2" xfId="48081" xr:uid="{6E39FB3C-3E67-4902-9DB7-94CD50D1FF3A}"/>
    <cellStyle name="20% - Accent4 13 2 2 2 2 2 4" xfId="32204" xr:uid="{595AA259-EFA7-4F80-9D74-BBB70D15AFB6}"/>
    <cellStyle name="20% - Accent4 13 2 2 2 2 3" xfId="12765" xr:uid="{00000000-0005-0000-0000-00007D160000}"/>
    <cellStyle name="20% - Accent4 13 2 2 2 2 3 2" xfId="36614" xr:uid="{5AB80783-BC78-41DD-BA24-D738077A69BA}"/>
    <cellStyle name="20% - Accent4 13 2 2 2 2 4" xfId="20720" xr:uid="{00000000-0005-0000-0000-00007E160000}"/>
    <cellStyle name="20% - Accent4 13 2 2 2 2 4 2" xfId="44552" xr:uid="{638998BE-BC2C-4F75-B01E-3F851AD8658C}"/>
    <cellStyle name="20% - Accent4 13 2 2 2 2 5" xfId="28673" xr:uid="{FC0076F4-7519-4138-A819-BB0F04712745}"/>
    <cellStyle name="20% - Accent4 13 2 2 2 3" xfId="6574" xr:uid="{00000000-0005-0000-0000-00007F160000}"/>
    <cellStyle name="20% - Accent4 13 2 2 2 3 2" xfId="14545" xr:uid="{00000000-0005-0000-0000-000080160000}"/>
    <cellStyle name="20% - Accent4 13 2 2 2 3 2 2" xfId="38387" xr:uid="{A1596840-FD52-493B-A9CE-212301011CFE}"/>
    <cellStyle name="20% - Accent4 13 2 2 2 3 3" xfId="22492" xr:uid="{00000000-0005-0000-0000-000081160000}"/>
    <cellStyle name="20% - Accent4 13 2 2 2 3 3 2" xfId="46324" xr:uid="{EFE1EB5C-CD55-4660-B096-4737AC67D455}"/>
    <cellStyle name="20% - Accent4 13 2 2 2 3 4" xfId="30446" xr:uid="{58FEEFC6-A2AD-4D4D-BD6B-3EA89F808618}"/>
    <cellStyle name="20% - Accent4 13 2 2 2 4" xfId="11009" xr:uid="{00000000-0005-0000-0000-000082160000}"/>
    <cellStyle name="20% - Accent4 13 2 2 2 4 2" xfId="34858" xr:uid="{438C4B3F-6418-42F7-B2D3-4EB08141E8A0}"/>
    <cellStyle name="20% - Accent4 13 2 2 2 5" xfId="18964" xr:uid="{00000000-0005-0000-0000-000083160000}"/>
    <cellStyle name="20% - Accent4 13 2 2 2 5 2" xfId="42796" xr:uid="{D74EC25B-979F-4E1F-9221-E14E4B78B49E}"/>
    <cellStyle name="20% - Accent4 13 2 2 2 6" xfId="26916" xr:uid="{B3085CAC-0825-4DAA-91C2-009D12CB5D30}"/>
    <cellStyle name="20% - Accent4 13 2 2 2_Exh G" xfId="2333" xr:uid="{00000000-0005-0000-0000-000084160000}"/>
    <cellStyle name="20% - Accent4 13 2 2 3" xfId="3863" xr:uid="{00000000-0005-0000-0000-000085160000}"/>
    <cellStyle name="20% - Accent4 13 2 2 3 2" xfId="7455" xr:uid="{00000000-0005-0000-0000-000086160000}"/>
    <cellStyle name="20% - Accent4 13 2 2 3 2 2" xfId="15425" xr:uid="{00000000-0005-0000-0000-000087160000}"/>
    <cellStyle name="20% - Accent4 13 2 2 3 2 2 2" xfId="39267" xr:uid="{219C8540-BD4B-4595-9364-D565034AE3EA}"/>
    <cellStyle name="20% - Accent4 13 2 2 3 2 3" xfId="23371" xr:uid="{00000000-0005-0000-0000-000088160000}"/>
    <cellStyle name="20% - Accent4 13 2 2 3 2 3 2" xfId="47203" xr:uid="{38C36C08-F9FD-46B8-BFAB-A6141AD559A3}"/>
    <cellStyle name="20% - Accent4 13 2 2 3 2 4" xfId="31326" xr:uid="{A7AECAA7-5FCF-4874-B638-D84C4DC8902E}"/>
    <cellStyle name="20% - Accent4 13 2 2 3 3" xfId="11887" xr:uid="{00000000-0005-0000-0000-000089160000}"/>
    <cellStyle name="20% - Accent4 13 2 2 3 3 2" xfId="35736" xr:uid="{E3AA8188-4F1A-4624-934C-741D36430526}"/>
    <cellStyle name="20% - Accent4 13 2 2 3 4" xfId="19842" xr:uid="{00000000-0005-0000-0000-00008A160000}"/>
    <cellStyle name="20% - Accent4 13 2 2 3 4 2" xfId="43674" xr:uid="{9311AF6A-6174-4B8F-A4E4-242DCBF182AB}"/>
    <cellStyle name="20% - Accent4 13 2 2 3 5" xfId="27795" xr:uid="{6DB9AF1B-CB93-4295-AA0C-CC754E71CED6}"/>
    <cellStyle name="20% - Accent4 13 2 2 4" xfId="5683" xr:uid="{00000000-0005-0000-0000-00008B160000}"/>
    <cellStyle name="20% - Accent4 13 2 2 4 2" xfId="13666" xr:uid="{00000000-0005-0000-0000-00008C160000}"/>
    <cellStyle name="20% - Accent4 13 2 2 4 2 2" xfId="37509" xr:uid="{E330ACED-BD08-4789-8859-1C47B9ABBB11}"/>
    <cellStyle name="20% - Accent4 13 2 2 4 3" xfId="21614" xr:uid="{00000000-0005-0000-0000-00008D160000}"/>
    <cellStyle name="20% - Accent4 13 2 2 4 3 2" xfId="45446" xr:uid="{53F7D085-935C-423F-B899-90E5F21C45BD}"/>
    <cellStyle name="20% - Accent4 13 2 2 4 4" xfId="29568" xr:uid="{B4FA69E8-199E-43B6-8A24-41D006A4B279}"/>
    <cellStyle name="20% - Accent4 13 2 2 5" xfId="9235" xr:uid="{00000000-0005-0000-0000-00008E160000}"/>
    <cellStyle name="20% - Accent4 13 2 2 5 2" xfId="17193" xr:uid="{00000000-0005-0000-0000-00008F160000}"/>
    <cellStyle name="20% - Accent4 13 2 2 5 2 2" xfId="41033" xr:uid="{419DDD08-8159-4E03-9E14-8F83BC69239A}"/>
    <cellStyle name="20% - Accent4 13 2 2 5 3" xfId="25137" xr:uid="{00000000-0005-0000-0000-000090160000}"/>
    <cellStyle name="20% - Accent4 13 2 2 5 3 2" xfId="48969" xr:uid="{1E5D8B98-BB2C-4C55-BF6A-5E32E4E2E0B6}"/>
    <cellStyle name="20% - Accent4 13 2 2 5 4" xfId="33092" xr:uid="{B3886C09-7161-4084-9A37-7F6797289940}"/>
    <cellStyle name="20% - Accent4 13 2 2 6" xfId="10131" xr:uid="{00000000-0005-0000-0000-000091160000}"/>
    <cellStyle name="20% - Accent4 13 2 2 6 2" xfId="33980" xr:uid="{6524EAD6-7AA4-413C-A514-9D67E917A4D1}"/>
    <cellStyle name="20% - Accent4 13 2 2 7" xfId="18086" xr:uid="{00000000-0005-0000-0000-000092160000}"/>
    <cellStyle name="20% - Accent4 13 2 2 7 2" xfId="41918" xr:uid="{ABA138B7-F3FB-4A6A-AACA-C3A1F9ED1218}"/>
    <cellStyle name="20% - Accent4 13 2 2 8" xfId="26038" xr:uid="{D6416472-E482-47D6-8571-67237B387BA8}"/>
    <cellStyle name="20% - Accent4 13 2 2_Exh G" xfId="2332" xr:uid="{00000000-0005-0000-0000-000093160000}"/>
    <cellStyle name="20% - Accent4 13 2 3" xfId="1214" xr:uid="{00000000-0005-0000-0000-000094160000}"/>
    <cellStyle name="20% - Accent4 13 2 3 2" xfId="4741" xr:uid="{00000000-0005-0000-0000-000095160000}"/>
    <cellStyle name="20% - Accent4 13 2 3 2 2" xfId="8332" xr:uid="{00000000-0005-0000-0000-000096160000}"/>
    <cellStyle name="20% - Accent4 13 2 3 2 2 2" xfId="16302" xr:uid="{00000000-0005-0000-0000-000097160000}"/>
    <cellStyle name="20% - Accent4 13 2 3 2 2 2 2" xfId="40144" xr:uid="{D36C803C-5522-4A84-9D74-A4B21CB75BCF}"/>
    <cellStyle name="20% - Accent4 13 2 3 2 2 3" xfId="24248" xr:uid="{00000000-0005-0000-0000-000098160000}"/>
    <cellStyle name="20% - Accent4 13 2 3 2 2 3 2" xfId="48080" xr:uid="{51F5E3C6-F2FE-49E0-8824-98E7363175E6}"/>
    <cellStyle name="20% - Accent4 13 2 3 2 2 4" xfId="32203" xr:uid="{09F1CFF7-9FE9-4BBE-AA6A-37425424E15F}"/>
    <cellStyle name="20% - Accent4 13 2 3 2 3" xfId="12764" xr:uid="{00000000-0005-0000-0000-000099160000}"/>
    <cellStyle name="20% - Accent4 13 2 3 2 3 2" xfId="36613" xr:uid="{9139D4DF-B399-40CF-BE19-CA88B50706C5}"/>
    <cellStyle name="20% - Accent4 13 2 3 2 4" xfId="20719" xr:uid="{00000000-0005-0000-0000-00009A160000}"/>
    <cellStyle name="20% - Accent4 13 2 3 2 4 2" xfId="44551" xr:uid="{491AC1F5-A324-4023-9709-2643FBCAAFEE}"/>
    <cellStyle name="20% - Accent4 13 2 3 2 5" xfId="28672" xr:uid="{3D5C4BC0-92BA-4C28-AFA9-ED7436C36DF0}"/>
    <cellStyle name="20% - Accent4 13 2 3 3" xfId="6573" xr:uid="{00000000-0005-0000-0000-00009B160000}"/>
    <cellStyle name="20% - Accent4 13 2 3 3 2" xfId="14544" xr:uid="{00000000-0005-0000-0000-00009C160000}"/>
    <cellStyle name="20% - Accent4 13 2 3 3 2 2" xfId="38386" xr:uid="{9E3E76C7-EC21-498E-8A39-2546278BE68D}"/>
    <cellStyle name="20% - Accent4 13 2 3 3 3" xfId="22491" xr:uid="{00000000-0005-0000-0000-00009D160000}"/>
    <cellStyle name="20% - Accent4 13 2 3 3 3 2" xfId="46323" xr:uid="{0350D9BB-D0D6-4CB7-A644-A7A6958434A7}"/>
    <cellStyle name="20% - Accent4 13 2 3 3 4" xfId="30445" xr:uid="{E18166B5-A674-4A65-A8E2-EF47CFD30483}"/>
    <cellStyle name="20% - Accent4 13 2 3 4" xfId="11008" xr:uid="{00000000-0005-0000-0000-00009E160000}"/>
    <cellStyle name="20% - Accent4 13 2 3 4 2" xfId="34857" xr:uid="{358DEC09-5B58-4E98-A652-35CEE0B342A7}"/>
    <cellStyle name="20% - Accent4 13 2 3 5" xfId="18963" xr:uid="{00000000-0005-0000-0000-00009F160000}"/>
    <cellStyle name="20% - Accent4 13 2 3 5 2" xfId="42795" xr:uid="{A99982D9-DCAA-40A7-8DBE-D5A2E560DA51}"/>
    <cellStyle name="20% - Accent4 13 2 3 6" xfId="26915" xr:uid="{2ACA430F-5BB9-4BCA-8BB0-0C837A705042}"/>
    <cellStyle name="20% - Accent4 13 2 3_Exh G" xfId="2334" xr:uid="{00000000-0005-0000-0000-0000A0160000}"/>
    <cellStyle name="20% - Accent4 13 2 4" xfId="3862" xr:uid="{00000000-0005-0000-0000-0000A1160000}"/>
    <cellStyle name="20% - Accent4 13 2 4 2" xfId="7454" xr:uid="{00000000-0005-0000-0000-0000A2160000}"/>
    <cellStyle name="20% - Accent4 13 2 4 2 2" xfId="15424" xr:uid="{00000000-0005-0000-0000-0000A3160000}"/>
    <cellStyle name="20% - Accent4 13 2 4 2 2 2" xfId="39266" xr:uid="{AD53B4E5-99DB-405A-AFF9-E8893DBDC163}"/>
    <cellStyle name="20% - Accent4 13 2 4 2 3" xfId="23370" xr:uid="{00000000-0005-0000-0000-0000A4160000}"/>
    <cellStyle name="20% - Accent4 13 2 4 2 3 2" xfId="47202" xr:uid="{F95A938B-C873-4F86-8FEA-2E13EF03FBD4}"/>
    <cellStyle name="20% - Accent4 13 2 4 2 4" xfId="31325" xr:uid="{E09F9DF6-139B-4FE0-B4DE-DA5DD46CEF75}"/>
    <cellStyle name="20% - Accent4 13 2 4 3" xfId="11886" xr:uid="{00000000-0005-0000-0000-0000A5160000}"/>
    <cellStyle name="20% - Accent4 13 2 4 3 2" xfId="35735" xr:uid="{98B07F47-8B7D-46CF-81A4-A6EC3FDEA86F}"/>
    <cellStyle name="20% - Accent4 13 2 4 4" xfId="19841" xr:uid="{00000000-0005-0000-0000-0000A6160000}"/>
    <cellStyle name="20% - Accent4 13 2 4 4 2" xfId="43673" xr:uid="{BA956439-630A-413C-B8D5-7BF01A7FE0ED}"/>
    <cellStyle name="20% - Accent4 13 2 4 5" xfId="27794" xr:uid="{75099FD4-58D1-4D73-BE7D-A41E5E1B03E1}"/>
    <cellStyle name="20% - Accent4 13 2 5" xfId="5682" xr:uid="{00000000-0005-0000-0000-0000A7160000}"/>
    <cellStyle name="20% - Accent4 13 2 5 2" xfId="13665" xr:uid="{00000000-0005-0000-0000-0000A8160000}"/>
    <cellStyle name="20% - Accent4 13 2 5 2 2" xfId="37508" xr:uid="{9CE4B0EA-AF5E-44DB-ABC5-BCE18AF8277A}"/>
    <cellStyle name="20% - Accent4 13 2 5 3" xfId="21613" xr:uid="{00000000-0005-0000-0000-0000A9160000}"/>
    <cellStyle name="20% - Accent4 13 2 5 3 2" xfId="45445" xr:uid="{CB575A8C-6303-4B18-BC66-0926BA40CF8A}"/>
    <cellStyle name="20% - Accent4 13 2 5 4" xfId="29567" xr:uid="{E6CAAD17-32A5-4EFA-B8FD-E514FE87D2FF}"/>
    <cellStyle name="20% - Accent4 13 2 6" xfId="9234" xr:uid="{00000000-0005-0000-0000-0000AA160000}"/>
    <cellStyle name="20% - Accent4 13 2 6 2" xfId="17192" xr:uid="{00000000-0005-0000-0000-0000AB160000}"/>
    <cellStyle name="20% - Accent4 13 2 6 2 2" xfId="41032" xr:uid="{B40B941D-E761-4FEF-A4EE-C381D39F9030}"/>
    <cellStyle name="20% - Accent4 13 2 6 3" xfId="25136" xr:uid="{00000000-0005-0000-0000-0000AC160000}"/>
    <cellStyle name="20% - Accent4 13 2 6 3 2" xfId="48968" xr:uid="{F6847A46-69C8-473B-A201-CAB799ADCBC8}"/>
    <cellStyle name="20% - Accent4 13 2 6 4" xfId="33091" xr:uid="{999100CC-D78B-422F-BF8F-279F9ED585A1}"/>
    <cellStyle name="20% - Accent4 13 2 7" xfId="10130" xr:uid="{00000000-0005-0000-0000-0000AD160000}"/>
    <cellStyle name="20% - Accent4 13 2 7 2" xfId="33979" xr:uid="{99F5D4C6-09EB-4E18-A134-ED2F8218D1B1}"/>
    <cellStyle name="20% - Accent4 13 2 8" xfId="18085" xr:uid="{00000000-0005-0000-0000-0000AE160000}"/>
    <cellStyle name="20% - Accent4 13 2 8 2" xfId="41917" xr:uid="{6CDFF79E-BFDB-49E3-8C3D-1FFE7C5E806E}"/>
    <cellStyle name="20% - Accent4 13 2 9" xfId="26037" xr:uid="{8DC3B285-9095-4C3B-AD10-B624AB1A7675}"/>
    <cellStyle name="20% - Accent4 13 2_Exh G" xfId="2331" xr:uid="{00000000-0005-0000-0000-0000AF160000}"/>
    <cellStyle name="20% - Accent4 13 3" xfId="190" xr:uid="{00000000-0005-0000-0000-0000B0160000}"/>
    <cellStyle name="20% - Accent4 13 3 2" xfId="1216" xr:uid="{00000000-0005-0000-0000-0000B1160000}"/>
    <cellStyle name="20% - Accent4 13 3 2 2" xfId="4743" xr:uid="{00000000-0005-0000-0000-0000B2160000}"/>
    <cellStyle name="20% - Accent4 13 3 2 2 2" xfId="8334" xr:uid="{00000000-0005-0000-0000-0000B3160000}"/>
    <cellStyle name="20% - Accent4 13 3 2 2 2 2" xfId="16304" xr:uid="{00000000-0005-0000-0000-0000B4160000}"/>
    <cellStyle name="20% - Accent4 13 3 2 2 2 2 2" xfId="40146" xr:uid="{0DC25DEF-2982-4F4A-8B8B-C2E94AC3ECA9}"/>
    <cellStyle name="20% - Accent4 13 3 2 2 2 3" xfId="24250" xr:uid="{00000000-0005-0000-0000-0000B5160000}"/>
    <cellStyle name="20% - Accent4 13 3 2 2 2 3 2" xfId="48082" xr:uid="{722E2D52-CE1E-49E4-BD12-13C828065C11}"/>
    <cellStyle name="20% - Accent4 13 3 2 2 2 4" xfId="32205" xr:uid="{41A23DAB-4796-4141-B075-CF311AEA94C8}"/>
    <cellStyle name="20% - Accent4 13 3 2 2 3" xfId="12766" xr:uid="{00000000-0005-0000-0000-0000B6160000}"/>
    <cellStyle name="20% - Accent4 13 3 2 2 3 2" xfId="36615" xr:uid="{6DE20F79-5DF7-404A-83F2-BE9FB5A21FF6}"/>
    <cellStyle name="20% - Accent4 13 3 2 2 4" xfId="20721" xr:uid="{00000000-0005-0000-0000-0000B7160000}"/>
    <cellStyle name="20% - Accent4 13 3 2 2 4 2" xfId="44553" xr:uid="{8A3F4BA0-1991-4FE9-A173-03D7F5EEC6EF}"/>
    <cellStyle name="20% - Accent4 13 3 2 2 5" xfId="28674" xr:uid="{832EB1C9-7E49-4F21-A33F-31EB966E91A8}"/>
    <cellStyle name="20% - Accent4 13 3 2 3" xfId="6575" xr:uid="{00000000-0005-0000-0000-0000B8160000}"/>
    <cellStyle name="20% - Accent4 13 3 2 3 2" xfId="14546" xr:uid="{00000000-0005-0000-0000-0000B9160000}"/>
    <cellStyle name="20% - Accent4 13 3 2 3 2 2" xfId="38388" xr:uid="{350CEC10-DC72-4EE7-8DD0-9B5B5E48256E}"/>
    <cellStyle name="20% - Accent4 13 3 2 3 3" xfId="22493" xr:uid="{00000000-0005-0000-0000-0000BA160000}"/>
    <cellStyle name="20% - Accent4 13 3 2 3 3 2" xfId="46325" xr:uid="{AC816138-D89D-48AE-9977-3CE88F66F57E}"/>
    <cellStyle name="20% - Accent4 13 3 2 3 4" xfId="30447" xr:uid="{99CB161C-8021-4DFB-9CB8-62A218EB4168}"/>
    <cellStyle name="20% - Accent4 13 3 2 4" xfId="11010" xr:uid="{00000000-0005-0000-0000-0000BB160000}"/>
    <cellStyle name="20% - Accent4 13 3 2 4 2" xfId="34859" xr:uid="{5BEECA1A-AF40-4CE7-B870-3F009AFF5D88}"/>
    <cellStyle name="20% - Accent4 13 3 2 5" xfId="18965" xr:uid="{00000000-0005-0000-0000-0000BC160000}"/>
    <cellStyle name="20% - Accent4 13 3 2 5 2" xfId="42797" xr:uid="{0DBC125F-FFF3-457B-B1DE-E112EFE39768}"/>
    <cellStyle name="20% - Accent4 13 3 2 6" xfId="26917" xr:uid="{EE04A0C7-2426-473C-A2BA-D9276617D58F}"/>
    <cellStyle name="20% - Accent4 13 3 2_Exh G" xfId="2336" xr:uid="{00000000-0005-0000-0000-0000BD160000}"/>
    <cellStyle name="20% - Accent4 13 3 3" xfId="3864" xr:uid="{00000000-0005-0000-0000-0000BE160000}"/>
    <cellStyle name="20% - Accent4 13 3 3 2" xfId="7456" xr:uid="{00000000-0005-0000-0000-0000BF160000}"/>
    <cellStyle name="20% - Accent4 13 3 3 2 2" xfId="15426" xr:uid="{00000000-0005-0000-0000-0000C0160000}"/>
    <cellStyle name="20% - Accent4 13 3 3 2 2 2" xfId="39268" xr:uid="{114D1867-A3BE-4183-AC17-3C075260C2BC}"/>
    <cellStyle name="20% - Accent4 13 3 3 2 3" xfId="23372" xr:uid="{00000000-0005-0000-0000-0000C1160000}"/>
    <cellStyle name="20% - Accent4 13 3 3 2 3 2" xfId="47204" xr:uid="{6E3D4F43-07D7-445F-A652-1355DC0E1870}"/>
    <cellStyle name="20% - Accent4 13 3 3 2 4" xfId="31327" xr:uid="{C7DB0A00-215F-4907-A3A1-8A4824D46885}"/>
    <cellStyle name="20% - Accent4 13 3 3 3" xfId="11888" xr:uid="{00000000-0005-0000-0000-0000C2160000}"/>
    <cellStyle name="20% - Accent4 13 3 3 3 2" xfId="35737" xr:uid="{86C8EDE0-A43C-4145-924C-9A0EEC9ECAEC}"/>
    <cellStyle name="20% - Accent4 13 3 3 4" xfId="19843" xr:uid="{00000000-0005-0000-0000-0000C3160000}"/>
    <cellStyle name="20% - Accent4 13 3 3 4 2" xfId="43675" xr:uid="{027F0D0B-73F2-45C1-828B-3B3CC4A553DD}"/>
    <cellStyle name="20% - Accent4 13 3 3 5" xfId="27796" xr:uid="{9FFD55B5-6440-418C-A89B-8950F5A75CF4}"/>
    <cellStyle name="20% - Accent4 13 3 4" xfId="5684" xr:uid="{00000000-0005-0000-0000-0000C4160000}"/>
    <cellStyle name="20% - Accent4 13 3 4 2" xfId="13667" xr:uid="{00000000-0005-0000-0000-0000C5160000}"/>
    <cellStyle name="20% - Accent4 13 3 4 2 2" xfId="37510" xr:uid="{92EEB93A-1589-4AAF-BA69-23FE2A72B3FA}"/>
    <cellStyle name="20% - Accent4 13 3 4 3" xfId="21615" xr:uid="{00000000-0005-0000-0000-0000C6160000}"/>
    <cellStyle name="20% - Accent4 13 3 4 3 2" xfId="45447" xr:uid="{C21DF2C6-E035-48D0-8E51-1C1EEFABE086}"/>
    <cellStyle name="20% - Accent4 13 3 4 4" xfId="29569" xr:uid="{3AAF420C-246D-4B81-9F0E-85C4EB02B35A}"/>
    <cellStyle name="20% - Accent4 13 3 5" xfId="9236" xr:uid="{00000000-0005-0000-0000-0000C7160000}"/>
    <cellStyle name="20% - Accent4 13 3 5 2" xfId="17194" xr:uid="{00000000-0005-0000-0000-0000C8160000}"/>
    <cellStyle name="20% - Accent4 13 3 5 2 2" xfId="41034" xr:uid="{1F099ADE-E1DD-43CD-9B03-0D63F350AC7B}"/>
    <cellStyle name="20% - Accent4 13 3 5 3" xfId="25138" xr:uid="{00000000-0005-0000-0000-0000C9160000}"/>
    <cellStyle name="20% - Accent4 13 3 5 3 2" xfId="48970" xr:uid="{BD033275-FDCD-4438-BAC5-BFE9684DAC3F}"/>
    <cellStyle name="20% - Accent4 13 3 5 4" xfId="33093" xr:uid="{D8FFE303-D360-453F-ABDE-DBF95A8543D0}"/>
    <cellStyle name="20% - Accent4 13 3 6" xfId="10132" xr:uid="{00000000-0005-0000-0000-0000CA160000}"/>
    <cellStyle name="20% - Accent4 13 3 6 2" xfId="33981" xr:uid="{6B577A7C-EDAF-41B5-B55A-3B2EA90754D5}"/>
    <cellStyle name="20% - Accent4 13 3 7" xfId="18087" xr:uid="{00000000-0005-0000-0000-0000CB160000}"/>
    <cellStyle name="20% - Accent4 13 3 7 2" xfId="41919" xr:uid="{8ABEBB06-94B0-409E-9921-0DACD56B7D72}"/>
    <cellStyle name="20% - Accent4 13 3 8" xfId="26039" xr:uid="{6D1432C4-3775-4950-90BE-C95D0E63763B}"/>
    <cellStyle name="20% - Accent4 13 3_Exh G" xfId="2335" xr:uid="{00000000-0005-0000-0000-0000CC160000}"/>
    <cellStyle name="20% - Accent4 13 4" xfId="1213" xr:uid="{00000000-0005-0000-0000-0000CD160000}"/>
    <cellStyle name="20% - Accent4 13 4 2" xfId="4740" xr:uid="{00000000-0005-0000-0000-0000CE160000}"/>
    <cellStyle name="20% - Accent4 13 4 2 2" xfId="8331" xr:uid="{00000000-0005-0000-0000-0000CF160000}"/>
    <cellStyle name="20% - Accent4 13 4 2 2 2" xfId="16301" xr:uid="{00000000-0005-0000-0000-0000D0160000}"/>
    <cellStyle name="20% - Accent4 13 4 2 2 2 2" xfId="40143" xr:uid="{923AD39E-13BC-4739-97E0-83D0D4CBA6AA}"/>
    <cellStyle name="20% - Accent4 13 4 2 2 3" xfId="24247" xr:uid="{00000000-0005-0000-0000-0000D1160000}"/>
    <cellStyle name="20% - Accent4 13 4 2 2 3 2" xfId="48079" xr:uid="{7310053E-BA2E-44DD-8810-A538AFF24C46}"/>
    <cellStyle name="20% - Accent4 13 4 2 2 4" xfId="32202" xr:uid="{16FF6839-1531-4B2D-8196-2215F988C783}"/>
    <cellStyle name="20% - Accent4 13 4 2 3" xfId="12763" xr:uid="{00000000-0005-0000-0000-0000D2160000}"/>
    <cellStyle name="20% - Accent4 13 4 2 3 2" xfId="36612" xr:uid="{5C207924-8D91-4958-8FCD-03037E5C7F45}"/>
    <cellStyle name="20% - Accent4 13 4 2 4" xfId="20718" xr:uid="{00000000-0005-0000-0000-0000D3160000}"/>
    <cellStyle name="20% - Accent4 13 4 2 4 2" xfId="44550" xr:uid="{3CC53B0D-E850-4C87-814F-3E03AAF55234}"/>
    <cellStyle name="20% - Accent4 13 4 2 5" xfId="28671" xr:uid="{24270C27-B2BC-402C-A970-ECF81C02D254}"/>
    <cellStyle name="20% - Accent4 13 4 3" xfId="6572" xr:uid="{00000000-0005-0000-0000-0000D4160000}"/>
    <cellStyle name="20% - Accent4 13 4 3 2" xfId="14543" xr:uid="{00000000-0005-0000-0000-0000D5160000}"/>
    <cellStyle name="20% - Accent4 13 4 3 2 2" xfId="38385" xr:uid="{9F8577F8-E104-48D9-BDDD-645F250ED85D}"/>
    <cellStyle name="20% - Accent4 13 4 3 3" xfId="22490" xr:uid="{00000000-0005-0000-0000-0000D6160000}"/>
    <cellStyle name="20% - Accent4 13 4 3 3 2" xfId="46322" xr:uid="{70B0DFBF-B433-4BE1-A9BD-27859F52AC9E}"/>
    <cellStyle name="20% - Accent4 13 4 3 4" xfId="30444" xr:uid="{F284EAD2-763A-472C-86FF-8FCB4888E3A4}"/>
    <cellStyle name="20% - Accent4 13 4 4" xfId="11007" xr:uid="{00000000-0005-0000-0000-0000D7160000}"/>
    <cellStyle name="20% - Accent4 13 4 4 2" xfId="34856" xr:uid="{B5910FB1-8066-423B-9D04-21349308A650}"/>
    <cellStyle name="20% - Accent4 13 4 5" xfId="18962" xr:uid="{00000000-0005-0000-0000-0000D8160000}"/>
    <cellStyle name="20% - Accent4 13 4 5 2" xfId="42794" xr:uid="{3755B577-E4D6-45B9-8465-34F6C211625C}"/>
    <cellStyle name="20% - Accent4 13 4 6" xfId="26914" xr:uid="{8F88AA6A-02F0-4D92-BF61-9BBA23653F2E}"/>
    <cellStyle name="20% - Accent4 13 4_Exh G" xfId="2337" xr:uid="{00000000-0005-0000-0000-0000D9160000}"/>
    <cellStyle name="20% - Accent4 13 5" xfId="3861" xr:uid="{00000000-0005-0000-0000-0000DA160000}"/>
    <cellStyle name="20% - Accent4 13 5 2" xfId="7453" xr:uid="{00000000-0005-0000-0000-0000DB160000}"/>
    <cellStyle name="20% - Accent4 13 5 2 2" xfId="15423" xr:uid="{00000000-0005-0000-0000-0000DC160000}"/>
    <cellStyle name="20% - Accent4 13 5 2 2 2" xfId="39265" xr:uid="{E365F234-0643-4E0F-881D-3D415D79E7B1}"/>
    <cellStyle name="20% - Accent4 13 5 2 3" xfId="23369" xr:uid="{00000000-0005-0000-0000-0000DD160000}"/>
    <cellStyle name="20% - Accent4 13 5 2 3 2" xfId="47201" xr:uid="{A986F7DE-3B42-4CE9-B17C-941EDE2AF926}"/>
    <cellStyle name="20% - Accent4 13 5 2 4" xfId="31324" xr:uid="{8504541A-08B0-4E29-A371-44E5A5CB7EEE}"/>
    <cellStyle name="20% - Accent4 13 5 3" xfId="11885" xr:uid="{00000000-0005-0000-0000-0000DE160000}"/>
    <cellStyle name="20% - Accent4 13 5 3 2" xfId="35734" xr:uid="{50BE7DFE-46BC-477A-94A4-D52DE45B1D7F}"/>
    <cellStyle name="20% - Accent4 13 5 4" xfId="19840" xr:uid="{00000000-0005-0000-0000-0000DF160000}"/>
    <cellStyle name="20% - Accent4 13 5 4 2" xfId="43672" xr:uid="{FE89A493-8F7B-4807-B616-6B086BDC3794}"/>
    <cellStyle name="20% - Accent4 13 5 5" xfId="27793" xr:uid="{4270BAE5-43F8-42DB-ADE4-C72B6696A283}"/>
    <cellStyle name="20% - Accent4 13 6" xfId="5681" xr:uid="{00000000-0005-0000-0000-0000E0160000}"/>
    <cellStyle name="20% - Accent4 13 6 2" xfId="13664" xr:uid="{00000000-0005-0000-0000-0000E1160000}"/>
    <cellStyle name="20% - Accent4 13 6 2 2" xfId="37507" xr:uid="{60A58195-267E-4936-BC8E-15DE99061FF2}"/>
    <cellStyle name="20% - Accent4 13 6 3" xfId="21612" xr:uid="{00000000-0005-0000-0000-0000E2160000}"/>
    <cellStyle name="20% - Accent4 13 6 3 2" xfId="45444" xr:uid="{8346CAC8-13B5-444B-A3A1-B526EC8B102F}"/>
    <cellStyle name="20% - Accent4 13 6 4" xfId="29566" xr:uid="{E06B8E18-89A2-4FD3-9C35-37F481C9A1FC}"/>
    <cellStyle name="20% - Accent4 13 7" xfId="9233" xr:uid="{00000000-0005-0000-0000-0000E3160000}"/>
    <cellStyle name="20% - Accent4 13 7 2" xfId="17191" xr:uid="{00000000-0005-0000-0000-0000E4160000}"/>
    <cellStyle name="20% - Accent4 13 7 2 2" xfId="41031" xr:uid="{E366A280-9B5F-4CE5-801F-0BABAA5F60D8}"/>
    <cellStyle name="20% - Accent4 13 7 3" xfId="25135" xr:uid="{00000000-0005-0000-0000-0000E5160000}"/>
    <cellStyle name="20% - Accent4 13 7 3 2" xfId="48967" xr:uid="{534567AC-3FFD-4BFE-9616-012A914DEE27}"/>
    <cellStyle name="20% - Accent4 13 7 4" xfId="33090" xr:uid="{DEA603BC-E014-4491-8BAE-643252EC5E70}"/>
    <cellStyle name="20% - Accent4 13 8" xfId="10129" xr:uid="{00000000-0005-0000-0000-0000E6160000}"/>
    <cellStyle name="20% - Accent4 13 8 2" xfId="33978" xr:uid="{2B8C8135-A4F5-43B2-B3AE-515CB3FB93A9}"/>
    <cellStyle name="20% - Accent4 13 9" xfId="18084" xr:uid="{00000000-0005-0000-0000-0000E7160000}"/>
    <cellStyle name="20% - Accent4 13 9 2" xfId="41916" xr:uid="{339C0F4E-3E6D-4E11-84C1-DBF450B1CA64}"/>
    <cellStyle name="20% - Accent4 13_Exh G" xfId="2330" xr:uid="{00000000-0005-0000-0000-0000E8160000}"/>
    <cellStyle name="20% - Accent4 14" xfId="191" xr:uid="{00000000-0005-0000-0000-0000E9160000}"/>
    <cellStyle name="20% - Accent4 14 2" xfId="192" xr:uid="{00000000-0005-0000-0000-0000EA160000}"/>
    <cellStyle name="20% - Accent4 14 2 2" xfId="1218" xr:uid="{00000000-0005-0000-0000-0000EB160000}"/>
    <cellStyle name="20% - Accent4 14 2 2 2" xfId="4745" xr:uid="{00000000-0005-0000-0000-0000EC160000}"/>
    <cellStyle name="20% - Accent4 14 2 2 2 2" xfId="8336" xr:uid="{00000000-0005-0000-0000-0000ED160000}"/>
    <cellStyle name="20% - Accent4 14 2 2 2 2 2" xfId="16306" xr:uid="{00000000-0005-0000-0000-0000EE160000}"/>
    <cellStyle name="20% - Accent4 14 2 2 2 2 2 2" xfId="40148" xr:uid="{C32D841F-D7A1-4E0F-9917-AAB343FDAC43}"/>
    <cellStyle name="20% - Accent4 14 2 2 2 2 3" xfId="24252" xr:uid="{00000000-0005-0000-0000-0000EF160000}"/>
    <cellStyle name="20% - Accent4 14 2 2 2 2 3 2" xfId="48084" xr:uid="{F9E983C5-1098-498B-840F-044A2D7DBC01}"/>
    <cellStyle name="20% - Accent4 14 2 2 2 2 4" xfId="32207" xr:uid="{37A8640F-33AC-46F2-B20A-0BDB29FE871F}"/>
    <cellStyle name="20% - Accent4 14 2 2 2 3" xfId="12768" xr:uid="{00000000-0005-0000-0000-0000F0160000}"/>
    <cellStyle name="20% - Accent4 14 2 2 2 3 2" xfId="36617" xr:uid="{BC89C606-0BCB-4986-8946-D2715DD034C8}"/>
    <cellStyle name="20% - Accent4 14 2 2 2 4" xfId="20723" xr:uid="{00000000-0005-0000-0000-0000F1160000}"/>
    <cellStyle name="20% - Accent4 14 2 2 2 4 2" xfId="44555" xr:uid="{7FD4411F-798D-4397-BB03-3B71F8128062}"/>
    <cellStyle name="20% - Accent4 14 2 2 2 5" xfId="28676" xr:uid="{927FA1A3-90AA-4A4B-9BAD-14F19E9FC051}"/>
    <cellStyle name="20% - Accent4 14 2 2 3" xfId="6577" xr:uid="{00000000-0005-0000-0000-0000F2160000}"/>
    <cellStyle name="20% - Accent4 14 2 2 3 2" xfId="14548" xr:uid="{00000000-0005-0000-0000-0000F3160000}"/>
    <cellStyle name="20% - Accent4 14 2 2 3 2 2" xfId="38390" xr:uid="{DABBEEE2-0483-4FE4-9FB3-A91C299FD002}"/>
    <cellStyle name="20% - Accent4 14 2 2 3 3" xfId="22495" xr:uid="{00000000-0005-0000-0000-0000F4160000}"/>
    <cellStyle name="20% - Accent4 14 2 2 3 3 2" xfId="46327" xr:uid="{086E5833-8F99-4937-99FE-ED8B67DFF434}"/>
    <cellStyle name="20% - Accent4 14 2 2 3 4" xfId="30449" xr:uid="{503F1774-AB54-469F-8D40-0B4FFC259F2A}"/>
    <cellStyle name="20% - Accent4 14 2 2 4" xfId="11012" xr:uid="{00000000-0005-0000-0000-0000F5160000}"/>
    <cellStyle name="20% - Accent4 14 2 2 4 2" xfId="34861" xr:uid="{92A56B23-2F3F-4B9D-94C4-48298D169646}"/>
    <cellStyle name="20% - Accent4 14 2 2 5" xfId="18967" xr:uid="{00000000-0005-0000-0000-0000F6160000}"/>
    <cellStyle name="20% - Accent4 14 2 2 5 2" xfId="42799" xr:uid="{15C111E8-3C71-43A4-B3BB-723A51AB72A3}"/>
    <cellStyle name="20% - Accent4 14 2 2 6" xfId="26919" xr:uid="{086BD844-6A97-4524-8F1A-FF046D015898}"/>
    <cellStyle name="20% - Accent4 14 2 2_Exh G" xfId="2340" xr:uid="{00000000-0005-0000-0000-0000F7160000}"/>
    <cellStyle name="20% - Accent4 14 2 3" xfId="3866" xr:uid="{00000000-0005-0000-0000-0000F8160000}"/>
    <cellStyle name="20% - Accent4 14 2 3 2" xfId="7458" xr:uid="{00000000-0005-0000-0000-0000F9160000}"/>
    <cellStyle name="20% - Accent4 14 2 3 2 2" xfId="15428" xr:uid="{00000000-0005-0000-0000-0000FA160000}"/>
    <cellStyle name="20% - Accent4 14 2 3 2 2 2" xfId="39270" xr:uid="{4245480D-032D-442A-8BAB-AE836BDDAE85}"/>
    <cellStyle name="20% - Accent4 14 2 3 2 3" xfId="23374" xr:uid="{00000000-0005-0000-0000-0000FB160000}"/>
    <cellStyle name="20% - Accent4 14 2 3 2 3 2" xfId="47206" xr:uid="{5760C9BF-2D27-4B5F-A9C7-ECD324DAA4FC}"/>
    <cellStyle name="20% - Accent4 14 2 3 2 4" xfId="31329" xr:uid="{623F45FE-9971-48DD-9704-D77954BF9F0C}"/>
    <cellStyle name="20% - Accent4 14 2 3 3" xfId="11890" xr:uid="{00000000-0005-0000-0000-0000FC160000}"/>
    <cellStyle name="20% - Accent4 14 2 3 3 2" xfId="35739" xr:uid="{567D2F68-61FF-4228-8861-021DF35D15D5}"/>
    <cellStyle name="20% - Accent4 14 2 3 4" xfId="19845" xr:uid="{00000000-0005-0000-0000-0000FD160000}"/>
    <cellStyle name="20% - Accent4 14 2 3 4 2" xfId="43677" xr:uid="{80142DB7-7015-439C-9372-424E1D900706}"/>
    <cellStyle name="20% - Accent4 14 2 3 5" xfId="27798" xr:uid="{7D3C456B-8A18-4284-8093-42A06BBF223A}"/>
    <cellStyle name="20% - Accent4 14 2 4" xfId="5686" xr:uid="{00000000-0005-0000-0000-0000FE160000}"/>
    <cellStyle name="20% - Accent4 14 2 4 2" xfId="13669" xr:uid="{00000000-0005-0000-0000-0000FF160000}"/>
    <cellStyle name="20% - Accent4 14 2 4 2 2" xfId="37512" xr:uid="{4922EE77-081C-480F-A3F7-67CE2FCA114E}"/>
    <cellStyle name="20% - Accent4 14 2 4 3" xfId="21617" xr:uid="{00000000-0005-0000-0000-000000170000}"/>
    <cellStyle name="20% - Accent4 14 2 4 3 2" xfId="45449" xr:uid="{93143FDC-6027-45CD-9D4F-75A113CF058F}"/>
    <cellStyle name="20% - Accent4 14 2 4 4" xfId="29571" xr:uid="{EB6C9867-AA8E-4EDE-B3CB-B1DE718463CE}"/>
    <cellStyle name="20% - Accent4 14 2 5" xfId="9238" xr:uid="{00000000-0005-0000-0000-000001170000}"/>
    <cellStyle name="20% - Accent4 14 2 5 2" xfId="17196" xr:uid="{00000000-0005-0000-0000-000002170000}"/>
    <cellStyle name="20% - Accent4 14 2 5 2 2" xfId="41036" xr:uid="{28ADEFDF-DE9C-45EE-B8E8-9B9D4B961DE2}"/>
    <cellStyle name="20% - Accent4 14 2 5 3" xfId="25140" xr:uid="{00000000-0005-0000-0000-000003170000}"/>
    <cellStyle name="20% - Accent4 14 2 5 3 2" xfId="48972" xr:uid="{66EDFA78-4465-4B34-9C6C-4217D5E4E3FB}"/>
    <cellStyle name="20% - Accent4 14 2 5 4" xfId="33095" xr:uid="{9145C565-AE3F-47BB-BA67-52C480673C1B}"/>
    <cellStyle name="20% - Accent4 14 2 6" xfId="10134" xr:uid="{00000000-0005-0000-0000-000004170000}"/>
    <cellStyle name="20% - Accent4 14 2 6 2" xfId="33983" xr:uid="{80C56B1F-344F-42A5-82C5-6B3341AAF974}"/>
    <cellStyle name="20% - Accent4 14 2 7" xfId="18089" xr:uid="{00000000-0005-0000-0000-000005170000}"/>
    <cellStyle name="20% - Accent4 14 2 7 2" xfId="41921" xr:uid="{1AF1DB51-FC89-441F-A39B-F4CD62B5ACAF}"/>
    <cellStyle name="20% - Accent4 14 2 8" xfId="26041" xr:uid="{5E2A6C53-F600-40F6-9C6F-3DF23F6F99DD}"/>
    <cellStyle name="20% - Accent4 14 2_Exh G" xfId="2339" xr:uid="{00000000-0005-0000-0000-000006170000}"/>
    <cellStyle name="20% - Accent4 14 3" xfId="1217" xr:uid="{00000000-0005-0000-0000-000007170000}"/>
    <cellStyle name="20% - Accent4 14 3 2" xfId="4744" xr:uid="{00000000-0005-0000-0000-000008170000}"/>
    <cellStyle name="20% - Accent4 14 3 2 2" xfId="8335" xr:uid="{00000000-0005-0000-0000-000009170000}"/>
    <cellStyle name="20% - Accent4 14 3 2 2 2" xfId="16305" xr:uid="{00000000-0005-0000-0000-00000A170000}"/>
    <cellStyle name="20% - Accent4 14 3 2 2 2 2" xfId="40147" xr:uid="{38748E51-3FED-488F-B548-2DC71C2F6500}"/>
    <cellStyle name="20% - Accent4 14 3 2 2 3" xfId="24251" xr:uid="{00000000-0005-0000-0000-00000B170000}"/>
    <cellStyle name="20% - Accent4 14 3 2 2 3 2" xfId="48083" xr:uid="{D821BCF6-6CEF-4966-88BA-C3A0741D8E09}"/>
    <cellStyle name="20% - Accent4 14 3 2 2 4" xfId="32206" xr:uid="{9F7D4069-FBBE-47FF-AD04-8A12F58A80BA}"/>
    <cellStyle name="20% - Accent4 14 3 2 3" xfId="12767" xr:uid="{00000000-0005-0000-0000-00000C170000}"/>
    <cellStyle name="20% - Accent4 14 3 2 3 2" xfId="36616" xr:uid="{92D67C95-86C7-4F05-BB31-501CD41E2350}"/>
    <cellStyle name="20% - Accent4 14 3 2 4" xfId="20722" xr:uid="{00000000-0005-0000-0000-00000D170000}"/>
    <cellStyle name="20% - Accent4 14 3 2 4 2" xfId="44554" xr:uid="{A2CA2D2E-043A-4C00-B4FD-0E292D744F36}"/>
    <cellStyle name="20% - Accent4 14 3 2 5" xfId="28675" xr:uid="{03C89482-C8AD-4C93-A18E-BE8EA9C3F5ED}"/>
    <cellStyle name="20% - Accent4 14 3 3" xfId="6576" xr:uid="{00000000-0005-0000-0000-00000E170000}"/>
    <cellStyle name="20% - Accent4 14 3 3 2" xfId="14547" xr:uid="{00000000-0005-0000-0000-00000F170000}"/>
    <cellStyle name="20% - Accent4 14 3 3 2 2" xfId="38389" xr:uid="{23695DBA-49F9-4342-AB84-DDE71DBF68BF}"/>
    <cellStyle name="20% - Accent4 14 3 3 3" xfId="22494" xr:uid="{00000000-0005-0000-0000-000010170000}"/>
    <cellStyle name="20% - Accent4 14 3 3 3 2" xfId="46326" xr:uid="{8E1EBDBD-4CAE-4292-A5EA-62AC11B3AF30}"/>
    <cellStyle name="20% - Accent4 14 3 3 4" xfId="30448" xr:uid="{C25E913A-A521-4BE6-A059-2E42575A2167}"/>
    <cellStyle name="20% - Accent4 14 3 4" xfId="11011" xr:uid="{00000000-0005-0000-0000-000011170000}"/>
    <cellStyle name="20% - Accent4 14 3 4 2" xfId="34860" xr:uid="{6830F753-668C-4FEA-9235-9E5458C52460}"/>
    <cellStyle name="20% - Accent4 14 3 5" xfId="18966" xr:uid="{00000000-0005-0000-0000-000012170000}"/>
    <cellStyle name="20% - Accent4 14 3 5 2" xfId="42798" xr:uid="{3A8DDCC0-F238-493A-8B1F-E98592922C03}"/>
    <cellStyle name="20% - Accent4 14 3 6" xfId="26918" xr:uid="{EB1FFAEA-8614-4916-9095-6994DADB9682}"/>
    <cellStyle name="20% - Accent4 14 3_Exh G" xfId="2341" xr:uid="{00000000-0005-0000-0000-000013170000}"/>
    <cellStyle name="20% - Accent4 14 4" xfId="3865" xr:uid="{00000000-0005-0000-0000-000014170000}"/>
    <cellStyle name="20% - Accent4 14 4 2" xfId="7457" xr:uid="{00000000-0005-0000-0000-000015170000}"/>
    <cellStyle name="20% - Accent4 14 4 2 2" xfId="15427" xr:uid="{00000000-0005-0000-0000-000016170000}"/>
    <cellStyle name="20% - Accent4 14 4 2 2 2" xfId="39269" xr:uid="{3F0B3E9B-F193-4C09-842D-7A6B0CB912AF}"/>
    <cellStyle name="20% - Accent4 14 4 2 3" xfId="23373" xr:uid="{00000000-0005-0000-0000-000017170000}"/>
    <cellStyle name="20% - Accent4 14 4 2 3 2" xfId="47205" xr:uid="{5808C5D5-420A-436A-A8D6-790BB905EF0C}"/>
    <cellStyle name="20% - Accent4 14 4 2 4" xfId="31328" xr:uid="{38C81D4D-0F8E-49C7-800F-4FCA07FCEF5C}"/>
    <cellStyle name="20% - Accent4 14 4 3" xfId="11889" xr:uid="{00000000-0005-0000-0000-000018170000}"/>
    <cellStyle name="20% - Accent4 14 4 3 2" xfId="35738" xr:uid="{727C6BA1-E010-4372-9B6E-20C9A5F1C347}"/>
    <cellStyle name="20% - Accent4 14 4 4" xfId="19844" xr:uid="{00000000-0005-0000-0000-000019170000}"/>
    <cellStyle name="20% - Accent4 14 4 4 2" xfId="43676" xr:uid="{B4D7331E-CADE-4424-940E-C4A596B14411}"/>
    <cellStyle name="20% - Accent4 14 4 5" xfId="27797" xr:uid="{004B2CAF-A353-4E6A-8AD7-D5C81CE73BE0}"/>
    <cellStyle name="20% - Accent4 14 5" xfId="5685" xr:uid="{00000000-0005-0000-0000-00001A170000}"/>
    <cellStyle name="20% - Accent4 14 5 2" xfId="13668" xr:uid="{00000000-0005-0000-0000-00001B170000}"/>
    <cellStyle name="20% - Accent4 14 5 2 2" xfId="37511" xr:uid="{0365D99F-EA6F-4788-B437-D351B9ED8350}"/>
    <cellStyle name="20% - Accent4 14 5 3" xfId="21616" xr:uid="{00000000-0005-0000-0000-00001C170000}"/>
    <cellStyle name="20% - Accent4 14 5 3 2" xfId="45448" xr:uid="{19CFFE20-88EF-4BCC-A43C-25A9BB90A5C2}"/>
    <cellStyle name="20% - Accent4 14 5 4" xfId="29570" xr:uid="{DBBBA0B2-EA7F-485F-B254-54B5E1F5DF8E}"/>
    <cellStyle name="20% - Accent4 14 6" xfId="9237" xr:uid="{00000000-0005-0000-0000-00001D170000}"/>
    <cellStyle name="20% - Accent4 14 6 2" xfId="17195" xr:uid="{00000000-0005-0000-0000-00001E170000}"/>
    <cellStyle name="20% - Accent4 14 6 2 2" xfId="41035" xr:uid="{1A8B8A87-9158-4897-93CA-002D0169D5BE}"/>
    <cellStyle name="20% - Accent4 14 6 3" xfId="25139" xr:uid="{00000000-0005-0000-0000-00001F170000}"/>
    <cellStyle name="20% - Accent4 14 6 3 2" xfId="48971" xr:uid="{46F47240-899E-415F-A01F-DB94AC2CC264}"/>
    <cellStyle name="20% - Accent4 14 6 4" xfId="33094" xr:uid="{30CD99CF-1150-46D6-999D-55556EE84E51}"/>
    <cellStyle name="20% - Accent4 14 7" xfId="10133" xr:uid="{00000000-0005-0000-0000-000020170000}"/>
    <cellStyle name="20% - Accent4 14 7 2" xfId="33982" xr:uid="{95139D4A-DE7E-4511-A7D0-A6E5A093EB00}"/>
    <cellStyle name="20% - Accent4 14 8" xfId="18088" xr:uid="{00000000-0005-0000-0000-000021170000}"/>
    <cellStyle name="20% - Accent4 14 8 2" xfId="41920" xr:uid="{3AABBC34-758F-405F-81F3-9BD6DF31D8CC}"/>
    <cellStyle name="20% - Accent4 14 9" xfId="26040" xr:uid="{3E8DC8F9-024B-45F8-840E-779CCE601BA0}"/>
    <cellStyle name="20% - Accent4 14_Exh G" xfId="2338" xr:uid="{00000000-0005-0000-0000-000022170000}"/>
    <cellStyle name="20% - Accent4 15" xfId="193" xr:uid="{00000000-0005-0000-0000-000023170000}"/>
    <cellStyle name="20% - Accent4 15 2" xfId="1219" xr:uid="{00000000-0005-0000-0000-000024170000}"/>
    <cellStyle name="20% - Accent4 15 2 2" xfId="4746" xr:uid="{00000000-0005-0000-0000-000025170000}"/>
    <cellStyle name="20% - Accent4 15 2 2 2" xfId="8337" xr:uid="{00000000-0005-0000-0000-000026170000}"/>
    <cellStyle name="20% - Accent4 15 2 2 2 2" xfId="16307" xr:uid="{00000000-0005-0000-0000-000027170000}"/>
    <cellStyle name="20% - Accent4 15 2 2 2 2 2" xfId="40149" xr:uid="{989074A1-F261-4600-A8CE-3574BF960507}"/>
    <cellStyle name="20% - Accent4 15 2 2 2 3" xfId="24253" xr:uid="{00000000-0005-0000-0000-000028170000}"/>
    <cellStyle name="20% - Accent4 15 2 2 2 3 2" xfId="48085" xr:uid="{6BC15B6C-3687-4954-B86B-0C4BE72314C0}"/>
    <cellStyle name="20% - Accent4 15 2 2 2 4" xfId="32208" xr:uid="{9BC06D1E-8891-4C2B-A84C-24E7901D7BD2}"/>
    <cellStyle name="20% - Accent4 15 2 2 3" xfId="12769" xr:uid="{00000000-0005-0000-0000-000029170000}"/>
    <cellStyle name="20% - Accent4 15 2 2 3 2" xfId="36618" xr:uid="{EC4CEB87-6773-4141-A24E-0946E9BA4FA5}"/>
    <cellStyle name="20% - Accent4 15 2 2 4" xfId="20724" xr:uid="{00000000-0005-0000-0000-00002A170000}"/>
    <cellStyle name="20% - Accent4 15 2 2 4 2" xfId="44556" xr:uid="{EBEC06D7-27C5-4C00-93C6-6BDC5FF51AC2}"/>
    <cellStyle name="20% - Accent4 15 2 2 5" xfId="28677" xr:uid="{DF885BA2-61F8-41E1-B4C3-DDF522C05C03}"/>
    <cellStyle name="20% - Accent4 15 2 3" xfId="6578" xr:uid="{00000000-0005-0000-0000-00002B170000}"/>
    <cellStyle name="20% - Accent4 15 2 3 2" xfId="14549" xr:uid="{00000000-0005-0000-0000-00002C170000}"/>
    <cellStyle name="20% - Accent4 15 2 3 2 2" xfId="38391" xr:uid="{9C0634E1-6A94-469C-A84F-97B88F28BAFA}"/>
    <cellStyle name="20% - Accent4 15 2 3 3" xfId="22496" xr:uid="{00000000-0005-0000-0000-00002D170000}"/>
    <cellStyle name="20% - Accent4 15 2 3 3 2" xfId="46328" xr:uid="{2DFCAB1B-4B6F-4B86-B724-12F872EE6D41}"/>
    <cellStyle name="20% - Accent4 15 2 3 4" xfId="30450" xr:uid="{9DF45BDB-C2F5-41B3-8DD2-B2890D639D12}"/>
    <cellStyle name="20% - Accent4 15 2 4" xfId="11013" xr:uid="{00000000-0005-0000-0000-00002E170000}"/>
    <cellStyle name="20% - Accent4 15 2 4 2" xfId="34862" xr:uid="{CDBC5F66-56F6-4B01-AF26-0095489ED651}"/>
    <cellStyle name="20% - Accent4 15 2 5" xfId="18968" xr:uid="{00000000-0005-0000-0000-00002F170000}"/>
    <cellStyle name="20% - Accent4 15 2 5 2" xfId="42800" xr:uid="{9F99904C-89CF-44A6-816B-FEC0DD68E183}"/>
    <cellStyle name="20% - Accent4 15 2 6" xfId="26920" xr:uid="{C61A2DB6-8B0D-4B6A-921B-FC234368EDF1}"/>
    <cellStyle name="20% - Accent4 15 2_Exh G" xfId="2343" xr:uid="{00000000-0005-0000-0000-000030170000}"/>
    <cellStyle name="20% - Accent4 15 3" xfId="3867" xr:uid="{00000000-0005-0000-0000-000031170000}"/>
    <cellStyle name="20% - Accent4 15 3 2" xfId="7459" xr:uid="{00000000-0005-0000-0000-000032170000}"/>
    <cellStyle name="20% - Accent4 15 3 2 2" xfId="15429" xr:uid="{00000000-0005-0000-0000-000033170000}"/>
    <cellStyle name="20% - Accent4 15 3 2 2 2" xfId="39271" xr:uid="{F65F53FD-4942-4E08-BFEE-51E2C9A1C876}"/>
    <cellStyle name="20% - Accent4 15 3 2 3" xfId="23375" xr:uid="{00000000-0005-0000-0000-000034170000}"/>
    <cellStyle name="20% - Accent4 15 3 2 3 2" xfId="47207" xr:uid="{E7BCC480-CE96-4537-A4C0-6C65D060E57D}"/>
    <cellStyle name="20% - Accent4 15 3 2 4" xfId="31330" xr:uid="{93169730-431E-4173-9CE7-D0A744BA614A}"/>
    <cellStyle name="20% - Accent4 15 3 3" xfId="11891" xr:uid="{00000000-0005-0000-0000-000035170000}"/>
    <cellStyle name="20% - Accent4 15 3 3 2" xfId="35740" xr:uid="{F0D7CC91-7917-456D-904C-2EEF1F6CA42C}"/>
    <cellStyle name="20% - Accent4 15 3 4" xfId="19846" xr:uid="{00000000-0005-0000-0000-000036170000}"/>
    <cellStyle name="20% - Accent4 15 3 4 2" xfId="43678" xr:uid="{B7CA0CE2-5827-41E5-B231-730CC2FDEA61}"/>
    <cellStyle name="20% - Accent4 15 3 5" xfId="27799" xr:uid="{327C44DA-EA47-4F06-9E44-F2AD0E3051D9}"/>
    <cellStyle name="20% - Accent4 15 4" xfId="5687" xr:uid="{00000000-0005-0000-0000-000037170000}"/>
    <cellStyle name="20% - Accent4 15 4 2" xfId="13670" xr:uid="{00000000-0005-0000-0000-000038170000}"/>
    <cellStyle name="20% - Accent4 15 4 2 2" xfId="37513" xr:uid="{EA388CB9-7207-4BDE-BBB6-1DA8CBA71A6E}"/>
    <cellStyle name="20% - Accent4 15 4 3" xfId="21618" xr:uid="{00000000-0005-0000-0000-000039170000}"/>
    <cellStyle name="20% - Accent4 15 4 3 2" xfId="45450" xr:uid="{A7C0C54F-EC9D-4353-97F1-ACB0D48FB975}"/>
    <cellStyle name="20% - Accent4 15 4 4" xfId="29572" xr:uid="{F7B13615-49B4-4718-9A95-A16244C3BDB0}"/>
    <cellStyle name="20% - Accent4 15 5" xfId="9239" xr:uid="{00000000-0005-0000-0000-00003A170000}"/>
    <cellStyle name="20% - Accent4 15 5 2" xfId="17197" xr:uid="{00000000-0005-0000-0000-00003B170000}"/>
    <cellStyle name="20% - Accent4 15 5 2 2" xfId="41037" xr:uid="{61B90E74-A252-4BC6-A86E-B93BE49A8E0A}"/>
    <cellStyle name="20% - Accent4 15 5 3" xfId="25141" xr:uid="{00000000-0005-0000-0000-00003C170000}"/>
    <cellStyle name="20% - Accent4 15 5 3 2" xfId="48973" xr:uid="{96D9BE28-55FC-4109-A3FC-ADE518747308}"/>
    <cellStyle name="20% - Accent4 15 5 4" xfId="33096" xr:uid="{FE1AE523-1051-4725-8728-AFE6D1E5D55B}"/>
    <cellStyle name="20% - Accent4 15 6" xfId="10135" xr:uid="{00000000-0005-0000-0000-00003D170000}"/>
    <cellStyle name="20% - Accent4 15 6 2" xfId="33984" xr:uid="{ADC246E7-2171-471C-96B1-A278E9AFBDDD}"/>
    <cellStyle name="20% - Accent4 15 7" xfId="18090" xr:uid="{00000000-0005-0000-0000-00003E170000}"/>
    <cellStyle name="20% - Accent4 15 7 2" xfId="41922" xr:uid="{BADE1D0D-7E90-492C-8509-C4D21AF13FF4}"/>
    <cellStyle name="20% - Accent4 15 8" xfId="26042" xr:uid="{D1283B97-7871-4CF8-BD35-14417B9BF528}"/>
    <cellStyle name="20% - Accent4 15_Exh G" xfId="2342" xr:uid="{00000000-0005-0000-0000-00003F170000}"/>
    <cellStyle name="20% - Accent4 16" xfId="843" xr:uid="{00000000-0005-0000-0000-000040170000}"/>
    <cellStyle name="20% - Accent4 16 2" xfId="1778" xr:uid="{00000000-0005-0000-0000-000041170000}"/>
    <cellStyle name="20% - Accent4 16 2 2" xfId="5298" xr:uid="{00000000-0005-0000-0000-000042170000}"/>
    <cellStyle name="20% - Accent4 16 2 2 2" xfId="8889" xr:uid="{00000000-0005-0000-0000-000043170000}"/>
    <cellStyle name="20% - Accent4 16 2 2 2 2" xfId="16859" xr:uid="{00000000-0005-0000-0000-000044170000}"/>
    <cellStyle name="20% - Accent4 16 2 2 2 2 2" xfId="40701" xr:uid="{F137ADA0-C888-45A7-9170-9C42AD3A8143}"/>
    <cellStyle name="20% - Accent4 16 2 2 2 3" xfId="24805" xr:uid="{00000000-0005-0000-0000-000045170000}"/>
    <cellStyle name="20% - Accent4 16 2 2 2 3 2" xfId="48637" xr:uid="{55D11711-46AD-4FCD-ADC9-A83F018D342D}"/>
    <cellStyle name="20% - Accent4 16 2 2 2 4" xfId="32760" xr:uid="{65CD79EB-4795-4673-97BA-28F5E509FB33}"/>
    <cellStyle name="20% - Accent4 16 2 2 3" xfId="13321" xr:uid="{00000000-0005-0000-0000-000046170000}"/>
    <cellStyle name="20% - Accent4 16 2 2 3 2" xfId="37170" xr:uid="{E60670D0-E343-426B-BD4C-4B6EDCCECA3C}"/>
    <cellStyle name="20% - Accent4 16 2 2 4" xfId="21276" xr:uid="{00000000-0005-0000-0000-000047170000}"/>
    <cellStyle name="20% - Accent4 16 2 2 4 2" xfId="45108" xr:uid="{9A538044-39F2-4500-AB23-F3021051946C}"/>
    <cellStyle name="20% - Accent4 16 2 2 5" xfId="29229" xr:uid="{4551AB6C-5CAF-4A4F-AE33-3561B27C75E9}"/>
    <cellStyle name="20% - Accent4 16 2 3" xfId="7130" xr:uid="{00000000-0005-0000-0000-000048170000}"/>
    <cellStyle name="20% - Accent4 16 2 3 2" xfId="15101" xr:uid="{00000000-0005-0000-0000-000049170000}"/>
    <cellStyle name="20% - Accent4 16 2 3 2 2" xfId="38943" xr:uid="{970DB323-39D4-4FA5-A36E-D3F8374C5FD7}"/>
    <cellStyle name="20% - Accent4 16 2 3 3" xfId="23048" xr:uid="{00000000-0005-0000-0000-00004A170000}"/>
    <cellStyle name="20% - Accent4 16 2 3 3 2" xfId="46880" xr:uid="{054030E9-6C1E-4743-B02F-AEF334C6D239}"/>
    <cellStyle name="20% - Accent4 16 2 3 4" xfId="31002" xr:uid="{1ECCBA5F-E463-48E8-B445-C491EA4272AC}"/>
    <cellStyle name="20% - Accent4 16 2 4" xfId="11565" xr:uid="{00000000-0005-0000-0000-00004B170000}"/>
    <cellStyle name="20% - Accent4 16 2 4 2" xfId="35414" xr:uid="{E7DCE463-44E5-4D51-9F07-1EE496DAD930}"/>
    <cellStyle name="20% - Accent4 16 2 5" xfId="19520" xr:uid="{00000000-0005-0000-0000-00004C170000}"/>
    <cellStyle name="20% - Accent4 16 2 5 2" xfId="43352" xr:uid="{5BC5D26D-0C9E-4854-8D15-C11D5AF11E4C}"/>
    <cellStyle name="20% - Accent4 16 2 6" xfId="27472" xr:uid="{E51F6549-8DF3-450B-9132-1AC9146D0F8E}"/>
    <cellStyle name="20% - Accent4 16 2_Exh G" xfId="2345" xr:uid="{00000000-0005-0000-0000-00004D170000}"/>
    <cellStyle name="20% - Accent4 16 3" xfId="4419" xr:uid="{00000000-0005-0000-0000-00004E170000}"/>
    <cellStyle name="20% - Accent4 16 3 2" xfId="8011" xr:uid="{00000000-0005-0000-0000-00004F170000}"/>
    <cellStyle name="20% - Accent4 16 3 2 2" xfId="15981" xr:uid="{00000000-0005-0000-0000-000050170000}"/>
    <cellStyle name="20% - Accent4 16 3 2 2 2" xfId="39823" xr:uid="{95B9B319-B2DD-41DA-9692-07732CDFC607}"/>
    <cellStyle name="20% - Accent4 16 3 2 3" xfId="23927" xr:uid="{00000000-0005-0000-0000-000051170000}"/>
    <cellStyle name="20% - Accent4 16 3 2 3 2" xfId="47759" xr:uid="{6F80BE8C-F24B-4537-8C1D-FA347C24FDB8}"/>
    <cellStyle name="20% - Accent4 16 3 2 4" xfId="31882" xr:uid="{36E05F18-E447-414C-9A2A-F30A53A5AF77}"/>
    <cellStyle name="20% - Accent4 16 3 3" xfId="12443" xr:uid="{00000000-0005-0000-0000-000052170000}"/>
    <cellStyle name="20% - Accent4 16 3 3 2" xfId="36292" xr:uid="{29E7A8F5-4F5E-44C9-AC9B-C376EC0DC428}"/>
    <cellStyle name="20% - Accent4 16 3 4" xfId="20398" xr:uid="{00000000-0005-0000-0000-000053170000}"/>
    <cellStyle name="20% - Accent4 16 3 4 2" xfId="44230" xr:uid="{0D35CB14-3E66-4794-8560-535D327DA903}"/>
    <cellStyle name="20% - Accent4 16 3 5" xfId="28351" xr:uid="{8AA19283-E416-42C4-916C-CAECA3CBF613}"/>
    <cellStyle name="20% - Accent4 16 4" xfId="6249" xr:uid="{00000000-0005-0000-0000-000054170000}"/>
    <cellStyle name="20% - Accent4 16 4 2" xfId="14223" xr:uid="{00000000-0005-0000-0000-000055170000}"/>
    <cellStyle name="20% - Accent4 16 4 2 2" xfId="38065" xr:uid="{2E851126-EA59-41B8-BBEC-80359B690313}"/>
    <cellStyle name="20% - Accent4 16 4 3" xfId="22170" xr:uid="{00000000-0005-0000-0000-000056170000}"/>
    <cellStyle name="20% - Accent4 16 4 3 2" xfId="46002" xr:uid="{CBA17560-3F1F-40B4-A1F7-A7765EEEE483}"/>
    <cellStyle name="20% - Accent4 16 4 4" xfId="30124" xr:uid="{4786A4CF-2DE4-459E-9B9E-4C59CD214542}"/>
    <cellStyle name="20% - Accent4 16 5" xfId="9791" xr:uid="{00000000-0005-0000-0000-000057170000}"/>
    <cellStyle name="20% - Accent4 16 5 2" xfId="17749" xr:uid="{00000000-0005-0000-0000-000058170000}"/>
    <cellStyle name="20% - Accent4 16 5 2 2" xfId="41589" xr:uid="{FB78A3B1-E949-41E8-AEF6-716834A3A70A}"/>
    <cellStyle name="20% - Accent4 16 5 3" xfId="25693" xr:uid="{00000000-0005-0000-0000-000059170000}"/>
    <cellStyle name="20% - Accent4 16 5 3 2" xfId="49525" xr:uid="{215AE99F-E6D7-4E93-8E35-492FEDCFD8BD}"/>
    <cellStyle name="20% - Accent4 16 5 4" xfId="33648" xr:uid="{78952F3D-7208-4073-9EC3-8008B71390F3}"/>
    <cellStyle name="20% - Accent4 16 6" xfId="10687" xr:uid="{00000000-0005-0000-0000-00005A170000}"/>
    <cellStyle name="20% - Accent4 16 6 2" xfId="34536" xr:uid="{BABD544C-ED19-421F-9A01-0E317EF3C38C}"/>
    <cellStyle name="20% - Accent4 16 7" xfId="18642" xr:uid="{00000000-0005-0000-0000-00005B170000}"/>
    <cellStyle name="20% - Accent4 16 7 2" xfId="42474" xr:uid="{8095F00B-5331-4BF7-8A86-C56165B76D74}"/>
    <cellStyle name="20% - Accent4 16 8" xfId="26594" xr:uid="{8F243F6F-702D-4258-A63B-8FCC91F643EC}"/>
    <cellStyle name="20% - Accent4 16_Exh G" xfId="2344" xr:uid="{00000000-0005-0000-0000-00005C170000}"/>
    <cellStyle name="20% - Accent4 17" xfId="49789" xr:uid="{A3501623-C8C2-484F-8D1E-F1490D9A75DE}"/>
    <cellStyle name="20% - Accent4 18" xfId="49829" xr:uid="{6A018B24-7192-4500-A593-FB594C4ADE11}"/>
    <cellStyle name="20% - Accent4 2" xfId="194" xr:uid="{00000000-0005-0000-0000-00005D170000}"/>
    <cellStyle name="20% - Accent4 2 10" xfId="18091" xr:uid="{00000000-0005-0000-0000-00005E170000}"/>
    <cellStyle name="20% - Accent4 2 10 2" xfId="41923" xr:uid="{CB52BEBC-5CC3-45DE-BA66-96418013B0F3}"/>
    <cellStyle name="20% - Accent4 2 11" xfId="26043" xr:uid="{30CF67D0-D4A9-47C7-B828-319DE0D0C45E}"/>
    <cellStyle name="20% - Accent4 2 12" xfId="49774" xr:uid="{EFEC892A-EA61-455C-B0F7-D0FEFE212ADF}"/>
    <cellStyle name="20% - Accent4 2 13" xfId="49802" xr:uid="{1F55978E-94B2-40ED-B708-93BCE7F77B75}"/>
    <cellStyle name="20% - Accent4 2 14" xfId="49843" xr:uid="{BDD705F9-D2E7-481E-9F24-9D6CB17DA704}"/>
    <cellStyle name="20% - Accent4 2 2" xfId="195" xr:uid="{00000000-0005-0000-0000-00005F170000}"/>
    <cellStyle name="20% - Accent4 2 2 10" xfId="26044" xr:uid="{BA715756-92D4-45B8-8527-D3C1CA93EE88}"/>
    <cellStyle name="20% - Accent4 2 2 2" xfId="196" xr:uid="{00000000-0005-0000-0000-000060170000}"/>
    <cellStyle name="20% - Accent4 2 2 2 2" xfId="1222" xr:uid="{00000000-0005-0000-0000-000061170000}"/>
    <cellStyle name="20% - Accent4 2 2 2 2 2" xfId="4749" xr:uid="{00000000-0005-0000-0000-000062170000}"/>
    <cellStyle name="20% - Accent4 2 2 2 2 2 2" xfId="8340" xr:uid="{00000000-0005-0000-0000-000063170000}"/>
    <cellStyle name="20% - Accent4 2 2 2 2 2 2 2" xfId="16310" xr:uid="{00000000-0005-0000-0000-000064170000}"/>
    <cellStyle name="20% - Accent4 2 2 2 2 2 2 2 2" xfId="40152" xr:uid="{EAEB31A5-D1C9-4676-9FC5-FD088F13B903}"/>
    <cellStyle name="20% - Accent4 2 2 2 2 2 2 3" xfId="24256" xr:uid="{00000000-0005-0000-0000-000065170000}"/>
    <cellStyle name="20% - Accent4 2 2 2 2 2 2 3 2" xfId="48088" xr:uid="{E1158F46-8CC2-44B3-9F0D-551C6B5A9D4D}"/>
    <cellStyle name="20% - Accent4 2 2 2 2 2 2 4" xfId="32211" xr:uid="{7FF72CDA-FCDA-47EC-85DB-8013A9B0F6FF}"/>
    <cellStyle name="20% - Accent4 2 2 2 2 2 3" xfId="12772" xr:uid="{00000000-0005-0000-0000-000066170000}"/>
    <cellStyle name="20% - Accent4 2 2 2 2 2 3 2" xfId="36621" xr:uid="{85AA059A-4132-4C65-9919-D4268D9D0766}"/>
    <cellStyle name="20% - Accent4 2 2 2 2 2 4" xfId="20727" xr:uid="{00000000-0005-0000-0000-000067170000}"/>
    <cellStyle name="20% - Accent4 2 2 2 2 2 4 2" xfId="44559" xr:uid="{5FD00FAA-9107-432B-AD19-ABBC88A50A2C}"/>
    <cellStyle name="20% - Accent4 2 2 2 2 2 5" xfId="28680" xr:uid="{0EB94025-24B1-4BFE-BDF9-3A414DD06E47}"/>
    <cellStyle name="20% - Accent4 2 2 2 2 3" xfId="6581" xr:uid="{00000000-0005-0000-0000-000068170000}"/>
    <cellStyle name="20% - Accent4 2 2 2 2 3 2" xfId="14552" xr:uid="{00000000-0005-0000-0000-000069170000}"/>
    <cellStyle name="20% - Accent4 2 2 2 2 3 2 2" xfId="38394" xr:uid="{35EF343B-66CF-42D8-B981-636D1FE9449B}"/>
    <cellStyle name="20% - Accent4 2 2 2 2 3 3" xfId="22499" xr:uid="{00000000-0005-0000-0000-00006A170000}"/>
    <cellStyle name="20% - Accent4 2 2 2 2 3 3 2" xfId="46331" xr:uid="{D288FCEB-3558-454E-8ABA-8E1926A247F2}"/>
    <cellStyle name="20% - Accent4 2 2 2 2 3 4" xfId="30453" xr:uid="{D8137F13-0242-4B9E-8A84-A4274AFBAC38}"/>
    <cellStyle name="20% - Accent4 2 2 2 2 4" xfId="11016" xr:uid="{00000000-0005-0000-0000-00006B170000}"/>
    <cellStyle name="20% - Accent4 2 2 2 2 4 2" xfId="34865" xr:uid="{06C5E298-BFBA-48A1-B131-463FF0F5F5C2}"/>
    <cellStyle name="20% - Accent4 2 2 2 2 5" xfId="18971" xr:uid="{00000000-0005-0000-0000-00006C170000}"/>
    <cellStyle name="20% - Accent4 2 2 2 2 5 2" xfId="42803" xr:uid="{FB8CC742-9C99-4E66-B30A-B8F2A9EADE05}"/>
    <cellStyle name="20% - Accent4 2 2 2 2 6" xfId="26923" xr:uid="{539D815E-593A-4D44-9A71-C7CE22952752}"/>
    <cellStyle name="20% - Accent4 2 2 2 2_Exh G" xfId="2349" xr:uid="{00000000-0005-0000-0000-00006D170000}"/>
    <cellStyle name="20% - Accent4 2 2 2 3" xfId="3870" xr:uid="{00000000-0005-0000-0000-00006E170000}"/>
    <cellStyle name="20% - Accent4 2 2 2 3 2" xfId="7462" xr:uid="{00000000-0005-0000-0000-00006F170000}"/>
    <cellStyle name="20% - Accent4 2 2 2 3 2 2" xfId="15432" xr:uid="{00000000-0005-0000-0000-000070170000}"/>
    <cellStyle name="20% - Accent4 2 2 2 3 2 2 2" xfId="39274" xr:uid="{E7690FAE-A223-4167-8A5D-415194C6E582}"/>
    <cellStyle name="20% - Accent4 2 2 2 3 2 3" xfId="23378" xr:uid="{00000000-0005-0000-0000-000071170000}"/>
    <cellStyle name="20% - Accent4 2 2 2 3 2 3 2" xfId="47210" xr:uid="{8903D47C-8FAD-474A-A86B-DB1EEB3A96B1}"/>
    <cellStyle name="20% - Accent4 2 2 2 3 2 4" xfId="31333" xr:uid="{38D40906-69B7-4BDF-8377-93EF6FDCB9B0}"/>
    <cellStyle name="20% - Accent4 2 2 2 3 3" xfId="11894" xr:uid="{00000000-0005-0000-0000-000072170000}"/>
    <cellStyle name="20% - Accent4 2 2 2 3 3 2" xfId="35743" xr:uid="{F0697F26-C651-431D-9CF0-8C9FBF6811C9}"/>
    <cellStyle name="20% - Accent4 2 2 2 3 4" xfId="19849" xr:uid="{00000000-0005-0000-0000-000073170000}"/>
    <cellStyle name="20% - Accent4 2 2 2 3 4 2" xfId="43681" xr:uid="{F1C2C5FB-6831-4AD3-85B9-E56B9E0889FF}"/>
    <cellStyle name="20% - Accent4 2 2 2 3 5" xfId="27802" xr:uid="{CFE1F9A5-903F-403F-977D-EC1AC830E9EF}"/>
    <cellStyle name="20% - Accent4 2 2 2 4" xfId="5690" xr:uid="{00000000-0005-0000-0000-000074170000}"/>
    <cellStyle name="20% - Accent4 2 2 2 4 2" xfId="13673" xr:uid="{00000000-0005-0000-0000-000075170000}"/>
    <cellStyle name="20% - Accent4 2 2 2 4 2 2" xfId="37516" xr:uid="{67BB0CCE-B1A0-4520-B377-47B87BFEDB44}"/>
    <cellStyle name="20% - Accent4 2 2 2 4 3" xfId="21621" xr:uid="{00000000-0005-0000-0000-000076170000}"/>
    <cellStyle name="20% - Accent4 2 2 2 4 3 2" xfId="45453" xr:uid="{196AB59F-64CF-4EE5-BB2B-9B5802FB18B7}"/>
    <cellStyle name="20% - Accent4 2 2 2 4 4" xfId="29575" xr:uid="{61BE72BB-EAF4-48F1-B6FE-95035D8922C1}"/>
    <cellStyle name="20% - Accent4 2 2 2 5" xfId="9242" xr:uid="{00000000-0005-0000-0000-000077170000}"/>
    <cellStyle name="20% - Accent4 2 2 2 5 2" xfId="17200" xr:uid="{00000000-0005-0000-0000-000078170000}"/>
    <cellStyle name="20% - Accent4 2 2 2 5 2 2" xfId="41040" xr:uid="{1C0924EF-522E-4C26-887B-24BE62F82356}"/>
    <cellStyle name="20% - Accent4 2 2 2 5 3" xfId="25144" xr:uid="{00000000-0005-0000-0000-000079170000}"/>
    <cellStyle name="20% - Accent4 2 2 2 5 3 2" xfId="48976" xr:uid="{C698AC9C-A77F-4DE2-B5A2-4C1B70FF62FB}"/>
    <cellStyle name="20% - Accent4 2 2 2 5 4" xfId="33099" xr:uid="{6B4B839D-783F-4F73-91B4-2E35D10FC1A0}"/>
    <cellStyle name="20% - Accent4 2 2 2 6" xfId="10138" xr:uid="{00000000-0005-0000-0000-00007A170000}"/>
    <cellStyle name="20% - Accent4 2 2 2 6 2" xfId="33987" xr:uid="{033836CC-741F-4245-A849-D54D8E238DD0}"/>
    <cellStyle name="20% - Accent4 2 2 2 7" xfId="18093" xr:uid="{00000000-0005-0000-0000-00007B170000}"/>
    <cellStyle name="20% - Accent4 2 2 2 7 2" xfId="41925" xr:uid="{74D9BF60-16EC-490F-ADC9-9D56DA556B23}"/>
    <cellStyle name="20% - Accent4 2 2 2 8" xfId="26045" xr:uid="{A39D4093-CACD-4C0D-B784-68BE037521C1}"/>
    <cellStyle name="20% - Accent4 2 2 2_Exh G" xfId="2348" xr:uid="{00000000-0005-0000-0000-00007C170000}"/>
    <cellStyle name="20% - Accent4 2 2 3" xfId="897" xr:uid="{00000000-0005-0000-0000-00007D170000}"/>
    <cellStyle name="20% - Accent4 2 2 3 2" xfId="1823" xr:uid="{00000000-0005-0000-0000-00007E170000}"/>
    <cellStyle name="20% - Accent4 2 2 3 2 2" xfId="5340" xr:uid="{00000000-0005-0000-0000-00007F170000}"/>
    <cellStyle name="20% - Accent4 2 2 3 2 2 2" xfId="8931" xr:uid="{00000000-0005-0000-0000-000080170000}"/>
    <cellStyle name="20% - Accent4 2 2 3 2 2 2 2" xfId="16901" xr:uid="{00000000-0005-0000-0000-000081170000}"/>
    <cellStyle name="20% - Accent4 2 2 3 2 2 2 2 2" xfId="40743" xr:uid="{81705839-7991-45E5-9789-9F492B65C3F3}"/>
    <cellStyle name="20% - Accent4 2 2 3 2 2 2 3" xfId="24847" xr:uid="{00000000-0005-0000-0000-000082170000}"/>
    <cellStyle name="20% - Accent4 2 2 3 2 2 2 3 2" xfId="48679" xr:uid="{C0229657-C043-4740-8B25-EB1AABC77124}"/>
    <cellStyle name="20% - Accent4 2 2 3 2 2 2 4" xfId="32802" xr:uid="{A6280398-8A45-4647-80E9-2B6CD600E2DA}"/>
    <cellStyle name="20% - Accent4 2 2 3 2 2 3" xfId="13363" xr:uid="{00000000-0005-0000-0000-000083170000}"/>
    <cellStyle name="20% - Accent4 2 2 3 2 2 3 2" xfId="37212" xr:uid="{9B42E893-CE5B-4CF2-8B1F-C20A49E2B9AC}"/>
    <cellStyle name="20% - Accent4 2 2 3 2 2 4" xfId="21318" xr:uid="{00000000-0005-0000-0000-000084170000}"/>
    <cellStyle name="20% - Accent4 2 2 3 2 2 4 2" xfId="45150" xr:uid="{0205325A-FC04-426F-9218-2017080AAEB5}"/>
    <cellStyle name="20% - Accent4 2 2 3 2 2 5" xfId="29271" xr:uid="{24075E4F-268F-4148-9557-6F95D8B18322}"/>
    <cellStyle name="20% - Accent4 2 2 3 2 3" xfId="7172" xr:uid="{00000000-0005-0000-0000-000085170000}"/>
    <cellStyle name="20% - Accent4 2 2 3 2 3 2" xfId="15143" xr:uid="{00000000-0005-0000-0000-000086170000}"/>
    <cellStyle name="20% - Accent4 2 2 3 2 3 2 2" xfId="38985" xr:uid="{128A7981-2073-4A31-A1D5-1F50FADA54C4}"/>
    <cellStyle name="20% - Accent4 2 2 3 2 3 3" xfId="23090" xr:uid="{00000000-0005-0000-0000-000087170000}"/>
    <cellStyle name="20% - Accent4 2 2 3 2 3 3 2" xfId="46922" xr:uid="{97AEC2DC-3AEC-4C62-8E6D-E9C8B646CAEA}"/>
    <cellStyle name="20% - Accent4 2 2 3 2 3 4" xfId="31044" xr:uid="{444776EF-061C-4257-9345-C1159A6EA85F}"/>
    <cellStyle name="20% - Accent4 2 2 3 2 4" xfId="11607" xr:uid="{00000000-0005-0000-0000-000088170000}"/>
    <cellStyle name="20% - Accent4 2 2 3 2 4 2" xfId="35456" xr:uid="{F19D0D50-7C04-4D21-9B21-CFAEAFBA82FC}"/>
    <cellStyle name="20% - Accent4 2 2 3 2 5" xfId="19562" xr:uid="{00000000-0005-0000-0000-000089170000}"/>
    <cellStyle name="20% - Accent4 2 2 3 2 5 2" xfId="43394" xr:uid="{D4BB04FC-8E62-4E1C-8BD4-39B94C76B4B5}"/>
    <cellStyle name="20% - Accent4 2 2 3 2 6" xfId="27514" xr:uid="{2B8933B1-D8E6-4806-96B6-C02FC94EFE59}"/>
    <cellStyle name="20% - Accent4 2 2 3 2_Exh G" xfId="2351" xr:uid="{00000000-0005-0000-0000-00008A170000}"/>
    <cellStyle name="20% - Accent4 2 2 3 3" xfId="4461" xr:uid="{00000000-0005-0000-0000-00008B170000}"/>
    <cellStyle name="20% - Accent4 2 2 3 3 2" xfId="8053" xr:uid="{00000000-0005-0000-0000-00008C170000}"/>
    <cellStyle name="20% - Accent4 2 2 3 3 2 2" xfId="16023" xr:uid="{00000000-0005-0000-0000-00008D170000}"/>
    <cellStyle name="20% - Accent4 2 2 3 3 2 2 2" xfId="39865" xr:uid="{2C538735-C988-4BE1-9F38-369AA5F6DC92}"/>
    <cellStyle name="20% - Accent4 2 2 3 3 2 3" xfId="23969" xr:uid="{00000000-0005-0000-0000-00008E170000}"/>
    <cellStyle name="20% - Accent4 2 2 3 3 2 3 2" xfId="47801" xr:uid="{4970337A-00EB-45BD-96DA-48960BF6AEFF}"/>
    <cellStyle name="20% - Accent4 2 2 3 3 2 4" xfId="31924" xr:uid="{3BF6054C-E4B6-4FE8-9748-AC2C84CAF3A7}"/>
    <cellStyle name="20% - Accent4 2 2 3 3 3" xfId="12485" xr:uid="{00000000-0005-0000-0000-00008F170000}"/>
    <cellStyle name="20% - Accent4 2 2 3 3 3 2" xfId="36334" xr:uid="{F5D99096-EE9A-424C-9B37-6A4357754104}"/>
    <cellStyle name="20% - Accent4 2 2 3 3 4" xfId="20440" xr:uid="{00000000-0005-0000-0000-000090170000}"/>
    <cellStyle name="20% - Accent4 2 2 3 3 4 2" xfId="44272" xr:uid="{1DF64DDB-00ED-41B7-A745-915A3F15EFDD}"/>
    <cellStyle name="20% - Accent4 2 2 3 3 5" xfId="28393" xr:uid="{F7E120AA-417A-4713-88D9-96E93DFD5FDD}"/>
    <cellStyle name="20% - Accent4 2 2 3 4" xfId="6291" xr:uid="{00000000-0005-0000-0000-000091170000}"/>
    <cellStyle name="20% - Accent4 2 2 3 4 2" xfId="14265" xr:uid="{00000000-0005-0000-0000-000092170000}"/>
    <cellStyle name="20% - Accent4 2 2 3 4 2 2" xfId="38107" xr:uid="{C5236C5D-9CDD-40C5-84C5-7E386BA6BEAC}"/>
    <cellStyle name="20% - Accent4 2 2 3 4 3" xfId="22212" xr:uid="{00000000-0005-0000-0000-000093170000}"/>
    <cellStyle name="20% - Accent4 2 2 3 4 3 2" xfId="46044" xr:uid="{C1F779A1-8362-440F-8817-7C8F24D01F93}"/>
    <cellStyle name="20% - Accent4 2 2 3 4 4" xfId="30166" xr:uid="{A28E082B-0101-4EB6-B37A-8AEE931B1A51}"/>
    <cellStyle name="20% - Accent4 2 2 3 5" xfId="9833" xr:uid="{00000000-0005-0000-0000-000094170000}"/>
    <cellStyle name="20% - Accent4 2 2 3 5 2" xfId="17791" xr:uid="{00000000-0005-0000-0000-000095170000}"/>
    <cellStyle name="20% - Accent4 2 2 3 5 2 2" xfId="41631" xr:uid="{B911CF3A-C6AA-4583-B1C6-066962674650}"/>
    <cellStyle name="20% - Accent4 2 2 3 5 3" xfId="25735" xr:uid="{00000000-0005-0000-0000-000096170000}"/>
    <cellStyle name="20% - Accent4 2 2 3 5 3 2" xfId="49567" xr:uid="{55C3EB57-EDF8-40A2-B112-5155639EF200}"/>
    <cellStyle name="20% - Accent4 2 2 3 5 4" xfId="33690" xr:uid="{37C8E50B-01F3-48D5-BDDD-DB0CC6C6134C}"/>
    <cellStyle name="20% - Accent4 2 2 3 6" xfId="10729" xr:uid="{00000000-0005-0000-0000-000097170000}"/>
    <cellStyle name="20% - Accent4 2 2 3 6 2" xfId="34578" xr:uid="{7B7F1C12-176C-4D57-B18A-901285BFFE1A}"/>
    <cellStyle name="20% - Accent4 2 2 3 7" xfId="18684" xr:uid="{00000000-0005-0000-0000-000098170000}"/>
    <cellStyle name="20% - Accent4 2 2 3 7 2" xfId="42516" xr:uid="{F599B3B9-A7FE-4E58-A5D6-DC95F6B7DFEA}"/>
    <cellStyle name="20% - Accent4 2 2 3 8" xfId="26636" xr:uid="{E2302838-B027-4AF9-A5E0-29893AF85E40}"/>
    <cellStyle name="20% - Accent4 2 2 3_Exh G" xfId="2350" xr:uid="{00000000-0005-0000-0000-000099170000}"/>
    <cellStyle name="20% - Accent4 2 2 4" xfId="1221" xr:uid="{00000000-0005-0000-0000-00009A170000}"/>
    <cellStyle name="20% - Accent4 2 2 4 2" xfId="4748" xr:uid="{00000000-0005-0000-0000-00009B170000}"/>
    <cellStyle name="20% - Accent4 2 2 4 2 2" xfId="8339" xr:uid="{00000000-0005-0000-0000-00009C170000}"/>
    <cellStyle name="20% - Accent4 2 2 4 2 2 2" xfId="16309" xr:uid="{00000000-0005-0000-0000-00009D170000}"/>
    <cellStyle name="20% - Accent4 2 2 4 2 2 2 2" xfId="40151" xr:uid="{3DE873F7-8CC0-4CE2-896E-B117E1F053B4}"/>
    <cellStyle name="20% - Accent4 2 2 4 2 2 3" xfId="24255" xr:uid="{00000000-0005-0000-0000-00009E170000}"/>
    <cellStyle name="20% - Accent4 2 2 4 2 2 3 2" xfId="48087" xr:uid="{65756777-4E21-4E52-B940-3F3FBE7C639B}"/>
    <cellStyle name="20% - Accent4 2 2 4 2 2 4" xfId="32210" xr:uid="{93808944-AB31-4046-ACF2-0A9B8D3B7E64}"/>
    <cellStyle name="20% - Accent4 2 2 4 2 3" xfId="12771" xr:uid="{00000000-0005-0000-0000-00009F170000}"/>
    <cellStyle name="20% - Accent4 2 2 4 2 3 2" xfId="36620" xr:uid="{CF60472F-5300-4202-838B-7B989B3C3F69}"/>
    <cellStyle name="20% - Accent4 2 2 4 2 4" xfId="20726" xr:uid="{00000000-0005-0000-0000-0000A0170000}"/>
    <cellStyle name="20% - Accent4 2 2 4 2 4 2" xfId="44558" xr:uid="{46C1FE31-3750-4AC6-912E-6F56C1B77D16}"/>
    <cellStyle name="20% - Accent4 2 2 4 2 5" xfId="28679" xr:uid="{35AA868D-3B95-4EA9-9E63-9FB379617442}"/>
    <cellStyle name="20% - Accent4 2 2 4 3" xfId="6580" xr:uid="{00000000-0005-0000-0000-0000A1170000}"/>
    <cellStyle name="20% - Accent4 2 2 4 3 2" xfId="14551" xr:uid="{00000000-0005-0000-0000-0000A2170000}"/>
    <cellStyle name="20% - Accent4 2 2 4 3 2 2" xfId="38393" xr:uid="{28AB7F7E-CA70-433B-A83E-7B4213F086D4}"/>
    <cellStyle name="20% - Accent4 2 2 4 3 3" xfId="22498" xr:uid="{00000000-0005-0000-0000-0000A3170000}"/>
    <cellStyle name="20% - Accent4 2 2 4 3 3 2" xfId="46330" xr:uid="{0325A4D3-E61C-47E0-A23E-193564E66523}"/>
    <cellStyle name="20% - Accent4 2 2 4 3 4" xfId="30452" xr:uid="{9AA1C9F5-92B5-48FC-859F-BB46973475E0}"/>
    <cellStyle name="20% - Accent4 2 2 4 4" xfId="11015" xr:uid="{00000000-0005-0000-0000-0000A4170000}"/>
    <cellStyle name="20% - Accent4 2 2 4 4 2" xfId="34864" xr:uid="{99B7BD67-3EFB-4082-A972-A997897152FC}"/>
    <cellStyle name="20% - Accent4 2 2 4 5" xfId="18970" xr:uid="{00000000-0005-0000-0000-0000A5170000}"/>
    <cellStyle name="20% - Accent4 2 2 4 5 2" xfId="42802" xr:uid="{D147BF5F-DCC0-4DFC-8070-D1DEA0DA98E7}"/>
    <cellStyle name="20% - Accent4 2 2 4 6" xfId="26922" xr:uid="{58226BD9-D771-4BBD-9E48-C3907388B87B}"/>
    <cellStyle name="20% - Accent4 2 2 4_Exh G" xfId="2352" xr:uid="{00000000-0005-0000-0000-0000A6170000}"/>
    <cellStyle name="20% - Accent4 2 2 5" xfId="3869" xr:uid="{00000000-0005-0000-0000-0000A7170000}"/>
    <cellStyle name="20% - Accent4 2 2 5 2" xfId="7461" xr:uid="{00000000-0005-0000-0000-0000A8170000}"/>
    <cellStyle name="20% - Accent4 2 2 5 2 2" xfId="15431" xr:uid="{00000000-0005-0000-0000-0000A9170000}"/>
    <cellStyle name="20% - Accent4 2 2 5 2 2 2" xfId="39273" xr:uid="{BAEAEED1-7536-4521-B704-990C751C2D9A}"/>
    <cellStyle name="20% - Accent4 2 2 5 2 3" xfId="23377" xr:uid="{00000000-0005-0000-0000-0000AA170000}"/>
    <cellStyle name="20% - Accent4 2 2 5 2 3 2" xfId="47209" xr:uid="{00E44BE5-C352-47AB-846E-3F2C576937D0}"/>
    <cellStyle name="20% - Accent4 2 2 5 2 4" xfId="31332" xr:uid="{FE27C434-69A2-4502-92D6-953253303118}"/>
    <cellStyle name="20% - Accent4 2 2 5 3" xfId="11893" xr:uid="{00000000-0005-0000-0000-0000AB170000}"/>
    <cellStyle name="20% - Accent4 2 2 5 3 2" xfId="35742" xr:uid="{A66011AD-DE21-4968-8E93-0589C303A561}"/>
    <cellStyle name="20% - Accent4 2 2 5 4" xfId="19848" xr:uid="{00000000-0005-0000-0000-0000AC170000}"/>
    <cellStyle name="20% - Accent4 2 2 5 4 2" xfId="43680" xr:uid="{BEBC7BEA-05D4-41E8-AC9E-A9592A47D703}"/>
    <cellStyle name="20% - Accent4 2 2 5 5" xfId="27801" xr:uid="{5D25E19F-8002-41CF-B848-B044E90AEBD4}"/>
    <cellStyle name="20% - Accent4 2 2 6" xfId="5689" xr:uid="{00000000-0005-0000-0000-0000AD170000}"/>
    <cellStyle name="20% - Accent4 2 2 6 2" xfId="13672" xr:uid="{00000000-0005-0000-0000-0000AE170000}"/>
    <cellStyle name="20% - Accent4 2 2 6 2 2" xfId="37515" xr:uid="{985182FF-6225-46A9-9380-F57EAE71E820}"/>
    <cellStyle name="20% - Accent4 2 2 6 3" xfId="21620" xr:uid="{00000000-0005-0000-0000-0000AF170000}"/>
    <cellStyle name="20% - Accent4 2 2 6 3 2" xfId="45452" xr:uid="{8B788C11-EC62-4363-971A-C416DF47069A}"/>
    <cellStyle name="20% - Accent4 2 2 6 4" xfId="29574" xr:uid="{7A37C9A6-D913-48D7-9FDE-3C189100E874}"/>
    <cellStyle name="20% - Accent4 2 2 7" xfId="9241" xr:uid="{00000000-0005-0000-0000-0000B0170000}"/>
    <cellStyle name="20% - Accent4 2 2 7 2" xfId="17199" xr:uid="{00000000-0005-0000-0000-0000B1170000}"/>
    <cellStyle name="20% - Accent4 2 2 7 2 2" xfId="41039" xr:uid="{5B2901B8-747E-4332-A7E1-5F132199E10C}"/>
    <cellStyle name="20% - Accent4 2 2 7 3" xfId="25143" xr:uid="{00000000-0005-0000-0000-0000B2170000}"/>
    <cellStyle name="20% - Accent4 2 2 7 3 2" xfId="48975" xr:uid="{B6A4E830-1225-4E92-8087-4A3B1E1FFFE3}"/>
    <cellStyle name="20% - Accent4 2 2 7 4" xfId="33098" xr:uid="{42E2955B-E3D1-4071-90D0-31CED751F251}"/>
    <cellStyle name="20% - Accent4 2 2 8" xfId="10137" xr:uid="{00000000-0005-0000-0000-0000B3170000}"/>
    <cellStyle name="20% - Accent4 2 2 8 2" xfId="33986" xr:uid="{778039E7-D279-4544-BD3F-752434B1CBF6}"/>
    <cellStyle name="20% - Accent4 2 2 9" xfId="18092" xr:uid="{00000000-0005-0000-0000-0000B4170000}"/>
    <cellStyle name="20% - Accent4 2 2 9 2" xfId="41924" xr:uid="{C311BF55-2F6A-4560-99D2-CD4FE946587B}"/>
    <cellStyle name="20% - Accent4 2 2_Exh G" xfId="2347" xr:uid="{00000000-0005-0000-0000-0000B5170000}"/>
    <cellStyle name="20% - Accent4 2 3" xfId="197" xr:uid="{00000000-0005-0000-0000-0000B6170000}"/>
    <cellStyle name="20% - Accent4 2 3 2" xfId="1223" xr:uid="{00000000-0005-0000-0000-0000B7170000}"/>
    <cellStyle name="20% - Accent4 2 3 2 2" xfId="4750" xr:uid="{00000000-0005-0000-0000-0000B8170000}"/>
    <cellStyle name="20% - Accent4 2 3 2 2 2" xfId="8341" xr:uid="{00000000-0005-0000-0000-0000B9170000}"/>
    <cellStyle name="20% - Accent4 2 3 2 2 2 2" xfId="16311" xr:uid="{00000000-0005-0000-0000-0000BA170000}"/>
    <cellStyle name="20% - Accent4 2 3 2 2 2 2 2" xfId="40153" xr:uid="{4624DF0C-183B-4BB9-8788-CF43F166B852}"/>
    <cellStyle name="20% - Accent4 2 3 2 2 2 3" xfId="24257" xr:uid="{00000000-0005-0000-0000-0000BB170000}"/>
    <cellStyle name="20% - Accent4 2 3 2 2 2 3 2" xfId="48089" xr:uid="{9D42FC55-8AE1-45A2-A7AB-3FA9E51061B8}"/>
    <cellStyle name="20% - Accent4 2 3 2 2 2 4" xfId="32212" xr:uid="{5738710B-D389-445E-A4A8-6D7D997BB607}"/>
    <cellStyle name="20% - Accent4 2 3 2 2 3" xfId="12773" xr:uid="{00000000-0005-0000-0000-0000BC170000}"/>
    <cellStyle name="20% - Accent4 2 3 2 2 3 2" xfId="36622" xr:uid="{806853C9-153C-48E8-B2F9-E87D1CC2D747}"/>
    <cellStyle name="20% - Accent4 2 3 2 2 4" xfId="20728" xr:uid="{00000000-0005-0000-0000-0000BD170000}"/>
    <cellStyle name="20% - Accent4 2 3 2 2 4 2" xfId="44560" xr:uid="{6B69F587-7CA3-4A07-9FD1-E50AEDE965BD}"/>
    <cellStyle name="20% - Accent4 2 3 2 2 5" xfId="28681" xr:uid="{A7B69231-345F-4A5F-AA6D-F0801B3095D5}"/>
    <cellStyle name="20% - Accent4 2 3 2 3" xfId="6582" xr:uid="{00000000-0005-0000-0000-0000BE170000}"/>
    <cellStyle name="20% - Accent4 2 3 2 3 2" xfId="14553" xr:uid="{00000000-0005-0000-0000-0000BF170000}"/>
    <cellStyle name="20% - Accent4 2 3 2 3 2 2" xfId="38395" xr:uid="{BFC885FD-2DFA-4CD4-B451-A66513D6FF20}"/>
    <cellStyle name="20% - Accent4 2 3 2 3 3" xfId="22500" xr:uid="{00000000-0005-0000-0000-0000C0170000}"/>
    <cellStyle name="20% - Accent4 2 3 2 3 3 2" xfId="46332" xr:uid="{9059BE67-0206-413C-A2AE-643E611D9191}"/>
    <cellStyle name="20% - Accent4 2 3 2 3 4" xfId="30454" xr:uid="{ADB2B39D-0122-4C60-A80F-6F9076F8E42D}"/>
    <cellStyle name="20% - Accent4 2 3 2 4" xfId="11017" xr:uid="{00000000-0005-0000-0000-0000C1170000}"/>
    <cellStyle name="20% - Accent4 2 3 2 4 2" xfId="34866" xr:uid="{66438CAD-9CFA-4B4C-B8EA-D380333A6837}"/>
    <cellStyle name="20% - Accent4 2 3 2 5" xfId="18972" xr:uid="{00000000-0005-0000-0000-0000C2170000}"/>
    <cellStyle name="20% - Accent4 2 3 2 5 2" xfId="42804" xr:uid="{D1E0C1A2-5A06-44E8-A9E0-2C46B2030942}"/>
    <cellStyle name="20% - Accent4 2 3 2 6" xfId="26924" xr:uid="{C72733A2-4A24-4FC0-A52F-1C2E42E6482D}"/>
    <cellStyle name="20% - Accent4 2 3 2_Exh G" xfId="2354" xr:uid="{00000000-0005-0000-0000-0000C3170000}"/>
    <cellStyle name="20% - Accent4 2 3 3" xfId="3871" xr:uid="{00000000-0005-0000-0000-0000C4170000}"/>
    <cellStyle name="20% - Accent4 2 3 3 2" xfId="7463" xr:uid="{00000000-0005-0000-0000-0000C5170000}"/>
    <cellStyle name="20% - Accent4 2 3 3 2 2" xfId="15433" xr:uid="{00000000-0005-0000-0000-0000C6170000}"/>
    <cellStyle name="20% - Accent4 2 3 3 2 2 2" xfId="39275" xr:uid="{DCC188D0-25D4-46F4-B635-C1E016559534}"/>
    <cellStyle name="20% - Accent4 2 3 3 2 3" xfId="23379" xr:uid="{00000000-0005-0000-0000-0000C7170000}"/>
    <cellStyle name="20% - Accent4 2 3 3 2 3 2" xfId="47211" xr:uid="{1D32CEAF-C808-49F8-8C75-E7CBEF38E81D}"/>
    <cellStyle name="20% - Accent4 2 3 3 2 4" xfId="31334" xr:uid="{E410A4B4-70D6-4BC0-81DB-DC1DE92964EA}"/>
    <cellStyle name="20% - Accent4 2 3 3 3" xfId="11895" xr:uid="{00000000-0005-0000-0000-0000C8170000}"/>
    <cellStyle name="20% - Accent4 2 3 3 3 2" xfId="35744" xr:uid="{CA6DB454-31C9-4F11-999E-6BD7F5FF2AF7}"/>
    <cellStyle name="20% - Accent4 2 3 3 4" xfId="19850" xr:uid="{00000000-0005-0000-0000-0000C9170000}"/>
    <cellStyle name="20% - Accent4 2 3 3 4 2" xfId="43682" xr:uid="{BA128C8F-38BA-475B-917A-3F1A165928C9}"/>
    <cellStyle name="20% - Accent4 2 3 3 5" xfId="27803" xr:uid="{3B0F2D31-BFA3-43BD-93F3-465B145E0722}"/>
    <cellStyle name="20% - Accent4 2 3 4" xfId="5691" xr:uid="{00000000-0005-0000-0000-0000CA170000}"/>
    <cellStyle name="20% - Accent4 2 3 4 2" xfId="13674" xr:uid="{00000000-0005-0000-0000-0000CB170000}"/>
    <cellStyle name="20% - Accent4 2 3 4 2 2" xfId="37517" xr:uid="{745F584E-86BB-447D-ADCC-EC853960F016}"/>
    <cellStyle name="20% - Accent4 2 3 4 3" xfId="21622" xr:uid="{00000000-0005-0000-0000-0000CC170000}"/>
    <cellStyle name="20% - Accent4 2 3 4 3 2" xfId="45454" xr:uid="{ACE7484F-5343-4C86-AC05-18A04243ECEF}"/>
    <cellStyle name="20% - Accent4 2 3 4 4" xfId="29576" xr:uid="{A93E9081-C109-4449-9783-EBE00E359C93}"/>
    <cellStyle name="20% - Accent4 2 3 5" xfId="9243" xr:uid="{00000000-0005-0000-0000-0000CD170000}"/>
    <cellStyle name="20% - Accent4 2 3 5 2" xfId="17201" xr:uid="{00000000-0005-0000-0000-0000CE170000}"/>
    <cellStyle name="20% - Accent4 2 3 5 2 2" xfId="41041" xr:uid="{5373338D-3A4E-4161-8D06-BDFD4F08ABAA}"/>
    <cellStyle name="20% - Accent4 2 3 5 3" xfId="25145" xr:uid="{00000000-0005-0000-0000-0000CF170000}"/>
    <cellStyle name="20% - Accent4 2 3 5 3 2" xfId="48977" xr:uid="{134A20B0-D045-480A-AD73-3CDF44058E00}"/>
    <cellStyle name="20% - Accent4 2 3 5 4" xfId="33100" xr:uid="{3267C9DA-6102-4242-BE7C-3B12957F6687}"/>
    <cellStyle name="20% - Accent4 2 3 6" xfId="10139" xr:uid="{00000000-0005-0000-0000-0000D0170000}"/>
    <cellStyle name="20% - Accent4 2 3 6 2" xfId="33988" xr:uid="{2E6E4B39-F14E-471D-B9E2-996490E3D0FD}"/>
    <cellStyle name="20% - Accent4 2 3 7" xfId="18094" xr:uid="{00000000-0005-0000-0000-0000D1170000}"/>
    <cellStyle name="20% - Accent4 2 3 7 2" xfId="41926" xr:uid="{5B3378D2-A0CD-41AC-8DD1-7A57BF2EEAFB}"/>
    <cellStyle name="20% - Accent4 2 3 8" xfId="26046" xr:uid="{53CD08F3-6546-4903-A2B4-9BEC7FA715B0}"/>
    <cellStyle name="20% - Accent4 2 3_Exh G" xfId="2353" xr:uid="{00000000-0005-0000-0000-0000D2170000}"/>
    <cellStyle name="20% - Accent4 2 4" xfId="896" xr:uid="{00000000-0005-0000-0000-0000D3170000}"/>
    <cellStyle name="20% - Accent4 2 4 2" xfId="1822" xr:uid="{00000000-0005-0000-0000-0000D4170000}"/>
    <cellStyle name="20% - Accent4 2 4 2 2" xfId="5339" xr:uid="{00000000-0005-0000-0000-0000D5170000}"/>
    <cellStyle name="20% - Accent4 2 4 2 2 2" xfId="8930" xr:uid="{00000000-0005-0000-0000-0000D6170000}"/>
    <cellStyle name="20% - Accent4 2 4 2 2 2 2" xfId="16900" xr:uid="{00000000-0005-0000-0000-0000D7170000}"/>
    <cellStyle name="20% - Accent4 2 4 2 2 2 2 2" xfId="40742" xr:uid="{B2F6C926-9588-46EC-9F77-703259EF437E}"/>
    <cellStyle name="20% - Accent4 2 4 2 2 2 3" xfId="24846" xr:uid="{00000000-0005-0000-0000-0000D8170000}"/>
    <cellStyle name="20% - Accent4 2 4 2 2 2 3 2" xfId="48678" xr:uid="{541EF48E-4503-4C0B-B73B-A921028FCD51}"/>
    <cellStyle name="20% - Accent4 2 4 2 2 2 4" xfId="32801" xr:uid="{0569DE58-1A97-4FCB-B02D-0776272B1275}"/>
    <cellStyle name="20% - Accent4 2 4 2 2 3" xfId="13362" xr:uid="{00000000-0005-0000-0000-0000D9170000}"/>
    <cellStyle name="20% - Accent4 2 4 2 2 3 2" xfId="37211" xr:uid="{DC86F292-0647-48F0-A1E5-38DF81DAE11B}"/>
    <cellStyle name="20% - Accent4 2 4 2 2 4" xfId="21317" xr:uid="{00000000-0005-0000-0000-0000DA170000}"/>
    <cellStyle name="20% - Accent4 2 4 2 2 4 2" xfId="45149" xr:uid="{8F2249C3-EC29-47D9-B716-F3EC93F42F47}"/>
    <cellStyle name="20% - Accent4 2 4 2 2 5" xfId="29270" xr:uid="{3660CD6F-662E-49A0-B93F-9AB5E322A0D5}"/>
    <cellStyle name="20% - Accent4 2 4 2 3" xfId="7171" xr:uid="{00000000-0005-0000-0000-0000DB170000}"/>
    <cellStyle name="20% - Accent4 2 4 2 3 2" xfId="15142" xr:uid="{00000000-0005-0000-0000-0000DC170000}"/>
    <cellStyle name="20% - Accent4 2 4 2 3 2 2" xfId="38984" xr:uid="{81D1DFC6-AB5B-40C4-8637-DE20AAC8C966}"/>
    <cellStyle name="20% - Accent4 2 4 2 3 3" xfId="23089" xr:uid="{00000000-0005-0000-0000-0000DD170000}"/>
    <cellStyle name="20% - Accent4 2 4 2 3 3 2" xfId="46921" xr:uid="{929352B9-60B8-46C8-AF93-E18B0E06A685}"/>
    <cellStyle name="20% - Accent4 2 4 2 3 4" xfId="31043" xr:uid="{0E79C24F-5B2F-4B5F-951B-8BCA238B4F79}"/>
    <cellStyle name="20% - Accent4 2 4 2 4" xfId="11606" xr:uid="{00000000-0005-0000-0000-0000DE170000}"/>
    <cellStyle name="20% - Accent4 2 4 2 4 2" xfId="35455" xr:uid="{283B8180-B3A1-4DB5-A874-7F5C329B23F9}"/>
    <cellStyle name="20% - Accent4 2 4 2 5" xfId="19561" xr:uid="{00000000-0005-0000-0000-0000DF170000}"/>
    <cellStyle name="20% - Accent4 2 4 2 5 2" xfId="43393" xr:uid="{8DBF051F-1283-426F-9A34-17F8202E34C2}"/>
    <cellStyle name="20% - Accent4 2 4 2 6" xfId="27513" xr:uid="{0E43922A-361E-4F65-AF8E-91730E51D28E}"/>
    <cellStyle name="20% - Accent4 2 4 2_Exh G" xfId="2356" xr:uid="{00000000-0005-0000-0000-0000E0170000}"/>
    <cellStyle name="20% - Accent4 2 4 3" xfId="4460" xr:uid="{00000000-0005-0000-0000-0000E1170000}"/>
    <cellStyle name="20% - Accent4 2 4 3 2" xfId="8052" xr:uid="{00000000-0005-0000-0000-0000E2170000}"/>
    <cellStyle name="20% - Accent4 2 4 3 2 2" xfId="16022" xr:uid="{00000000-0005-0000-0000-0000E3170000}"/>
    <cellStyle name="20% - Accent4 2 4 3 2 2 2" xfId="39864" xr:uid="{8CDB6056-7D06-46B3-B637-7A54DF2C4DC8}"/>
    <cellStyle name="20% - Accent4 2 4 3 2 3" xfId="23968" xr:uid="{00000000-0005-0000-0000-0000E4170000}"/>
    <cellStyle name="20% - Accent4 2 4 3 2 3 2" xfId="47800" xr:uid="{1719F63E-4B8B-4F03-8C76-DC933E4CCF5C}"/>
    <cellStyle name="20% - Accent4 2 4 3 2 4" xfId="31923" xr:uid="{D78E6479-7460-44AD-8E52-BF582F96E9BB}"/>
    <cellStyle name="20% - Accent4 2 4 3 3" xfId="12484" xr:uid="{00000000-0005-0000-0000-0000E5170000}"/>
    <cellStyle name="20% - Accent4 2 4 3 3 2" xfId="36333" xr:uid="{D81F208F-B082-4A05-855A-AEA35600359B}"/>
    <cellStyle name="20% - Accent4 2 4 3 4" xfId="20439" xr:uid="{00000000-0005-0000-0000-0000E6170000}"/>
    <cellStyle name="20% - Accent4 2 4 3 4 2" xfId="44271" xr:uid="{421F3FE3-95A5-44F2-BD4E-E7E9D00916BC}"/>
    <cellStyle name="20% - Accent4 2 4 3 5" xfId="28392" xr:uid="{4AE424C2-B3E7-470F-A0B1-73953B2E8E70}"/>
    <cellStyle name="20% - Accent4 2 4 4" xfId="6290" xr:uid="{00000000-0005-0000-0000-0000E7170000}"/>
    <cellStyle name="20% - Accent4 2 4 4 2" xfId="14264" xr:uid="{00000000-0005-0000-0000-0000E8170000}"/>
    <cellStyle name="20% - Accent4 2 4 4 2 2" xfId="38106" xr:uid="{2539587D-9040-4A43-827B-D887B0B032B1}"/>
    <cellStyle name="20% - Accent4 2 4 4 3" xfId="22211" xr:uid="{00000000-0005-0000-0000-0000E9170000}"/>
    <cellStyle name="20% - Accent4 2 4 4 3 2" xfId="46043" xr:uid="{BB15F966-2F66-4CE2-90C2-4E0A3F5E429C}"/>
    <cellStyle name="20% - Accent4 2 4 4 4" xfId="30165" xr:uid="{00E373F6-EC3B-41EF-8C93-0E2B9E0F8BA9}"/>
    <cellStyle name="20% - Accent4 2 4 5" xfId="9832" xr:uid="{00000000-0005-0000-0000-0000EA170000}"/>
    <cellStyle name="20% - Accent4 2 4 5 2" xfId="17790" xr:uid="{00000000-0005-0000-0000-0000EB170000}"/>
    <cellStyle name="20% - Accent4 2 4 5 2 2" xfId="41630" xr:uid="{4AFDCB7B-57DE-4704-AADF-ED2E625AD3DA}"/>
    <cellStyle name="20% - Accent4 2 4 5 3" xfId="25734" xr:uid="{00000000-0005-0000-0000-0000EC170000}"/>
    <cellStyle name="20% - Accent4 2 4 5 3 2" xfId="49566" xr:uid="{3B71FEBD-8E1D-4ECF-B045-8B5C05BA62BF}"/>
    <cellStyle name="20% - Accent4 2 4 5 4" xfId="33689" xr:uid="{0D54D9C8-FDE4-4758-B3BC-BAD29A9F0F7B}"/>
    <cellStyle name="20% - Accent4 2 4 6" xfId="10728" xr:uid="{00000000-0005-0000-0000-0000ED170000}"/>
    <cellStyle name="20% - Accent4 2 4 6 2" xfId="34577" xr:uid="{A8E3F315-BC69-465B-8525-7C25883272D8}"/>
    <cellStyle name="20% - Accent4 2 4 7" xfId="18683" xr:uid="{00000000-0005-0000-0000-0000EE170000}"/>
    <cellStyle name="20% - Accent4 2 4 7 2" xfId="42515" xr:uid="{08531CE4-0193-4D9F-860D-CF136151E925}"/>
    <cellStyle name="20% - Accent4 2 4 8" xfId="26635" xr:uid="{136F1A79-ABAF-4AE8-A942-5BDA6757DC35}"/>
    <cellStyle name="20% - Accent4 2 4_Exh G" xfId="2355" xr:uid="{00000000-0005-0000-0000-0000EF170000}"/>
    <cellStyle name="20% - Accent4 2 5" xfId="1220" xr:uid="{00000000-0005-0000-0000-0000F0170000}"/>
    <cellStyle name="20% - Accent4 2 5 2" xfId="4747" xr:uid="{00000000-0005-0000-0000-0000F1170000}"/>
    <cellStyle name="20% - Accent4 2 5 2 2" xfId="8338" xr:uid="{00000000-0005-0000-0000-0000F2170000}"/>
    <cellStyle name="20% - Accent4 2 5 2 2 2" xfId="16308" xr:uid="{00000000-0005-0000-0000-0000F3170000}"/>
    <cellStyle name="20% - Accent4 2 5 2 2 2 2" xfId="40150" xr:uid="{FA4982BE-911B-485F-8F7C-554FCE54E2A6}"/>
    <cellStyle name="20% - Accent4 2 5 2 2 3" xfId="24254" xr:uid="{00000000-0005-0000-0000-0000F4170000}"/>
    <cellStyle name="20% - Accent4 2 5 2 2 3 2" xfId="48086" xr:uid="{4A8ECD83-C059-4408-9422-E34E7C46F850}"/>
    <cellStyle name="20% - Accent4 2 5 2 2 4" xfId="32209" xr:uid="{507FF0D8-9C60-4646-904F-19624DF0134B}"/>
    <cellStyle name="20% - Accent4 2 5 2 3" xfId="12770" xr:uid="{00000000-0005-0000-0000-0000F5170000}"/>
    <cellStyle name="20% - Accent4 2 5 2 3 2" xfId="36619" xr:uid="{BFC7A005-01C7-4ABA-A558-83832F44221F}"/>
    <cellStyle name="20% - Accent4 2 5 2 4" xfId="20725" xr:uid="{00000000-0005-0000-0000-0000F6170000}"/>
    <cellStyle name="20% - Accent4 2 5 2 4 2" xfId="44557" xr:uid="{73CCF1E2-8991-48B8-B94F-D6EE213069A1}"/>
    <cellStyle name="20% - Accent4 2 5 2 5" xfId="28678" xr:uid="{86B997B2-08E0-4C23-9F48-5F0ED45829D1}"/>
    <cellStyle name="20% - Accent4 2 5 3" xfId="6579" xr:uid="{00000000-0005-0000-0000-0000F7170000}"/>
    <cellStyle name="20% - Accent4 2 5 3 2" xfId="14550" xr:uid="{00000000-0005-0000-0000-0000F8170000}"/>
    <cellStyle name="20% - Accent4 2 5 3 2 2" xfId="38392" xr:uid="{74BB3FB2-68C5-4AE3-AF13-FAE083055D66}"/>
    <cellStyle name="20% - Accent4 2 5 3 3" xfId="22497" xr:uid="{00000000-0005-0000-0000-0000F9170000}"/>
    <cellStyle name="20% - Accent4 2 5 3 3 2" xfId="46329" xr:uid="{EBBABF23-27BE-4D91-B3AC-31171E596AA3}"/>
    <cellStyle name="20% - Accent4 2 5 3 4" xfId="30451" xr:uid="{BB07EB93-57C9-4249-8419-39F0C38D3EEF}"/>
    <cellStyle name="20% - Accent4 2 5 4" xfId="11014" xr:uid="{00000000-0005-0000-0000-0000FA170000}"/>
    <cellStyle name="20% - Accent4 2 5 4 2" xfId="34863" xr:uid="{C3ACD3BE-38C6-44F1-B4D7-B6F0314F59CB}"/>
    <cellStyle name="20% - Accent4 2 5 5" xfId="18969" xr:uid="{00000000-0005-0000-0000-0000FB170000}"/>
    <cellStyle name="20% - Accent4 2 5 5 2" xfId="42801" xr:uid="{107703FF-28B7-4095-9398-57BAFFE12CE2}"/>
    <cellStyle name="20% - Accent4 2 5 6" xfId="26921" xr:uid="{A0260C63-958E-42D1-95C9-68C6688EDAC0}"/>
    <cellStyle name="20% - Accent4 2 5_Exh G" xfId="2357" xr:uid="{00000000-0005-0000-0000-0000FC170000}"/>
    <cellStyle name="20% - Accent4 2 6" xfId="3868" xr:uid="{00000000-0005-0000-0000-0000FD170000}"/>
    <cellStyle name="20% - Accent4 2 6 2" xfId="7460" xr:uid="{00000000-0005-0000-0000-0000FE170000}"/>
    <cellStyle name="20% - Accent4 2 6 2 2" xfId="15430" xr:uid="{00000000-0005-0000-0000-0000FF170000}"/>
    <cellStyle name="20% - Accent4 2 6 2 2 2" xfId="39272" xr:uid="{17E5C8B3-D730-4108-B96E-08A4753671EB}"/>
    <cellStyle name="20% - Accent4 2 6 2 3" xfId="23376" xr:uid="{00000000-0005-0000-0000-000000180000}"/>
    <cellStyle name="20% - Accent4 2 6 2 3 2" xfId="47208" xr:uid="{1E6E6CD4-16D1-4ECB-AD88-4BC294B2AF8C}"/>
    <cellStyle name="20% - Accent4 2 6 2 4" xfId="31331" xr:uid="{192EBFF9-B497-4102-A0D4-C3597C4A3B3C}"/>
    <cellStyle name="20% - Accent4 2 6 3" xfId="11892" xr:uid="{00000000-0005-0000-0000-000001180000}"/>
    <cellStyle name="20% - Accent4 2 6 3 2" xfId="35741" xr:uid="{E0CAC92F-C040-40DC-9F9A-55F0BE3A2C4A}"/>
    <cellStyle name="20% - Accent4 2 6 4" xfId="19847" xr:uid="{00000000-0005-0000-0000-000002180000}"/>
    <cellStyle name="20% - Accent4 2 6 4 2" xfId="43679" xr:uid="{CA363DC4-3278-4AA7-826D-659B1BAE3E3C}"/>
    <cellStyle name="20% - Accent4 2 6 5" xfId="27800" xr:uid="{178B1926-A214-4090-9FB3-FF9435326FA4}"/>
    <cellStyle name="20% - Accent4 2 7" xfId="5688" xr:uid="{00000000-0005-0000-0000-000003180000}"/>
    <cellStyle name="20% - Accent4 2 7 2" xfId="13671" xr:uid="{00000000-0005-0000-0000-000004180000}"/>
    <cellStyle name="20% - Accent4 2 7 2 2" xfId="37514" xr:uid="{A80AA4A9-6B85-4AAA-A81F-21A8AA0C026C}"/>
    <cellStyle name="20% - Accent4 2 7 3" xfId="21619" xr:uid="{00000000-0005-0000-0000-000005180000}"/>
    <cellStyle name="20% - Accent4 2 7 3 2" xfId="45451" xr:uid="{882CD716-E087-4615-A6F9-7D88B8EFA52D}"/>
    <cellStyle name="20% - Accent4 2 7 4" xfId="29573" xr:uid="{9B475ACE-D641-4341-8682-2F5E76851CE8}"/>
    <cellStyle name="20% - Accent4 2 8" xfId="9240" xr:uid="{00000000-0005-0000-0000-000006180000}"/>
    <cellStyle name="20% - Accent4 2 8 2" xfId="17198" xr:uid="{00000000-0005-0000-0000-000007180000}"/>
    <cellStyle name="20% - Accent4 2 8 2 2" xfId="41038" xr:uid="{229C4A23-AB44-4528-ABE3-4AB9FBC745B6}"/>
    <cellStyle name="20% - Accent4 2 8 3" xfId="25142" xr:uid="{00000000-0005-0000-0000-000008180000}"/>
    <cellStyle name="20% - Accent4 2 8 3 2" xfId="48974" xr:uid="{39A6C18A-A856-42A8-9789-F953883AEB76}"/>
    <cellStyle name="20% - Accent4 2 8 4" xfId="33097" xr:uid="{B12F2BDC-51B8-4933-BAE0-514B7B509F23}"/>
    <cellStyle name="20% - Accent4 2 9" xfId="10136" xr:uid="{00000000-0005-0000-0000-000009180000}"/>
    <cellStyle name="20% - Accent4 2 9 2" xfId="33985" xr:uid="{5FC07871-4595-4185-9B82-50DAB79158A9}"/>
    <cellStyle name="20% - Accent4 2_Exh G" xfId="2346" xr:uid="{00000000-0005-0000-0000-00000A180000}"/>
    <cellStyle name="20% - Accent4 3" xfId="198" xr:uid="{00000000-0005-0000-0000-00000B180000}"/>
    <cellStyle name="20% - Accent4 3 10" xfId="18095" xr:uid="{00000000-0005-0000-0000-00000C180000}"/>
    <cellStyle name="20% - Accent4 3 10 2" xfId="41927" xr:uid="{0509B170-ADF7-423C-9975-D3C80B7433CE}"/>
    <cellStyle name="20% - Accent4 3 11" xfId="26047" xr:uid="{B0F290DE-C083-4408-A36B-E34776972175}"/>
    <cellStyle name="20% - Accent4 3 12" xfId="49760" xr:uid="{1E383888-81A5-4DA1-9954-657F544F9775}"/>
    <cellStyle name="20% - Accent4 3 13" xfId="49814" xr:uid="{F79DD019-C9D3-43F5-A6CD-1027756ABF35}"/>
    <cellStyle name="20% - Accent4 3 2" xfId="199" xr:uid="{00000000-0005-0000-0000-00000D180000}"/>
    <cellStyle name="20% - Accent4 3 2 10" xfId="26048" xr:uid="{26D9F2E0-6076-47B5-A62F-1B30D525A70B}"/>
    <cellStyle name="20% - Accent4 3 2 2" xfId="200" xr:uid="{00000000-0005-0000-0000-00000E180000}"/>
    <cellStyle name="20% - Accent4 3 2 2 2" xfId="1226" xr:uid="{00000000-0005-0000-0000-00000F180000}"/>
    <cellStyle name="20% - Accent4 3 2 2 2 2" xfId="4753" xr:uid="{00000000-0005-0000-0000-000010180000}"/>
    <cellStyle name="20% - Accent4 3 2 2 2 2 2" xfId="8344" xr:uid="{00000000-0005-0000-0000-000011180000}"/>
    <cellStyle name="20% - Accent4 3 2 2 2 2 2 2" xfId="16314" xr:uid="{00000000-0005-0000-0000-000012180000}"/>
    <cellStyle name="20% - Accent4 3 2 2 2 2 2 2 2" xfId="40156" xr:uid="{7B67E401-D7C1-48F5-9495-0E03E672068F}"/>
    <cellStyle name="20% - Accent4 3 2 2 2 2 2 3" xfId="24260" xr:uid="{00000000-0005-0000-0000-000013180000}"/>
    <cellStyle name="20% - Accent4 3 2 2 2 2 2 3 2" xfId="48092" xr:uid="{8D850C18-04F4-4AF2-8FF6-C7AB91300BC8}"/>
    <cellStyle name="20% - Accent4 3 2 2 2 2 2 4" xfId="32215" xr:uid="{22EDD5E1-D285-44EF-B28E-F0094746B0F8}"/>
    <cellStyle name="20% - Accent4 3 2 2 2 2 3" xfId="12776" xr:uid="{00000000-0005-0000-0000-000014180000}"/>
    <cellStyle name="20% - Accent4 3 2 2 2 2 3 2" xfId="36625" xr:uid="{988872B8-D2A9-4DFF-BA5C-69DBD99CF0A5}"/>
    <cellStyle name="20% - Accent4 3 2 2 2 2 4" xfId="20731" xr:uid="{00000000-0005-0000-0000-000015180000}"/>
    <cellStyle name="20% - Accent4 3 2 2 2 2 4 2" xfId="44563" xr:uid="{4232A31E-42A0-48AA-A160-441B6B66C6EC}"/>
    <cellStyle name="20% - Accent4 3 2 2 2 2 5" xfId="28684" xr:uid="{DC81DA72-AD10-4821-94D7-055D01C378EE}"/>
    <cellStyle name="20% - Accent4 3 2 2 2 3" xfId="6585" xr:uid="{00000000-0005-0000-0000-000016180000}"/>
    <cellStyle name="20% - Accent4 3 2 2 2 3 2" xfId="14556" xr:uid="{00000000-0005-0000-0000-000017180000}"/>
    <cellStyle name="20% - Accent4 3 2 2 2 3 2 2" xfId="38398" xr:uid="{2C7D19D6-7C89-450C-9988-61F6127370EE}"/>
    <cellStyle name="20% - Accent4 3 2 2 2 3 3" xfId="22503" xr:uid="{00000000-0005-0000-0000-000018180000}"/>
    <cellStyle name="20% - Accent4 3 2 2 2 3 3 2" xfId="46335" xr:uid="{8AB46DE1-6096-411C-A3DF-E9CFB175AA4C}"/>
    <cellStyle name="20% - Accent4 3 2 2 2 3 4" xfId="30457" xr:uid="{6BFDECF9-AACF-49FE-8A83-667D9E6AB5DC}"/>
    <cellStyle name="20% - Accent4 3 2 2 2 4" xfId="11020" xr:uid="{00000000-0005-0000-0000-000019180000}"/>
    <cellStyle name="20% - Accent4 3 2 2 2 4 2" xfId="34869" xr:uid="{56289D73-C434-4384-A5B1-E3CE4AFA8316}"/>
    <cellStyle name="20% - Accent4 3 2 2 2 5" xfId="18975" xr:uid="{00000000-0005-0000-0000-00001A180000}"/>
    <cellStyle name="20% - Accent4 3 2 2 2 5 2" xfId="42807" xr:uid="{AF04367A-D082-4317-9046-1DC7FD76F5EF}"/>
    <cellStyle name="20% - Accent4 3 2 2 2 6" xfId="26927" xr:uid="{FD8FE2A7-1406-452A-A5E7-27A9F1099B5B}"/>
    <cellStyle name="20% - Accent4 3 2 2 2_Exh G" xfId="2361" xr:uid="{00000000-0005-0000-0000-00001B180000}"/>
    <cellStyle name="20% - Accent4 3 2 2 3" xfId="3874" xr:uid="{00000000-0005-0000-0000-00001C180000}"/>
    <cellStyle name="20% - Accent4 3 2 2 3 2" xfId="7466" xr:uid="{00000000-0005-0000-0000-00001D180000}"/>
    <cellStyle name="20% - Accent4 3 2 2 3 2 2" xfId="15436" xr:uid="{00000000-0005-0000-0000-00001E180000}"/>
    <cellStyle name="20% - Accent4 3 2 2 3 2 2 2" xfId="39278" xr:uid="{A2D75F10-4B50-4F7E-A68B-C11E096456ED}"/>
    <cellStyle name="20% - Accent4 3 2 2 3 2 3" xfId="23382" xr:uid="{00000000-0005-0000-0000-00001F180000}"/>
    <cellStyle name="20% - Accent4 3 2 2 3 2 3 2" xfId="47214" xr:uid="{19445C6B-950C-4416-8F43-BB9393487FA1}"/>
    <cellStyle name="20% - Accent4 3 2 2 3 2 4" xfId="31337" xr:uid="{0CDA4981-C3F0-4133-B8E4-F25612B34F11}"/>
    <cellStyle name="20% - Accent4 3 2 2 3 3" xfId="11898" xr:uid="{00000000-0005-0000-0000-000020180000}"/>
    <cellStyle name="20% - Accent4 3 2 2 3 3 2" xfId="35747" xr:uid="{FB4D7702-9903-4506-B98E-C37088070096}"/>
    <cellStyle name="20% - Accent4 3 2 2 3 4" xfId="19853" xr:uid="{00000000-0005-0000-0000-000021180000}"/>
    <cellStyle name="20% - Accent4 3 2 2 3 4 2" xfId="43685" xr:uid="{F907F6C6-FEB7-4FF0-8406-85B99FEAB31E}"/>
    <cellStyle name="20% - Accent4 3 2 2 3 5" xfId="27806" xr:uid="{FE1D6E2D-2333-4E05-A3E4-C85E38769A39}"/>
    <cellStyle name="20% - Accent4 3 2 2 4" xfId="5694" xr:uid="{00000000-0005-0000-0000-000022180000}"/>
    <cellStyle name="20% - Accent4 3 2 2 4 2" xfId="13677" xr:uid="{00000000-0005-0000-0000-000023180000}"/>
    <cellStyle name="20% - Accent4 3 2 2 4 2 2" xfId="37520" xr:uid="{E59E9C9A-A728-45F6-9931-0F9F93FE71B5}"/>
    <cellStyle name="20% - Accent4 3 2 2 4 3" xfId="21625" xr:uid="{00000000-0005-0000-0000-000024180000}"/>
    <cellStyle name="20% - Accent4 3 2 2 4 3 2" xfId="45457" xr:uid="{4C912C84-2B47-4253-8838-D02189A8ED0D}"/>
    <cellStyle name="20% - Accent4 3 2 2 4 4" xfId="29579" xr:uid="{C1D4716D-C4B2-4BD3-B694-397C9CE8CC3F}"/>
    <cellStyle name="20% - Accent4 3 2 2 5" xfId="9246" xr:uid="{00000000-0005-0000-0000-000025180000}"/>
    <cellStyle name="20% - Accent4 3 2 2 5 2" xfId="17204" xr:uid="{00000000-0005-0000-0000-000026180000}"/>
    <cellStyle name="20% - Accent4 3 2 2 5 2 2" xfId="41044" xr:uid="{479043FE-7488-4D7B-A6EC-19B77B0B85DA}"/>
    <cellStyle name="20% - Accent4 3 2 2 5 3" xfId="25148" xr:uid="{00000000-0005-0000-0000-000027180000}"/>
    <cellStyle name="20% - Accent4 3 2 2 5 3 2" xfId="48980" xr:uid="{2608688E-70DB-4907-8B37-64D86B477C54}"/>
    <cellStyle name="20% - Accent4 3 2 2 5 4" xfId="33103" xr:uid="{A4BCDC4A-1E01-49C7-ACD0-E6A48620EFB9}"/>
    <cellStyle name="20% - Accent4 3 2 2 6" xfId="10142" xr:uid="{00000000-0005-0000-0000-000028180000}"/>
    <cellStyle name="20% - Accent4 3 2 2 6 2" xfId="33991" xr:uid="{422C1FF8-0053-4BDC-A8E5-C80838938F27}"/>
    <cellStyle name="20% - Accent4 3 2 2 7" xfId="18097" xr:uid="{00000000-0005-0000-0000-000029180000}"/>
    <cellStyle name="20% - Accent4 3 2 2 7 2" xfId="41929" xr:uid="{4E768A42-E352-4077-8ECF-CE9F4AD90279}"/>
    <cellStyle name="20% - Accent4 3 2 2 8" xfId="26049" xr:uid="{BB663F3C-19EF-438C-ADD8-8C511447BD52}"/>
    <cellStyle name="20% - Accent4 3 2 2_Exh G" xfId="2360" xr:uid="{00000000-0005-0000-0000-00002A180000}"/>
    <cellStyle name="20% - Accent4 3 2 3" xfId="899" xr:uid="{00000000-0005-0000-0000-00002B180000}"/>
    <cellStyle name="20% - Accent4 3 2 3 2" xfId="1825" xr:uid="{00000000-0005-0000-0000-00002C180000}"/>
    <cellStyle name="20% - Accent4 3 2 3 2 2" xfId="5342" xr:uid="{00000000-0005-0000-0000-00002D180000}"/>
    <cellStyle name="20% - Accent4 3 2 3 2 2 2" xfId="8933" xr:uid="{00000000-0005-0000-0000-00002E180000}"/>
    <cellStyle name="20% - Accent4 3 2 3 2 2 2 2" xfId="16903" xr:uid="{00000000-0005-0000-0000-00002F180000}"/>
    <cellStyle name="20% - Accent4 3 2 3 2 2 2 2 2" xfId="40745" xr:uid="{EFBFD81C-21F4-43AB-B2EC-15392152FD58}"/>
    <cellStyle name="20% - Accent4 3 2 3 2 2 2 3" xfId="24849" xr:uid="{00000000-0005-0000-0000-000030180000}"/>
    <cellStyle name="20% - Accent4 3 2 3 2 2 2 3 2" xfId="48681" xr:uid="{4193BFC3-26F1-4913-95A7-FA5E04CC5648}"/>
    <cellStyle name="20% - Accent4 3 2 3 2 2 2 4" xfId="32804" xr:uid="{36217E06-B64C-4AF2-91BA-A7F858971A89}"/>
    <cellStyle name="20% - Accent4 3 2 3 2 2 3" xfId="13365" xr:uid="{00000000-0005-0000-0000-000031180000}"/>
    <cellStyle name="20% - Accent4 3 2 3 2 2 3 2" xfId="37214" xr:uid="{0BE49310-34DE-431A-8938-A897410B9569}"/>
    <cellStyle name="20% - Accent4 3 2 3 2 2 4" xfId="21320" xr:uid="{00000000-0005-0000-0000-000032180000}"/>
    <cellStyle name="20% - Accent4 3 2 3 2 2 4 2" xfId="45152" xr:uid="{2C2BC845-6663-4CB9-AEFB-B571A092703A}"/>
    <cellStyle name="20% - Accent4 3 2 3 2 2 5" xfId="29273" xr:uid="{8F9CC3E0-5F95-4338-A1AE-4DCF1C5167A2}"/>
    <cellStyle name="20% - Accent4 3 2 3 2 3" xfId="7174" xr:uid="{00000000-0005-0000-0000-000033180000}"/>
    <cellStyle name="20% - Accent4 3 2 3 2 3 2" xfId="15145" xr:uid="{00000000-0005-0000-0000-000034180000}"/>
    <cellStyle name="20% - Accent4 3 2 3 2 3 2 2" xfId="38987" xr:uid="{20402812-467A-40CD-A52A-7F26C088180C}"/>
    <cellStyle name="20% - Accent4 3 2 3 2 3 3" xfId="23092" xr:uid="{00000000-0005-0000-0000-000035180000}"/>
    <cellStyle name="20% - Accent4 3 2 3 2 3 3 2" xfId="46924" xr:uid="{F0FE19DC-BA5F-4766-ABF2-693CD8205EA1}"/>
    <cellStyle name="20% - Accent4 3 2 3 2 3 4" xfId="31046" xr:uid="{14686A12-23A2-4F75-BE25-D800802A9936}"/>
    <cellStyle name="20% - Accent4 3 2 3 2 4" xfId="11609" xr:uid="{00000000-0005-0000-0000-000036180000}"/>
    <cellStyle name="20% - Accent4 3 2 3 2 4 2" xfId="35458" xr:uid="{23C6F866-CDAB-47AB-AA05-A583EF0DAFE2}"/>
    <cellStyle name="20% - Accent4 3 2 3 2 5" xfId="19564" xr:uid="{00000000-0005-0000-0000-000037180000}"/>
    <cellStyle name="20% - Accent4 3 2 3 2 5 2" xfId="43396" xr:uid="{BED2AB90-DEEC-49B7-A3CA-5FF0857A805F}"/>
    <cellStyle name="20% - Accent4 3 2 3 2 6" xfId="27516" xr:uid="{18BC153A-B43F-48A7-AA9D-6CD1C4657E62}"/>
    <cellStyle name="20% - Accent4 3 2 3 2_Exh G" xfId="2363" xr:uid="{00000000-0005-0000-0000-000038180000}"/>
    <cellStyle name="20% - Accent4 3 2 3 3" xfId="4463" xr:uid="{00000000-0005-0000-0000-000039180000}"/>
    <cellStyle name="20% - Accent4 3 2 3 3 2" xfId="8055" xr:uid="{00000000-0005-0000-0000-00003A180000}"/>
    <cellStyle name="20% - Accent4 3 2 3 3 2 2" xfId="16025" xr:uid="{00000000-0005-0000-0000-00003B180000}"/>
    <cellStyle name="20% - Accent4 3 2 3 3 2 2 2" xfId="39867" xr:uid="{B3316EDB-88ED-4982-9A3F-B80A6EA6EA52}"/>
    <cellStyle name="20% - Accent4 3 2 3 3 2 3" xfId="23971" xr:uid="{00000000-0005-0000-0000-00003C180000}"/>
    <cellStyle name="20% - Accent4 3 2 3 3 2 3 2" xfId="47803" xr:uid="{FF19FA01-1817-4E4E-99FA-8D160B43E7AB}"/>
    <cellStyle name="20% - Accent4 3 2 3 3 2 4" xfId="31926" xr:uid="{7ED8491F-3B00-47D5-84A2-95D4B64ADF20}"/>
    <cellStyle name="20% - Accent4 3 2 3 3 3" xfId="12487" xr:uid="{00000000-0005-0000-0000-00003D180000}"/>
    <cellStyle name="20% - Accent4 3 2 3 3 3 2" xfId="36336" xr:uid="{FC874051-02FA-4B29-AAA9-DB79CF8092A5}"/>
    <cellStyle name="20% - Accent4 3 2 3 3 4" xfId="20442" xr:uid="{00000000-0005-0000-0000-00003E180000}"/>
    <cellStyle name="20% - Accent4 3 2 3 3 4 2" xfId="44274" xr:uid="{34161DF1-81B8-47B3-842F-0969E9928F82}"/>
    <cellStyle name="20% - Accent4 3 2 3 3 5" xfId="28395" xr:uid="{AD10088C-22D0-4EE9-9DD0-7E140C46A03E}"/>
    <cellStyle name="20% - Accent4 3 2 3 4" xfId="6293" xr:uid="{00000000-0005-0000-0000-00003F180000}"/>
    <cellStyle name="20% - Accent4 3 2 3 4 2" xfId="14267" xr:uid="{00000000-0005-0000-0000-000040180000}"/>
    <cellStyle name="20% - Accent4 3 2 3 4 2 2" xfId="38109" xr:uid="{6D38B09A-3137-49F3-BE17-161546F44B59}"/>
    <cellStyle name="20% - Accent4 3 2 3 4 3" xfId="22214" xr:uid="{00000000-0005-0000-0000-000041180000}"/>
    <cellStyle name="20% - Accent4 3 2 3 4 3 2" xfId="46046" xr:uid="{1083641B-95DC-49D2-BF1B-4873C213124A}"/>
    <cellStyle name="20% - Accent4 3 2 3 4 4" xfId="30168" xr:uid="{882803BC-608A-47F8-A07F-0AC2E7BAEEA3}"/>
    <cellStyle name="20% - Accent4 3 2 3 5" xfId="9835" xr:uid="{00000000-0005-0000-0000-000042180000}"/>
    <cellStyle name="20% - Accent4 3 2 3 5 2" xfId="17793" xr:uid="{00000000-0005-0000-0000-000043180000}"/>
    <cellStyle name="20% - Accent4 3 2 3 5 2 2" xfId="41633" xr:uid="{E4BA669E-5CB5-4485-A57B-A41580BC65F9}"/>
    <cellStyle name="20% - Accent4 3 2 3 5 3" xfId="25737" xr:uid="{00000000-0005-0000-0000-000044180000}"/>
    <cellStyle name="20% - Accent4 3 2 3 5 3 2" xfId="49569" xr:uid="{A9E4EEB6-CF3F-4ADC-8D48-37D95D5C6CAA}"/>
    <cellStyle name="20% - Accent4 3 2 3 5 4" xfId="33692" xr:uid="{1ED4667A-1FB7-47F9-9744-56F0D33CE9D8}"/>
    <cellStyle name="20% - Accent4 3 2 3 6" xfId="10731" xr:uid="{00000000-0005-0000-0000-000045180000}"/>
    <cellStyle name="20% - Accent4 3 2 3 6 2" xfId="34580" xr:uid="{5B00020D-A07E-44AC-8A64-36315951C897}"/>
    <cellStyle name="20% - Accent4 3 2 3 7" xfId="18686" xr:uid="{00000000-0005-0000-0000-000046180000}"/>
    <cellStyle name="20% - Accent4 3 2 3 7 2" xfId="42518" xr:uid="{948DF309-99D0-479B-B4D2-7BD83D29BDD6}"/>
    <cellStyle name="20% - Accent4 3 2 3 8" xfId="26638" xr:uid="{0BF14FFC-53B0-4474-84C2-C45638B267EE}"/>
    <cellStyle name="20% - Accent4 3 2 3_Exh G" xfId="2362" xr:uid="{00000000-0005-0000-0000-000047180000}"/>
    <cellStyle name="20% - Accent4 3 2 4" xfId="1225" xr:uid="{00000000-0005-0000-0000-000048180000}"/>
    <cellStyle name="20% - Accent4 3 2 4 2" xfId="4752" xr:uid="{00000000-0005-0000-0000-000049180000}"/>
    <cellStyle name="20% - Accent4 3 2 4 2 2" xfId="8343" xr:uid="{00000000-0005-0000-0000-00004A180000}"/>
    <cellStyle name="20% - Accent4 3 2 4 2 2 2" xfId="16313" xr:uid="{00000000-0005-0000-0000-00004B180000}"/>
    <cellStyle name="20% - Accent4 3 2 4 2 2 2 2" xfId="40155" xr:uid="{58AA22B2-E8F2-4F53-BDFE-8AE0EA6C67B7}"/>
    <cellStyle name="20% - Accent4 3 2 4 2 2 3" xfId="24259" xr:uid="{00000000-0005-0000-0000-00004C180000}"/>
    <cellStyle name="20% - Accent4 3 2 4 2 2 3 2" xfId="48091" xr:uid="{D2C278DA-CD49-4837-90AB-F938CA6E4CAE}"/>
    <cellStyle name="20% - Accent4 3 2 4 2 2 4" xfId="32214" xr:uid="{E468A719-3952-45B7-99E7-2535C5104F24}"/>
    <cellStyle name="20% - Accent4 3 2 4 2 3" xfId="12775" xr:uid="{00000000-0005-0000-0000-00004D180000}"/>
    <cellStyle name="20% - Accent4 3 2 4 2 3 2" xfId="36624" xr:uid="{F37AEE8E-089F-40FF-9FD3-4270EFF6ABB2}"/>
    <cellStyle name="20% - Accent4 3 2 4 2 4" xfId="20730" xr:uid="{00000000-0005-0000-0000-00004E180000}"/>
    <cellStyle name="20% - Accent4 3 2 4 2 4 2" xfId="44562" xr:uid="{413B5096-7398-47FA-8B09-26F1E6F594A8}"/>
    <cellStyle name="20% - Accent4 3 2 4 2 5" xfId="28683" xr:uid="{DE5D7150-3F2D-453E-8041-CA6F18B5852C}"/>
    <cellStyle name="20% - Accent4 3 2 4 3" xfId="6584" xr:uid="{00000000-0005-0000-0000-00004F180000}"/>
    <cellStyle name="20% - Accent4 3 2 4 3 2" xfId="14555" xr:uid="{00000000-0005-0000-0000-000050180000}"/>
    <cellStyle name="20% - Accent4 3 2 4 3 2 2" xfId="38397" xr:uid="{E27CE1C3-1FB0-4138-B059-ADAEB69BFAC7}"/>
    <cellStyle name="20% - Accent4 3 2 4 3 3" xfId="22502" xr:uid="{00000000-0005-0000-0000-000051180000}"/>
    <cellStyle name="20% - Accent4 3 2 4 3 3 2" xfId="46334" xr:uid="{12649156-1840-4448-A299-B8B3DE95D07F}"/>
    <cellStyle name="20% - Accent4 3 2 4 3 4" xfId="30456" xr:uid="{C33ACC22-17A4-4246-A36E-652029430726}"/>
    <cellStyle name="20% - Accent4 3 2 4 4" xfId="11019" xr:uid="{00000000-0005-0000-0000-000052180000}"/>
    <cellStyle name="20% - Accent4 3 2 4 4 2" xfId="34868" xr:uid="{74354A07-9225-4231-82E2-173A9996CE91}"/>
    <cellStyle name="20% - Accent4 3 2 4 5" xfId="18974" xr:uid="{00000000-0005-0000-0000-000053180000}"/>
    <cellStyle name="20% - Accent4 3 2 4 5 2" xfId="42806" xr:uid="{D1039971-94A0-4C6B-8388-1AA5E1D90747}"/>
    <cellStyle name="20% - Accent4 3 2 4 6" xfId="26926" xr:uid="{90A457B1-E646-47B8-B199-02393B4BEA21}"/>
    <cellStyle name="20% - Accent4 3 2 4_Exh G" xfId="2364" xr:uid="{00000000-0005-0000-0000-000054180000}"/>
    <cellStyle name="20% - Accent4 3 2 5" xfId="3873" xr:uid="{00000000-0005-0000-0000-000055180000}"/>
    <cellStyle name="20% - Accent4 3 2 5 2" xfId="7465" xr:uid="{00000000-0005-0000-0000-000056180000}"/>
    <cellStyle name="20% - Accent4 3 2 5 2 2" xfId="15435" xr:uid="{00000000-0005-0000-0000-000057180000}"/>
    <cellStyle name="20% - Accent4 3 2 5 2 2 2" xfId="39277" xr:uid="{588ADB82-80E4-4CA3-814A-7D45B13E91A9}"/>
    <cellStyle name="20% - Accent4 3 2 5 2 3" xfId="23381" xr:uid="{00000000-0005-0000-0000-000058180000}"/>
    <cellStyle name="20% - Accent4 3 2 5 2 3 2" xfId="47213" xr:uid="{26979B8C-43F7-428C-B21C-087A4E02A45D}"/>
    <cellStyle name="20% - Accent4 3 2 5 2 4" xfId="31336" xr:uid="{19C798D4-6B14-48C4-BDD0-FF6E589F0049}"/>
    <cellStyle name="20% - Accent4 3 2 5 3" xfId="11897" xr:uid="{00000000-0005-0000-0000-000059180000}"/>
    <cellStyle name="20% - Accent4 3 2 5 3 2" xfId="35746" xr:uid="{0D5C8798-7BD4-4D4F-B809-059C78394C82}"/>
    <cellStyle name="20% - Accent4 3 2 5 4" xfId="19852" xr:uid="{00000000-0005-0000-0000-00005A180000}"/>
    <cellStyle name="20% - Accent4 3 2 5 4 2" xfId="43684" xr:uid="{DAAF87D2-FE06-4E38-AA07-1DC88D138890}"/>
    <cellStyle name="20% - Accent4 3 2 5 5" xfId="27805" xr:uid="{32141005-B651-4134-A163-8AE9AC47836D}"/>
    <cellStyle name="20% - Accent4 3 2 6" xfId="5693" xr:uid="{00000000-0005-0000-0000-00005B180000}"/>
    <cellStyle name="20% - Accent4 3 2 6 2" xfId="13676" xr:uid="{00000000-0005-0000-0000-00005C180000}"/>
    <cellStyle name="20% - Accent4 3 2 6 2 2" xfId="37519" xr:uid="{BDEDF55C-B9D9-4EFA-BAFC-C04EFF72E339}"/>
    <cellStyle name="20% - Accent4 3 2 6 3" xfId="21624" xr:uid="{00000000-0005-0000-0000-00005D180000}"/>
    <cellStyle name="20% - Accent4 3 2 6 3 2" xfId="45456" xr:uid="{0B9C55BE-6032-4D82-A7A7-B82AD02A42C4}"/>
    <cellStyle name="20% - Accent4 3 2 6 4" xfId="29578" xr:uid="{90A5E544-5597-41B8-A301-8E28ACBF6744}"/>
    <cellStyle name="20% - Accent4 3 2 7" xfId="9245" xr:uid="{00000000-0005-0000-0000-00005E180000}"/>
    <cellStyle name="20% - Accent4 3 2 7 2" xfId="17203" xr:uid="{00000000-0005-0000-0000-00005F180000}"/>
    <cellStyle name="20% - Accent4 3 2 7 2 2" xfId="41043" xr:uid="{D3622A92-13F2-4831-9736-59760BD8BD71}"/>
    <cellStyle name="20% - Accent4 3 2 7 3" xfId="25147" xr:uid="{00000000-0005-0000-0000-000060180000}"/>
    <cellStyle name="20% - Accent4 3 2 7 3 2" xfId="48979" xr:uid="{E7DE4974-F557-42F0-8D9A-47583CB5C995}"/>
    <cellStyle name="20% - Accent4 3 2 7 4" xfId="33102" xr:uid="{622D8568-3145-4F14-A726-0D583A96ADDC}"/>
    <cellStyle name="20% - Accent4 3 2 8" xfId="10141" xr:uid="{00000000-0005-0000-0000-000061180000}"/>
    <cellStyle name="20% - Accent4 3 2 8 2" xfId="33990" xr:uid="{6D98A7BD-0DE4-45B6-BFCB-BC402C507E49}"/>
    <cellStyle name="20% - Accent4 3 2 9" xfId="18096" xr:uid="{00000000-0005-0000-0000-000062180000}"/>
    <cellStyle name="20% - Accent4 3 2 9 2" xfId="41928" xr:uid="{EE4D988C-DB09-4058-83A4-EF2542A1768C}"/>
    <cellStyle name="20% - Accent4 3 2_Exh G" xfId="2359" xr:uid="{00000000-0005-0000-0000-000063180000}"/>
    <cellStyle name="20% - Accent4 3 3" xfId="201" xr:uid="{00000000-0005-0000-0000-000064180000}"/>
    <cellStyle name="20% - Accent4 3 3 2" xfId="1227" xr:uid="{00000000-0005-0000-0000-000065180000}"/>
    <cellStyle name="20% - Accent4 3 3 2 2" xfId="4754" xr:uid="{00000000-0005-0000-0000-000066180000}"/>
    <cellStyle name="20% - Accent4 3 3 2 2 2" xfId="8345" xr:uid="{00000000-0005-0000-0000-000067180000}"/>
    <cellStyle name="20% - Accent4 3 3 2 2 2 2" xfId="16315" xr:uid="{00000000-0005-0000-0000-000068180000}"/>
    <cellStyle name="20% - Accent4 3 3 2 2 2 2 2" xfId="40157" xr:uid="{DA0BEF9E-DF08-4197-91A0-7A4C8E6CCF80}"/>
    <cellStyle name="20% - Accent4 3 3 2 2 2 3" xfId="24261" xr:uid="{00000000-0005-0000-0000-000069180000}"/>
    <cellStyle name="20% - Accent4 3 3 2 2 2 3 2" xfId="48093" xr:uid="{59FD1B81-87A8-4BCC-B64B-33ABF982D466}"/>
    <cellStyle name="20% - Accent4 3 3 2 2 2 4" xfId="32216" xr:uid="{8BCD1698-1D1C-4C61-9209-E115798DDB18}"/>
    <cellStyle name="20% - Accent4 3 3 2 2 3" xfId="12777" xr:uid="{00000000-0005-0000-0000-00006A180000}"/>
    <cellStyle name="20% - Accent4 3 3 2 2 3 2" xfId="36626" xr:uid="{EEF38257-446C-4882-8673-8A18926F99C1}"/>
    <cellStyle name="20% - Accent4 3 3 2 2 4" xfId="20732" xr:uid="{00000000-0005-0000-0000-00006B180000}"/>
    <cellStyle name="20% - Accent4 3 3 2 2 4 2" xfId="44564" xr:uid="{1F55B2FB-6EED-4ED8-A6EF-716D37F00646}"/>
    <cellStyle name="20% - Accent4 3 3 2 2 5" xfId="28685" xr:uid="{C758CAF6-0181-475F-8B53-CB4405ADC5B5}"/>
    <cellStyle name="20% - Accent4 3 3 2 3" xfId="6586" xr:uid="{00000000-0005-0000-0000-00006C180000}"/>
    <cellStyle name="20% - Accent4 3 3 2 3 2" xfId="14557" xr:uid="{00000000-0005-0000-0000-00006D180000}"/>
    <cellStyle name="20% - Accent4 3 3 2 3 2 2" xfId="38399" xr:uid="{7538599D-2598-470E-BDAE-F8C8B7C01350}"/>
    <cellStyle name="20% - Accent4 3 3 2 3 3" xfId="22504" xr:uid="{00000000-0005-0000-0000-00006E180000}"/>
    <cellStyle name="20% - Accent4 3 3 2 3 3 2" xfId="46336" xr:uid="{97FC5B00-570C-468C-B10F-92D36C0288D2}"/>
    <cellStyle name="20% - Accent4 3 3 2 3 4" xfId="30458" xr:uid="{4A291C75-4F39-437D-81CB-AFB4AEB11B21}"/>
    <cellStyle name="20% - Accent4 3 3 2 4" xfId="11021" xr:uid="{00000000-0005-0000-0000-00006F180000}"/>
    <cellStyle name="20% - Accent4 3 3 2 4 2" xfId="34870" xr:uid="{4AB02AD5-2E53-49A7-9782-A1A43782E5DC}"/>
    <cellStyle name="20% - Accent4 3 3 2 5" xfId="18976" xr:uid="{00000000-0005-0000-0000-000070180000}"/>
    <cellStyle name="20% - Accent4 3 3 2 5 2" xfId="42808" xr:uid="{DA90E7F7-0E26-4D56-B775-3A4E9C296F8F}"/>
    <cellStyle name="20% - Accent4 3 3 2 6" xfId="26928" xr:uid="{B7899A48-BE0E-431F-81C5-82F8BA0CB8F6}"/>
    <cellStyle name="20% - Accent4 3 3 2_Exh G" xfId="2366" xr:uid="{00000000-0005-0000-0000-000071180000}"/>
    <cellStyle name="20% - Accent4 3 3 3" xfId="3875" xr:uid="{00000000-0005-0000-0000-000072180000}"/>
    <cellStyle name="20% - Accent4 3 3 3 2" xfId="7467" xr:uid="{00000000-0005-0000-0000-000073180000}"/>
    <cellStyle name="20% - Accent4 3 3 3 2 2" xfId="15437" xr:uid="{00000000-0005-0000-0000-000074180000}"/>
    <cellStyle name="20% - Accent4 3 3 3 2 2 2" xfId="39279" xr:uid="{2F6CE684-BDBA-43D7-9011-44D417D4F3B5}"/>
    <cellStyle name="20% - Accent4 3 3 3 2 3" xfId="23383" xr:uid="{00000000-0005-0000-0000-000075180000}"/>
    <cellStyle name="20% - Accent4 3 3 3 2 3 2" xfId="47215" xr:uid="{F397E2B5-625F-4013-A0AF-89D91CE68CE5}"/>
    <cellStyle name="20% - Accent4 3 3 3 2 4" xfId="31338" xr:uid="{736D5F5E-05AC-4379-9217-E49CD4F89E1D}"/>
    <cellStyle name="20% - Accent4 3 3 3 3" xfId="11899" xr:uid="{00000000-0005-0000-0000-000076180000}"/>
    <cellStyle name="20% - Accent4 3 3 3 3 2" xfId="35748" xr:uid="{0C2B5804-A629-4D4B-AD31-E9C86E5FA8F5}"/>
    <cellStyle name="20% - Accent4 3 3 3 4" xfId="19854" xr:uid="{00000000-0005-0000-0000-000077180000}"/>
    <cellStyle name="20% - Accent4 3 3 3 4 2" xfId="43686" xr:uid="{89AC1766-647F-4432-9214-FEFF9EB0A9BB}"/>
    <cellStyle name="20% - Accent4 3 3 3 5" xfId="27807" xr:uid="{BA497687-E720-4DCE-8509-755CE516EBD6}"/>
    <cellStyle name="20% - Accent4 3 3 4" xfId="5695" xr:uid="{00000000-0005-0000-0000-000078180000}"/>
    <cellStyle name="20% - Accent4 3 3 4 2" xfId="13678" xr:uid="{00000000-0005-0000-0000-000079180000}"/>
    <cellStyle name="20% - Accent4 3 3 4 2 2" xfId="37521" xr:uid="{591219AF-B68F-478C-89FC-86EFBDDDEBFA}"/>
    <cellStyle name="20% - Accent4 3 3 4 3" xfId="21626" xr:uid="{00000000-0005-0000-0000-00007A180000}"/>
    <cellStyle name="20% - Accent4 3 3 4 3 2" xfId="45458" xr:uid="{76D1CCC9-BA0A-420C-BD34-4A5E73D0CFFE}"/>
    <cellStyle name="20% - Accent4 3 3 4 4" xfId="29580" xr:uid="{9D9F04AB-D65B-4C31-983A-6E2EE2FE506B}"/>
    <cellStyle name="20% - Accent4 3 3 5" xfId="9247" xr:uid="{00000000-0005-0000-0000-00007B180000}"/>
    <cellStyle name="20% - Accent4 3 3 5 2" xfId="17205" xr:uid="{00000000-0005-0000-0000-00007C180000}"/>
    <cellStyle name="20% - Accent4 3 3 5 2 2" xfId="41045" xr:uid="{2FF137A8-DA8C-4CCF-ADC2-CE2E7F3D2426}"/>
    <cellStyle name="20% - Accent4 3 3 5 3" xfId="25149" xr:uid="{00000000-0005-0000-0000-00007D180000}"/>
    <cellStyle name="20% - Accent4 3 3 5 3 2" xfId="48981" xr:uid="{A8C85F45-754E-4126-AB39-C74B139C7E61}"/>
    <cellStyle name="20% - Accent4 3 3 5 4" xfId="33104" xr:uid="{FC52C37B-DE46-4771-B06D-0972B1BF2402}"/>
    <cellStyle name="20% - Accent4 3 3 6" xfId="10143" xr:uid="{00000000-0005-0000-0000-00007E180000}"/>
    <cellStyle name="20% - Accent4 3 3 6 2" xfId="33992" xr:uid="{1CC5096A-C43B-421F-AB3A-880C98436CBA}"/>
    <cellStyle name="20% - Accent4 3 3 7" xfId="18098" xr:uid="{00000000-0005-0000-0000-00007F180000}"/>
    <cellStyle name="20% - Accent4 3 3 7 2" xfId="41930" xr:uid="{A84DF19E-C726-4F28-BC72-807EEF0E2A45}"/>
    <cellStyle name="20% - Accent4 3 3 8" xfId="26050" xr:uid="{A8474EA1-C13C-4BF2-B692-6E9BD8A7C2F2}"/>
    <cellStyle name="20% - Accent4 3 3_Exh G" xfId="2365" xr:uid="{00000000-0005-0000-0000-000080180000}"/>
    <cellStyle name="20% - Accent4 3 4" xfId="898" xr:uid="{00000000-0005-0000-0000-000081180000}"/>
    <cellStyle name="20% - Accent4 3 4 2" xfId="1824" xr:uid="{00000000-0005-0000-0000-000082180000}"/>
    <cellStyle name="20% - Accent4 3 4 2 2" xfId="5341" xr:uid="{00000000-0005-0000-0000-000083180000}"/>
    <cellStyle name="20% - Accent4 3 4 2 2 2" xfId="8932" xr:uid="{00000000-0005-0000-0000-000084180000}"/>
    <cellStyle name="20% - Accent4 3 4 2 2 2 2" xfId="16902" xr:uid="{00000000-0005-0000-0000-000085180000}"/>
    <cellStyle name="20% - Accent4 3 4 2 2 2 2 2" xfId="40744" xr:uid="{2B38F8BA-E3E1-4558-B322-7A255067C764}"/>
    <cellStyle name="20% - Accent4 3 4 2 2 2 3" xfId="24848" xr:uid="{00000000-0005-0000-0000-000086180000}"/>
    <cellStyle name="20% - Accent4 3 4 2 2 2 3 2" xfId="48680" xr:uid="{84F4B8E8-B2A1-4896-BB79-ACB98BEFA594}"/>
    <cellStyle name="20% - Accent4 3 4 2 2 2 4" xfId="32803" xr:uid="{7CC1F626-D42A-4847-B046-B013968CB0FB}"/>
    <cellStyle name="20% - Accent4 3 4 2 2 3" xfId="13364" xr:uid="{00000000-0005-0000-0000-000087180000}"/>
    <cellStyle name="20% - Accent4 3 4 2 2 3 2" xfId="37213" xr:uid="{97359D57-82CD-40B0-836B-1BBF5F9C7685}"/>
    <cellStyle name="20% - Accent4 3 4 2 2 4" xfId="21319" xr:uid="{00000000-0005-0000-0000-000088180000}"/>
    <cellStyle name="20% - Accent4 3 4 2 2 4 2" xfId="45151" xr:uid="{4847B3F0-B954-45BF-BB20-09F7A85D9E43}"/>
    <cellStyle name="20% - Accent4 3 4 2 2 5" xfId="29272" xr:uid="{F06FEAC0-9224-47BB-A6BE-1F448EF3AB40}"/>
    <cellStyle name="20% - Accent4 3 4 2 3" xfId="7173" xr:uid="{00000000-0005-0000-0000-000089180000}"/>
    <cellStyle name="20% - Accent4 3 4 2 3 2" xfId="15144" xr:uid="{00000000-0005-0000-0000-00008A180000}"/>
    <cellStyle name="20% - Accent4 3 4 2 3 2 2" xfId="38986" xr:uid="{1BB10337-1C18-426F-88CD-11151329C1B4}"/>
    <cellStyle name="20% - Accent4 3 4 2 3 3" xfId="23091" xr:uid="{00000000-0005-0000-0000-00008B180000}"/>
    <cellStyle name="20% - Accent4 3 4 2 3 3 2" xfId="46923" xr:uid="{D106FC7C-0F28-4271-9D9A-2D594B6FBBA5}"/>
    <cellStyle name="20% - Accent4 3 4 2 3 4" xfId="31045" xr:uid="{95D2551D-5FCF-4963-BBA0-BECF81AC094E}"/>
    <cellStyle name="20% - Accent4 3 4 2 4" xfId="11608" xr:uid="{00000000-0005-0000-0000-00008C180000}"/>
    <cellStyle name="20% - Accent4 3 4 2 4 2" xfId="35457" xr:uid="{21EF7F22-A50E-4800-9C71-0405BD2B8C79}"/>
    <cellStyle name="20% - Accent4 3 4 2 5" xfId="19563" xr:uid="{00000000-0005-0000-0000-00008D180000}"/>
    <cellStyle name="20% - Accent4 3 4 2 5 2" xfId="43395" xr:uid="{7E20AA12-C001-4C30-A2D1-1001FC5F8D39}"/>
    <cellStyle name="20% - Accent4 3 4 2 6" xfId="27515" xr:uid="{14312039-58AA-4028-8B78-A78742030589}"/>
    <cellStyle name="20% - Accent4 3 4 2_Exh G" xfId="2368" xr:uid="{00000000-0005-0000-0000-00008E180000}"/>
    <cellStyle name="20% - Accent4 3 4 3" xfId="4462" xr:uid="{00000000-0005-0000-0000-00008F180000}"/>
    <cellStyle name="20% - Accent4 3 4 3 2" xfId="8054" xr:uid="{00000000-0005-0000-0000-000090180000}"/>
    <cellStyle name="20% - Accent4 3 4 3 2 2" xfId="16024" xr:uid="{00000000-0005-0000-0000-000091180000}"/>
    <cellStyle name="20% - Accent4 3 4 3 2 2 2" xfId="39866" xr:uid="{FD7A002C-8041-436F-B465-8F821DB43F1C}"/>
    <cellStyle name="20% - Accent4 3 4 3 2 3" xfId="23970" xr:uid="{00000000-0005-0000-0000-000092180000}"/>
    <cellStyle name="20% - Accent4 3 4 3 2 3 2" xfId="47802" xr:uid="{470B4035-B245-4B6F-899E-56DBE70CD734}"/>
    <cellStyle name="20% - Accent4 3 4 3 2 4" xfId="31925" xr:uid="{C3E99150-118C-445A-8B35-995F07F7E669}"/>
    <cellStyle name="20% - Accent4 3 4 3 3" xfId="12486" xr:uid="{00000000-0005-0000-0000-000093180000}"/>
    <cellStyle name="20% - Accent4 3 4 3 3 2" xfId="36335" xr:uid="{990D9589-786C-4E55-A122-03A27430ACB6}"/>
    <cellStyle name="20% - Accent4 3 4 3 4" xfId="20441" xr:uid="{00000000-0005-0000-0000-000094180000}"/>
    <cellStyle name="20% - Accent4 3 4 3 4 2" xfId="44273" xr:uid="{C607D60E-0808-4F05-866E-FE78427AE6FE}"/>
    <cellStyle name="20% - Accent4 3 4 3 5" xfId="28394" xr:uid="{57007A74-427B-4CC8-B913-140A0F083483}"/>
    <cellStyle name="20% - Accent4 3 4 4" xfId="6292" xr:uid="{00000000-0005-0000-0000-000095180000}"/>
    <cellStyle name="20% - Accent4 3 4 4 2" xfId="14266" xr:uid="{00000000-0005-0000-0000-000096180000}"/>
    <cellStyle name="20% - Accent4 3 4 4 2 2" xfId="38108" xr:uid="{AFFCFE7C-137D-40D1-8A1D-8B75A737420D}"/>
    <cellStyle name="20% - Accent4 3 4 4 3" xfId="22213" xr:uid="{00000000-0005-0000-0000-000097180000}"/>
    <cellStyle name="20% - Accent4 3 4 4 3 2" xfId="46045" xr:uid="{78662869-7E18-4DF9-B5B7-B3608AE7526A}"/>
    <cellStyle name="20% - Accent4 3 4 4 4" xfId="30167" xr:uid="{9C034F8F-6191-4E5A-B239-D2500855E7BC}"/>
    <cellStyle name="20% - Accent4 3 4 5" xfId="9834" xr:uid="{00000000-0005-0000-0000-000098180000}"/>
    <cellStyle name="20% - Accent4 3 4 5 2" xfId="17792" xr:uid="{00000000-0005-0000-0000-000099180000}"/>
    <cellStyle name="20% - Accent4 3 4 5 2 2" xfId="41632" xr:uid="{12A1B8E3-B127-4C9B-9019-00EE6D16EF5C}"/>
    <cellStyle name="20% - Accent4 3 4 5 3" xfId="25736" xr:uid="{00000000-0005-0000-0000-00009A180000}"/>
    <cellStyle name="20% - Accent4 3 4 5 3 2" xfId="49568" xr:uid="{1F0EDF82-6437-41A4-BFDC-AEB1CBC0725A}"/>
    <cellStyle name="20% - Accent4 3 4 5 4" xfId="33691" xr:uid="{2ABD34F3-9CD8-488C-BEAD-EC91BBC89972}"/>
    <cellStyle name="20% - Accent4 3 4 6" xfId="10730" xr:uid="{00000000-0005-0000-0000-00009B180000}"/>
    <cellStyle name="20% - Accent4 3 4 6 2" xfId="34579" xr:uid="{47073609-76E7-483D-94A5-1C638166A8E5}"/>
    <cellStyle name="20% - Accent4 3 4 7" xfId="18685" xr:uid="{00000000-0005-0000-0000-00009C180000}"/>
    <cellStyle name="20% - Accent4 3 4 7 2" xfId="42517" xr:uid="{3E35AE34-4F13-4B18-B0ED-C9D4457E6E94}"/>
    <cellStyle name="20% - Accent4 3 4 8" xfId="26637" xr:uid="{A1A3F3F7-B4DF-4DB7-B239-ED4C1BFB5065}"/>
    <cellStyle name="20% - Accent4 3 4_Exh G" xfId="2367" xr:uid="{00000000-0005-0000-0000-00009D180000}"/>
    <cellStyle name="20% - Accent4 3 5" xfId="1224" xr:uid="{00000000-0005-0000-0000-00009E180000}"/>
    <cellStyle name="20% - Accent4 3 5 2" xfId="4751" xr:uid="{00000000-0005-0000-0000-00009F180000}"/>
    <cellStyle name="20% - Accent4 3 5 2 2" xfId="8342" xr:uid="{00000000-0005-0000-0000-0000A0180000}"/>
    <cellStyle name="20% - Accent4 3 5 2 2 2" xfId="16312" xr:uid="{00000000-0005-0000-0000-0000A1180000}"/>
    <cellStyle name="20% - Accent4 3 5 2 2 2 2" xfId="40154" xr:uid="{B2D3F9DE-97C8-4D77-B180-59FB5BBE9A1F}"/>
    <cellStyle name="20% - Accent4 3 5 2 2 3" xfId="24258" xr:uid="{00000000-0005-0000-0000-0000A2180000}"/>
    <cellStyle name="20% - Accent4 3 5 2 2 3 2" xfId="48090" xr:uid="{53E31DA5-7352-4DB1-9388-9352713E52E7}"/>
    <cellStyle name="20% - Accent4 3 5 2 2 4" xfId="32213" xr:uid="{96084648-2945-4A45-897E-15C251970D9B}"/>
    <cellStyle name="20% - Accent4 3 5 2 3" xfId="12774" xr:uid="{00000000-0005-0000-0000-0000A3180000}"/>
    <cellStyle name="20% - Accent4 3 5 2 3 2" xfId="36623" xr:uid="{E5504299-626C-4760-B2AA-6BD5820C5B00}"/>
    <cellStyle name="20% - Accent4 3 5 2 4" xfId="20729" xr:uid="{00000000-0005-0000-0000-0000A4180000}"/>
    <cellStyle name="20% - Accent4 3 5 2 4 2" xfId="44561" xr:uid="{72D84A8E-80E3-43BA-9B25-D9D562EF76F9}"/>
    <cellStyle name="20% - Accent4 3 5 2 5" xfId="28682" xr:uid="{BC1E3040-5066-4ED0-97C6-56146A41A883}"/>
    <cellStyle name="20% - Accent4 3 5 3" xfId="6583" xr:uid="{00000000-0005-0000-0000-0000A5180000}"/>
    <cellStyle name="20% - Accent4 3 5 3 2" xfId="14554" xr:uid="{00000000-0005-0000-0000-0000A6180000}"/>
    <cellStyle name="20% - Accent4 3 5 3 2 2" xfId="38396" xr:uid="{2C34B29A-9168-4BB9-80B4-828C6848306C}"/>
    <cellStyle name="20% - Accent4 3 5 3 3" xfId="22501" xr:uid="{00000000-0005-0000-0000-0000A7180000}"/>
    <cellStyle name="20% - Accent4 3 5 3 3 2" xfId="46333" xr:uid="{59D227B7-91A0-4FEE-ADEC-7423161ECF31}"/>
    <cellStyle name="20% - Accent4 3 5 3 4" xfId="30455" xr:uid="{CFCB81EC-4CB9-405B-A939-A4B09346964B}"/>
    <cellStyle name="20% - Accent4 3 5 4" xfId="11018" xr:uid="{00000000-0005-0000-0000-0000A8180000}"/>
    <cellStyle name="20% - Accent4 3 5 4 2" xfId="34867" xr:uid="{E7BE1A7F-C736-4E8B-B891-A8DBB49A1557}"/>
    <cellStyle name="20% - Accent4 3 5 5" xfId="18973" xr:uid="{00000000-0005-0000-0000-0000A9180000}"/>
    <cellStyle name="20% - Accent4 3 5 5 2" xfId="42805" xr:uid="{6F27BC5D-1758-4F7F-B0A9-28073507947C}"/>
    <cellStyle name="20% - Accent4 3 5 6" xfId="26925" xr:uid="{CFCBFFEA-4A40-4E59-B1A3-A382058BB593}"/>
    <cellStyle name="20% - Accent4 3 5_Exh G" xfId="2369" xr:uid="{00000000-0005-0000-0000-0000AA180000}"/>
    <cellStyle name="20% - Accent4 3 6" xfId="3872" xr:uid="{00000000-0005-0000-0000-0000AB180000}"/>
    <cellStyle name="20% - Accent4 3 6 2" xfId="7464" xr:uid="{00000000-0005-0000-0000-0000AC180000}"/>
    <cellStyle name="20% - Accent4 3 6 2 2" xfId="15434" xr:uid="{00000000-0005-0000-0000-0000AD180000}"/>
    <cellStyle name="20% - Accent4 3 6 2 2 2" xfId="39276" xr:uid="{80A09F6D-C93D-4C52-B037-756C8C8DF9A1}"/>
    <cellStyle name="20% - Accent4 3 6 2 3" xfId="23380" xr:uid="{00000000-0005-0000-0000-0000AE180000}"/>
    <cellStyle name="20% - Accent4 3 6 2 3 2" xfId="47212" xr:uid="{CF5B78E4-41C4-402F-B4CB-0D86842D8A53}"/>
    <cellStyle name="20% - Accent4 3 6 2 4" xfId="31335" xr:uid="{A5CDB62B-CB78-41E1-82D2-0F18B5A7863F}"/>
    <cellStyle name="20% - Accent4 3 6 3" xfId="11896" xr:uid="{00000000-0005-0000-0000-0000AF180000}"/>
    <cellStyle name="20% - Accent4 3 6 3 2" xfId="35745" xr:uid="{4C3A4C9C-56CF-4298-864A-1E4AF6A6B964}"/>
    <cellStyle name="20% - Accent4 3 6 4" xfId="19851" xr:uid="{00000000-0005-0000-0000-0000B0180000}"/>
    <cellStyle name="20% - Accent4 3 6 4 2" xfId="43683" xr:uid="{12E4BD6C-3741-45A1-9799-F879FD8DF22D}"/>
    <cellStyle name="20% - Accent4 3 6 5" xfId="27804" xr:uid="{7753C07A-34D6-48A6-8D03-4B3BBB376BD2}"/>
    <cellStyle name="20% - Accent4 3 7" xfId="5692" xr:uid="{00000000-0005-0000-0000-0000B1180000}"/>
    <cellStyle name="20% - Accent4 3 7 2" xfId="13675" xr:uid="{00000000-0005-0000-0000-0000B2180000}"/>
    <cellStyle name="20% - Accent4 3 7 2 2" xfId="37518" xr:uid="{649C1FD2-3AC3-4520-83FC-527A04951D9C}"/>
    <cellStyle name="20% - Accent4 3 7 3" xfId="21623" xr:uid="{00000000-0005-0000-0000-0000B3180000}"/>
    <cellStyle name="20% - Accent4 3 7 3 2" xfId="45455" xr:uid="{E589193B-6359-4428-99C6-CAB3D220CAFD}"/>
    <cellStyle name="20% - Accent4 3 7 4" xfId="29577" xr:uid="{53324198-DD17-46AA-B150-7D605D3A7D88}"/>
    <cellStyle name="20% - Accent4 3 8" xfId="9244" xr:uid="{00000000-0005-0000-0000-0000B4180000}"/>
    <cellStyle name="20% - Accent4 3 8 2" xfId="17202" xr:uid="{00000000-0005-0000-0000-0000B5180000}"/>
    <cellStyle name="20% - Accent4 3 8 2 2" xfId="41042" xr:uid="{0EF6ECBA-C333-4420-8509-F91DE1DE6B35}"/>
    <cellStyle name="20% - Accent4 3 8 3" xfId="25146" xr:uid="{00000000-0005-0000-0000-0000B6180000}"/>
    <cellStyle name="20% - Accent4 3 8 3 2" xfId="48978" xr:uid="{93876F96-D965-48B2-BB65-8D564B696ACD}"/>
    <cellStyle name="20% - Accent4 3 8 4" xfId="33101" xr:uid="{3BEA6EF0-9438-4F70-8884-7FD51DCA223A}"/>
    <cellStyle name="20% - Accent4 3 9" xfId="10140" xr:uid="{00000000-0005-0000-0000-0000B7180000}"/>
    <cellStyle name="20% - Accent4 3 9 2" xfId="33989" xr:uid="{684EA3D2-5CB6-47E3-AAB3-69DFB2B66A63}"/>
    <cellStyle name="20% - Accent4 3_Exh G" xfId="2358" xr:uid="{00000000-0005-0000-0000-0000B8180000}"/>
    <cellStyle name="20% - Accent4 4" xfId="202" xr:uid="{00000000-0005-0000-0000-0000B9180000}"/>
    <cellStyle name="20% - Accent4 4 10" xfId="18099" xr:uid="{00000000-0005-0000-0000-0000BA180000}"/>
    <cellStyle name="20% - Accent4 4 10 2" xfId="41931" xr:uid="{B28E6980-1C52-4890-911E-7560E89E3FD0}"/>
    <cellStyle name="20% - Accent4 4 11" xfId="26051" xr:uid="{40A3A78E-8F8F-401F-8FE8-70E5DF4E454D}"/>
    <cellStyle name="20% - Accent4 4 2" xfId="203" xr:uid="{00000000-0005-0000-0000-0000BB180000}"/>
    <cellStyle name="20% - Accent4 4 2 10" xfId="26052" xr:uid="{9772F1EE-EB58-45B1-BD29-8751FE56B7DD}"/>
    <cellStyle name="20% - Accent4 4 2 2" xfId="204" xr:uid="{00000000-0005-0000-0000-0000BC180000}"/>
    <cellStyle name="20% - Accent4 4 2 2 2" xfId="1230" xr:uid="{00000000-0005-0000-0000-0000BD180000}"/>
    <cellStyle name="20% - Accent4 4 2 2 2 2" xfId="4757" xr:uid="{00000000-0005-0000-0000-0000BE180000}"/>
    <cellStyle name="20% - Accent4 4 2 2 2 2 2" xfId="8348" xr:uid="{00000000-0005-0000-0000-0000BF180000}"/>
    <cellStyle name="20% - Accent4 4 2 2 2 2 2 2" xfId="16318" xr:uid="{00000000-0005-0000-0000-0000C0180000}"/>
    <cellStyle name="20% - Accent4 4 2 2 2 2 2 2 2" xfId="40160" xr:uid="{0049F0CD-924B-4D0C-8434-914CF283FBA9}"/>
    <cellStyle name="20% - Accent4 4 2 2 2 2 2 3" xfId="24264" xr:uid="{00000000-0005-0000-0000-0000C1180000}"/>
    <cellStyle name="20% - Accent4 4 2 2 2 2 2 3 2" xfId="48096" xr:uid="{FBDD3DA7-15BE-4143-9D38-94D6A9FA40F2}"/>
    <cellStyle name="20% - Accent4 4 2 2 2 2 2 4" xfId="32219" xr:uid="{754CA452-0C55-4C2D-AEC0-0A7C84A5B7BC}"/>
    <cellStyle name="20% - Accent4 4 2 2 2 2 3" xfId="12780" xr:uid="{00000000-0005-0000-0000-0000C2180000}"/>
    <cellStyle name="20% - Accent4 4 2 2 2 2 3 2" xfId="36629" xr:uid="{037EFE4B-2E67-4A3D-A703-39400DC2788C}"/>
    <cellStyle name="20% - Accent4 4 2 2 2 2 4" xfId="20735" xr:uid="{00000000-0005-0000-0000-0000C3180000}"/>
    <cellStyle name="20% - Accent4 4 2 2 2 2 4 2" xfId="44567" xr:uid="{CFA8A87B-8E75-4EA9-B165-3288738C008F}"/>
    <cellStyle name="20% - Accent4 4 2 2 2 2 5" xfId="28688" xr:uid="{B008E19C-0688-4EF7-B6A8-33895EDF63D1}"/>
    <cellStyle name="20% - Accent4 4 2 2 2 3" xfId="6589" xr:uid="{00000000-0005-0000-0000-0000C4180000}"/>
    <cellStyle name="20% - Accent4 4 2 2 2 3 2" xfId="14560" xr:uid="{00000000-0005-0000-0000-0000C5180000}"/>
    <cellStyle name="20% - Accent4 4 2 2 2 3 2 2" xfId="38402" xr:uid="{3F7EE4AB-7F68-4AFB-86E5-551E483CA06C}"/>
    <cellStyle name="20% - Accent4 4 2 2 2 3 3" xfId="22507" xr:uid="{00000000-0005-0000-0000-0000C6180000}"/>
    <cellStyle name="20% - Accent4 4 2 2 2 3 3 2" xfId="46339" xr:uid="{AE64747D-A4DC-4648-8C71-8A7B03326AC1}"/>
    <cellStyle name="20% - Accent4 4 2 2 2 3 4" xfId="30461" xr:uid="{947C2BA0-6147-4EF6-808A-E63404E35CA5}"/>
    <cellStyle name="20% - Accent4 4 2 2 2 4" xfId="11024" xr:uid="{00000000-0005-0000-0000-0000C7180000}"/>
    <cellStyle name="20% - Accent4 4 2 2 2 4 2" xfId="34873" xr:uid="{6F0FB9FC-19CB-40EB-A88A-A7B2F962C7EB}"/>
    <cellStyle name="20% - Accent4 4 2 2 2 5" xfId="18979" xr:uid="{00000000-0005-0000-0000-0000C8180000}"/>
    <cellStyle name="20% - Accent4 4 2 2 2 5 2" xfId="42811" xr:uid="{4FDB7F7C-5E28-4D23-876C-B7D60F6E1996}"/>
    <cellStyle name="20% - Accent4 4 2 2 2 6" xfId="26931" xr:uid="{ACFEF6C0-5A10-4D86-B75C-664F3D9DC052}"/>
    <cellStyle name="20% - Accent4 4 2 2 2_Exh G" xfId="2373" xr:uid="{00000000-0005-0000-0000-0000C9180000}"/>
    <cellStyle name="20% - Accent4 4 2 2 3" xfId="3878" xr:uid="{00000000-0005-0000-0000-0000CA180000}"/>
    <cellStyle name="20% - Accent4 4 2 2 3 2" xfId="7470" xr:uid="{00000000-0005-0000-0000-0000CB180000}"/>
    <cellStyle name="20% - Accent4 4 2 2 3 2 2" xfId="15440" xr:uid="{00000000-0005-0000-0000-0000CC180000}"/>
    <cellStyle name="20% - Accent4 4 2 2 3 2 2 2" xfId="39282" xr:uid="{142EC341-E898-419A-8A3F-B1B69C7BD9C3}"/>
    <cellStyle name="20% - Accent4 4 2 2 3 2 3" xfId="23386" xr:uid="{00000000-0005-0000-0000-0000CD180000}"/>
    <cellStyle name="20% - Accent4 4 2 2 3 2 3 2" xfId="47218" xr:uid="{EB538F9A-DEB1-426F-B871-BA2577D04BAB}"/>
    <cellStyle name="20% - Accent4 4 2 2 3 2 4" xfId="31341" xr:uid="{3A0F1D70-2F1A-4FB4-9607-8F96E27D3B76}"/>
    <cellStyle name="20% - Accent4 4 2 2 3 3" xfId="11902" xr:uid="{00000000-0005-0000-0000-0000CE180000}"/>
    <cellStyle name="20% - Accent4 4 2 2 3 3 2" xfId="35751" xr:uid="{3ADEF30F-D67C-413C-A0BC-4AF1D908791B}"/>
    <cellStyle name="20% - Accent4 4 2 2 3 4" xfId="19857" xr:uid="{00000000-0005-0000-0000-0000CF180000}"/>
    <cellStyle name="20% - Accent4 4 2 2 3 4 2" xfId="43689" xr:uid="{1AB7E19B-0379-4F16-B895-76DD36820ED4}"/>
    <cellStyle name="20% - Accent4 4 2 2 3 5" xfId="27810" xr:uid="{55A7B49E-3886-47CB-8B0D-ED3B074592DE}"/>
    <cellStyle name="20% - Accent4 4 2 2 4" xfId="5698" xr:uid="{00000000-0005-0000-0000-0000D0180000}"/>
    <cellStyle name="20% - Accent4 4 2 2 4 2" xfId="13681" xr:uid="{00000000-0005-0000-0000-0000D1180000}"/>
    <cellStyle name="20% - Accent4 4 2 2 4 2 2" xfId="37524" xr:uid="{462DFDEE-46DB-4F42-9544-254500D1E561}"/>
    <cellStyle name="20% - Accent4 4 2 2 4 3" xfId="21629" xr:uid="{00000000-0005-0000-0000-0000D2180000}"/>
    <cellStyle name="20% - Accent4 4 2 2 4 3 2" xfId="45461" xr:uid="{FD9D52E5-E633-43D7-BA9C-C79D56AD2584}"/>
    <cellStyle name="20% - Accent4 4 2 2 4 4" xfId="29583" xr:uid="{417F894B-F396-49F2-86EF-79DD82EF2BA3}"/>
    <cellStyle name="20% - Accent4 4 2 2 5" xfId="9250" xr:uid="{00000000-0005-0000-0000-0000D3180000}"/>
    <cellStyle name="20% - Accent4 4 2 2 5 2" xfId="17208" xr:uid="{00000000-0005-0000-0000-0000D4180000}"/>
    <cellStyle name="20% - Accent4 4 2 2 5 2 2" xfId="41048" xr:uid="{59B9035A-D0E6-44FB-9EE2-FEFABFD20EF3}"/>
    <cellStyle name="20% - Accent4 4 2 2 5 3" xfId="25152" xr:uid="{00000000-0005-0000-0000-0000D5180000}"/>
    <cellStyle name="20% - Accent4 4 2 2 5 3 2" xfId="48984" xr:uid="{8DDC0BDC-DF42-406F-A4D8-C1249F2DD087}"/>
    <cellStyle name="20% - Accent4 4 2 2 5 4" xfId="33107" xr:uid="{579B1DE1-BBF4-4C5D-A3C1-B77BF5C5777C}"/>
    <cellStyle name="20% - Accent4 4 2 2 6" xfId="10146" xr:uid="{00000000-0005-0000-0000-0000D6180000}"/>
    <cellStyle name="20% - Accent4 4 2 2 6 2" xfId="33995" xr:uid="{48B3B52D-5E90-4A28-8674-4619AEDEBB93}"/>
    <cellStyle name="20% - Accent4 4 2 2 7" xfId="18101" xr:uid="{00000000-0005-0000-0000-0000D7180000}"/>
    <cellStyle name="20% - Accent4 4 2 2 7 2" xfId="41933" xr:uid="{70354A5F-043C-45D9-BD41-024030B26D29}"/>
    <cellStyle name="20% - Accent4 4 2 2 8" xfId="26053" xr:uid="{9F2D9447-7EFD-4630-AD1B-B55690293A24}"/>
    <cellStyle name="20% - Accent4 4 2 2_Exh G" xfId="2372" xr:uid="{00000000-0005-0000-0000-0000D8180000}"/>
    <cellStyle name="20% - Accent4 4 2 3" xfId="901" xr:uid="{00000000-0005-0000-0000-0000D9180000}"/>
    <cellStyle name="20% - Accent4 4 2 3 2" xfId="1827" xr:uid="{00000000-0005-0000-0000-0000DA180000}"/>
    <cellStyle name="20% - Accent4 4 2 3 2 2" xfId="5344" xr:uid="{00000000-0005-0000-0000-0000DB180000}"/>
    <cellStyle name="20% - Accent4 4 2 3 2 2 2" xfId="8935" xr:uid="{00000000-0005-0000-0000-0000DC180000}"/>
    <cellStyle name="20% - Accent4 4 2 3 2 2 2 2" xfId="16905" xr:uid="{00000000-0005-0000-0000-0000DD180000}"/>
    <cellStyle name="20% - Accent4 4 2 3 2 2 2 2 2" xfId="40747" xr:uid="{12709120-A611-4C16-AD55-DB5EF6413BE0}"/>
    <cellStyle name="20% - Accent4 4 2 3 2 2 2 3" xfId="24851" xr:uid="{00000000-0005-0000-0000-0000DE180000}"/>
    <cellStyle name="20% - Accent4 4 2 3 2 2 2 3 2" xfId="48683" xr:uid="{C80AFD1B-8A45-4BDB-97F1-46C6B9D6B69F}"/>
    <cellStyle name="20% - Accent4 4 2 3 2 2 2 4" xfId="32806" xr:uid="{B2FDBC7B-A4B4-42C8-9A8F-9836FADAAE52}"/>
    <cellStyle name="20% - Accent4 4 2 3 2 2 3" xfId="13367" xr:uid="{00000000-0005-0000-0000-0000DF180000}"/>
    <cellStyle name="20% - Accent4 4 2 3 2 2 3 2" xfId="37216" xr:uid="{C2E5212A-C074-487F-AA1E-1C515B864FBA}"/>
    <cellStyle name="20% - Accent4 4 2 3 2 2 4" xfId="21322" xr:uid="{00000000-0005-0000-0000-0000E0180000}"/>
    <cellStyle name="20% - Accent4 4 2 3 2 2 4 2" xfId="45154" xr:uid="{6CE4DEE6-32CE-46C1-81AB-822BB1C4DF41}"/>
    <cellStyle name="20% - Accent4 4 2 3 2 2 5" xfId="29275" xr:uid="{26D6E037-24CE-4BA7-A93E-1EFBC34074BA}"/>
    <cellStyle name="20% - Accent4 4 2 3 2 3" xfId="7176" xr:uid="{00000000-0005-0000-0000-0000E1180000}"/>
    <cellStyle name="20% - Accent4 4 2 3 2 3 2" xfId="15147" xr:uid="{00000000-0005-0000-0000-0000E2180000}"/>
    <cellStyle name="20% - Accent4 4 2 3 2 3 2 2" xfId="38989" xr:uid="{61347781-111F-40C9-820B-1D4E3ECF54F9}"/>
    <cellStyle name="20% - Accent4 4 2 3 2 3 3" xfId="23094" xr:uid="{00000000-0005-0000-0000-0000E3180000}"/>
    <cellStyle name="20% - Accent4 4 2 3 2 3 3 2" xfId="46926" xr:uid="{2FB32FC0-DAAC-43D5-A596-78E193C0B877}"/>
    <cellStyle name="20% - Accent4 4 2 3 2 3 4" xfId="31048" xr:uid="{8FB4567D-FDFB-4C67-9707-135F4CEEC41F}"/>
    <cellStyle name="20% - Accent4 4 2 3 2 4" xfId="11611" xr:uid="{00000000-0005-0000-0000-0000E4180000}"/>
    <cellStyle name="20% - Accent4 4 2 3 2 4 2" xfId="35460" xr:uid="{00FBEE66-0020-4CD0-A29B-37961A389D3A}"/>
    <cellStyle name="20% - Accent4 4 2 3 2 5" xfId="19566" xr:uid="{00000000-0005-0000-0000-0000E5180000}"/>
    <cellStyle name="20% - Accent4 4 2 3 2 5 2" xfId="43398" xr:uid="{1503843F-A5A4-4293-8601-6FF34951324E}"/>
    <cellStyle name="20% - Accent4 4 2 3 2 6" xfId="27518" xr:uid="{315A6D1F-4035-4C69-BDAE-8E3C2E2C9DAD}"/>
    <cellStyle name="20% - Accent4 4 2 3 2_Exh G" xfId="2375" xr:uid="{00000000-0005-0000-0000-0000E6180000}"/>
    <cellStyle name="20% - Accent4 4 2 3 3" xfId="4465" xr:uid="{00000000-0005-0000-0000-0000E7180000}"/>
    <cellStyle name="20% - Accent4 4 2 3 3 2" xfId="8057" xr:uid="{00000000-0005-0000-0000-0000E8180000}"/>
    <cellStyle name="20% - Accent4 4 2 3 3 2 2" xfId="16027" xr:uid="{00000000-0005-0000-0000-0000E9180000}"/>
    <cellStyle name="20% - Accent4 4 2 3 3 2 2 2" xfId="39869" xr:uid="{3A5E5FE9-DD18-46DB-86DE-DC7CF98F6136}"/>
    <cellStyle name="20% - Accent4 4 2 3 3 2 3" xfId="23973" xr:uid="{00000000-0005-0000-0000-0000EA180000}"/>
    <cellStyle name="20% - Accent4 4 2 3 3 2 3 2" xfId="47805" xr:uid="{4353020C-F3B4-454E-9CE6-CA437C40E38B}"/>
    <cellStyle name="20% - Accent4 4 2 3 3 2 4" xfId="31928" xr:uid="{9EF8A89D-4A7E-4F9E-877A-DC3706106437}"/>
    <cellStyle name="20% - Accent4 4 2 3 3 3" xfId="12489" xr:uid="{00000000-0005-0000-0000-0000EB180000}"/>
    <cellStyle name="20% - Accent4 4 2 3 3 3 2" xfId="36338" xr:uid="{22239A8F-9A0F-4AA9-AD2D-D4174F122ECF}"/>
    <cellStyle name="20% - Accent4 4 2 3 3 4" xfId="20444" xr:uid="{00000000-0005-0000-0000-0000EC180000}"/>
    <cellStyle name="20% - Accent4 4 2 3 3 4 2" xfId="44276" xr:uid="{193DC27A-2680-4ADF-842D-F110E3597C58}"/>
    <cellStyle name="20% - Accent4 4 2 3 3 5" xfId="28397" xr:uid="{7B9553D2-8001-47A2-8CA2-A911BE74E46B}"/>
    <cellStyle name="20% - Accent4 4 2 3 4" xfId="6295" xr:uid="{00000000-0005-0000-0000-0000ED180000}"/>
    <cellStyle name="20% - Accent4 4 2 3 4 2" xfId="14269" xr:uid="{00000000-0005-0000-0000-0000EE180000}"/>
    <cellStyle name="20% - Accent4 4 2 3 4 2 2" xfId="38111" xr:uid="{65EDFBEA-B587-4899-8089-4430C3D1335C}"/>
    <cellStyle name="20% - Accent4 4 2 3 4 3" xfId="22216" xr:uid="{00000000-0005-0000-0000-0000EF180000}"/>
    <cellStyle name="20% - Accent4 4 2 3 4 3 2" xfId="46048" xr:uid="{04CC20A5-AF70-4E3A-9364-8EE523C9BAF2}"/>
    <cellStyle name="20% - Accent4 4 2 3 4 4" xfId="30170" xr:uid="{83E20831-1C3C-477A-A23E-FDA464284263}"/>
    <cellStyle name="20% - Accent4 4 2 3 5" xfId="9837" xr:uid="{00000000-0005-0000-0000-0000F0180000}"/>
    <cellStyle name="20% - Accent4 4 2 3 5 2" xfId="17795" xr:uid="{00000000-0005-0000-0000-0000F1180000}"/>
    <cellStyle name="20% - Accent4 4 2 3 5 2 2" xfId="41635" xr:uid="{567FBFD8-19B8-4ED5-A568-CBBDDDF98074}"/>
    <cellStyle name="20% - Accent4 4 2 3 5 3" xfId="25739" xr:uid="{00000000-0005-0000-0000-0000F2180000}"/>
    <cellStyle name="20% - Accent4 4 2 3 5 3 2" xfId="49571" xr:uid="{927A507B-8C93-486C-94E9-812F990E74D3}"/>
    <cellStyle name="20% - Accent4 4 2 3 5 4" xfId="33694" xr:uid="{C2DC4B3E-5D88-432B-A0B8-E6D6B6C163A0}"/>
    <cellStyle name="20% - Accent4 4 2 3 6" xfId="10733" xr:uid="{00000000-0005-0000-0000-0000F3180000}"/>
    <cellStyle name="20% - Accent4 4 2 3 6 2" xfId="34582" xr:uid="{953A779C-CFBB-46E6-BA35-9EDED8C4DB20}"/>
    <cellStyle name="20% - Accent4 4 2 3 7" xfId="18688" xr:uid="{00000000-0005-0000-0000-0000F4180000}"/>
    <cellStyle name="20% - Accent4 4 2 3 7 2" xfId="42520" xr:uid="{4E2B5F9E-57F2-44E5-A5B7-96174DC59C34}"/>
    <cellStyle name="20% - Accent4 4 2 3 8" xfId="26640" xr:uid="{6A268E3D-C67B-45FA-8F66-E2E72F08FD5E}"/>
    <cellStyle name="20% - Accent4 4 2 3_Exh G" xfId="2374" xr:uid="{00000000-0005-0000-0000-0000F5180000}"/>
    <cellStyle name="20% - Accent4 4 2 4" xfId="1229" xr:uid="{00000000-0005-0000-0000-0000F6180000}"/>
    <cellStyle name="20% - Accent4 4 2 4 2" xfId="4756" xr:uid="{00000000-0005-0000-0000-0000F7180000}"/>
    <cellStyle name="20% - Accent4 4 2 4 2 2" xfId="8347" xr:uid="{00000000-0005-0000-0000-0000F8180000}"/>
    <cellStyle name="20% - Accent4 4 2 4 2 2 2" xfId="16317" xr:uid="{00000000-0005-0000-0000-0000F9180000}"/>
    <cellStyle name="20% - Accent4 4 2 4 2 2 2 2" xfId="40159" xr:uid="{CD9125C5-9D51-4156-B712-74E08D8F720A}"/>
    <cellStyle name="20% - Accent4 4 2 4 2 2 3" xfId="24263" xr:uid="{00000000-0005-0000-0000-0000FA180000}"/>
    <cellStyle name="20% - Accent4 4 2 4 2 2 3 2" xfId="48095" xr:uid="{FDA62518-1821-45BA-B9CE-B5D48DD61CD6}"/>
    <cellStyle name="20% - Accent4 4 2 4 2 2 4" xfId="32218" xr:uid="{95CBE286-346D-4F4E-95CE-B60CC2EE8DA1}"/>
    <cellStyle name="20% - Accent4 4 2 4 2 3" xfId="12779" xr:uid="{00000000-0005-0000-0000-0000FB180000}"/>
    <cellStyle name="20% - Accent4 4 2 4 2 3 2" xfId="36628" xr:uid="{4B5E0C03-B0DE-4EBF-945F-5169AFBF7029}"/>
    <cellStyle name="20% - Accent4 4 2 4 2 4" xfId="20734" xr:uid="{00000000-0005-0000-0000-0000FC180000}"/>
    <cellStyle name="20% - Accent4 4 2 4 2 4 2" xfId="44566" xr:uid="{194DDEDF-5A47-45C0-8911-D53EDDD64EB6}"/>
    <cellStyle name="20% - Accent4 4 2 4 2 5" xfId="28687" xr:uid="{AE5C3A18-4C21-446B-814D-644017AA9A9B}"/>
    <cellStyle name="20% - Accent4 4 2 4 3" xfId="6588" xr:uid="{00000000-0005-0000-0000-0000FD180000}"/>
    <cellStyle name="20% - Accent4 4 2 4 3 2" xfId="14559" xr:uid="{00000000-0005-0000-0000-0000FE180000}"/>
    <cellStyle name="20% - Accent4 4 2 4 3 2 2" xfId="38401" xr:uid="{5630BAAB-2F26-469E-83D8-4B9A7DD9DE92}"/>
    <cellStyle name="20% - Accent4 4 2 4 3 3" xfId="22506" xr:uid="{00000000-0005-0000-0000-0000FF180000}"/>
    <cellStyle name="20% - Accent4 4 2 4 3 3 2" xfId="46338" xr:uid="{D2EA16CD-2C13-4562-9BEE-4D2FDFD45D72}"/>
    <cellStyle name="20% - Accent4 4 2 4 3 4" xfId="30460" xr:uid="{ECC2595A-72D7-4FCD-8D46-6900A4221761}"/>
    <cellStyle name="20% - Accent4 4 2 4 4" xfId="11023" xr:uid="{00000000-0005-0000-0000-000000190000}"/>
    <cellStyle name="20% - Accent4 4 2 4 4 2" xfId="34872" xr:uid="{C330C7A2-F7F6-4B0E-95CA-F140F34B0402}"/>
    <cellStyle name="20% - Accent4 4 2 4 5" xfId="18978" xr:uid="{00000000-0005-0000-0000-000001190000}"/>
    <cellStyle name="20% - Accent4 4 2 4 5 2" xfId="42810" xr:uid="{0F754734-EE90-4452-B1FF-58970015120D}"/>
    <cellStyle name="20% - Accent4 4 2 4 6" xfId="26930" xr:uid="{98338851-45C3-4CBC-B791-BA92EC0073C8}"/>
    <cellStyle name="20% - Accent4 4 2 4_Exh G" xfId="2376" xr:uid="{00000000-0005-0000-0000-000002190000}"/>
    <cellStyle name="20% - Accent4 4 2 5" xfId="3877" xr:uid="{00000000-0005-0000-0000-000003190000}"/>
    <cellStyle name="20% - Accent4 4 2 5 2" xfId="7469" xr:uid="{00000000-0005-0000-0000-000004190000}"/>
    <cellStyle name="20% - Accent4 4 2 5 2 2" xfId="15439" xr:uid="{00000000-0005-0000-0000-000005190000}"/>
    <cellStyle name="20% - Accent4 4 2 5 2 2 2" xfId="39281" xr:uid="{FFD1085C-D068-4C88-8F19-77A7608D7E9D}"/>
    <cellStyle name="20% - Accent4 4 2 5 2 3" xfId="23385" xr:uid="{00000000-0005-0000-0000-000006190000}"/>
    <cellStyle name="20% - Accent4 4 2 5 2 3 2" xfId="47217" xr:uid="{5189203C-4CED-4263-BC6B-E7103402A2E1}"/>
    <cellStyle name="20% - Accent4 4 2 5 2 4" xfId="31340" xr:uid="{7CF649BE-42A0-4B8B-9DAA-0498E7476D3C}"/>
    <cellStyle name="20% - Accent4 4 2 5 3" xfId="11901" xr:uid="{00000000-0005-0000-0000-000007190000}"/>
    <cellStyle name="20% - Accent4 4 2 5 3 2" xfId="35750" xr:uid="{7B64EB70-3AC4-4FF4-ABCE-EB6462564B91}"/>
    <cellStyle name="20% - Accent4 4 2 5 4" xfId="19856" xr:uid="{00000000-0005-0000-0000-000008190000}"/>
    <cellStyle name="20% - Accent4 4 2 5 4 2" xfId="43688" xr:uid="{6B15D4DC-8E3F-48FB-89AE-69A9610B1235}"/>
    <cellStyle name="20% - Accent4 4 2 5 5" xfId="27809" xr:uid="{1DFA88F0-7513-445C-BB92-65DE12EED12E}"/>
    <cellStyle name="20% - Accent4 4 2 6" xfId="5697" xr:uid="{00000000-0005-0000-0000-000009190000}"/>
    <cellStyle name="20% - Accent4 4 2 6 2" xfId="13680" xr:uid="{00000000-0005-0000-0000-00000A190000}"/>
    <cellStyle name="20% - Accent4 4 2 6 2 2" xfId="37523" xr:uid="{F516EB9B-D7EB-4EDA-9237-2662EE7E962A}"/>
    <cellStyle name="20% - Accent4 4 2 6 3" xfId="21628" xr:uid="{00000000-0005-0000-0000-00000B190000}"/>
    <cellStyle name="20% - Accent4 4 2 6 3 2" xfId="45460" xr:uid="{D6F297DF-37EE-4F14-B103-CF4F51F9F123}"/>
    <cellStyle name="20% - Accent4 4 2 6 4" xfId="29582" xr:uid="{338413E1-D2AC-4C53-B881-0FB759C6983F}"/>
    <cellStyle name="20% - Accent4 4 2 7" xfId="9249" xr:uid="{00000000-0005-0000-0000-00000C190000}"/>
    <cellStyle name="20% - Accent4 4 2 7 2" xfId="17207" xr:uid="{00000000-0005-0000-0000-00000D190000}"/>
    <cellStyle name="20% - Accent4 4 2 7 2 2" xfId="41047" xr:uid="{4510DCCA-B30E-4C9A-B164-752EDF5B9998}"/>
    <cellStyle name="20% - Accent4 4 2 7 3" xfId="25151" xr:uid="{00000000-0005-0000-0000-00000E190000}"/>
    <cellStyle name="20% - Accent4 4 2 7 3 2" xfId="48983" xr:uid="{D464DF9E-749E-48A5-8030-D918D44B6D04}"/>
    <cellStyle name="20% - Accent4 4 2 7 4" xfId="33106" xr:uid="{BE11CBB2-DAC1-4B00-A31E-DD1041063568}"/>
    <cellStyle name="20% - Accent4 4 2 8" xfId="10145" xr:uid="{00000000-0005-0000-0000-00000F190000}"/>
    <cellStyle name="20% - Accent4 4 2 8 2" xfId="33994" xr:uid="{3E20C58B-CCB5-49D2-A1CC-DC64727C34B6}"/>
    <cellStyle name="20% - Accent4 4 2 9" xfId="18100" xr:uid="{00000000-0005-0000-0000-000010190000}"/>
    <cellStyle name="20% - Accent4 4 2 9 2" xfId="41932" xr:uid="{68754A87-E81B-483D-BF97-A684F5856968}"/>
    <cellStyle name="20% - Accent4 4 2_Exh G" xfId="2371" xr:uid="{00000000-0005-0000-0000-000011190000}"/>
    <cellStyle name="20% - Accent4 4 3" xfId="205" xr:uid="{00000000-0005-0000-0000-000012190000}"/>
    <cellStyle name="20% - Accent4 4 3 2" xfId="1231" xr:uid="{00000000-0005-0000-0000-000013190000}"/>
    <cellStyle name="20% - Accent4 4 3 2 2" xfId="4758" xr:uid="{00000000-0005-0000-0000-000014190000}"/>
    <cellStyle name="20% - Accent4 4 3 2 2 2" xfId="8349" xr:uid="{00000000-0005-0000-0000-000015190000}"/>
    <cellStyle name="20% - Accent4 4 3 2 2 2 2" xfId="16319" xr:uid="{00000000-0005-0000-0000-000016190000}"/>
    <cellStyle name="20% - Accent4 4 3 2 2 2 2 2" xfId="40161" xr:uid="{01BD8F37-8B2F-40C2-925A-B15A5EABE3ED}"/>
    <cellStyle name="20% - Accent4 4 3 2 2 2 3" xfId="24265" xr:uid="{00000000-0005-0000-0000-000017190000}"/>
    <cellStyle name="20% - Accent4 4 3 2 2 2 3 2" xfId="48097" xr:uid="{60E7E31E-B48D-4952-B73C-51FEA5E1FC49}"/>
    <cellStyle name="20% - Accent4 4 3 2 2 2 4" xfId="32220" xr:uid="{3016FB48-9ADF-4F44-ABAF-87D0C23F4216}"/>
    <cellStyle name="20% - Accent4 4 3 2 2 3" xfId="12781" xr:uid="{00000000-0005-0000-0000-000018190000}"/>
    <cellStyle name="20% - Accent4 4 3 2 2 3 2" xfId="36630" xr:uid="{236D7D21-F745-4EBA-A714-51835825900A}"/>
    <cellStyle name="20% - Accent4 4 3 2 2 4" xfId="20736" xr:uid="{00000000-0005-0000-0000-000019190000}"/>
    <cellStyle name="20% - Accent4 4 3 2 2 4 2" xfId="44568" xr:uid="{ED6E12F4-D85E-4894-8098-B53EB72AEE0F}"/>
    <cellStyle name="20% - Accent4 4 3 2 2 5" xfId="28689" xr:uid="{AA02C380-28A9-429C-AE99-A50C5B5923F1}"/>
    <cellStyle name="20% - Accent4 4 3 2 3" xfId="6590" xr:uid="{00000000-0005-0000-0000-00001A190000}"/>
    <cellStyle name="20% - Accent4 4 3 2 3 2" xfId="14561" xr:uid="{00000000-0005-0000-0000-00001B190000}"/>
    <cellStyle name="20% - Accent4 4 3 2 3 2 2" xfId="38403" xr:uid="{2EE7BD8D-3087-4B2D-904D-DED696363715}"/>
    <cellStyle name="20% - Accent4 4 3 2 3 3" xfId="22508" xr:uid="{00000000-0005-0000-0000-00001C190000}"/>
    <cellStyle name="20% - Accent4 4 3 2 3 3 2" xfId="46340" xr:uid="{CF6D1809-73D3-4253-A9C8-D95FE9A94C9E}"/>
    <cellStyle name="20% - Accent4 4 3 2 3 4" xfId="30462" xr:uid="{ABC19FF3-E022-4C1A-986F-526868C76C7F}"/>
    <cellStyle name="20% - Accent4 4 3 2 4" xfId="11025" xr:uid="{00000000-0005-0000-0000-00001D190000}"/>
    <cellStyle name="20% - Accent4 4 3 2 4 2" xfId="34874" xr:uid="{6FA35F48-D264-4517-8648-9F4D7F6D1BBC}"/>
    <cellStyle name="20% - Accent4 4 3 2 5" xfId="18980" xr:uid="{00000000-0005-0000-0000-00001E190000}"/>
    <cellStyle name="20% - Accent4 4 3 2 5 2" xfId="42812" xr:uid="{2D2DBE20-A87D-42AC-A7DC-76C4192107A3}"/>
    <cellStyle name="20% - Accent4 4 3 2 6" xfId="26932" xr:uid="{0641AA11-B76B-405F-8D6A-C65DE7172364}"/>
    <cellStyle name="20% - Accent4 4 3 2_Exh G" xfId="2378" xr:uid="{00000000-0005-0000-0000-00001F190000}"/>
    <cellStyle name="20% - Accent4 4 3 3" xfId="3879" xr:uid="{00000000-0005-0000-0000-000020190000}"/>
    <cellStyle name="20% - Accent4 4 3 3 2" xfId="7471" xr:uid="{00000000-0005-0000-0000-000021190000}"/>
    <cellStyle name="20% - Accent4 4 3 3 2 2" xfId="15441" xr:uid="{00000000-0005-0000-0000-000022190000}"/>
    <cellStyle name="20% - Accent4 4 3 3 2 2 2" xfId="39283" xr:uid="{5D53F76F-265D-4449-87DD-DA860D8319F2}"/>
    <cellStyle name="20% - Accent4 4 3 3 2 3" xfId="23387" xr:uid="{00000000-0005-0000-0000-000023190000}"/>
    <cellStyle name="20% - Accent4 4 3 3 2 3 2" xfId="47219" xr:uid="{F5758FC6-478D-4038-BF1F-8D45178F5B16}"/>
    <cellStyle name="20% - Accent4 4 3 3 2 4" xfId="31342" xr:uid="{4ECBF2A5-040F-40B7-B61F-55287F0F7BF7}"/>
    <cellStyle name="20% - Accent4 4 3 3 3" xfId="11903" xr:uid="{00000000-0005-0000-0000-000024190000}"/>
    <cellStyle name="20% - Accent4 4 3 3 3 2" xfId="35752" xr:uid="{52ED39ED-0E43-4FD9-9A65-5E9EC96CDB91}"/>
    <cellStyle name="20% - Accent4 4 3 3 4" xfId="19858" xr:uid="{00000000-0005-0000-0000-000025190000}"/>
    <cellStyle name="20% - Accent4 4 3 3 4 2" xfId="43690" xr:uid="{C6E6C2BF-3E2D-4263-95DE-4545F88655B3}"/>
    <cellStyle name="20% - Accent4 4 3 3 5" xfId="27811" xr:uid="{268E3BAC-B0E4-4D88-81BA-312B16DB1959}"/>
    <cellStyle name="20% - Accent4 4 3 4" xfId="5699" xr:uid="{00000000-0005-0000-0000-000026190000}"/>
    <cellStyle name="20% - Accent4 4 3 4 2" xfId="13682" xr:uid="{00000000-0005-0000-0000-000027190000}"/>
    <cellStyle name="20% - Accent4 4 3 4 2 2" xfId="37525" xr:uid="{59C6F3EB-F7DC-4932-8830-4745EF3B7739}"/>
    <cellStyle name="20% - Accent4 4 3 4 3" xfId="21630" xr:uid="{00000000-0005-0000-0000-000028190000}"/>
    <cellStyle name="20% - Accent4 4 3 4 3 2" xfId="45462" xr:uid="{E4784548-F898-4C68-8938-AB4452C34D01}"/>
    <cellStyle name="20% - Accent4 4 3 4 4" xfId="29584" xr:uid="{EEB049A0-D744-4CDF-9478-4CC8101FCE2E}"/>
    <cellStyle name="20% - Accent4 4 3 5" xfId="9251" xr:uid="{00000000-0005-0000-0000-000029190000}"/>
    <cellStyle name="20% - Accent4 4 3 5 2" xfId="17209" xr:uid="{00000000-0005-0000-0000-00002A190000}"/>
    <cellStyle name="20% - Accent4 4 3 5 2 2" xfId="41049" xr:uid="{24E033B8-CCDC-4D4E-86B2-A0A41737C58A}"/>
    <cellStyle name="20% - Accent4 4 3 5 3" xfId="25153" xr:uid="{00000000-0005-0000-0000-00002B190000}"/>
    <cellStyle name="20% - Accent4 4 3 5 3 2" xfId="48985" xr:uid="{94F8E2C6-511E-4287-B5E6-E15B6D7C2F28}"/>
    <cellStyle name="20% - Accent4 4 3 5 4" xfId="33108" xr:uid="{4095F3CC-5455-4CB2-8B32-0A77DA066E66}"/>
    <cellStyle name="20% - Accent4 4 3 6" xfId="10147" xr:uid="{00000000-0005-0000-0000-00002C190000}"/>
    <cellStyle name="20% - Accent4 4 3 6 2" xfId="33996" xr:uid="{6BE75CC1-8262-4501-BE2F-7828C4054D29}"/>
    <cellStyle name="20% - Accent4 4 3 7" xfId="18102" xr:uid="{00000000-0005-0000-0000-00002D190000}"/>
    <cellStyle name="20% - Accent4 4 3 7 2" xfId="41934" xr:uid="{C242E214-C730-4360-8933-8DE65098229A}"/>
    <cellStyle name="20% - Accent4 4 3 8" xfId="26054" xr:uid="{D5696901-9FD4-4055-A907-12E75CFF5EF0}"/>
    <cellStyle name="20% - Accent4 4 3_Exh G" xfId="2377" xr:uid="{00000000-0005-0000-0000-00002E190000}"/>
    <cellStyle name="20% - Accent4 4 4" xfId="900" xr:uid="{00000000-0005-0000-0000-00002F190000}"/>
    <cellStyle name="20% - Accent4 4 4 2" xfId="1826" xr:uid="{00000000-0005-0000-0000-000030190000}"/>
    <cellStyle name="20% - Accent4 4 4 2 2" xfId="5343" xr:uid="{00000000-0005-0000-0000-000031190000}"/>
    <cellStyle name="20% - Accent4 4 4 2 2 2" xfId="8934" xr:uid="{00000000-0005-0000-0000-000032190000}"/>
    <cellStyle name="20% - Accent4 4 4 2 2 2 2" xfId="16904" xr:uid="{00000000-0005-0000-0000-000033190000}"/>
    <cellStyle name="20% - Accent4 4 4 2 2 2 2 2" xfId="40746" xr:uid="{0AEB68CF-972E-45FE-BBCC-3C17DFCDF0E8}"/>
    <cellStyle name="20% - Accent4 4 4 2 2 2 3" xfId="24850" xr:uid="{00000000-0005-0000-0000-000034190000}"/>
    <cellStyle name="20% - Accent4 4 4 2 2 2 3 2" xfId="48682" xr:uid="{DE86577B-4645-4F74-B51C-A1FC196D43A4}"/>
    <cellStyle name="20% - Accent4 4 4 2 2 2 4" xfId="32805" xr:uid="{89B1C100-8E88-42EE-8438-AA52DEE4BDCA}"/>
    <cellStyle name="20% - Accent4 4 4 2 2 3" xfId="13366" xr:uid="{00000000-0005-0000-0000-000035190000}"/>
    <cellStyle name="20% - Accent4 4 4 2 2 3 2" xfId="37215" xr:uid="{30ABF46E-075F-4082-96F2-6493E7AE5627}"/>
    <cellStyle name="20% - Accent4 4 4 2 2 4" xfId="21321" xr:uid="{00000000-0005-0000-0000-000036190000}"/>
    <cellStyle name="20% - Accent4 4 4 2 2 4 2" xfId="45153" xr:uid="{AA6F3DD6-7501-44AB-B70F-BA7426E0F41F}"/>
    <cellStyle name="20% - Accent4 4 4 2 2 5" xfId="29274" xr:uid="{888ABF46-60A7-4238-9490-033CD540E7F3}"/>
    <cellStyle name="20% - Accent4 4 4 2 3" xfId="7175" xr:uid="{00000000-0005-0000-0000-000037190000}"/>
    <cellStyle name="20% - Accent4 4 4 2 3 2" xfId="15146" xr:uid="{00000000-0005-0000-0000-000038190000}"/>
    <cellStyle name="20% - Accent4 4 4 2 3 2 2" xfId="38988" xr:uid="{BD454850-E788-485E-B63E-785CF1A59CFB}"/>
    <cellStyle name="20% - Accent4 4 4 2 3 3" xfId="23093" xr:uid="{00000000-0005-0000-0000-000039190000}"/>
    <cellStyle name="20% - Accent4 4 4 2 3 3 2" xfId="46925" xr:uid="{3B401170-0A7D-4A02-B617-BB31F00CF3F3}"/>
    <cellStyle name="20% - Accent4 4 4 2 3 4" xfId="31047" xr:uid="{E1361F67-1D45-4721-B2FF-A6CFFBA5F55F}"/>
    <cellStyle name="20% - Accent4 4 4 2 4" xfId="11610" xr:uid="{00000000-0005-0000-0000-00003A190000}"/>
    <cellStyle name="20% - Accent4 4 4 2 4 2" xfId="35459" xr:uid="{25E4BF0F-C41E-4B69-B740-BF321C2A573C}"/>
    <cellStyle name="20% - Accent4 4 4 2 5" xfId="19565" xr:uid="{00000000-0005-0000-0000-00003B190000}"/>
    <cellStyle name="20% - Accent4 4 4 2 5 2" xfId="43397" xr:uid="{BC2325C7-01B1-4F85-AD40-6A250FACE63A}"/>
    <cellStyle name="20% - Accent4 4 4 2 6" xfId="27517" xr:uid="{455B84AE-F22F-464D-9AA5-31D8704FDF9F}"/>
    <cellStyle name="20% - Accent4 4 4 2_Exh G" xfId="2380" xr:uid="{00000000-0005-0000-0000-00003C190000}"/>
    <cellStyle name="20% - Accent4 4 4 3" xfId="4464" xr:uid="{00000000-0005-0000-0000-00003D190000}"/>
    <cellStyle name="20% - Accent4 4 4 3 2" xfId="8056" xr:uid="{00000000-0005-0000-0000-00003E190000}"/>
    <cellStyle name="20% - Accent4 4 4 3 2 2" xfId="16026" xr:uid="{00000000-0005-0000-0000-00003F190000}"/>
    <cellStyle name="20% - Accent4 4 4 3 2 2 2" xfId="39868" xr:uid="{EC4369D0-6870-4E2A-94FF-0709DF2579F5}"/>
    <cellStyle name="20% - Accent4 4 4 3 2 3" xfId="23972" xr:uid="{00000000-0005-0000-0000-000040190000}"/>
    <cellStyle name="20% - Accent4 4 4 3 2 3 2" xfId="47804" xr:uid="{B8508F4C-0C2C-4CFD-A1EE-6E455E42A657}"/>
    <cellStyle name="20% - Accent4 4 4 3 2 4" xfId="31927" xr:uid="{AEF815A0-B5D9-4F9E-9770-8711C4584997}"/>
    <cellStyle name="20% - Accent4 4 4 3 3" xfId="12488" xr:uid="{00000000-0005-0000-0000-000041190000}"/>
    <cellStyle name="20% - Accent4 4 4 3 3 2" xfId="36337" xr:uid="{B0CC1CAE-49DA-4175-9564-87876F37C72B}"/>
    <cellStyle name="20% - Accent4 4 4 3 4" xfId="20443" xr:uid="{00000000-0005-0000-0000-000042190000}"/>
    <cellStyle name="20% - Accent4 4 4 3 4 2" xfId="44275" xr:uid="{0825ADBC-8320-4770-92E5-0C9E61A94334}"/>
    <cellStyle name="20% - Accent4 4 4 3 5" xfId="28396" xr:uid="{61F251E3-F892-4840-BB9F-E4E5B9C36BA1}"/>
    <cellStyle name="20% - Accent4 4 4 4" xfId="6294" xr:uid="{00000000-0005-0000-0000-000043190000}"/>
    <cellStyle name="20% - Accent4 4 4 4 2" xfId="14268" xr:uid="{00000000-0005-0000-0000-000044190000}"/>
    <cellStyle name="20% - Accent4 4 4 4 2 2" xfId="38110" xr:uid="{2CE32AB0-15E4-497B-A806-A9E2031F5231}"/>
    <cellStyle name="20% - Accent4 4 4 4 3" xfId="22215" xr:uid="{00000000-0005-0000-0000-000045190000}"/>
    <cellStyle name="20% - Accent4 4 4 4 3 2" xfId="46047" xr:uid="{127A668A-DC2B-4FB6-AE09-BDB319EACF0A}"/>
    <cellStyle name="20% - Accent4 4 4 4 4" xfId="30169" xr:uid="{4EBDFD50-98E0-4B66-8C24-813C512BE075}"/>
    <cellStyle name="20% - Accent4 4 4 5" xfId="9836" xr:uid="{00000000-0005-0000-0000-000046190000}"/>
    <cellStyle name="20% - Accent4 4 4 5 2" xfId="17794" xr:uid="{00000000-0005-0000-0000-000047190000}"/>
    <cellStyle name="20% - Accent4 4 4 5 2 2" xfId="41634" xr:uid="{6DD68AF1-070F-4DC6-9ABB-C2AA07C232B8}"/>
    <cellStyle name="20% - Accent4 4 4 5 3" xfId="25738" xr:uid="{00000000-0005-0000-0000-000048190000}"/>
    <cellStyle name="20% - Accent4 4 4 5 3 2" xfId="49570" xr:uid="{F3A24E1F-9609-4AC5-A998-317DFD154F04}"/>
    <cellStyle name="20% - Accent4 4 4 5 4" xfId="33693" xr:uid="{EAC4B7FD-3AA4-44A8-8A3A-E4539B40A27C}"/>
    <cellStyle name="20% - Accent4 4 4 6" xfId="10732" xr:uid="{00000000-0005-0000-0000-000049190000}"/>
    <cellStyle name="20% - Accent4 4 4 6 2" xfId="34581" xr:uid="{36D0CE69-B078-4E1A-974F-FA2E42C82462}"/>
    <cellStyle name="20% - Accent4 4 4 7" xfId="18687" xr:uid="{00000000-0005-0000-0000-00004A190000}"/>
    <cellStyle name="20% - Accent4 4 4 7 2" xfId="42519" xr:uid="{46370E89-D45D-449F-8A0E-A0A06066FC9D}"/>
    <cellStyle name="20% - Accent4 4 4 8" xfId="26639" xr:uid="{81A67E0D-6298-4B7A-8BE8-C4BD22D02F85}"/>
    <cellStyle name="20% - Accent4 4 4_Exh G" xfId="2379" xr:uid="{00000000-0005-0000-0000-00004B190000}"/>
    <cellStyle name="20% - Accent4 4 5" xfId="1228" xr:uid="{00000000-0005-0000-0000-00004C190000}"/>
    <cellStyle name="20% - Accent4 4 5 2" xfId="4755" xr:uid="{00000000-0005-0000-0000-00004D190000}"/>
    <cellStyle name="20% - Accent4 4 5 2 2" xfId="8346" xr:uid="{00000000-0005-0000-0000-00004E190000}"/>
    <cellStyle name="20% - Accent4 4 5 2 2 2" xfId="16316" xr:uid="{00000000-0005-0000-0000-00004F190000}"/>
    <cellStyle name="20% - Accent4 4 5 2 2 2 2" xfId="40158" xr:uid="{36FF9385-9544-41D8-8EDF-5CD5AF5F4283}"/>
    <cellStyle name="20% - Accent4 4 5 2 2 3" xfId="24262" xr:uid="{00000000-0005-0000-0000-000050190000}"/>
    <cellStyle name="20% - Accent4 4 5 2 2 3 2" xfId="48094" xr:uid="{9AADD416-C234-4A97-923E-272A70534FEF}"/>
    <cellStyle name="20% - Accent4 4 5 2 2 4" xfId="32217" xr:uid="{787CB09C-F670-4995-9225-86C8A8CBD798}"/>
    <cellStyle name="20% - Accent4 4 5 2 3" xfId="12778" xr:uid="{00000000-0005-0000-0000-000051190000}"/>
    <cellStyle name="20% - Accent4 4 5 2 3 2" xfId="36627" xr:uid="{14E5ABB2-F6C1-4DD8-8C81-B444BACEAD5C}"/>
    <cellStyle name="20% - Accent4 4 5 2 4" xfId="20733" xr:uid="{00000000-0005-0000-0000-000052190000}"/>
    <cellStyle name="20% - Accent4 4 5 2 4 2" xfId="44565" xr:uid="{CCA55846-A089-4D46-AF3D-4D6A01EBFC87}"/>
    <cellStyle name="20% - Accent4 4 5 2 5" xfId="28686" xr:uid="{77644437-0BBC-4E7D-96C9-4CC4020F2C08}"/>
    <cellStyle name="20% - Accent4 4 5 3" xfId="6587" xr:uid="{00000000-0005-0000-0000-000053190000}"/>
    <cellStyle name="20% - Accent4 4 5 3 2" xfId="14558" xr:uid="{00000000-0005-0000-0000-000054190000}"/>
    <cellStyle name="20% - Accent4 4 5 3 2 2" xfId="38400" xr:uid="{5117D102-7206-47AA-8786-1664DD3FC3A3}"/>
    <cellStyle name="20% - Accent4 4 5 3 3" xfId="22505" xr:uid="{00000000-0005-0000-0000-000055190000}"/>
    <cellStyle name="20% - Accent4 4 5 3 3 2" xfId="46337" xr:uid="{8E5D88CD-1F80-4616-AE64-627BD0A70143}"/>
    <cellStyle name="20% - Accent4 4 5 3 4" xfId="30459" xr:uid="{AE648020-3799-4CB3-8C26-2A5726E6BE1A}"/>
    <cellStyle name="20% - Accent4 4 5 4" xfId="11022" xr:uid="{00000000-0005-0000-0000-000056190000}"/>
    <cellStyle name="20% - Accent4 4 5 4 2" xfId="34871" xr:uid="{40CFEBA9-2013-4A60-88AA-8527B618672A}"/>
    <cellStyle name="20% - Accent4 4 5 5" xfId="18977" xr:uid="{00000000-0005-0000-0000-000057190000}"/>
    <cellStyle name="20% - Accent4 4 5 5 2" xfId="42809" xr:uid="{72DF8853-A4BC-4606-9179-76659E3BB162}"/>
    <cellStyle name="20% - Accent4 4 5 6" xfId="26929" xr:uid="{2E5BA344-250C-4348-BA6F-3687745476E4}"/>
    <cellStyle name="20% - Accent4 4 5_Exh G" xfId="2381" xr:uid="{00000000-0005-0000-0000-000058190000}"/>
    <cellStyle name="20% - Accent4 4 6" xfId="3876" xr:uid="{00000000-0005-0000-0000-000059190000}"/>
    <cellStyle name="20% - Accent4 4 6 2" xfId="7468" xr:uid="{00000000-0005-0000-0000-00005A190000}"/>
    <cellStyle name="20% - Accent4 4 6 2 2" xfId="15438" xr:uid="{00000000-0005-0000-0000-00005B190000}"/>
    <cellStyle name="20% - Accent4 4 6 2 2 2" xfId="39280" xr:uid="{C6397E08-D187-4378-9124-B8E335D74837}"/>
    <cellStyle name="20% - Accent4 4 6 2 3" xfId="23384" xr:uid="{00000000-0005-0000-0000-00005C190000}"/>
    <cellStyle name="20% - Accent4 4 6 2 3 2" xfId="47216" xr:uid="{E513A9FE-F37E-4B57-889C-69DBDE70A3F6}"/>
    <cellStyle name="20% - Accent4 4 6 2 4" xfId="31339" xr:uid="{61C6034A-D000-4DD8-9F74-9B732DADDD7D}"/>
    <cellStyle name="20% - Accent4 4 6 3" xfId="11900" xr:uid="{00000000-0005-0000-0000-00005D190000}"/>
    <cellStyle name="20% - Accent4 4 6 3 2" xfId="35749" xr:uid="{E7175BC7-D5D9-40C7-A163-58E853AFEA52}"/>
    <cellStyle name="20% - Accent4 4 6 4" xfId="19855" xr:uid="{00000000-0005-0000-0000-00005E190000}"/>
    <cellStyle name="20% - Accent4 4 6 4 2" xfId="43687" xr:uid="{057FA8D2-EA12-4DC3-BDE1-912B0C0252CB}"/>
    <cellStyle name="20% - Accent4 4 6 5" xfId="27808" xr:uid="{B9D33DE5-A0FD-450C-9744-D6917157BBBC}"/>
    <cellStyle name="20% - Accent4 4 7" xfId="5696" xr:uid="{00000000-0005-0000-0000-00005F190000}"/>
    <cellStyle name="20% - Accent4 4 7 2" xfId="13679" xr:uid="{00000000-0005-0000-0000-000060190000}"/>
    <cellStyle name="20% - Accent4 4 7 2 2" xfId="37522" xr:uid="{D75C7052-2DB1-4CD2-A8BD-16008952889C}"/>
    <cellStyle name="20% - Accent4 4 7 3" xfId="21627" xr:uid="{00000000-0005-0000-0000-000061190000}"/>
    <cellStyle name="20% - Accent4 4 7 3 2" xfId="45459" xr:uid="{397DB1EE-49A4-4CEA-A1FC-0EB532B5AFBA}"/>
    <cellStyle name="20% - Accent4 4 7 4" xfId="29581" xr:uid="{E5B77823-6802-424E-A57E-2EB0D115CDA8}"/>
    <cellStyle name="20% - Accent4 4 8" xfId="9248" xr:uid="{00000000-0005-0000-0000-000062190000}"/>
    <cellStyle name="20% - Accent4 4 8 2" xfId="17206" xr:uid="{00000000-0005-0000-0000-000063190000}"/>
    <cellStyle name="20% - Accent4 4 8 2 2" xfId="41046" xr:uid="{4A83ADF7-A946-4776-A8E1-38EB1CFF8726}"/>
    <cellStyle name="20% - Accent4 4 8 3" xfId="25150" xr:uid="{00000000-0005-0000-0000-000064190000}"/>
    <cellStyle name="20% - Accent4 4 8 3 2" xfId="48982" xr:uid="{05E91896-434F-40B9-BDAD-3403A15C4442}"/>
    <cellStyle name="20% - Accent4 4 8 4" xfId="33105" xr:uid="{B7522EB4-2F15-4230-A6B5-0DEC8F61791E}"/>
    <cellStyle name="20% - Accent4 4 9" xfId="10144" xr:uid="{00000000-0005-0000-0000-000065190000}"/>
    <cellStyle name="20% - Accent4 4 9 2" xfId="33993" xr:uid="{0AA13E02-764D-473F-A9BC-1E44DDBF6184}"/>
    <cellStyle name="20% - Accent4 4_Exh G" xfId="2370" xr:uid="{00000000-0005-0000-0000-000066190000}"/>
    <cellStyle name="20% - Accent4 5" xfId="206" xr:uid="{00000000-0005-0000-0000-000067190000}"/>
    <cellStyle name="20% - Accent4 5 10" xfId="18103" xr:uid="{00000000-0005-0000-0000-000068190000}"/>
    <cellStyle name="20% - Accent4 5 10 2" xfId="41935" xr:uid="{C6458F17-DCE1-458C-8055-04C40A529CF3}"/>
    <cellStyle name="20% - Accent4 5 11" xfId="26055" xr:uid="{86AF0820-CDBF-4531-A255-AE590D2948F7}"/>
    <cellStyle name="20% - Accent4 5 2" xfId="207" xr:uid="{00000000-0005-0000-0000-000069190000}"/>
    <cellStyle name="20% - Accent4 5 2 2" xfId="208" xr:uid="{00000000-0005-0000-0000-00006A190000}"/>
    <cellStyle name="20% - Accent4 5 2 2 2" xfId="1234" xr:uid="{00000000-0005-0000-0000-00006B190000}"/>
    <cellStyle name="20% - Accent4 5 2 2 2 2" xfId="4761" xr:uid="{00000000-0005-0000-0000-00006C190000}"/>
    <cellStyle name="20% - Accent4 5 2 2 2 2 2" xfId="8352" xr:uid="{00000000-0005-0000-0000-00006D190000}"/>
    <cellStyle name="20% - Accent4 5 2 2 2 2 2 2" xfId="16322" xr:uid="{00000000-0005-0000-0000-00006E190000}"/>
    <cellStyle name="20% - Accent4 5 2 2 2 2 2 2 2" xfId="40164" xr:uid="{4A289A99-38D6-4CCB-917D-8291C21DB51D}"/>
    <cellStyle name="20% - Accent4 5 2 2 2 2 2 3" xfId="24268" xr:uid="{00000000-0005-0000-0000-00006F190000}"/>
    <cellStyle name="20% - Accent4 5 2 2 2 2 2 3 2" xfId="48100" xr:uid="{030949FD-E3C3-488E-9F44-211D36973AE6}"/>
    <cellStyle name="20% - Accent4 5 2 2 2 2 2 4" xfId="32223" xr:uid="{96702D6B-5643-4240-A377-79729B74BC93}"/>
    <cellStyle name="20% - Accent4 5 2 2 2 2 3" xfId="12784" xr:uid="{00000000-0005-0000-0000-000070190000}"/>
    <cellStyle name="20% - Accent4 5 2 2 2 2 3 2" xfId="36633" xr:uid="{6245DFAA-89E8-4659-BFBE-0EAE59F0E966}"/>
    <cellStyle name="20% - Accent4 5 2 2 2 2 4" xfId="20739" xr:uid="{00000000-0005-0000-0000-000071190000}"/>
    <cellStyle name="20% - Accent4 5 2 2 2 2 4 2" xfId="44571" xr:uid="{4FE16273-ACBD-4510-8113-AF4CB35FFE20}"/>
    <cellStyle name="20% - Accent4 5 2 2 2 2 5" xfId="28692" xr:uid="{87DF92C0-C165-48B5-9D3E-A0E9132BEA8C}"/>
    <cellStyle name="20% - Accent4 5 2 2 2 3" xfId="6593" xr:uid="{00000000-0005-0000-0000-000072190000}"/>
    <cellStyle name="20% - Accent4 5 2 2 2 3 2" xfId="14564" xr:uid="{00000000-0005-0000-0000-000073190000}"/>
    <cellStyle name="20% - Accent4 5 2 2 2 3 2 2" xfId="38406" xr:uid="{5340366F-E8E9-418A-AE39-F06140557C9F}"/>
    <cellStyle name="20% - Accent4 5 2 2 2 3 3" xfId="22511" xr:uid="{00000000-0005-0000-0000-000074190000}"/>
    <cellStyle name="20% - Accent4 5 2 2 2 3 3 2" xfId="46343" xr:uid="{A39A5993-C10D-4C14-9AD8-42970FA91F94}"/>
    <cellStyle name="20% - Accent4 5 2 2 2 3 4" xfId="30465" xr:uid="{E4900DC6-4320-4DF5-919D-3E2A6DC88D65}"/>
    <cellStyle name="20% - Accent4 5 2 2 2 4" xfId="11028" xr:uid="{00000000-0005-0000-0000-000075190000}"/>
    <cellStyle name="20% - Accent4 5 2 2 2 4 2" xfId="34877" xr:uid="{CCB49DE8-B2E9-4B7A-953C-650AD5BA321E}"/>
    <cellStyle name="20% - Accent4 5 2 2 2 5" xfId="18983" xr:uid="{00000000-0005-0000-0000-000076190000}"/>
    <cellStyle name="20% - Accent4 5 2 2 2 5 2" xfId="42815" xr:uid="{3E87BDC6-A1BF-4411-BCF3-F03F40298628}"/>
    <cellStyle name="20% - Accent4 5 2 2 2 6" xfId="26935" xr:uid="{BB406092-87C7-44CA-BA6F-9328CE3BC00C}"/>
    <cellStyle name="20% - Accent4 5 2 2 2_Exh G" xfId="2385" xr:uid="{00000000-0005-0000-0000-000077190000}"/>
    <cellStyle name="20% - Accent4 5 2 2 3" xfId="3882" xr:uid="{00000000-0005-0000-0000-000078190000}"/>
    <cellStyle name="20% - Accent4 5 2 2 3 2" xfId="7474" xr:uid="{00000000-0005-0000-0000-000079190000}"/>
    <cellStyle name="20% - Accent4 5 2 2 3 2 2" xfId="15444" xr:uid="{00000000-0005-0000-0000-00007A190000}"/>
    <cellStyle name="20% - Accent4 5 2 2 3 2 2 2" xfId="39286" xr:uid="{0E6E395D-CC4C-4D45-B58F-63F367D70BF8}"/>
    <cellStyle name="20% - Accent4 5 2 2 3 2 3" xfId="23390" xr:uid="{00000000-0005-0000-0000-00007B190000}"/>
    <cellStyle name="20% - Accent4 5 2 2 3 2 3 2" xfId="47222" xr:uid="{E8698F3C-56F3-47C7-AE12-AF6813CFD5C9}"/>
    <cellStyle name="20% - Accent4 5 2 2 3 2 4" xfId="31345" xr:uid="{FC50F1D8-169A-4EFA-9C2B-86F34CF92899}"/>
    <cellStyle name="20% - Accent4 5 2 2 3 3" xfId="11906" xr:uid="{00000000-0005-0000-0000-00007C190000}"/>
    <cellStyle name="20% - Accent4 5 2 2 3 3 2" xfId="35755" xr:uid="{6A87DC4E-E341-4F3C-A219-186CD2C488DF}"/>
    <cellStyle name="20% - Accent4 5 2 2 3 4" xfId="19861" xr:uid="{00000000-0005-0000-0000-00007D190000}"/>
    <cellStyle name="20% - Accent4 5 2 2 3 4 2" xfId="43693" xr:uid="{C327AECD-A2BA-4A6E-81CC-9DE6322D48E6}"/>
    <cellStyle name="20% - Accent4 5 2 2 3 5" xfId="27814" xr:uid="{AB781B2E-E5DB-497A-8127-48D06D1C355F}"/>
    <cellStyle name="20% - Accent4 5 2 2 4" xfId="5702" xr:uid="{00000000-0005-0000-0000-00007E190000}"/>
    <cellStyle name="20% - Accent4 5 2 2 4 2" xfId="13685" xr:uid="{00000000-0005-0000-0000-00007F190000}"/>
    <cellStyle name="20% - Accent4 5 2 2 4 2 2" xfId="37528" xr:uid="{1F4F09EB-10DA-413E-91C2-78FD66859170}"/>
    <cellStyle name="20% - Accent4 5 2 2 4 3" xfId="21633" xr:uid="{00000000-0005-0000-0000-000080190000}"/>
    <cellStyle name="20% - Accent4 5 2 2 4 3 2" xfId="45465" xr:uid="{E2B20AA5-8C89-43C5-AE74-BA4A5A71ACF2}"/>
    <cellStyle name="20% - Accent4 5 2 2 4 4" xfId="29587" xr:uid="{592B94AA-1BD7-41CA-8EAF-81D1BFA02F09}"/>
    <cellStyle name="20% - Accent4 5 2 2 5" xfId="9254" xr:uid="{00000000-0005-0000-0000-000081190000}"/>
    <cellStyle name="20% - Accent4 5 2 2 5 2" xfId="17212" xr:uid="{00000000-0005-0000-0000-000082190000}"/>
    <cellStyle name="20% - Accent4 5 2 2 5 2 2" xfId="41052" xr:uid="{3806B2D8-D86E-4FCE-968B-748B6BE80354}"/>
    <cellStyle name="20% - Accent4 5 2 2 5 3" xfId="25156" xr:uid="{00000000-0005-0000-0000-000083190000}"/>
    <cellStyle name="20% - Accent4 5 2 2 5 3 2" xfId="48988" xr:uid="{5BFCD0A8-EDA2-41CC-A514-6A72732D7507}"/>
    <cellStyle name="20% - Accent4 5 2 2 5 4" xfId="33111" xr:uid="{8275588E-6231-4B77-95F9-DEE770CC6B12}"/>
    <cellStyle name="20% - Accent4 5 2 2 6" xfId="10150" xr:uid="{00000000-0005-0000-0000-000084190000}"/>
    <cellStyle name="20% - Accent4 5 2 2 6 2" xfId="33999" xr:uid="{05A970B5-C8F3-46F3-9AC9-D5EE5B31CA99}"/>
    <cellStyle name="20% - Accent4 5 2 2 7" xfId="18105" xr:uid="{00000000-0005-0000-0000-000085190000}"/>
    <cellStyle name="20% - Accent4 5 2 2 7 2" xfId="41937" xr:uid="{AB16C980-55EF-47D6-A411-452BFE314809}"/>
    <cellStyle name="20% - Accent4 5 2 2 8" xfId="26057" xr:uid="{6C457A52-D9DC-4B8B-BA7C-E25B2825985B}"/>
    <cellStyle name="20% - Accent4 5 2 2_Exh G" xfId="2384" xr:uid="{00000000-0005-0000-0000-000086190000}"/>
    <cellStyle name="20% - Accent4 5 2 3" xfId="1233" xr:uid="{00000000-0005-0000-0000-000087190000}"/>
    <cellStyle name="20% - Accent4 5 2 3 2" xfId="4760" xr:uid="{00000000-0005-0000-0000-000088190000}"/>
    <cellStyle name="20% - Accent4 5 2 3 2 2" xfId="8351" xr:uid="{00000000-0005-0000-0000-000089190000}"/>
    <cellStyle name="20% - Accent4 5 2 3 2 2 2" xfId="16321" xr:uid="{00000000-0005-0000-0000-00008A190000}"/>
    <cellStyle name="20% - Accent4 5 2 3 2 2 2 2" xfId="40163" xr:uid="{38C91E8D-3093-465F-BA7A-D2829585D59A}"/>
    <cellStyle name="20% - Accent4 5 2 3 2 2 3" xfId="24267" xr:uid="{00000000-0005-0000-0000-00008B190000}"/>
    <cellStyle name="20% - Accent4 5 2 3 2 2 3 2" xfId="48099" xr:uid="{B14A676E-F8C6-4EAC-BEE3-E0DD995F6695}"/>
    <cellStyle name="20% - Accent4 5 2 3 2 2 4" xfId="32222" xr:uid="{F5B0857F-C5BF-4A03-B28A-8D5E827D45EE}"/>
    <cellStyle name="20% - Accent4 5 2 3 2 3" xfId="12783" xr:uid="{00000000-0005-0000-0000-00008C190000}"/>
    <cellStyle name="20% - Accent4 5 2 3 2 3 2" xfId="36632" xr:uid="{0B8B394E-BC87-49DE-9BAF-0C9AB79CBB41}"/>
    <cellStyle name="20% - Accent4 5 2 3 2 4" xfId="20738" xr:uid="{00000000-0005-0000-0000-00008D190000}"/>
    <cellStyle name="20% - Accent4 5 2 3 2 4 2" xfId="44570" xr:uid="{99F0A78A-2FFD-49B9-A1DE-0C8715A10D19}"/>
    <cellStyle name="20% - Accent4 5 2 3 2 5" xfId="28691" xr:uid="{6C6DBD9C-08C6-4236-BD44-07A7BFF7E813}"/>
    <cellStyle name="20% - Accent4 5 2 3 3" xfId="6592" xr:uid="{00000000-0005-0000-0000-00008E190000}"/>
    <cellStyle name="20% - Accent4 5 2 3 3 2" xfId="14563" xr:uid="{00000000-0005-0000-0000-00008F190000}"/>
    <cellStyle name="20% - Accent4 5 2 3 3 2 2" xfId="38405" xr:uid="{3C889434-A998-4F90-9E44-C69C591E8EB6}"/>
    <cellStyle name="20% - Accent4 5 2 3 3 3" xfId="22510" xr:uid="{00000000-0005-0000-0000-000090190000}"/>
    <cellStyle name="20% - Accent4 5 2 3 3 3 2" xfId="46342" xr:uid="{21AD7096-C67A-4B4F-87AA-6512588DA4FC}"/>
    <cellStyle name="20% - Accent4 5 2 3 3 4" xfId="30464" xr:uid="{85FF529B-FED0-45BD-A4A0-FC405976FBEC}"/>
    <cellStyle name="20% - Accent4 5 2 3 4" xfId="11027" xr:uid="{00000000-0005-0000-0000-000091190000}"/>
    <cellStyle name="20% - Accent4 5 2 3 4 2" xfId="34876" xr:uid="{F1521721-21F1-4E07-A7A6-647FC4702D00}"/>
    <cellStyle name="20% - Accent4 5 2 3 5" xfId="18982" xr:uid="{00000000-0005-0000-0000-000092190000}"/>
    <cellStyle name="20% - Accent4 5 2 3 5 2" xfId="42814" xr:uid="{0708A16B-8DA1-49AE-B7F0-AA9DFA3CF61A}"/>
    <cellStyle name="20% - Accent4 5 2 3 6" xfId="26934" xr:uid="{D87ACD93-708B-4662-87FC-4D9E9D05C694}"/>
    <cellStyle name="20% - Accent4 5 2 3_Exh G" xfId="2386" xr:uid="{00000000-0005-0000-0000-000093190000}"/>
    <cellStyle name="20% - Accent4 5 2 4" xfId="3881" xr:uid="{00000000-0005-0000-0000-000094190000}"/>
    <cellStyle name="20% - Accent4 5 2 4 2" xfId="7473" xr:uid="{00000000-0005-0000-0000-000095190000}"/>
    <cellStyle name="20% - Accent4 5 2 4 2 2" xfId="15443" xr:uid="{00000000-0005-0000-0000-000096190000}"/>
    <cellStyle name="20% - Accent4 5 2 4 2 2 2" xfId="39285" xr:uid="{0CD43DD7-C8D4-40A9-AEE6-58BB675720C9}"/>
    <cellStyle name="20% - Accent4 5 2 4 2 3" xfId="23389" xr:uid="{00000000-0005-0000-0000-000097190000}"/>
    <cellStyle name="20% - Accent4 5 2 4 2 3 2" xfId="47221" xr:uid="{35EAF80B-970E-4A64-ADF8-C256066B9FC3}"/>
    <cellStyle name="20% - Accent4 5 2 4 2 4" xfId="31344" xr:uid="{73C94ED4-3AC5-4787-BC4E-D30BA7704F03}"/>
    <cellStyle name="20% - Accent4 5 2 4 3" xfId="11905" xr:uid="{00000000-0005-0000-0000-000098190000}"/>
    <cellStyle name="20% - Accent4 5 2 4 3 2" xfId="35754" xr:uid="{7A9770AA-417B-44B1-A0DA-0872678C3747}"/>
    <cellStyle name="20% - Accent4 5 2 4 4" xfId="19860" xr:uid="{00000000-0005-0000-0000-000099190000}"/>
    <cellStyle name="20% - Accent4 5 2 4 4 2" xfId="43692" xr:uid="{75C5D7A8-7D48-4C3C-AA9F-94F3609F8268}"/>
    <cellStyle name="20% - Accent4 5 2 4 5" xfId="27813" xr:uid="{AB264428-CFA7-45B7-B1E2-8D6AFCFB8B23}"/>
    <cellStyle name="20% - Accent4 5 2 5" xfId="5701" xr:uid="{00000000-0005-0000-0000-00009A190000}"/>
    <cellStyle name="20% - Accent4 5 2 5 2" xfId="13684" xr:uid="{00000000-0005-0000-0000-00009B190000}"/>
    <cellStyle name="20% - Accent4 5 2 5 2 2" xfId="37527" xr:uid="{E07920E3-E6E2-47DF-AA39-B57596B51D50}"/>
    <cellStyle name="20% - Accent4 5 2 5 3" xfId="21632" xr:uid="{00000000-0005-0000-0000-00009C190000}"/>
    <cellStyle name="20% - Accent4 5 2 5 3 2" xfId="45464" xr:uid="{B962AE11-E791-4130-AFF1-7DB35B9994A5}"/>
    <cellStyle name="20% - Accent4 5 2 5 4" xfId="29586" xr:uid="{26E2F54E-1C83-46B8-9B0E-98EDAFFC9BEC}"/>
    <cellStyle name="20% - Accent4 5 2 6" xfId="9253" xr:uid="{00000000-0005-0000-0000-00009D190000}"/>
    <cellStyle name="20% - Accent4 5 2 6 2" xfId="17211" xr:uid="{00000000-0005-0000-0000-00009E190000}"/>
    <cellStyle name="20% - Accent4 5 2 6 2 2" xfId="41051" xr:uid="{13C96DDB-1227-45B4-B856-633B648041F9}"/>
    <cellStyle name="20% - Accent4 5 2 6 3" xfId="25155" xr:uid="{00000000-0005-0000-0000-00009F190000}"/>
    <cellStyle name="20% - Accent4 5 2 6 3 2" xfId="48987" xr:uid="{6BDE6BD8-1825-4351-9DBC-9F1376AD9EF5}"/>
    <cellStyle name="20% - Accent4 5 2 6 4" xfId="33110" xr:uid="{D39300AA-1FBB-4E46-B392-66621DD6BF75}"/>
    <cellStyle name="20% - Accent4 5 2 7" xfId="10149" xr:uid="{00000000-0005-0000-0000-0000A0190000}"/>
    <cellStyle name="20% - Accent4 5 2 7 2" xfId="33998" xr:uid="{4016339C-0CE9-492A-B254-62ADC770BA0C}"/>
    <cellStyle name="20% - Accent4 5 2 8" xfId="18104" xr:uid="{00000000-0005-0000-0000-0000A1190000}"/>
    <cellStyle name="20% - Accent4 5 2 8 2" xfId="41936" xr:uid="{4CAE8C12-9441-429A-B3E2-E1B9AD7DE8EF}"/>
    <cellStyle name="20% - Accent4 5 2 9" xfId="26056" xr:uid="{61290B0D-5DF4-4D91-BC9C-B39AA296BA65}"/>
    <cellStyle name="20% - Accent4 5 2_Exh G" xfId="2383" xr:uid="{00000000-0005-0000-0000-0000A2190000}"/>
    <cellStyle name="20% - Accent4 5 3" xfId="209" xr:uid="{00000000-0005-0000-0000-0000A3190000}"/>
    <cellStyle name="20% - Accent4 5 3 2" xfId="1235" xr:uid="{00000000-0005-0000-0000-0000A4190000}"/>
    <cellStyle name="20% - Accent4 5 3 2 2" xfId="4762" xr:uid="{00000000-0005-0000-0000-0000A5190000}"/>
    <cellStyle name="20% - Accent4 5 3 2 2 2" xfId="8353" xr:uid="{00000000-0005-0000-0000-0000A6190000}"/>
    <cellStyle name="20% - Accent4 5 3 2 2 2 2" xfId="16323" xr:uid="{00000000-0005-0000-0000-0000A7190000}"/>
    <cellStyle name="20% - Accent4 5 3 2 2 2 2 2" xfId="40165" xr:uid="{9FE3A880-0C59-425C-B4B1-BAE0F06F19A0}"/>
    <cellStyle name="20% - Accent4 5 3 2 2 2 3" xfId="24269" xr:uid="{00000000-0005-0000-0000-0000A8190000}"/>
    <cellStyle name="20% - Accent4 5 3 2 2 2 3 2" xfId="48101" xr:uid="{AAAEE5F6-D7B2-4C8B-8830-D17B983ADE5A}"/>
    <cellStyle name="20% - Accent4 5 3 2 2 2 4" xfId="32224" xr:uid="{414998CD-FE92-4E5D-BEFA-C16AE9B2924E}"/>
    <cellStyle name="20% - Accent4 5 3 2 2 3" xfId="12785" xr:uid="{00000000-0005-0000-0000-0000A9190000}"/>
    <cellStyle name="20% - Accent4 5 3 2 2 3 2" xfId="36634" xr:uid="{B76F7AB8-7CE8-4ED9-A52F-0B31A4788E58}"/>
    <cellStyle name="20% - Accent4 5 3 2 2 4" xfId="20740" xr:uid="{00000000-0005-0000-0000-0000AA190000}"/>
    <cellStyle name="20% - Accent4 5 3 2 2 4 2" xfId="44572" xr:uid="{23A0213C-DF98-4E71-997B-12BA1D65200E}"/>
    <cellStyle name="20% - Accent4 5 3 2 2 5" xfId="28693" xr:uid="{4BBE1646-CD31-4B70-9920-A9FE7415272E}"/>
    <cellStyle name="20% - Accent4 5 3 2 3" xfId="6594" xr:uid="{00000000-0005-0000-0000-0000AB190000}"/>
    <cellStyle name="20% - Accent4 5 3 2 3 2" xfId="14565" xr:uid="{00000000-0005-0000-0000-0000AC190000}"/>
    <cellStyle name="20% - Accent4 5 3 2 3 2 2" xfId="38407" xr:uid="{5A0618B1-F35C-4914-93D5-93BF0EC66DB1}"/>
    <cellStyle name="20% - Accent4 5 3 2 3 3" xfId="22512" xr:uid="{00000000-0005-0000-0000-0000AD190000}"/>
    <cellStyle name="20% - Accent4 5 3 2 3 3 2" xfId="46344" xr:uid="{8D327149-D6C9-4748-B90D-631CE9A0CD8F}"/>
    <cellStyle name="20% - Accent4 5 3 2 3 4" xfId="30466" xr:uid="{CFD642EC-C93F-48A0-A7EA-66A7DBF52516}"/>
    <cellStyle name="20% - Accent4 5 3 2 4" xfId="11029" xr:uid="{00000000-0005-0000-0000-0000AE190000}"/>
    <cellStyle name="20% - Accent4 5 3 2 4 2" xfId="34878" xr:uid="{A51557E4-CAA9-4673-A5E2-4EE24ABA5C1A}"/>
    <cellStyle name="20% - Accent4 5 3 2 5" xfId="18984" xr:uid="{00000000-0005-0000-0000-0000AF190000}"/>
    <cellStyle name="20% - Accent4 5 3 2 5 2" xfId="42816" xr:uid="{51552FF3-B452-455F-9407-F105CA2D4A3F}"/>
    <cellStyle name="20% - Accent4 5 3 2 6" xfId="26936" xr:uid="{FCF63DA8-E34F-4FEF-A860-C4AEC91F4D43}"/>
    <cellStyle name="20% - Accent4 5 3 2_Exh G" xfId="2388" xr:uid="{00000000-0005-0000-0000-0000B0190000}"/>
    <cellStyle name="20% - Accent4 5 3 3" xfId="3883" xr:uid="{00000000-0005-0000-0000-0000B1190000}"/>
    <cellStyle name="20% - Accent4 5 3 3 2" xfId="7475" xr:uid="{00000000-0005-0000-0000-0000B2190000}"/>
    <cellStyle name="20% - Accent4 5 3 3 2 2" xfId="15445" xr:uid="{00000000-0005-0000-0000-0000B3190000}"/>
    <cellStyle name="20% - Accent4 5 3 3 2 2 2" xfId="39287" xr:uid="{1FF8407D-8756-4018-9B98-21566C35BBC6}"/>
    <cellStyle name="20% - Accent4 5 3 3 2 3" xfId="23391" xr:uid="{00000000-0005-0000-0000-0000B4190000}"/>
    <cellStyle name="20% - Accent4 5 3 3 2 3 2" xfId="47223" xr:uid="{D43E3991-A372-417D-80B0-EAF020529A13}"/>
    <cellStyle name="20% - Accent4 5 3 3 2 4" xfId="31346" xr:uid="{6C85B9B2-070A-4AA2-88B9-397934C97C9E}"/>
    <cellStyle name="20% - Accent4 5 3 3 3" xfId="11907" xr:uid="{00000000-0005-0000-0000-0000B5190000}"/>
    <cellStyle name="20% - Accent4 5 3 3 3 2" xfId="35756" xr:uid="{FA6C84CF-5939-4D02-AB4C-C0EEB898098E}"/>
    <cellStyle name="20% - Accent4 5 3 3 4" xfId="19862" xr:uid="{00000000-0005-0000-0000-0000B6190000}"/>
    <cellStyle name="20% - Accent4 5 3 3 4 2" xfId="43694" xr:uid="{07404500-C494-45F8-A6F4-2B7697005B19}"/>
    <cellStyle name="20% - Accent4 5 3 3 5" xfId="27815" xr:uid="{A0744C9C-1E4B-4DF7-9181-9B6B5226AC6C}"/>
    <cellStyle name="20% - Accent4 5 3 4" xfId="5703" xr:uid="{00000000-0005-0000-0000-0000B7190000}"/>
    <cellStyle name="20% - Accent4 5 3 4 2" xfId="13686" xr:uid="{00000000-0005-0000-0000-0000B8190000}"/>
    <cellStyle name="20% - Accent4 5 3 4 2 2" xfId="37529" xr:uid="{7858AE39-8C71-4819-81EA-5F52D75ED5C7}"/>
    <cellStyle name="20% - Accent4 5 3 4 3" xfId="21634" xr:uid="{00000000-0005-0000-0000-0000B9190000}"/>
    <cellStyle name="20% - Accent4 5 3 4 3 2" xfId="45466" xr:uid="{0BC1685F-8EC8-487F-B362-F3C096AA2A5E}"/>
    <cellStyle name="20% - Accent4 5 3 4 4" xfId="29588" xr:uid="{CD894598-1DDB-4F70-A04E-53C31400B673}"/>
    <cellStyle name="20% - Accent4 5 3 5" xfId="9255" xr:uid="{00000000-0005-0000-0000-0000BA190000}"/>
    <cellStyle name="20% - Accent4 5 3 5 2" xfId="17213" xr:uid="{00000000-0005-0000-0000-0000BB190000}"/>
    <cellStyle name="20% - Accent4 5 3 5 2 2" xfId="41053" xr:uid="{AEC7FBD2-2F99-40F3-A40F-877D5F0CF61C}"/>
    <cellStyle name="20% - Accent4 5 3 5 3" xfId="25157" xr:uid="{00000000-0005-0000-0000-0000BC190000}"/>
    <cellStyle name="20% - Accent4 5 3 5 3 2" xfId="48989" xr:uid="{E73160E1-EAD4-47C9-B7B7-FEAC94D7B343}"/>
    <cellStyle name="20% - Accent4 5 3 5 4" xfId="33112" xr:uid="{0E3B42E8-0710-41A3-9804-12987C93D302}"/>
    <cellStyle name="20% - Accent4 5 3 6" xfId="10151" xr:uid="{00000000-0005-0000-0000-0000BD190000}"/>
    <cellStyle name="20% - Accent4 5 3 6 2" xfId="34000" xr:uid="{FDBE27BE-E95D-4D29-8F1D-DD7F8AF22713}"/>
    <cellStyle name="20% - Accent4 5 3 7" xfId="18106" xr:uid="{00000000-0005-0000-0000-0000BE190000}"/>
    <cellStyle name="20% - Accent4 5 3 7 2" xfId="41938" xr:uid="{2D744479-D4B8-409F-9826-EE6DD3C09C8B}"/>
    <cellStyle name="20% - Accent4 5 3 8" xfId="26058" xr:uid="{697E07A9-FBA8-4377-8FFE-0593B6386844}"/>
    <cellStyle name="20% - Accent4 5 3_Exh G" xfId="2387" xr:uid="{00000000-0005-0000-0000-0000BF190000}"/>
    <cellStyle name="20% - Accent4 5 4" xfId="902" xr:uid="{00000000-0005-0000-0000-0000C0190000}"/>
    <cellStyle name="20% - Accent4 5 5" xfId="1232" xr:uid="{00000000-0005-0000-0000-0000C1190000}"/>
    <cellStyle name="20% - Accent4 5 5 2" xfId="4759" xr:uid="{00000000-0005-0000-0000-0000C2190000}"/>
    <cellStyle name="20% - Accent4 5 5 2 2" xfId="8350" xr:uid="{00000000-0005-0000-0000-0000C3190000}"/>
    <cellStyle name="20% - Accent4 5 5 2 2 2" xfId="16320" xr:uid="{00000000-0005-0000-0000-0000C4190000}"/>
    <cellStyle name="20% - Accent4 5 5 2 2 2 2" xfId="40162" xr:uid="{1D5397CA-C497-4E02-9C3A-A42A6B3A2DA5}"/>
    <cellStyle name="20% - Accent4 5 5 2 2 3" xfId="24266" xr:uid="{00000000-0005-0000-0000-0000C5190000}"/>
    <cellStyle name="20% - Accent4 5 5 2 2 3 2" xfId="48098" xr:uid="{F6F5178D-D58A-4CDC-BB61-24BCFEAE76C4}"/>
    <cellStyle name="20% - Accent4 5 5 2 2 4" xfId="32221" xr:uid="{4F51BA1F-C8CE-437E-AD39-6C3E7723D726}"/>
    <cellStyle name="20% - Accent4 5 5 2 3" xfId="12782" xr:uid="{00000000-0005-0000-0000-0000C6190000}"/>
    <cellStyle name="20% - Accent4 5 5 2 3 2" xfId="36631" xr:uid="{344E5F6C-B5DB-4A64-BD2D-A79574709E9C}"/>
    <cellStyle name="20% - Accent4 5 5 2 4" xfId="20737" xr:uid="{00000000-0005-0000-0000-0000C7190000}"/>
    <cellStyle name="20% - Accent4 5 5 2 4 2" xfId="44569" xr:uid="{45281A76-B7CB-47EE-9B72-35A1DA4745D1}"/>
    <cellStyle name="20% - Accent4 5 5 2 5" xfId="28690" xr:uid="{90B6277A-8120-462E-9E77-4EF9E3DB7BC8}"/>
    <cellStyle name="20% - Accent4 5 5 3" xfId="6591" xr:uid="{00000000-0005-0000-0000-0000C8190000}"/>
    <cellStyle name="20% - Accent4 5 5 3 2" xfId="14562" xr:uid="{00000000-0005-0000-0000-0000C9190000}"/>
    <cellStyle name="20% - Accent4 5 5 3 2 2" xfId="38404" xr:uid="{25030A0B-17BB-421B-AE07-1EC587623D0F}"/>
    <cellStyle name="20% - Accent4 5 5 3 3" xfId="22509" xr:uid="{00000000-0005-0000-0000-0000CA190000}"/>
    <cellStyle name="20% - Accent4 5 5 3 3 2" xfId="46341" xr:uid="{F720B5E8-6345-4099-8049-98D29B0F5693}"/>
    <cellStyle name="20% - Accent4 5 5 3 4" xfId="30463" xr:uid="{42035A3A-04D4-4F3B-AFB0-F19A4E3AFAC6}"/>
    <cellStyle name="20% - Accent4 5 5 4" xfId="11026" xr:uid="{00000000-0005-0000-0000-0000CB190000}"/>
    <cellStyle name="20% - Accent4 5 5 4 2" xfId="34875" xr:uid="{DDA057A8-3DCD-42B2-9CDD-4418F2A9F51C}"/>
    <cellStyle name="20% - Accent4 5 5 5" xfId="18981" xr:uid="{00000000-0005-0000-0000-0000CC190000}"/>
    <cellStyle name="20% - Accent4 5 5 5 2" xfId="42813" xr:uid="{C40D21FD-2C16-4388-A67C-9DB3552E611E}"/>
    <cellStyle name="20% - Accent4 5 5 6" xfId="26933" xr:uid="{E71C5015-7DEB-4E4D-9B14-FB4B953B2964}"/>
    <cellStyle name="20% - Accent4 5 5_Exh G" xfId="2389" xr:uid="{00000000-0005-0000-0000-0000CD190000}"/>
    <cellStyle name="20% - Accent4 5 6" xfId="3880" xr:uid="{00000000-0005-0000-0000-0000CE190000}"/>
    <cellStyle name="20% - Accent4 5 6 2" xfId="7472" xr:uid="{00000000-0005-0000-0000-0000CF190000}"/>
    <cellStyle name="20% - Accent4 5 6 2 2" xfId="15442" xr:uid="{00000000-0005-0000-0000-0000D0190000}"/>
    <cellStyle name="20% - Accent4 5 6 2 2 2" xfId="39284" xr:uid="{801E55AF-50FB-460C-8A5D-C85C4B841285}"/>
    <cellStyle name="20% - Accent4 5 6 2 3" xfId="23388" xr:uid="{00000000-0005-0000-0000-0000D1190000}"/>
    <cellStyle name="20% - Accent4 5 6 2 3 2" xfId="47220" xr:uid="{AD094A27-C516-4D30-AF6C-26B6CA7F5AC8}"/>
    <cellStyle name="20% - Accent4 5 6 2 4" xfId="31343" xr:uid="{D8FA30AD-AC4A-4F91-A2B2-9897CDAC4252}"/>
    <cellStyle name="20% - Accent4 5 6 3" xfId="11904" xr:uid="{00000000-0005-0000-0000-0000D2190000}"/>
    <cellStyle name="20% - Accent4 5 6 3 2" xfId="35753" xr:uid="{2CC57EA1-3B32-4CD3-8CE1-02E0B3CEF5DF}"/>
    <cellStyle name="20% - Accent4 5 6 4" xfId="19859" xr:uid="{00000000-0005-0000-0000-0000D3190000}"/>
    <cellStyle name="20% - Accent4 5 6 4 2" xfId="43691" xr:uid="{EB30DBB7-084D-4C56-B958-6D2B0B9B3732}"/>
    <cellStyle name="20% - Accent4 5 6 5" xfId="27812" xr:uid="{B386347B-992F-441E-A21C-6DF03F65B99C}"/>
    <cellStyle name="20% - Accent4 5 7" xfId="5700" xr:uid="{00000000-0005-0000-0000-0000D4190000}"/>
    <cellStyle name="20% - Accent4 5 7 2" xfId="13683" xr:uid="{00000000-0005-0000-0000-0000D5190000}"/>
    <cellStyle name="20% - Accent4 5 7 2 2" xfId="37526" xr:uid="{E586132F-D355-4E39-AFC3-94E169495BD2}"/>
    <cellStyle name="20% - Accent4 5 7 3" xfId="21631" xr:uid="{00000000-0005-0000-0000-0000D6190000}"/>
    <cellStyle name="20% - Accent4 5 7 3 2" xfId="45463" xr:uid="{6295D51E-7F33-4BA1-8C4D-06EE53EB55E1}"/>
    <cellStyle name="20% - Accent4 5 7 4" xfId="29585" xr:uid="{47359226-F6D4-4613-85C0-18D4F0FE074A}"/>
    <cellStyle name="20% - Accent4 5 8" xfId="9252" xr:uid="{00000000-0005-0000-0000-0000D7190000}"/>
    <cellStyle name="20% - Accent4 5 8 2" xfId="17210" xr:uid="{00000000-0005-0000-0000-0000D8190000}"/>
    <cellStyle name="20% - Accent4 5 8 2 2" xfId="41050" xr:uid="{F3CD08C0-B3BD-4D95-89C5-88E238EA6388}"/>
    <cellStyle name="20% - Accent4 5 8 3" xfId="25154" xr:uid="{00000000-0005-0000-0000-0000D9190000}"/>
    <cellStyle name="20% - Accent4 5 8 3 2" xfId="48986" xr:uid="{110C7B46-D7CE-4576-AF59-928D37898D0A}"/>
    <cellStyle name="20% - Accent4 5 8 4" xfId="33109" xr:uid="{902418C7-812D-4201-97D7-23F0207E4F3B}"/>
    <cellStyle name="20% - Accent4 5 9" xfId="10148" xr:uid="{00000000-0005-0000-0000-0000DA190000}"/>
    <cellStyle name="20% - Accent4 5 9 2" xfId="33997" xr:uid="{384EF4B5-5404-43EF-908B-3C299F557C7F}"/>
    <cellStyle name="20% - Accent4 5_Exh G" xfId="2382" xr:uid="{00000000-0005-0000-0000-0000DB190000}"/>
    <cellStyle name="20% - Accent4 6" xfId="210" xr:uid="{00000000-0005-0000-0000-0000DC190000}"/>
    <cellStyle name="20% - Accent4 6 10" xfId="18107" xr:uid="{00000000-0005-0000-0000-0000DD190000}"/>
    <cellStyle name="20% - Accent4 6 10 2" xfId="41939" xr:uid="{66E9A9CE-A746-4448-AAEE-979134804269}"/>
    <cellStyle name="20% - Accent4 6 11" xfId="26059" xr:uid="{2FD60BEF-7285-4DEA-8973-7BF40D96836E}"/>
    <cellStyle name="20% - Accent4 6 2" xfId="211" xr:uid="{00000000-0005-0000-0000-0000DE190000}"/>
    <cellStyle name="20% - Accent4 6 2 2" xfId="212" xr:uid="{00000000-0005-0000-0000-0000DF190000}"/>
    <cellStyle name="20% - Accent4 6 2 2 2" xfId="1238" xr:uid="{00000000-0005-0000-0000-0000E0190000}"/>
    <cellStyle name="20% - Accent4 6 2 2 2 2" xfId="4765" xr:uid="{00000000-0005-0000-0000-0000E1190000}"/>
    <cellStyle name="20% - Accent4 6 2 2 2 2 2" xfId="8356" xr:uid="{00000000-0005-0000-0000-0000E2190000}"/>
    <cellStyle name="20% - Accent4 6 2 2 2 2 2 2" xfId="16326" xr:uid="{00000000-0005-0000-0000-0000E3190000}"/>
    <cellStyle name="20% - Accent4 6 2 2 2 2 2 2 2" xfId="40168" xr:uid="{4E535568-1C5A-40BB-B6A3-C46D0D4E0A68}"/>
    <cellStyle name="20% - Accent4 6 2 2 2 2 2 3" xfId="24272" xr:uid="{00000000-0005-0000-0000-0000E4190000}"/>
    <cellStyle name="20% - Accent4 6 2 2 2 2 2 3 2" xfId="48104" xr:uid="{2B4C0757-6BDA-47C7-B209-4FBAAD7007C6}"/>
    <cellStyle name="20% - Accent4 6 2 2 2 2 2 4" xfId="32227" xr:uid="{06FB73EB-D875-4E0A-9E7B-34ADC7AE4BA1}"/>
    <cellStyle name="20% - Accent4 6 2 2 2 2 3" xfId="12788" xr:uid="{00000000-0005-0000-0000-0000E5190000}"/>
    <cellStyle name="20% - Accent4 6 2 2 2 2 3 2" xfId="36637" xr:uid="{14FB9D43-FE28-41EB-8E39-A0E0742B4023}"/>
    <cellStyle name="20% - Accent4 6 2 2 2 2 4" xfId="20743" xr:uid="{00000000-0005-0000-0000-0000E6190000}"/>
    <cellStyle name="20% - Accent4 6 2 2 2 2 4 2" xfId="44575" xr:uid="{A4C2F5B5-A14F-4CFD-907D-4D95C83FCD8E}"/>
    <cellStyle name="20% - Accent4 6 2 2 2 2 5" xfId="28696" xr:uid="{E37956B3-1FEC-4D4A-B3B3-C9EBF0AF4FFB}"/>
    <cellStyle name="20% - Accent4 6 2 2 2 3" xfId="6597" xr:uid="{00000000-0005-0000-0000-0000E7190000}"/>
    <cellStyle name="20% - Accent4 6 2 2 2 3 2" xfId="14568" xr:uid="{00000000-0005-0000-0000-0000E8190000}"/>
    <cellStyle name="20% - Accent4 6 2 2 2 3 2 2" xfId="38410" xr:uid="{205FC1B6-8D0E-4383-8BD2-F1AB2C7EBB43}"/>
    <cellStyle name="20% - Accent4 6 2 2 2 3 3" xfId="22515" xr:uid="{00000000-0005-0000-0000-0000E9190000}"/>
    <cellStyle name="20% - Accent4 6 2 2 2 3 3 2" xfId="46347" xr:uid="{62307F4B-E830-4259-B0B0-07CCA7714480}"/>
    <cellStyle name="20% - Accent4 6 2 2 2 3 4" xfId="30469" xr:uid="{83DB1464-1AB3-404F-B178-45B1C93B1C18}"/>
    <cellStyle name="20% - Accent4 6 2 2 2 4" xfId="11032" xr:uid="{00000000-0005-0000-0000-0000EA190000}"/>
    <cellStyle name="20% - Accent4 6 2 2 2 4 2" xfId="34881" xr:uid="{759284B6-E644-4F0B-BF72-41D685AA9FDB}"/>
    <cellStyle name="20% - Accent4 6 2 2 2 5" xfId="18987" xr:uid="{00000000-0005-0000-0000-0000EB190000}"/>
    <cellStyle name="20% - Accent4 6 2 2 2 5 2" xfId="42819" xr:uid="{977A473F-379C-499C-95E3-53F4B225CFD9}"/>
    <cellStyle name="20% - Accent4 6 2 2 2 6" xfId="26939" xr:uid="{4CD0702B-AC07-440B-8A18-E8F4D990487E}"/>
    <cellStyle name="20% - Accent4 6 2 2 2_Exh G" xfId="2393" xr:uid="{00000000-0005-0000-0000-0000EC190000}"/>
    <cellStyle name="20% - Accent4 6 2 2 3" xfId="3886" xr:uid="{00000000-0005-0000-0000-0000ED190000}"/>
    <cellStyle name="20% - Accent4 6 2 2 3 2" xfId="7478" xr:uid="{00000000-0005-0000-0000-0000EE190000}"/>
    <cellStyle name="20% - Accent4 6 2 2 3 2 2" xfId="15448" xr:uid="{00000000-0005-0000-0000-0000EF190000}"/>
    <cellStyle name="20% - Accent4 6 2 2 3 2 2 2" xfId="39290" xr:uid="{C83DE09D-D98F-41E4-B0D5-34DAF55E515E}"/>
    <cellStyle name="20% - Accent4 6 2 2 3 2 3" xfId="23394" xr:uid="{00000000-0005-0000-0000-0000F0190000}"/>
    <cellStyle name="20% - Accent4 6 2 2 3 2 3 2" xfId="47226" xr:uid="{216CB698-DD93-4AF4-B27F-379EBF8F51D6}"/>
    <cellStyle name="20% - Accent4 6 2 2 3 2 4" xfId="31349" xr:uid="{713925ED-5905-4397-81AF-21E7886E2316}"/>
    <cellStyle name="20% - Accent4 6 2 2 3 3" xfId="11910" xr:uid="{00000000-0005-0000-0000-0000F1190000}"/>
    <cellStyle name="20% - Accent4 6 2 2 3 3 2" xfId="35759" xr:uid="{83E52899-B4CF-40A3-B319-4FCB8C25B1F6}"/>
    <cellStyle name="20% - Accent4 6 2 2 3 4" xfId="19865" xr:uid="{00000000-0005-0000-0000-0000F2190000}"/>
    <cellStyle name="20% - Accent4 6 2 2 3 4 2" xfId="43697" xr:uid="{239B424C-3802-4D5D-A18F-8CF22850F7CF}"/>
    <cellStyle name="20% - Accent4 6 2 2 3 5" xfId="27818" xr:uid="{26EC64E9-97FC-4FF3-8BAB-C476C694EEDF}"/>
    <cellStyle name="20% - Accent4 6 2 2 4" xfId="5706" xr:uid="{00000000-0005-0000-0000-0000F3190000}"/>
    <cellStyle name="20% - Accent4 6 2 2 4 2" xfId="13689" xr:uid="{00000000-0005-0000-0000-0000F4190000}"/>
    <cellStyle name="20% - Accent4 6 2 2 4 2 2" xfId="37532" xr:uid="{383D5795-EA1C-448E-9839-2AB1E08CAF6F}"/>
    <cellStyle name="20% - Accent4 6 2 2 4 3" xfId="21637" xr:uid="{00000000-0005-0000-0000-0000F5190000}"/>
    <cellStyle name="20% - Accent4 6 2 2 4 3 2" xfId="45469" xr:uid="{7E56BA82-2406-435D-A4FD-AEA833AA1C3B}"/>
    <cellStyle name="20% - Accent4 6 2 2 4 4" xfId="29591" xr:uid="{E8A4CF39-601A-41D4-B376-2965D08A1924}"/>
    <cellStyle name="20% - Accent4 6 2 2 5" xfId="9258" xr:uid="{00000000-0005-0000-0000-0000F6190000}"/>
    <cellStyle name="20% - Accent4 6 2 2 5 2" xfId="17216" xr:uid="{00000000-0005-0000-0000-0000F7190000}"/>
    <cellStyle name="20% - Accent4 6 2 2 5 2 2" xfId="41056" xr:uid="{477033E6-080A-469D-BDEB-823C7ABF1FDD}"/>
    <cellStyle name="20% - Accent4 6 2 2 5 3" xfId="25160" xr:uid="{00000000-0005-0000-0000-0000F8190000}"/>
    <cellStyle name="20% - Accent4 6 2 2 5 3 2" xfId="48992" xr:uid="{ACBAC2D8-C589-4E60-8E21-476EF1AA07D7}"/>
    <cellStyle name="20% - Accent4 6 2 2 5 4" xfId="33115" xr:uid="{BE584B73-F322-4EBF-AB73-59177FA3ADBE}"/>
    <cellStyle name="20% - Accent4 6 2 2 6" xfId="10154" xr:uid="{00000000-0005-0000-0000-0000F9190000}"/>
    <cellStyle name="20% - Accent4 6 2 2 6 2" xfId="34003" xr:uid="{2FBB9DB5-B261-4723-9A8B-B8A77614C162}"/>
    <cellStyle name="20% - Accent4 6 2 2 7" xfId="18109" xr:uid="{00000000-0005-0000-0000-0000FA190000}"/>
    <cellStyle name="20% - Accent4 6 2 2 7 2" xfId="41941" xr:uid="{A981B18D-9F15-405D-A44E-C3F7911C8857}"/>
    <cellStyle name="20% - Accent4 6 2 2 8" xfId="26061" xr:uid="{211E5913-D96E-4625-A691-973574095625}"/>
    <cellStyle name="20% - Accent4 6 2 2_Exh G" xfId="2392" xr:uid="{00000000-0005-0000-0000-0000FB190000}"/>
    <cellStyle name="20% - Accent4 6 2 3" xfId="1237" xr:uid="{00000000-0005-0000-0000-0000FC190000}"/>
    <cellStyle name="20% - Accent4 6 2 3 2" xfId="4764" xr:uid="{00000000-0005-0000-0000-0000FD190000}"/>
    <cellStyle name="20% - Accent4 6 2 3 2 2" xfId="8355" xr:uid="{00000000-0005-0000-0000-0000FE190000}"/>
    <cellStyle name="20% - Accent4 6 2 3 2 2 2" xfId="16325" xr:uid="{00000000-0005-0000-0000-0000FF190000}"/>
    <cellStyle name="20% - Accent4 6 2 3 2 2 2 2" xfId="40167" xr:uid="{D42D9D08-850A-45A5-BCAD-22165B625987}"/>
    <cellStyle name="20% - Accent4 6 2 3 2 2 3" xfId="24271" xr:uid="{00000000-0005-0000-0000-0000001A0000}"/>
    <cellStyle name="20% - Accent4 6 2 3 2 2 3 2" xfId="48103" xr:uid="{A11B2FB5-22A6-4791-A6B0-254A55D6ED02}"/>
    <cellStyle name="20% - Accent4 6 2 3 2 2 4" xfId="32226" xr:uid="{C21CCB4F-C002-47CF-94F9-8924583E63B2}"/>
    <cellStyle name="20% - Accent4 6 2 3 2 3" xfId="12787" xr:uid="{00000000-0005-0000-0000-0000011A0000}"/>
    <cellStyle name="20% - Accent4 6 2 3 2 3 2" xfId="36636" xr:uid="{087E21E3-3C25-43B3-9CFF-1C698F5630A4}"/>
    <cellStyle name="20% - Accent4 6 2 3 2 4" xfId="20742" xr:uid="{00000000-0005-0000-0000-0000021A0000}"/>
    <cellStyle name="20% - Accent4 6 2 3 2 4 2" xfId="44574" xr:uid="{6BAC3B53-2DED-4403-A7AC-C5C9C507D7F3}"/>
    <cellStyle name="20% - Accent4 6 2 3 2 5" xfId="28695" xr:uid="{C96CA034-B183-4831-93AB-63540EAD30ED}"/>
    <cellStyle name="20% - Accent4 6 2 3 3" xfId="6596" xr:uid="{00000000-0005-0000-0000-0000031A0000}"/>
    <cellStyle name="20% - Accent4 6 2 3 3 2" xfId="14567" xr:uid="{00000000-0005-0000-0000-0000041A0000}"/>
    <cellStyle name="20% - Accent4 6 2 3 3 2 2" xfId="38409" xr:uid="{4075FF95-0CC0-460B-9776-8126CF3F0C7D}"/>
    <cellStyle name="20% - Accent4 6 2 3 3 3" xfId="22514" xr:uid="{00000000-0005-0000-0000-0000051A0000}"/>
    <cellStyle name="20% - Accent4 6 2 3 3 3 2" xfId="46346" xr:uid="{48DCBD70-9FA2-4F9B-9FB1-FA2B4794A8A9}"/>
    <cellStyle name="20% - Accent4 6 2 3 3 4" xfId="30468" xr:uid="{C1F8CAE4-90A5-4946-BA27-E9442BE960CE}"/>
    <cellStyle name="20% - Accent4 6 2 3 4" xfId="11031" xr:uid="{00000000-0005-0000-0000-0000061A0000}"/>
    <cellStyle name="20% - Accent4 6 2 3 4 2" xfId="34880" xr:uid="{4D7F09E8-3B56-4EF5-8246-3633DB300459}"/>
    <cellStyle name="20% - Accent4 6 2 3 5" xfId="18986" xr:uid="{00000000-0005-0000-0000-0000071A0000}"/>
    <cellStyle name="20% - Accent4 6 2 3 5 2" xfId="42818" xr:uid="{085E3631-CB96-4FE0-8D27-75A9965AC187}"/>
    <cellStyle name="20% - Accent4 6 2 3 6" xfId="26938" xr:uid="{0220C2DA-670E-4DB8-841F-EDECE904738E}"/>
    <cellStyle name="20% - Accent4 6 2 3_Exh G" xfId="2394" xr:uid="{00000000-0005-0000-0000-0000081A0000}"/>
    <cellStyle name="20% - Accent4 6 2 4" xfId="3885" xr:uid="{00000000-0005-0000-0000-0000091A0000}"/>
    <cellStyle name="20% - Accent4 6 2 4 2" xfId="7477" xr:uid="{00000000-0005-0000-0000-00000A1A0000}"/>
    <cellStyle name="20% - Accent4 6 2 4 2 2" xfId="15447" xr:uid="{00000000-0005-0000-0000-00000B1A0000}"/>
    <cellStyle name="20% - Accent4 6 2 4 2 2 2" xfId="39289" xr:uid="{D6940727-AC70-4013-95D9-7875003A684E}"/>
    <cellStyle name="20% - Accent4 6 2 4 2 3" xfId="23393" xr:uid="{00000000-0005-0000-0000-00000C1A0000}"/>
    <cellStyle name="20% - Accent4 6 2 4 2 3 2" xfId="47225" xr:uid="{4B553759-483A-4A17-BF02-69C2A3D39846}"/>
    <cellStyle name="20% - Accent4 6 2 4 2 4" xfId="31348" xr:uid="{0CE07800-D16A-41F4-B25A-CDD9888FEAE0}"/>
    <cellStyle name="20% - Accent4 6 2 4 3" xfId="11909" xr:uid="{00000000-0005-0000-0000-00000D1A0000}"/>
    <cellStyle name="20% - Accent4 6 2 4 3 2" xfId="35758" xr:uid="{31F83388-4B14-4B47-B9F6-1C135339985D}"/>
    <cellStyle name="20% - Accent4 6 2 4 4" xfId="19864" xr:uid="{00000000-0005-0000-0000-00000E1A0000}"/>
    <cellStyle name="20% - Accent4 6 2 4 4 2" xfId="43696" xr:uid="{BF9436B7-4994-4E58-A32C-B43BA6A56D49}"/>
    <cellStyle name="20% - Accent4 6 2 4 5" xfId="27817" xr:uid="{20C14128-5394-4C7A-B9CF-C9A2E48C100D}"/>
    <cellStyle name="20% - Accent4 6 2 5" xfId="5705" xr:uid="{00000000-0005-0000-0000-00000F1A0000}"/>
    <cellStyle name="20% - Accent4 6 2 5 2" xfId="13688" xr:uid="{00000000-0005-0000-0000-0000101A0000}"/>
    <cellStyle name="20% - Accent4 6 2 5 2 2" xfId="37531" xr:uid="{8B068841-A636-4326-A044-FA9BF8268AB5}"/>
    <cellStyle name="20% - Accent4 6 2 5 3" xfId="21636" xr:uid="{00000000-0005-0000-0000-0000111A0000}"/>
    <cellStyle name="20% - Accent4 6 2 5 3 2" xfId="45468" xr:uid="{90535992-DFEF-469B-BA2C-4A052E048B91}"/>
    <cellStyle name="20% - Accent4 6 2 5 4" xfId="29590" xr:uid="{68130589-54DB-41F2-AB37-0E175A49909B}"/>
    <cellStyle name="20% - Accent4 6 2 6" xfId="9257" xr:uid="{00000000-0005-0000-0000-0000121A0000}"/>
    <cellStyle name="20% - Accent4 6 2 6 2" xfId="17215" xr:uid="{00000000-0005-0000-0000-0000131A0000}"/>
    <cellStyle name="20% - Accent4 6 2 6 2 2" xfId="41055" xr:uid="{D4340FC3-2A14-45D6-ABCF-5915FD428BB5}"/>
    <cellStyle name="20% - Accent4 6 2 6 3" xfId="25159" xr:uid="{00000000-0005-0000-0000-0000141A0000}"/>
    <cellStyle name="20% - Accent4 6 2 6 3 2" xfId="48991" xr:uid="{72AF33A3-434C-49A7-8CA6-552A6D77427D}"/>
    <cellStyle name="20% - Accent4 6 2 6 4" xfId="33114" xr:uid="{2899277A-CCEA-41C1-895B-697525CB7161}"/>
    <cellStyle name="20% - Accent4 6 2 7" xfId="10153" xr:uid="{00000000-0005-0000-0000-0000151A0000}"/>
    <cellStyle name="20% - Accent4 6 2 7 2" xfId="34002" xr:uid="{20E6E4B0-9079-40AB-9ACA-BDB24362680A}"/>
    <cellStyle name="20% - Accent4 6 2 8" xfId="18108" xr:uid="{00000000-0005-0000-0000-0000161A0000}"/>
    <cellStyle name="20% - Accent4 6 2 8 2" xfId="41940" xr:uid="{544D8936-5A8A-4B4E-90CF-36550B7E3C5C}"/>
    <cellStyle name="20% - Accent4 6 2 9" xfId="26060" xr:uid="{E447843A-54CB-4114-A895-8318CF9EC5CC}"/>
    <cellStyle name="20% - Accent4 6 2_Exh G" xfId="2391" xr:uid="{00000000-0005-0000-0000-0000171A0000}"/>
    <cellStyle name="20% - Accent4 6 3" xfId="213" xr:uid="{00000000-0005-0000-0000-0000181A0000}"/>
    <cellStyle name="20% - Accent4 6 3 2" xfId="1239" xr:uid="{00000000-0005-0000-0000-0000191A0000}"/>
    <cellStyle name="20% - Accent4 6 3 2 2" xfId="4766" xr:uid="{00000000-0005-0000-0000-00001A1A0000}"/>
    <cellStyle name="20% - Accent4 6 3 2 2 2" xfId="8357" xr:uid="{00000000-0005-0000-0000-00001B1A0000}"/>
    <cellStyle name="20% - Accent4 6 3 2 2 2 2" xfId="16327" xr:uid="{00000000-0005-0000-0000-00001C1A0000}"/>
    <cellStyle name="20% - Accent4 6 3 2 2 2 2 2" xfId="40169" xr:uid="{4357CED8-12E1-4069-8651-EBC9E9A94B52}"/>
    <cellStyle name="20% - Accent4 6 3 2 2 2 3" xfId="24273" xr:uid="{00000000-0005-0000-0000-00001D1A0000}"/>
    <cellStyle name="20% - Accent4 6 3 2 2 2 3 2" xfId="48105" xr:uid="{BC536CA1-17C8-49FA-8981-EC0E74930CB3}"/>
    <cellStyle name="20% - Accent4 6 3 2 2 2 4" xfId="32228" xr:uid="{4972AAD5-5755-4FA8-8685-2FF8D371F3BE}"/>
    <cellStyle name="20% - Accent4 6 3 2 2 3" xfId="12789" xr:uid="{00000000-0005-0000-0000-00001E1A0000}"/>
    <cellStyle name="20% - Accent4 6 3 2 2 3 2" xfId="36638" xr:uid="{98765BCE-1D93-4B43-A533-2407514A6260}"/>
    <cellStyle name="20% - Accent4 6 3 2 2 4" xfId="20744" xr:uid="{00000000-0005-0000-0000-00001F1A0000}"/>
    <cellStyle name="20% - Accent4 6 3 2 2 4 2" xfId="44576" xr:uid="{7FBE7B00-FFA9-44DD-B234-6FDBEC165B0D}"/>
    <cellStyle name="20% - Accent4 6 3 2 2 5" xfId="28697" xr:uid="{2102957A-FFD2-49DB-BCBB-3C604E9A7B0B}"/>
    <cellStyle name="20% - Accent4 6 3 2 3" xfId="6598" xr:uid="{00000000-0005-0000-0000-0000201A0000}"/>
    <cellStyle name="20% - Accent4 6 3 2 3 2" xfId="14569" xr:uid="{00000000-0005-0000-0000-0000211A0000}"/>
    <cellStyle name="20% - Accent4 6 3 2 3 2 2" xfId="38411" xr:uid="{2A60D633-BCB0-468F-9931-03BDE3090829}"/>
    <cellStyle name="20% - Accent4 6 3 2 3 3" xfId="22516" xr:uid="{00000000-0005-0000-0000-0000221A0000}"/>
    <cellStyle name="20% - Accent4 6 3 2 3 3 2" xfId="46348" xr:uid="{74D688E3-CF2E-4BE9-8C67-B727EAD51415}"/>
    <cellStyle name="20% - Accent4 6 3 2 3 4" xfId="30470" xr:uid="{9E690785-BEE3-4E68-A9C4-67F048304F12}"/>
    <cellStyle name="20% - Accent4 6 3 2 4" xfId="11033" xr:uid="{00000000-0005-0000-0000-0000231A0000}"/>
    <cellStyle name="20% - Accent4 6 3 2 4 2" xfId="34882" xr:uid="{1E3DD993-6800-4973-9711-0C33BDED1991}"/>
    <cellStyle name="20% - Accent4 6 3 2 5" xfId="18988" xr:uid="{00000000-0005-0000-0000-0000241A0000}"/>
    <cellStyle name="20% - Accent4 6 3 2 5 2" xfId="42820" xr:uid="{859838ED-579B-42E2-84C1-366AFCC4BE73}"/>
    <cellStyle name="20% - Accent4 6 3 2 6" xfId="26940" xr:uid="{DE011A2E-7C59-43A2-890F-854EB81377D7}"/>
    <cellStyle name="20% - Accent4 6 3 2_Exh G" xfId="2396" xr:uid="{00000000-0005-0000-0000-0000251A0000}"/>
    <cellStyle name="20% - Accent4 6 3 3" xfId="3887" xr:uid="{00000000-0005-0000-0000-0000261A0000}"/>
    <cellStyle name="20% - Accent4 6 3 3 2" xfId="7479" xr:uid="{00000000-0005-0000-0000-0000271A0000}"/>
    <cellStyle name="20% - Accent4 6 3 3 2 2" xfId="15449" xr:uid="{00000000-0005-0000-0000-0000281A0000}"/>
    <cellStyle name="20% - Accent4 6 3 3 2 2 2" xfId="39291" xr:uid="{99A56E6E-F8FE-46BE-9C37-67E73D42A28D}"/>
    <cellStyle name="20% - Accent4 6 3 3 2 3" xfId="23395" xr:uid="{00000000-0005-0000-0000-0000291A0000}"/>
    <cellStyle name="20% - Accent4 6 3 3 2 3 2" xfId="47227" xr:uid="{5A4665E4-9B45-44BA-9D11-C6096CA82606}"/>
    <cellStyle name="20% - Accent4 6 3 3 2 4" xfId="31350" xr:uid="{D81DC923-9C1E-4B13-870B-465E6A852BFB}"/>
    <cellStyle name="20% - Accent4 6 3 3 3" xfId="11911" xr:uid="{00000000-0005-0000-0000-00002A1A0000}"/>
    <cellStyle name="20% - Accent4 6 3 3 3 2" xfId="35760" xr:uid="{0706B390-3E13-4B40-8605-3383B4E7906C}"/>
    <cellStyle name="20% - Accent4 6 3 3 4" xfId="19866" xr:uid="{00000000-0005-0000-0000-00002B1A0000}"/>
    <cellStyle name="20% - Accent4 6 3 3 4 2" xfId="43698" xr:uid="{F92D4DD7-EC5E-42E4-BCBA-D27E5DD83978}"/>
    <cellStyle name="20% - Accent4 6 3 3 5" xfId="27819" xr:uid="{157AFC25-8244-435C-84E8-E24EF316E02C}"/>
    <cellStyle name="20% - Accent4 6 3 4" xfId="5707" xr:uid="{00000000-0005-0000-0000-00002C1A0000}"/>
    <cellStyle name="20% - Accent4 6 3 4 2" xfId="13690" xr:uid="{00000000-0005-0000-0000-00002D1A0000}"/>
    <cellStyle name="20% - Accent4 6 3 4 2 2" xfId="37533" xr:uid="{DD4B5C29-70FC-46B2-8925-4780476862B9}"/>
    <cellStyle name="20% - Accent4 6 3 4 3" xfId="21638" xr:uid="{00000000-0005-0000-0000-00002E1A0000}"/>
    <cellStyle name="20% - Accent4 6 3 4 3 2" xfId="45470" xr:uid="{80AF3818-B807-4D36-8D29-9CCE27DA28CF}"/>
    <cellStyle name="20% - Accent4 6 3 4 4" xfId="29592" xr:uid="{FC9BCB91-9895-454D-A724-4E6DF6AEC007}"/>
    <cellStyle name="20% - Accent4 6 3 5" xfId="9259" xr:uid="{00000000-0005-0000-0000-00002F1A0000}"/>
    <cellStyle name="20% - Accent4 6 3 5 2" xfId="17217" xr:uid="{00000000-0005-0000-0000-0000301A0000}"/>
    <cellStyle name="20% - Accent4 6 3 5 2 2" xfId="41057" xr:uid="{7A0D8156-4757-4244-953C-AEF0B92A7382}"/>
    <cellStyle name="20% - Accent4 6 3 5 3" xfId="25161" xr:uid="{00000000-0005-0000-0000-0000311A0000}"/>
    <cellStyle name="20% - Accent4 6 3 5 3 2" xfId="48993" xr:uid="{4E772278-E08F-48F1-A4B4-C8B32A82F91C}"/>
    <cellStyle name="20% - Accent4 6 3 5 4" xfId="33116" xr:uid="{4319875F-2D3C-4020-9EBE-4C4B254FCC5E}"/>
    <cellStyle name="20% - Accent4 6 3 6" xfId="10155" xr:uid="{00000000-0005-0000-0000-0000321A0000}"/>
    <cellStyle name="20% - Accent4 6 3 6 2" xfId="34004" xr:uid="{77C4C12D-ED17-44E8-8A78-C6B7A594CB0E}"/>
    <cellStyle name="20% - Accent4 6 3 7" xfId="18110" xr:uid="{00000000-0005-0000-0000-0000331A0000}"/>
    <cellStyle name="20% - Accent4 6 3 7 2" xfId="41942" xr:uid="{CB43BBE2-D2C3-4172-AA49-579B20628755}"/>
    <cellStyle name="20% - Accent4 6 3 8" xfId="26062" xr:uid="{0892BE36-76E2-45FA-A613-9954523E55A7}"/>
    <cellStyle name="20% - Accent4 6 3_Exh G" xfId="2395" xr:uid="{00000000-0005-0000-0000-0000341A0000}"/>
    <cellStyle name="20% - Accent4 6 4" xfId="903" xr:uid="{00000000-0005-0000-0000-0000351A0000}"/>
    <cellStyle name="20% - Accent4 6 4 2" xfId="1828" xr:uid="{00000000-0005-0000-0000-0000361A0000}"/>
    <cellStyle name="20% - Accent4 6 4 2 2" xfId="5345" xr:uid="{00000000-0005-0000-0000-0000371A0000}"/>
    <cellStyle name="20% - Accent4 6 4 2 2 2" xfId="8936" xr:uid="{00000000-0005-0000-0000-0000381A0000}"/>
    <cellStyle name="20% - Accent4 6 4 2 2 2 2" xfId="16906" xr:uid="{00000000-0005-0000-0000-0000391A0000}"/>
    <cellStyle name="20% - Accent4 6 4 2 2 2 2 2" xfId="40748" xr:uid="{3E2856C3-D0F3-4CAE-B44F-299E4F640716}"/>
    <cellStyle name="20% - Accent4 6 4 2 2 2 3" xfId="24852" xr:uid="{00000000-0005-0000-0000-00003A1A0000}"/>
    <cellStyle name="20% - Accent4 6 4 2 2 2 3 2" xfId="48684" xr:uid="{8E1FFBB6-D1F3-47AC-A9AC-F9669EE75577}"/>
    <cellStyle name="20% - Accent4 6 4 2 2 2 4" xfId="32807" xr:uid="{DD30733E-02BD-4828-A100-B9E192EF77DC}"/>
    <cellStyle name="20% - Accent4 6 4 2 2 3" xfId="13368" xr:uid="{00000000-0005-0000-0000-00003B1A0000}"/>
    <cellStyle name="20% - Accent4 6 4 2 2 3 2" xfId="37217" xr:uid="{ECDD905E-8F17-4CC6-A929-FB97B9927822}"/>
    <cellStyle name="20% - Accent4 6 4 2 2 4" xfId="21323" xr:uid="{00000000-0005-0000-0000-00003C1A0000}"/>
    <cellStyle name="20% - Accent4 6 4 2 2 4 2" xfId="45155" xr:uid="{ECF742C7-952A-45B6-B47F-6CEF9FFA8527}"/>
    <cellStyle name="20% - Accent4 6 4 2 2 5" xfId="29276" xr:uid="{F60C3465-F36D-4E3E-80F0-44819224CB8F}"/>
    <cellStyle name="20% - Accent4 6 4 2 3" xfId="7177" xr:uid="{00000000-0005-0000-0000-00003D1A0000}"/>
    <cellStyle name="20% - Accent4 6 4 2 3 2" xfId="15148" xr:uid="{00000000-0005-0000-0000-00003E1A0000}"/>
    <cellStyle name="20% - Accent4 6 4 2 3 2 2" xfId="38990" xr:uid="{92AF8E9F-173F-4233-AB3D-C574204C042B}"/>
    <cellStyle name="20% - Accent4 6 4 2 3 3" xfId="23095" xr:uid="{00000000-0005-0000-0000-00003F1A0000}"/>
    <cellStyle name="20% - Accent4 6 4 2 3 3 2" xfId="46927" xr:uid="{95440AD9-EDA9-4E6C-821D-C3754A077F0C}"/>
    <cellStyle name="20% - Accent4 6 4 2 3 4" xfId="31049" xr:uid="{3AF28B3F-CC2F-4B71-ADF8-783DE12E66F8}"/>
    <cellStyle name="20% - Accent4 6 4 2 4" xfId="11612" xr:uid="{00000000-0005-0000-0000-0000401A0000}"/>
    <cellStyle name="20% - Accent4 6 4 2 4 2" xfId="35461" xr:uid="{514D56A8-1AFF-4C2D-B570-06B7F0C5C66A}"/>
    <cellStyle name="20% - Accent4 6 4 2 5" xfId="19567" xr:uid="{00000000-0005-0000-0000-0000411A0000}"/>
    <cellStyle name="20% - Accent4 6 4 2 5 2" xfId="43399" xr:uid="{6625DA6D-AE7C-40BF-A2A0-4227E2C239B5}"/>
    <cellStyle name="20% - Accent4 6 4 2 6" xfId="27519" xr:uid="{6039621D-2EB4-4EA1-A89B-8C4499B9291C}"/>
    <cellStyle name="20% - Accent4 6 4 2_Exh G" xfId="2398" xr:uid="{00000000-0005-0000-0000-0000421A0000}"/>
    <cellStyle name="20% - Accent4 6 4 3" xfId="4466" xr:uid="{00000000-0005-0000-0000-0000431A0000}"/>
    <cellStyle name="20% - Accent4 6 4 3 2" xfId="8058" xr:uid="{00000000-0005-0000-0000-0000441A0000}"/>
    <cellStyle name="20% - Accent4 6 4 3 2 2" xfId="16028" xr:uid="{00000000-0005-0000-0000-0000451A0000}"/>
    <cellStyle name="20% - Accent4 6 4 3 2 2 2" xfId="39870" xr:uid="{C1FF289C-54F6-419D-998E-E3C86E80946E}"/>
    <cellStyle name="20% - Accent4 6 4 3 2 3" xfId="23974" xr:uid="{00000000-0005-0000-0000-0000461A0000}"/>
    <cellStyle name="20% - Accent4 6 4 3 2 3 2" xfId="47806" xr:uid="{8B4FAC62-418D-4E74-86CA-655A73620053}"/>
    <cellStyle name="20% - Accent4 6 4 3 2 4" xfId="31929" xr:uid="{276A9FEF-2F99-4BA6-859E-22C4862E56B6}"/>
    <cellStyle name="20% - Accent4 6 4 3 3" xfId="12490" xr:uid="{00000000-0005-0000-0000-0000471A0000}"/>
    <cellStyle name="20% - Accent4 6 4 3 3 2" xfId="36339" xr:uid="{525BB6DE-AF37-430C-8EDC-219BCDA2FF9C}"/>
    <cellStyle name="20% - Accent4 6 4 3 4" xfId="20445" xr:uid="{00000000-0005-0000-0000-0000481A0000}"/>
    <cellStyle name="20% - Accent4 6 4 3 4 2" xfId="44277" xr:uid="{84779ECD-4E63-42F4-9AF7-7A0C41B7CC88}"/>
    <cellStyle name="20% - Accent4 6 4 3 5" xfId="28398" xr:uid="{E6A8D895-E7A8-4599-80B6-D22F281A7F36}"/>
    <cellStyle name="20% - Accent4 6 4 4" xfId="6296" xr:uid="{00000000-0005-0000-0000-0000491A0000}"/>
    <cellStyle name="20% - Accent4 6 4 4 2" xfId="14270" xr:uid="{00000000-0005-0000-0000-00004A1A0000}"/>
    <cellStyle name="20% - Accent4 6 4 4 2 2" xfId="38112" xr:uid="{805B70E1-BBA0-48D4-9411-09DBCE8BDD92}"/>
    <cellStyle name="20% - Accent4 6 4 4 3" xfId="22217" xr:uid="{00000000-0005-0000-0000-00004B1A0000}"/>
    <cellStyle name="20% - Accent4 6 4 4 3 2" xfId="46049" xr:uid="{94833CC0-2ED1-4302-9B89-A899E7694FD9}"/>
    <cellStyle name="20% - Accent4 6 4 4 4" xfId="30171" xr:uid="{459FA423-45B2-4829-BF57-4B2FE7204F90}"/>
    <cellStyle name="20% - Accent4 6 4 5" xfId="9838" xr:uid="{00000000-0005-0000-0000-00004C1A0000}"/>
    <cellStyle name="20% - Accent4 6 4 5 2" xfId="17796" xr:uid="{00000000-0005-0000-0000-00004D1A0000}"/>
    <cellStyle name="20% - Accent4 6 4 5 2 2" xfId="41636" xr:uid="{5E917C59-7754-4643-87C8-7FC0E29FE770}"/>
    <cellStyle name="20% - Accent4 6 4 5 3" xfId="25740" xr:uid="{00000000-0005-0000-0000-00004E1A0000}"/>
    <cellStyle name="20% - Accent4 6 4 5 3 2" xfId="49572" xr:uid="{83DB7A5C-1FDD-438A-9050-97D24CD6A43F}"/>
    <cellStyle name="20% - Accent4 6 4 5 4" xfId="33695" xr:uid="{5602C15A-9D67-4E08-8D9D-5AC41CAF9C42}"/>
    <cellStyle name="20% - Accent4 6 4 6" xfId="10734" xr:uid="{00000000-0005-0000-0000-00004F1A0000}"/>
    <cellStyle name="20% - Accent4 6 4 6 2" xfId="34583" xr:uid="{44D9D407-51DB-4822-8512-8B8DCB4DF86A}"/>
    <cellStyle name="20% - Accent4 6 4 7" xfId="18689" xr:uid="{00000000-0005-0000-0000-0000501A0000}"/>
    <cellStyle name="20% - Accent4 6 4 7 2" xfId="42521" xr:uid="{3F1D984D-6FE6-4647-A121-184139522B70}"/>
    <cellStyle name="20% - Accent4 6 4 8" xfId="26641" xr:uid="{6D164DF3-8BB5-4FC8-948C-EAEF82E5E308}"/>
    <cellStyle name="20% - Accent4 6 4_Exh G" xfId="2397" xr:uid="{00000000-0005-0000-0000-0000511A0000}"/>
    <cellStyle name="20% - Accent4 6 5" xfId="1236" xr:uid="{00000000-0005-0000-0000-0000521A0000}"/>
    <cellStyle name="20% - Accent4 6 5 2" xfId="4763" xr:uid="{00000000-0005-0000-0000-0000531A0000}"/>
    <cellStyle name="20% - Accent4 6 5 2 2" xfId="8354" xr:uid="{00000000-0005-0000-0000-0000541A0000}"/>
    <cellStyle name="20% - Accent4 6 5 2 2 2" xfId="16324" xr:uid="{00000000-0005-0000-0000-0000551A0000}"/>
    <cellStyle name="20% - Accent4 6 5 2 2 2 2" xfId="40166" xr:uid="{C1EA6B8D-3E5D-4350-A3E4-A12EF8C30454}"/>
    <cellStyle name="20% - Accent4 6 5 2 2 3" xfId="24270" xr:uid="{00000000-0005-0000-0000-0000561A0000}"/>
    <cellStyle name="20% - Accent4 6 5 2 2 3 2" xfId="48102" xr:uid="{5258546E-24F2-443C-B0C5-3A83F7C27657}"/>
    <cellStyle name="20% - Accent4 6 5 2 2 4" xfId="32225" xr:uid="{DA845360-B3FB-4B44-9FD8-547C7252F3FB}"/>
    <cellStyle name="20% - Accent4 6 5 2 3" xfId="12786" xr:uid="{00000000-0005-0000-0000-0000571A0000}"/>
    <cellStyle name="20% - Accent4 6 5 2 3 2" xfId="36635" xr:uid="{3EC7CCBF-3187-4E41-B039-FF53FE65E878}"/>
    <cellStyle name="20% - Accent4 6 5 2 4" xfId="20741" xr:uid="{00000000-0005-0000-0000-0000581A0000}"/>
    <cellStyle name="20% - Accent4 6 5 2 4 2" xfId="44573" xr:uid="{A23E3B40-AB73-4FE0-B706-FCC425389655}"/>
    <cellStyle name="20% - Accent4 6 5 2 5" xfId="28694" xr:uid="{B4E6088F-CE81-41DB-88B7-2A3D49540DE1}"/>
    <cellStyle name="20% - Accent4 6 5 3" xfId="6595" xr:uid="{00000000-0005-0000-0000-0000591A0000}"/>
    <cellStyle name="20% - Accent4 6 5 3 2" xfId="14566" xr:uid="{00000000-0005-0000-0000-00005A1A0000}"/>
    <cellStyle name="20% - Accent4 6 5 3 2 2" xfId="38408" xr:uid="{5B99BAAA-55A4-4964-A7A0-CCF83DDAE610}"/>
    <cellStyle name="20% - Accent4 6 5 3 3" xfId="22513" xr:uid="{00000000-0005-0000-0000-00005B1A0000}"/>
    <cellStyle name="20% - Accent4 6 5 3 3 2" xfId="46345" xr:uid="{1C601579-2A76-4267-80F3-9A1D965D566C}"/>
    <cellStyle name="20% - Accent4 6 5 3 4" xfId="30467" xr:uid="{0D93D906-56FD-42EB-B77E-074D9DA4972B}"/>
    <cellStyle name="20% - Accent4 6 5 4" xfId="11030" xr:uid="{00000000-0005-0000-0000-00005C1A0000}"/>
    <cellStyle name="20% - Accent4 6 5 4 2" xfId="34879" xr:uid="{1D68D343-D87F-4DC6-B437-20731ED040B0}"/>
    <cellStyle name="20% - Accent4 6 5 5" xfId="18985" xr:uid="{00000000-0005-0000-0000-00005D1A0000}"/>
    <cellStyle name="20% - Accent4 6 5 5 2" xfId="42817" xr:uid="{10F3B6CA-74C3-42E8-82B5-9547F8020FA0}"/>
    <cellStyle name="20% - Accent4 6 5 6" xfId="26937" xr:uid="{58D61269-131F-40B9-912A-A197A3AD6C14}"/>
    <cellStyle name="20% - Accent4 6 5_Exh G" xfId="2399" xr:uid="{00000000-0005-0000-0000-00005E1A0000}"/>
    <cellStyle name="20% - Accent4 6 6" xfId="3884" xr:uid="{00000000-0005-0000-0000-00005F1A0000}"/>
    <cellStyle name="20% - Accent4 6 6 2" xfId="7476" xr:uid="{00000000-0005-0000-0000-0000601A0000}"/>
    <cellStyle name="20% - Accent4 6 6 2 2" xfId="15446" xr:uid="{00000000-0005-0000-0000-0000611A0000}"/>
    <cellStyle name="20% - Accent4 6 6 2 2 2" xfId="39288" xr:uid="{1BBC34B6-A755-457B-93FE-A4F50E5559B3}"/>
    <cellStyle name="20% - Accent4 6 6 2 3" xfId="23392" xr:uid="{00000000-0005-0000-0000-0000621A0000}"/>
    <cellStyle name="20% - Accent4 6 6 2 3 2" xfId="47224" xr:uid="{067F77EB-EDA3-4A78-B4BA-1D80D83E030F}"/>
    <cellStyle name="20% - Accent4 6 6 2 4" xfId="31347" xr:uid="{A112BBA7-2C0F-40CF-80CC-2F52EFC54D6F}"/>
    <cellStyle name="20% - Accent4 6 6 3" xfId="11908" xr:uid="{00000000-0005-0000-0000-0000631A0000}"/>
    <cellStyle name="20% - Accent4 6 6 3 2" xfId="35757" xr:uid="{3E91C717-9D48-455D-A076-483D8FC02AE5}"/>
    <cellStyle name="20% - Accent4 6 6 4" xfId="19863" xr:uid="{00000000-0005-0000-0000-0000641A0000}"/>
    <cellStyle name="20% - Accent4 6 6 4 2" xfId="43695" xr:uid="{E94E45BB-D8C7-4781-B6F4-C1BA719AA322}"/>
    <cellStyle name="20% - Accent4 6 6 5" xfId="27816" xr:uid="{2F62E4F2-CBD5-4B47-B3D9-F288A9A38732}"/>
    <cellStyle name="20% - Accent4 6 7" xfId="5704" xr:uid="{00000000-0005-0000-0000-0000651A0000}"/>
    <cellStyle name="20% - Accent4 6 7 2" xfId="13687" xr:uid="{00000000-0005-0000-0000-0000661A0000}"/>
    <cellStyle name="20% - Accent4 6 7 2 2" xfId="37530" xr:uid="{0FF68D6D-C51D-4C16-9C9A-FFCAC9BFBF7E}"/>
    <cellStyle name="20% - Accent4 6 7 3" xfId="21635" xr:uid="{00000000-0005-0000-0000-0000671A0000}"/>
    <cellStyle name="20% - Accent4 6 7 3 2" xfId="45467" xr:uid="{9E56E71C-9421-4E5F-B58F-8AE28AFDE9A6}"/>
    <cellStyle name="20% - Accent4 6 7 4" xfId="29589" xr:uid="{B04F51DB-7EA5-4D2B-B5BD-EB8B8A5A6EDA}"/>
    <cellStyle name="20% - Accent4 6 8" xfId="9256" xr:uid="{00000000-0005-0000-0000-0000681A0000}"/>
    <cellStyle name="20% - Accent4 6 8 2" xfId="17214" xr:uid="{00000000-0005-0000-0000-0000691A0000}"/>
    <cellStyle name="20% - Accent4 6 8 2 2" xfId="41054" xr:uid="{D54EFDF6-4C79-4086-A856-2467AE3F6A7C}"/>
    <cellStyle name="20% - Accent4 6 8 3" xfId="25158" xr:uid="{00000000-0005-0000-0000-00006A1A0000}"/>
    <cellStyle name="20% - Accent4 6 8 3 2" xfId="48990" xr:uid="{BBFFA65C-B45D-4F23-B6F0-5B3D7D80AC01}"/>
    <cellStyle name="20% - Accent4 6 8 4" xfId="33113" xr:uid="{1A1B0B05-4EF3-4BAA-A06F-A0E2FB748358}"/>
    <cellStyle name="20% - Accent4 6 9" xfId="10152" xr:uid="{00000000-0005-0000-0000-00006B1A0000}"/>
    <cellStyle name="20% - Accent4 6 9 2" xfId="34001" xr:uid="{160A82D3-C6AF-4DDB-83B5-8C83B25633DA}"/>
    <cellStyle name="20% - Accent4 6_Exh G" xfId="2390" xr:uid="{00000000-0005-0000-0000-00006C1A0000}"/>
    <cellStyle name="20% - Accent4 7" xfId="214" xr:uid="{00000000-0005-0000-0000-00006D1A0000}"/>
    <cellStyle name="20% - Accent4 7 10" xfId="18111" xr:uid="{00000000-0005-0000-0000-00006E1A0000}"/>
    <cellStyle name="20% - Accent4 7 10 2" xfId="41943" xr:uid="{065D5985-5109-442B-8066-046E8356B9BF}"/>
    <cellStyle name="20% - Accent4 7 11" xfId="26063" xr:uid="{F5F8D76D-E5C5-47BF-AB15-4FEA2C0E8BC2}"/>
    <cellStyle name="20% - Accent4 7 2" xfId="215" xr:uid="{00000000-0005-0000-0000-00006F1A0000}"/>
    <cellStyle name="20% - Accent4 7 2 2" xfId="216" xr:uid="{00000000-0005-0000-0000-0000701A0000}"/>
    <cellStyle name="20% - Accent4 7 2 2 2" xfId="1242" xr:uid="{00000000-0005-0000-0000-0000711A0000}"/>
    <cellStyle name="20% - Accent4 7 2 2 2 2" xfId="4769" xr:uid="{00000000-0005-0000-0000-0000721A0000}"/>
    <cellStyle name="20% - Accent4 7 2 2 2 2 2" xfId="8360" xr:uid="{00000000-0005-0000-0000-0000731A0000}"/>
    <cellStyle name="20% - Accent4 7 2 2 2 2 2 2" xfId="16330" xr:uid="{00000000-0005-0000-0000-0000741A0000}"/>
    <cellStyle name="20% - Accent4 7 2 2 2 2 2 2 2" xfId="40172" xr:uid="{BF4896DA-0D58-43EA-A245-1CBFAE87D903}"/>
    <cellStyle name="20% - Accent4 7 2 2 2 2 2 3" xfId="24276" xr:uid="{00000000-0005-0000-0000-0000751A0000}"/>
    <cellStyle name="20% - Accent4 7 2 2 2 2 2 3 2" xfId="48108" xr:uid="{693CE446-562D-4A78-954F-F0B3CA7DC43C}"/>
    <cellStyle name="20% - Accent4 7 2 2 2 2 2 4" xfId="32231" xr:uid="{BE0486B9-CD7F-4D31-B674-032E60D5CB16}"/>
    <cellStyle name="20% - Accent4 7 2 2 2 2 3" xfId="12792" xr:uid="{00000000-0005-0000-0000-0000761A0000}"/>
    <cellStyle name="20% - Accent4 7 2 2 2 2 3 2" xfId="36641" xr:uid="{6F42792E-8163-404F-AD96-742AB6ECB38E}"/>
    <cellStyle name="20% - Accent4 7 2 2 2 2 4" xfId="20747" xr:uid="{00000000-0005-0000-0000-0000771A0000}"/>
    <cellStyle name="20% - Accent4 7 2 2 2 2 4 2" xfId="44579" xr:uid="{CBA9FF11-8C50-4BCB-BB3C-C75EF066451D}"/>
    <cellStyle name="20% - Accent4 7 2 2 2 2 5" xfId="28700" xr:uid="{73811649-7A37-4BC6-B619-70BDFF2251F1}"/>
    <cellStyle name="20% - Accent4 7 2 2 2 3" xfId="6601" xr:uid="{00000000-0005-0000-0000-0000781A0000}"/>
    <cellStyle name="20% - Accent4 7 2 2 2 3 2" xfId="14572" xr:uid="{00000000-0005-0000-0000-0000791A0000}"/>
    <cellStyle name="20% - Accent4 7 2 2 2 3 2 2" xfId="38414" xr:uid="{D37511DE-C8D3-4335-A9A9-02C8D8264134}"/>
    <cellStyle name="20% - Accent4 7 2 2 2 3 3" xfId="22519" xr:uid="{00000000-0005-0000-0000-00007A1A0000}"/>
    <cellStyle name="20% - Accent4 7 2 2 2 3 3 2" xfId="46351" xr:uid="{050A755A-88D6-4095-AE6F-CD78BF0D5DD6}"/>
    <cellStyle name="20% - Accent4 7 2 2 2 3 4" xfId="30473" xr:uid="{6600BC6C-8EA7-4DD1-BE93-49F13DA75AB0}"/>
    <cellStyle name="20% - Accent4 7 2 2 2 4" xfId="11036" xr:uid="{00000000-0005-0000-0000-00007B1A0000}"/>
    <cellStyle name="20% - Accent4 7 2 2 2 4 2" xfId="34885" xr:uid="{09D4BCFB-9850-441D-BE62-778DBB974A79}"/>
    <cellStyle name="20% - Accent4 7 2 2 2 5" xfId="18991" xr:uid="{00000000-0005-0000-0000-00007C1A0000}"/>
    <cellStyle name="20% - Accent4 7 2 2 2 5 2" xfId="42823" xr:uid="{1E9E8FF6-6F45-44E5-A34D-1183776B63FF}"/>
    <cellStyle name="20% - Accent4 7 2 2 2 6" xfId="26943" xr:uid="{DAC159BE-7B1A-46D9-B34C-1A0E1AF41ED6}"/>
    <cellStyle name="20% - Accent4 7 2 2 2_Exh G" xfId="2403" xr:uid="{00000000-0005-0000-0000-00007D1A0000}"/>
    <cellStyle name="20% - Accent4 7 2 2 3" xfId="3890" xr:uid="{00000000-0005-0000-0000-00007E1A0000}"/>
    <cellStyle name="20% - Accent4 7 2 2 3 2" xfId="7482" xr:uid="{00000000-0005-0000-0000-00007F1A0000}"/>
    <cellStyle name="20% - Accent4 7 2 2 3 2 2" xfId="15452" xr:uid="{00000000-0005-0000-0000-0000801A0000}"/>
    <cellStyle name="20% - Accent4 7 2 2 3 2 2 2" xfId="39294" xr:uid="{204E0715-C10C-41E4-92BB-C55A3DAF93DA}"/>
    <cellStyle name="20% - Accent4 7 2 2 3 2 3" xfId="23398" xr:uid="{00000000-0005-0000-0000-0000811A0000}"/>
    <cellStyle name="20% - Accent4 7 2 2 3 2 3 2" xfId="47230" xr:uid="{9955D344-C8B4-4821-BA41-10B66CE120D6}"/>
    <cellStyle name="20% - Accent4 7 2 2 3 2 4" xfId="31353" xr:uid="{9FDF81D1-5879-4AE9-8B5A-E17C357C92FF}"/>
    <cellStyle name="20% - Accent4 7 2 2 3 3" xfId="11914" xr:uid="{00000000-0005-0000-0000-0000821A0000}"/>
    <cellStyle name="20% - Accent4 7 2 2 3 3 2" xfId="35763" xr:uid="{976E8EDC-154D-487A-B432-E1086C63DE76}"/>
    <cellStyle name="20% - Accent4 7 2 2 3 4" xfId="19869" xr:uid="{00000000-0005-0000-0000-0000831A0000}"/>
    <cellStyle name="20% - Accent4 7 2 2 3 4 2" xfId="43701" xr:uid="{246D4557-CC84-4EEF-8D2C-2CCCB64600E1}"/>
    <cellStyle name="20% - Accent4 7 2 2 3 5" xfId="27822" xr:uid="{26B43ADB-17F6-4F60-8D63-F1E72306C140}"/>
    <cellStyle name="20% - Accent4 7 2 2 4" xfId="5710" xr:uid="{00000000-0005-0000-0000-0000841A0000}"/>
    <cellStyle name="20% - Accent4 7 2 2 4 2" xfId="13693" xr:uid="{00000000-0005-0000-0000-0000851A0000}"/>
    <cellStyle name="20% - Accent4 7 2 2 4 2 2" xfId="37536" xr:uid="{D7433D96-4DC6-4A40-A294-B600ADC549E4}"/>
    <cellStyle name="20% - Accent4 7 2 2 4 3" xfId="21641" xr:uid="{00000000-0005-0000-0000-0000861A0000}"/>
    <cellStyle name="20% - Accent4 7 2 2 4 3 2" xfId="45473" xr:uid="{EE6646DD-C1E6-435B-B8CD-F2A24FBB23E0}"/>
    <cellStyle name="20% - Accent4 7 2 2 4 4" xfId="29595" xr:uid="{C15D2589-1C45-4DE9-A82A-8814437D3B94}"/>
    <cellStyle name="20% - Accent4 7 2 2 5" xfId="9262" xr:uid="{00000000-0005-0000-0000-0000871A0000}"/>
    <cellStyle name="20% - Accent4 7 2 2 5 2" xfId="17220" xr:uid="{00000000-0005-0000-0000-0000881A0000}"/>
    <cellStyle name="20% - Accent4 7 2 2 5 2 2" xfId="41060" xr:uid="{CFE94FA2-DE81-45F9-8333-A2C4A0C4462C}"/>
    <cellStyle name="20% - Accent4 7 2 2 5 3" xfId="25164" xr:uid="{00000000-0005-0000-0000-0000891A0000}"/>
    <cellStyle name="20% - Accent4 7 2 2 5 3 2" xfId="48996" xr:uid="{E1D5319B-E33D-4BC7-92DB-364E1CF281A5}"/>
    <cellStyle name="20% - Accent4 7 2 2 5 4" xfId="33119" xr:uid="{A8C28E8E-9DCE-4489-8947-24053EB1078B}"/>
    <cellStyle name="20% - Accent4 7 2 2 6" xfId="10158" xr:uid="{00000000-0005-0000-0000-00008A1A0000}"/>
    <cellStyle name="20% - Accent4 7 2 2 6 2" xfId="34007" xr:uid="{50281B7B-5C84-424A-A7F3-BF2E2A7C369D}"/>
    <cellStyle name="20% - Accent4 7 2 2 7" xfId="18113" xr:uid="{00000000-0005-0000-0000-00008B1A0000}"/>
    <cellStyle name="20% - Accent4 7 2 2 7 2" xfId="41945" xr:uid="{4AF154AF-3155-458D-90CB-4587827CA8FB}"/>
    <cellStyle name="20% - Accent4 7 2 2 8" xfId="26065" xr:uid="{D3CEC8E1-4BCC-4B1D-B01C-D47AE5C541AD}"/>
    <cellStyle name="20% - Accent4 7 2 2_Exh G" xfId="2402" xr:uid="{00000000-0005-0000-0000-00008C1A0000}"/>
    <cellStyle name="20% - Accent4 7 2 3" xfId="1241" xr:uid="{00000000-0005-0000-0000-00008D1A0000}"/>
    <cellStyle name="20% - Accent4 7 2 3 2" xfId="4768" xr:uid="{00000000-0005-0000-0000-00008E1A0000}"/>
    <cellStyle name="20% - Accent4 7 2 3 2 2" xfId="8359" xr:uid="{00000000-0005-0000-0000-00008F1A0000}"/>
    <cellStyle name="20% - Accent4 7 2 3 2 2 2" xfId="16329" xr:uid="{00000000-0005-0000-0000-0000901A0000}"/>
    <cellStyle name="20% - Accent4 7 2 3 2 2 2 2" xfId="40171" xr:uid="{73620774-6190-44FC-B83A-D3BEB430705B}"/>
    <cellStyle name="20% - Accent4 7 2 3 2 2 3" xfId="24275" xr:uid="{00000000-0005-0000-0000-0000911A0000}"/>
    <cellStyle name="20% - Accent4 7 2 3 2 2 3 2" xfId="48107" xr:uid="{AD426F75-C345-4AF9-8E67-8BEF4C2BDBA5}"/>
    <cellStyle name="20% - Accent4 7 2 3 2 2 4" xfId="32230" xr:uid="{A97C9C43-6286-431A-889A-3229C384E305}"/>
    <cellStyle name="20% - Accent4 7 2 3 2 3" xfId="12791" xr:uid="{00000000-0005-0000-0000-0000921A0000}"/>
    <cellStyle name="20% - Accent4 7 2 3 2 3 2" xfId="36640" xr:uid="{135E2660-748E-41E6-964B-56769600245E}"/>
    <cellStyle name="20% - Accent4 7 2 3 2 4" xfId="20746" xr:uid="{00000000-0005-0000-0000-0000931A0000}"/>
    <cellStyle name="20% - Accent4 7 2 3 2 4 2" xfId="44578" xr:uid="{DBCA0AFC-5520-4E29-8ECB-3208DD0C5534}"/>
    <cellStyle name="20% - Accent4 7 2 3 2 5" xfId="28699" xr:uid="{7D0EA7BE-88B8-4C86-9CCF-452DACB79028}"/>
    <cellStyle name="20% - Accent4 7 2 3 3" xfId="6600" xr:uid="{00000000-0005-0000-0000-0000941A0000}"/>
    <cellStyle name="20% - Accent4 7 2 3 3 2" xfId="14571" xr:uid="{00000000-0005-0000-0000-0000951A0000}"/>
    <cellStyle name="20% - Accent4 7 2 3 3 2 2" xfId="38413" xr:uid="{95B8B8BD-AF10-4B7B-85FB-F3C7CEC0F063}"/>
    <cellStyle name="20% - Accent4 7 2 3 3 3" xfId="22518" xr:uid="{00000000-0005-0000-0000-0000961A0000}"/>
    <cellStyle name="20% - Accent4 7 2 3 3 3 2" xfId="46350" xr:uid="{1C5992E1-D89C-4E71-89F4-B67EF0915484}"/>
    <cellStyle name="20% - Accent4 7 2 3 3 4" xfId="30472" xr:uid="{01928A58-3543-45A6-B1B9-E6012787090A}"/>
    <cellStyle name="20% - Accent4 7 2 3 4" xfId="11035" xr:uid="{00000000-0005-0000-0000-0000971A0000}"/>
    <cellStyle name="20% - Accent4 7 2 3 4 2" xfId="34884" xr:uid="{6E05A4BF-5623-4999-A012-68AC74A883D6}"/>
    <cellStyle name="20% - Accent4 7 2 3 5" xfId="18990" xr:uid="{00000000-0005-0000-0000-0000981A0000}"/>
    <cellStyle name="20% - Accent4 7 2 3 5 2" xfId="42822" xr:uid="{AD177143-A3FF-44E1-BE93-D76B41BC85F1}"/>
    <cellStyle name="20% - Accent4 7 2 3 6" xfId="26942" xr:uid="{CCBE11FA-B817-47CF-8DE6-E3AF58EA2F9D}"/>
    <cellStyle name="20% - Accent4 7 2 3_Exh G" xfId="2404" xr:uid="{00000000-0005-0000-0000-0000991A0000}"/>
    <cellStyle name="20% - Accent4 7 2 4" xfId="3889" xr:uid="{00000000-0005-0000-0000-00009A1A0000}"/>
    <cellStyle name="20% - Accent4 7 2 4 2" xfId="7481" xr:uid="{00000000-0005-0000-0000-00009B1A0000}"/>
    <cellStyle name="20% - Accent4 7 2 4 2 2" xfId="15451" xr:uid="{00000000-0005-0000-0000-00009C1A0000}"/>
    <cellStyle name="20% - Accent4 7 2 4 2 2 2" xfId="39293" xr:uid="{99F7321E-C7BF-4231-A75E-530CB62167CD}"/>
    <cellStyle name="20% - Accent4 7 2 4 2 3" xfId="23397" xr:uid="{00000000-0005-0000-0000-00009D1A0000}"/>
    <cellStyle name="20% - Accent4 7 2 4 2 3 2" xfId="47229" xr:uid="{36541586-D17E-4FAD-B22A-DB116F771DCC}"/>
    <cellStyle name="20% - Accent4 7 2 4 2 4" xfId="31352" xr:uid="{1F54EF4D-5898-4CD9-913D-124B76E4F506}"/>
    <cellStyle name="20% - Accent4 7 2 4 3" xfId="11913" xr:uid="{00000000-0005-0000-0000-00009E1A0000}"/>
    <cellStyle name="20% - Accent4 7 2 4 3 2" xfId="35762" xr:uid="{5BE6C3AC-605D-404D-9A10-6C6B06151F04}"/>
    <cellStyle name="20% - Accent4 7 2 4 4" xfId="19868" xr:uid="{00000000-0005-0000-0000-00009F1A0000}"/>
    <cellStyle name="20% - Accent4 7 2 4 4 2" xfId="43700" xr:uid="{2447832F-E7A7-4B42-9C70-BFAD08AE1341}"/>
    <cellStyle name="20% - Accent4 7 2 4 5" xfId="27821" xr:uid="{735A202C-0030-478C-9D5B-B653B02FFFFD}"/>
    <cellStyle name="20% - Accent4 7 2 5" xfId="5709" xr:uid="{00000000-0005-0000-0000-0000A01A0000}"/>
    <cellStyle name="20% - Accent4 7 2 5 2" xfId="13692" xr:uid="{00000000-0005-0000-0000-0000A11A0000}"/>
    <cellStyle name="20% - Accent4 7 2 5 2 2" xfId="37535" xr:uid="{27AD4742-8409-4716-AEC9-2BC20090EE1A}"/>
    <cellStyle name="20% - Accent4 7 2 5 3" xfId="21640" xr:uid="{00000000-0005-0000-0000-0000A21A0000}"/>
    <cellStyle name="20% - Accent4 7 2 5 3 2" xfId="45472" xr:uid="{66786C83-7A72-4C7B-A4E5-7381DCB64E53}"/>
    <cellStyle name="20% - Accent4 7 2 5 4" xfId="29594" xr:uid="{B40DE9BE-868C-4AED-B90D-F19EC5984772}"/>
    <cellStyle name="20% - Accent4 7 2 6" xfId="9261" xr:uid="{00000000-0005-0000-0000-0000A31A0000}"/>
    <cellStyle name="20% - Accent4 7 2 6 2" xfId="17219" xr:uid="{00000000-0005-0000-0000-0000A41A0000}"/>
    <cellStyle name="20% - Accent4 7 2 6 2 2" xfId="41059" xr:uid="{BA1AFC48-170F-4842-BB22-DE14FAB9DCF4}"/>
    <cellStyle name="20% - Accent4 7 2 6 3" xfId="25163" xr:uid="{00000000-0005-0000-0000-0000A51A0000}"/>
    <cellStyle name="20% - Accent4 7 2 6 3 2" xfId="48995" xr:uid="{25716EAF-0CB5-486D-8A19-FF33D7E75E53}"/>
    <cellStyle name="20% - Accent4 7 2 6 4" xfId="33118" xr:uid="{68752D02-56E6-4820-9C10-D063A4CB3AE4}"/>
    <cellStyle name="20% - Accent4 7 2 7" xfId="10157" xr:uid="{00000000-0005-0000-0000-0000A61A0000}"/>
    <cellStyle name="20% - Accent4 7 2 7 2" xfId="34006" xr:uid="{5173BFAE-B444-45A2-A70D-E83ABEBA20F3}"/>
    <cellStyle name="20% - Accent4 7 2 8" xfId="18112" xr:uid="{00000000-0005-0000-0000-0000A71A0000}"/>
    <cellStyle name="20% - Accent4 7 2 8 2" xfId="41944" xr:uid="{F9AB771C-ACC2-4523-A4F4-26C1D63EF628}"/>
    <cellStyle name="20% - Accent4 7 2 9" xfId="26064" xr:uid="{E3BEE09A-6D48-41A7-8BBA-1426558D982B}"/>
    <cellStyle name="20% - Accent4 7 2_Exh G" xfId="2401" xr:uid="{00000000-0005-0000-0000-0000A81A0000}"/>
    <cellStyle name="20% - Accent4 7 3" xfId="217" xr:uid="{00000000-0005-0000-0000-0000A91A0000}"/>
    <cellStyle name="20% - Accent4 7 3 2" xfId="1243" xr:uid="{00000000-0005-0000-0000-0000AA1A0000}"/>
    <cellStyle name="20% - Accent4 7 3 2 2" xfId="4770" xr:uid="{00000000-0005-0000-0000-0000AB1A0000}"/>
    <cellStyle name="20% - Accent4 7 3 2 2 2" xfId="8361" xr:uid="{00000000-0005-0000-0000-0000AC1A0000}"/>
    <cellStyle name="20% - Accent4 7 3 2 2 2 2" xfId="16331" xr:uid="{00000000-0005-0000-0000-0000AD1A0000}"/>
    <cellStyle name="20% - Accent4 7 3 2 2 2 2 2" xfId="40173" xr:uid="{47E2722D-7C21-46BC-81F3-33B2EC92D7B5}"/>
    <cellStyle name="20% - Accent4 7 3 2 2 2 3" xfId="24277" xr:uid="{00000000-0005-0000-0000-0000AE1A0000}"/>
    <cellStyle name="20% - Accent4 7 3 2 2 2 3 2" xfId="48109" xr:uid="{0FFBA355-DCE5-4941-86B9-AFA8BB443D24}"/>
    <cellStyle name="20% - Accent4 7 3 2 2 2 4" xfId="32232" xr:uid="{E8EC9CB5-1345-4440-A500-2F91FEAAE51D}"/>
    <cellStyle name="20% - Accent4 7 3 2 2 3" xfId="12793" xr:uid="{00000000-0005-0000-0000-0000AF1A0000}"/>
    <cellStyle name="20% - Accent4 7 3 2 2 3 2" xfId="36642" xr:uid="{5A9D6922-0648-4743-A517-7C1022D9D640}"/>
    <cellStyle name="20% - Accent4 7 3 2 2 4" xfId="20748" xr:uid="{00000000-0005-0000-0000-0000B01A0000}"/>
    <cellStyle name="20% - Accent4 7 3 2 2 4 2" xfId="44580" xr:uid="{5D1B11D8-F931-48C8-8B91-12B96B6278AE}"/>
    <cellStyle name="20% - Accent4 7 3 2 2 5" xfId="28701" xr:uid="{82F5E931-508F-4D32-992C-308E25A95E9F}"/>
    <cellStyle name="20% - Accent4 7 3 2 3" xfId="6602" xr:uid="{00000000-0005-0000-0000-0000B11A0000}"/>
    <cellStyle name="20% - Accent4 7 3 2 3 2" xfId="14573" xr:uid="{00000000-0005-0000-0000-0000B21A0000}"/>
    <cellStyle name="20% - Accent4 7 3 2 3 2 2" xfId="38415" xr:uid="{85CA6915-E311-4850-873E-0DF4A7D98CE7}"/>
    <cellStyle name="20% - Accent4 7 3 2 3 3" xfId="22520" xr:uid="{00000000-0005-0000-0000-0000B31A0000}"/>
    <cellStyle name="20% - Accent4 7 3 2 3 3 2" xfId="46352" xr:uid="{CB3FFC69-6BBD-47EC-AF1C-BCCD626FBF4D}"/>
    <cellStyle name="20% - Accent4 7 3 2 3 4" xfId="30474" xr:uid="{73C277BC-1EB6-4DA0-9595-D35E0C582B3D}"/>
    <cellStyle name="20% - Accent4 7 3 2 4" xfId="11037" xr:uid="{00000000-0005-0000-0000-0000B41A0000}"/>
    <cellStyle name="20% - Accent4 7 3 2 4 2" xfId="34886" xr:uid="{0471694B-17C9-4547-BF76-E610EF628DFF}"/>
    <cellStyle name="20% - Accent4 7 3 2 5" xfId="18992" xr:uid="{00000000-0005-0000-0000-0000B51A0000}"/>
    <cellStyle name="20% - Accent4 7 3 2 5 2" xfId="42824" xr:uid="{83C08043-2FED-4646-8C59-8E58B22B4F68}"/>
    <cellStyle name="20% - Accent4 7 3 2 6" xfId="26944" xr:uid="{A672A01D-0448-45AE-87F6-E9412209DFEC}"/>
    <cellStyle name="20% - Accent4 7 3 2_Exh G" xfId="2406" xr:uid="{00000000-0005-0000-0000-0000B61A0000}"/>
    <cellStyle name="20% - Accent4 7 3 3" xfId="3891" xr:uid="{00000000-0005-0000-0000-0000B71A0000}"/>
    <cellStyle name="20% - Accent4 7 3 3 2" xfId="7483" xr:uid="{00000000-0005-0000-0000-0000B81A0000}"/>
    <cellStyle name="20% - Accent4 7 3 3 2 2" xfId="15453" xr:uid="{00000000-0005-0000-0000-0000B91A0000}"/>
    <cellStyle name="20% - Accent4 7 3 3 2 2 2" xfId="39295" xr:uid="{F8FDB6EA-F6A7-45BF-BD70-791231F86E97}"/>
    <cellStyle name="20% - Accent4 7 3 3 2 3" xfId="23399" xr:uid="{00000000-0005-0000-0000-0000BA1A0000}"/>
    <cellStyle name="20% - Accent4 7 3 3 2 3 2" xfId="47231" xr:uid="{D6AB4D5F-7A34-4E48-A426-A5A50EDC2161}"/>
    <cellStyle name="20% - Accent4 7 3 3 2 4" xfId="31354" xr:uid="{2BEC4112-E804-44A3-8AA8-9C035E937765}"/>
    <cellStyle name="20% - Accent4 7 3 3 3" xfId="11915" xr:uid="{00000000-0005-0000-0000-0000BB1A0000}"/>
    <cellStyle name="20% - Accent4 7 3 3 3 2" xfId="35764" xr:uid="{A594197B-DF9D-486B-825D-B53579F5AD59}"/>
    <cellStyle name="20% - Accent4 7 3 3 4" xfId="19870" xr:uid="{00000000-0005-0000-0000-0000BC1A0000}"/>
    <cellStyle name="20% - Accent4 7 3 3 4 2" xfId="43702" xr:uid="{A9EE897C-3A58-4607-853A-DB317F1ACBF6}"/>
    <cellStyle name="20% - Accent4 7 3 3 5" xfId="27823" xr:uid="{D6A3CAB0-6A20-4746-984A-5D770CDFAE9B}"/>
    <cellStyle name="20% - Accent4 7 3 4" xfId="5711" xr:uid="{00000000-0005-0000-0000-0000BD1A0000}"/>
    <cellStyle name="20% - Accent4 7 3 4 2" xfId="13694" xr:uid="{00000000-0005-0000-0000-0000BE1A0000}"/>
    <cellStyle name="20% - Accent4 7 3 4 2 2" xfId="37537" xr:uid="{FC465506-CA79-4B66-A4F3-A2A914381306}"/>
    <cellStyle name="20% - Accent4 7 3 4 3" xfId="21642" xr:uid="{00000000-0005-0000-0000-0000BF1A0000}"/>
    <cellStyle name="20% - Accent4 7 3 4 3 2" xfId="45474" xr:uid="{FAA5199A-7770-4E0A-BBBA-2E6D9676379F}"/>
    <cellStyle name="20% - Accent4 7 3 4 4" xfId="29596" xr:uid="{C14323AE-D517-4DD1-8870-B806EA2F3BA9}"/>
    <cellStyle name="20% - Accent4 7 3 5" xfId="9263" xr:uid="{00000000-0005-0000-0000-0000C01A0000}"/>
    <cellStyle name="20% - Accent4 7 3 5 2" xfId="17221" xr:uid="{00000000-0005-0000-0000-0000C11A0000}"/>
    <cellStyle name="20% - Accent4 7 3 5 2 2" xfId="41061" xr:uid="{B2F9BCAC-F059-42EB-BDA0-7DCC35F000C9}"/>
    <cellStyle name="20% - Accent4 7 3 5 3" xfId="25165" xr:uid="{00000000-0005-0000-0000-0000C21A0000}"/>
    <cellStyle name="20% - Accent4 7 3 5 3 2" xfId="48997" xr:uid="{B7742D82-FA2C-4BDB-91DA-16BBD27DBE46}"/>
    <cellStyle name="20% - Accent4 7 3 5 4" xfId="33120" xr:uid="{DFE70221-4D97-4FA4-95E9-9E50AB3E6E4A}"/>
    <cellStyle name="20% - Accent4 7 3 6" xfId="10159" xr:uid="{00000000-0005-0000-0000-0000C31A0000}"/>
    <cellStyle name="20% - Accent4 7 3 6 2" xfId="34008" xr:uid="{4A41EF79-5AAE-4793-8B78-E30FADF297E6}"/>
    <cellStyle name="20% - Accent4 7 3 7" xfId="18114" xr:uid="{00000000-0005-0000-0000-0000C41A0000}"/>
    <cellStyle name="20% - Accent4 7 3 7 2" xfId="41946" xr:uid="{D3FF53CF-F7C3-44B4-88CD-7065E0F02800}"/>
    <cellStyle name="20% - Accent4 7 3 8" xfId="26066" xr:uid="{20670803-A1A4-4DC3-8FAA-6A5F84D1CA36}"/>
    <cellStyle name="20% - Accent4 7 3_Exh G" xfId="2405" xr:uid="{00000000-0005-0000-0000-0000C51A0000}"/>
    <cellStyle name="20% - Accent4 7 4" xfId="904" xr:uid="{00000000-0005-0000-0000-0000C61A0000}"/>
    <cellStyle name="20% - Accent4 7 4 2" xfId="1829" xr:uid="{00000000-0005-0000-0000-0000C71A0000}"/>
    <cellStyle name="20% - Accent4 7 4 2 2" xfId="5346" xr:uid="{00000000-0005-0000-0000-0000C81A0000}"/>
    <cellStyle name="20% - Accent4 7 4 2 2 2" xfId="8937" xr:uid="{00000000-0005-0000-0000-0000C91A0000}"/>
    <cellStyle name="20% - Accent4 7 4 2 2 2 2" xfId="16907" xr:uid="{00000000-0005-0000-0000-0000CA1A0000}"/>
    <cellStyle name="20% - Accent4 7 4 2 2 2 2 2" xfId="40749" xr:uid="{4DD27479-CF72-4EE6-8675-F69DB19352B1}"/>
    <cellStyle name="20% - Accent4 7 4 2 2 2 3" xfId="24853" xr:uid="{00000000-0005-0000-0000-0000CB1A0000}"/>
    <cellStyle name="20% - Accent4 7 4 2 2 2 3 2" xfId="48685" xr:uid="{51276587-CE5B-4218-ACE3-09EC83152811}"/>
    <cellStyle name="20% - Accent4 7 4 2 2 2 4" xfId="32808" xr:uid="{2E65EE1C-19F3-481F-A9E0-D8B2547AF427}"/>
    <cellStyle name="20% - Accent4 7 4 2 2 3" xfId="13369" xr:uid="{00000000-0005-0000-0000-0000CC1A0000}"/>
    <cellStyle name="20% - Accent4 7 4 2 2 3 2" xfId="37218" xr:uid="{65538BDD-33DC-438D-86C4-B62620C26632}"/>
    <cellStyle name="20% - Accent4 7 4 2 2 4" xfId="21324" xr:uid="{00000000-0005-0000-0000-0000CD1A0000}"/>
    <cellStyle name="20% - Accent4 7 4 2 2 4 2" xfId="45156" xr:uid="{747AA458-948A-45E7-8359-D80107574487}"/>
    <cellStyle name="20% - Accent4 7 4 2 2 5" xfId="29277" xr:uid="{FE83B10A-07EC-4797-8BF7-A9C7AF2D78AC}"/>
    <cellStyle name="20% - Accent4 7 4 2 3" xfId="7178" xr:uid="{00000000-0005-0000-0000-0000CE1A0000}"/>
    <cellStyle name="20% - Accent4 7 4 2 3 2" xfId="15149" xr:uid="{00000000-0005-0000-0000-0000CF1A0000}"/>
    <cellStyle name="20% - Accent4 7 4 2 3 2 2" xfId="38991" xr:uid="{18040262-25D4-48F0-A199-67033E50BCA6}"/>
    <cellStyle name="20% - Accent4 7 4 2 3 3" xfId="23096" xr:uid="{00000000-0005-0000-0000-0000D01A0000}"/>
    <cellStyle name="20% - Accent4 7 4 2 3 3 2" xfId="46928" xr:uid="{944F96FA-7486-4867-82D4-B280466DFA76}"/>
    <cellStyle name="20% - Accent4 7 4 2 3 4" xfId="31050" xr:uid="{3FB2DBCA-418B-4EBA-95D3-6C99889E5B9C}"/>
    <cellStyle name="20% - Accent4 7 4 2 4" xfId="11613" xr:uid="{00000000-0005-0000-0000-0000D11A0000}"/>
    <cellStyle name="20% - Accent4 7 4 2 4 2" xfId="35462" xr:uid="{6BE95718-EE9C-4B5C-9AC9-5707E231EC9C}"/>
    <cellStyle name="20% - Accent4 7 4 2 5" xfId="19568" xr:uid="{00000000-0005-0000-0000-0000D21A0000}"/>
    <cellStyle name="20% - Accent4 7 4 2 5 2" xfId="43400" xr:uid="{6C5B1238-5EF5-4324-A388-7F9DE68D33A5}"/>
    <cellStyle name="20% - Accent4 7 4 2 6" xfId="27520" xr:uid="{4D758A88-ACC8-4252-8EA7-A3C7CD68A99B}"/>
    <cellStyle name="20% - Accent4 7 4 2_Exh G" xfId="2408" xr:uid="{00000000-0005-0000-0000-0000D31A0000}"/>
    <cellStyle name="20% - Accent4 7 4 3" xfId="4467" xr:uid="{00000000-0005-0000-0000-0000D41A0000}"/>
    <cellStyle name="20% - Accent4 7 4 3 2" xfId="8059" xr:uid="{00000000-0005-0000-0000-0000D51A0000}"/>
    <cellStyle name="20% - Accent4 7 4 3 2 2" xfId="16029" xr:uid="{00000000-0005-0000-0000-0000D61A0000}"/>
    <cellStyle name="20% - Accent4 7 4 3 2 2 2" xfId="39871" xr:uid="{1D6BD881-821B-43FB-B401-4DDD5A24827F}"/>
    <cellStyle name="20% - Accent4 7 4 3 2 3" xfId="23975" xr:uid="{00000000-0005-0000-0000-0000D71A0000}"/>
    <cellStyle name="20% - Accent4 7 4 3 2 3 2" xfId="47807" xr:uid="{3F90B127-2E76-48B3-B90F-05152A3B3983}"/>
    <cellStyle name="20% - Accent4 7 4 3 2 4" xfId="31930" xr:uid="{D3DD9936-6B5E-4247-8585-D333BA2593F2}"/>
    <cellStyle name="20% - Accent4 7 4 3 3" xfId="12491" xr:uid="{00000000-0005-0000-0000-0000D81A0000}"/>
    <cellStyle name="20% - Accent4 7 4 3 3 2" xfId="36340" xr:uid="{C9F76D6D-9E47-4164-A205-3A583BBDC754}"/>
    <cellStyle name="20% - Accent4 7 4 3 4" xfId="20446" xr:uid="{00000000-0005-0000-0000-0000D91A0000}"/>
    <cellStyle name="20% - Accent4 7 4 3 4 2" xfId="44278" xr:uid="{8A69A285-EE5A-4F64-8A41-0C6E025538E0}"/>
    <cellStyle name="20% - Accent4 7 4 3 5" xfId="28399" xr:uid="{37582F85-D9D0-4AE1-9C12-A6384EAE150F}"/>
    <cellStyle name="20% - Accent4 7 4 4" xfId="6297" xr:uid="{00000000-0005-0000-0000-0000DA1A0000}"/>
    <cellStyle name="20% - Accent4 7 4 4 2" xfId="14271" xr:uid="{00000000-0005-0000-0000-0000DB1A0000}"/>
    <cellStyle name="20% - Accent4 7 4 4 2 2" xfId="38113" xr:uid="{48985B25-FFDF-43CD-AF05-E90E30F52FAB}"/>
    <cellStyle name="20% - Accent4 7 4 4 3" xfId="22218" xr:uid="{00000000-0005-0000-0000-0000DC1A0000}"/>
    <cellStyle name="20% - Accent4 7 4 4 3 2" xfId="46050" xr:uid="{29810AAC-C0C5-42CE-BFC1-8587E461BC18}"/>
    <cellStyle name="20% - Accent4 7 4 4 4" xfId="30172" xr:uid="{64D7487B-960D-425B-AE9E-93D711B16942}"/>
    <cellStyle name="20% - Accent4 7 4 5" xfId="9839" xr:uid="{00000000-0005-0000-0000-0000DD1A0000}"/>
    <cellStyle name="20% - Accent4 7 4 5 2" xfId="17797" xr:uid="{00000000-0005-0000-0000-0000DE1A0000}"/>
    <cellStyle name="20% - Accent4 7 4 5 2 2" xfId="41637" xr:uid="{F1D99AD4-E6F0-413A-A589-713988386820}"/>
    <cellStyle name="20% - Accent4 7 4 5 3" xfId="25741" xr:uid="{00000000-0005-0000-0000-0000DF1A0000}"/>
    <cellStyle name="20% - Accent4 7 4 5 3 2" xfId="49573" xr:uid="{D5B34698-7923-48AB-BBC7-4A8378DC3280}"/>
    <cellStyle name="20% - Accent4 7 4 5 4" xfId="33696" xr:uid="{6E688504-C3AA-41C8-8EA0-9C7EFD7E2FE0}"/>
    <cellStyle name="20% - Accent4 7 4 6" xfId="10735" xr:uid="{00000000-0005-0000-0000-0000E01A0000}"/>
    <cellStyle name="20% - Accent4 7 4 6 2" xfId="34584" xr:uid="{71E4C788-C48F-46EF-AA2D-C43E84BAA70C}"/>
    <cellStyle name="20% - Accent4 7 4 7" xfId="18690" xr:uid="{00000000-0005-0000-0000-0000E11A0000}"/>
    <cellStyle name="20% - Accent4 7 4 7 2" xfId="42522" xr:uid="{7957BA38-CAD7-4756-ADB7-CE1BFA0B38C5}"/>
    <cellStyle name="20% - Accent4 7 4 8" xfId="26642" xr:uid="{33610684-6B20-4657-88D6-CAC263E0B51B}"/>
    <cellStyle name="20% - Accent4 7 4_Exh G" xfId="2407" xr:uid="{00000000-0005-0000-0000-0000E21A0000}"/>
    <cellStyle name="20% - Accent4 7 5" xfId="1240" xr:uid="{00000000-0005-0000-0000-0000E31A0000}"/>
    <cellStyle name="20% - Accent4 7 5 2" xfId="4767" xr:uid="{00000000-0005-0000-0000-0000E41A0000}"/>
    <cellStyle name="20% - Accent4 7 5 2 2" xfId="8358" xr:uid="{00000000-0005-0000-0000-0000E51A0000}"/>
    <cellStyle name="20% - Accent4 7 5 2 2 2" xfId="16328" xr:uid="{00000000-0005-0000-0000-0000E61A0000}"/>
    <cellStyle name="20% - Accent4 7 5 2 2 2 2" xfId="40170" xr:uid="{8CC9D023-0528-41DD-988D-21D2CD7FAFA0}"/>
    <cellStyle name="20% - Accent4 7 5 2 2 3" xfId="24274" xr:uid="{00000000-0005-0000-0000-0000E71A0000}"/>
    <cellStyle name="20% - Accent4 7 5 2 2 3 2" xfId="48106" xr:uid="{587420FA-0208-4A42-BB13-5B3473B3C346}"/>
    <cellStyle name="20% - Accent4 7 5 2 2 4" xfId="32229" xr:uid="{724AE73B-8DAE-447D-A514-60A703D042A1}"/>
    <cellStyle name="20% - Accent4 7 5 2 3" xfId="12790" xr:uid="{00000000-0005-0000-0000-0000E81A0000}"/>
    <cellStyle name="20% - Accent4 7 5 2 3 2" xfId="36639" xr:uid="{8672D9C4-815A-4CD1-90FB-25F14733DFD3}"/>
    <cellStyle name="20% - Accent4 7 5 2 4" xfId="20745" xr:uid="{00000000-0005-0000-0000-0000E91A0000}"/>
    <cellStyle name="20% - Accent4 7 5 2 4 2" xfId="44577" xr:uid="{87AF7727-7BEF-414A-9A4F-0462047FA61F}"/>
    <cellStyle name="20% - Accent4 7 5 2 5" xfId="28698" xr:uid="{7F578046-CF05-440E-BEB7-4BE8E60919EA}"/>
    <cellStyle name="20% - Accent4 7 5 3" xfId="6599" xr:uid="{00000000-0005-0000-0000-0000EA1A0000}"/>
    <cellStyle name="20% - Accent4 7 5 3 2" xfId="14570" xr:uid="{00000000-0005-0000-0000-0000EB1A0000}"/>
    <cellStyle name="20% - Accent4 7 5 3 2 2" xfId="38412" xr:uid="{74D8AA53-DDE0-401B-9E6F-7CFCC3A37834}"/>
    <cellStyle name="20% - Accent4 7 5 3 3" xfId="22517" xr:uid="{00000000-0005-0000-0000-0000EC1A0000}"/>
    <cellStyle name="20% - Accent4 7 5 3 3 2" xfId="46349" xr:uid="{BF439B5E-5D9A-41B5-B46E-355776EF766D}"/>
    <cellStyle name="20% - Accent4 7 5 3 4" xfId="30471" xr:uid="{CAC672D1-B179-4E6B-83CE-E33AEE97D760}"/>
    <cellStyle name="20% - Accent4 7 5 4" xfId="11034" xr:uid="{00000000-0005-0000-0000-0000ED1A0000}"/>
    <cellStyle name="20% - Accent4 7 5 4 2" xfId="34883" xr:uid="{FCB47929-AAC6-4AD9-ACF5-4FE999061B5E}"/>
    <cellStyle name="20% - Accent4 7 5 5" xfId="18989" xr:uid="{00000000-0005-0000-0000-0000EE1A0000}"/>
    <cellStyle name="20% - Accent4 7 5 5 2" xfId="42821" xr:uid="{716882E5-42F0-4E9D-AEC6-5FD07C168904}"/>
    <cellStyle name="20% - Accent4 7 5 6" xfId="26941" xr:uid="{171A4780-581B-47F1-B391-C2B4BAD60245}"/>
    <cellStyle name="20% - Accent4 7 5_Exh G" xfId="2409" xr:uid="{00000000-0005-0000-0000-0000EF1A0000}"/>
    <cellStyle name="20% - Accent4 7 6" xfId="3888" xr:uid="{00000000-0005-0000-0000-0000F01A0000}"/>
    <cellStyle name="20% - Accent4 7 6 2" xfId="7480" xr:uid="{00000000-0005-0000-0000-0000F11A0000}"/>
    <cellStyle name="20% - Accent4 7 6 2 2" xfId="15450" xr:uid="{00000000-0005-0000-0000-0000F21A0000}"/>
    <cellStyle name="20% - Accent4 7 6 2 2 2" xfId="39292" xr:uid="{DC001199-E54D-44C7-86DF-C8C1164D3509}"/>
    <cellStyle name="20% - Accent4 7 6 2 3" xfId="23396" xr:uid="{00000000-0005-0000-0000-0000F31A0000}"/>
    <cellStyle name="20% - Accent4 7 6 2 3 2" xfId="47228" xr:uid="{8C7AA6FD-A4CD-4886-80A7-A0F4F37BFE9E}"/>
    <cellStyle name="20% - Accent4 7 6 2 4" xfId="31351" xr:uid="{6D4A80CC-EC80-4813-88D3-0310C6A705AC}"/>
    <cellStyle name="20% - Accent4 7 6 3" xfId="11912" xr:uid="{00000000-0005-0000-0000-0000F41A0000}"/>
    <cellStyle name="20% - Accent4 7 6 3 2" xfId="35761" xr:uid="{3896EB58-A41A-40D6-8F99-4B7C67EA641E}"/>
    <cellStyle name="20% - Accent4 7 6 4" xfId="19867" xr:uid="{00000000-0005-0000-0000-0000F51A0000}"/>
    <cellStyle name="20% - Accent4 7 6 4 2" xfId="43699" xr:uid="{F9734F1A-C90C-44D7-BD4A-9C95665A8DE3}"/>
    <cellStyle name="20% - Accent4 7 6 5" xfId="27820" xr:uid="{8E75D2DF-3C44-43B9-A0EF-2F2DA9EECBD2}"/>
    <cellStyle name="20% - Accent4 7 7" xfId="5708" xr:uid="{00000000-0005-0000-0000-0000F61A0000}"/>
    <cellStyle name="20% - Accent4 7 7 2" xfId="13691" xr:uid="{00000000-0005-0000-0000-0000F71A0000}"/>
    <cellStyle name="20% - Accent4 7 7 2 2" xfId="37534" xr:uid="{00A12EF8-3D1E-40D7-92F4-D179ECCF18B6}"/>
    <cellStyle name="20% - Accent4 7 7 3" xfId="21639" xr:uid="{00000000-0005-0000-0000-0000F81A0000}"/>
    <cellStyle name="20% - Accent4 7 7 3 2" xfId="45471" xr:uid="{114560D0-33B2-4789-90FE-2518A3E5732F}"/>
    <cellStyle name="20% - Accent4 7 7 4" xfId="29593" xr:uid="{736C3B16-1359-49D0-ADE5-C3D596893C7D}"/>
    <cellStyle name="20% - Accent4 7 8" xfId="9260" xr:uid="{00000000-0005-0000-0000-0000F91A0000}"/>
    <cellStyle name="20% - Accent4 7 8 2" xfId="17218" xr:uid="{00000000-0005-0000-0000-0000FA1A0000}"/>
    <cellStyle name="20% - Accent4 7 8 2 2" xfId="41058" xr:uid="{5DBA1B12-848E-45C5-9165-EA95DC321FA5}"/>
    <cellStyle name="20% - Accent4 7 8 3" xfId="25162" xr:uid="{00000000-0005-0000-0000-0000FB1A0000}"/>
    <cellStyle name="20% - Accent4 7 8 3 2" xfId="48994" xr:uid="{8EDB5523-DE31-4EAD-8F90-B8FBCC082119}"/>
    <cellStyle name="20% - Accent4 7 8 4" xfId="33117" xr:uid="{CA6386E6-F799-414D-BD99-E366690BEEBF}"/>
    <cellStyle name="20% - Accent4 7 9" xfId="10156" xr:uid="{00000000-0005-0000-0000-0000FC1A0000}"/>
    <cellStyle name="20% - Accent4 7 9 2" xfId="34005" xr:uid="{EE7072B5-5994-40B5-9595-24F4EBAD060F}"/>
    <cellStyle name="20% - Accent4 7_Exh G" xfId="2400" xr:uid="{00000000-0005-0000-0000-0000FD1A0000}"/>
    <cellStyle name="20% - Accent4 8" xfId="218" xr:uid="{00000000-0005-0000-0000-0000FE1A0000}"/>
    <cellStyle name="20% - Accent4 8 10" xfId="18115" xr:uid="{00000000-0005-0000-0000-0000FF1A0000}"/>
    <cellStyle name="20% - Accent4 8 10 2" xfId="41947" xr:uid="{BB39354A-2F99-48E0-AC92-BD468AD9A0E9}"/>
    <cellStyle name="20% - Accent4 8 11" xfId="26067" xr:uid="{9D067B38-5BD4-4791-9113-97ADB9AD0984}"/>
    <cellStyle name="20% - Accent4 8 2" xfId="219" xr:uid="{00000000-0005-0000-0000-0000001B0000}"/>
    <cellStyle name="20% - Accent4 8 2 2" xfId="220" xr:uid="{00000000-0005-0000-0000-0000011B0000}"/>
    <cellStyle name="20% - Accent4 8 2 2 2" xfId="1246" xr:uid="{00000000-0005-0000-0000-0000021B0000}"/>
    <cellStyle name="20% - Accent4 8 2 2 2 2" xfId="4773" xr:uid="{00000000-0005-0000-0000-0000031B0000}"/>
    <cellStyle name="20% - Accent4 8 2 2 2 2 2" xfId="8364" xr:uid="{00000000-0005-0000-0000-0000041B0000}"/>
    <cellStyle name="20% - Accent4 8 2 2 2 2 2 2" xfId="16334" xr:uid="{00000000-0005-0000-0000-0000051B0000}"/>
    <cellStyle name="20% - Accent4 8 2 2 2 2 2 2 2" xfId="40176" xr:uid="{78E30755-E03E-43CD-B521-5EE1964F4BBD}"/>
    <cellStyle name="20% - Accent4 8 2 2 2 2 2 3" xfId="24280" xr:uid="{00000000-0005-0000-0000-0000061B0000}"/>
    <cellStyle name="20% - Accent4 8 2 2 2 2 2 3 2" xfId="48112" xr:uid="{B6D70DD4-8601-4A93-A348-D629948987D1}"/>
    <cellStyle name="20% - Accent4 8 2 2 2 2 2 4" xfId="32235" xr:uid="{4D1E7035-B7BA-423E-A34B-736204565B7C}"/>
    <cellStyle name="20% - Accent4 8 2 2 2 2 3" xfId="12796" xr:uid="{00000000-0005-0000-0000-0000071B0000}"/>
    <cellStyle name="20% - Accent4 8 2 2 2 2 3 2" xfId="36645" xr:uid="{5D4E957E-11B2-4D50-8A41-C48CD6C89417}"/>
    <cellStyle name="20% - Accent4 8 2 2 2 2 4" xfId="20751" xr:uid="{00000000-0005-0000-0000-0000081B0000}"/>
    <cellStyle name="20% - Accent4 8 2 2 2 2 4 2" xfId="44583" xr:uid="{05B743A9-DAF5-4C77-AEA1-75A17AC0BC41}"/>
    <cellStyle name="20% - Accent4 8 2 2 2 2 5" xfId="28704" xr:uid="{5121AD4F-7ED4-4EE9-A5AF-E8CB774175CA}"/>
    <cellStyle name="20% - Accent4 8 2 2 2 3" xfId="6605" xr:uid="{00000000-0005-0000-0000-0000091B0000}"/>
    <cellStyle name="20% - Accent4 8 2 2 2 3 2" xfId="14576" xr:uid="{00000000-0005-0000-0000-00000A1B0000}"/>
    <cellStyle name="20% - Accent4 8 2 2 2 3 2 2" xfId="38418" xr:uid="{096F46E4-7B31-409A-909B-3D927F0D4C8C}"/>
    <cellStyle name="20% - Accent4 8 2 2 2 3 3" xfId="22523" xr:uid="{00000000-0005-0000-0000-00000B1B0000}"/>
    <cellStyle name="20% - Accent4 8 2 2 2 3 3 2" xfId="46355" xr:uid="{C00FAC44-32F0-4BB7-B104-65B8C32F4CAF}"/>
    <cellStyle name="20% - Accent4 8 2 2 2 3 4" xfId="30477" xr:uid="{6CCDE9F1-F5F8-48E7-98CE-05E9DF8F8DEB}"/>
    <cellStyle name="20% - Accent4 8 2 2 2 4" xfId="11040" xr:uid="{00000000-0005-0000-0000-00000C1B0000}"/>
    <cellStyle name="20% - Accent4 8 2 2 2 4 2" xfId="34889" xr:uid="{7C432B5D-53BB-4273-9AF3-D0E6ACEF388F}"/>
    <cellStyle name="20% - Accent4 8 2 2 2 5" xfId="18995" xr:uid="{00000000-0005-0000-0000-00000D1B0000}"/>
    <cellStyle name="20% - Accent4 8 2 2 2 5 2" xfId="42827" xr:uid="{7CA8DE2F-59B9-47E0-8220-33F19607468F}"/>
    <cellStyle name="20% - Accent4 8 2 2 2 6" xfId="26947" xr:uid="{48643456-59B4-415F-A238-65B0B389F14E}"/>
    <cellStyle name="20% - Accent4 8 2 2 2_Exh G" xfId="2413" xr:uid="{00000000-0005-0000-0000-00000E1B0000}"/>
    <cellStyle name="20% - Accent4 8 2 2 3" xfId="3894" xr:uid="{00000000-0005-0000-0000-00000F1B0000}"/>
    <cellStyle name="20% - Accent4 8 2 2 3 2" xfId="7486" xr:uid="{00000000-0005-0000-0000-0000101B0000}"/>
    <cellStyle name="20% - Accent4 8 2 2 3 2 2" xfId="15456" xr:uid="{00000000-0005-0000-0000-0000111B0000}"/>
    <cellStyle name="20% - Accent4 8 2 2 3 2 2 2" xfId="39298" xr:uid="{98ADA9DB-3988-40A3-A0C8-4885FE035C24}"/>
    <cellStyle name="20% - Accent4 8 2 2 3 2 3" xfId="23402" xr:uid="{00000000-0005-0000-0000-0000121B0000}"/>
    <cellStyle name="20% - Accent4 8 2 2 3 2 3 2" xfId="47234" xr:uid="{A7F0AB66-5C02-4F3A-B8DD-977B7E95B6BD}"/>
    <cellStyle name="20% - Accent4 8 2 2 3 2 4" xfId="31357" xr:uid="{5E590DB7-DE9D-466A-A997-C466CB5C6594}"/>
    <cellStyle name="20% - Accent4 8 2 2 3 3" xfId="11918" xr:uid="{00000000-0005-0000-0000-0000131B0000}"/>
    <cellStyle name="20% - Accent4 8 2 2 3 3 2" xfId="35767" xr:uid="{43B16251-A58B-40F1-85D0-41DDF150D63D}"/>
    <cellStyle name="20% - Accent4 8 2 2 3 4" xfId="19873" xr:uid="{00000000-0005-0000-0000-0000141B0000}"/>
    <cellStyle name="20% - Accent4 8 2 2 3 4 2" xfId="43705" xr:uid="{4332D988-421B-47D5-9FFD-B53947DE2A24}"/>
    <cellStyle name="20% - Accent4 8 2 2 3 5" xfId="27826" xr:uid="{6A12E75B-117F-401D-A7DF-F5F9A4B56443}"/>
    <cellStyle name="20% - Accent4 8 2 2 4" xfId="5714" xr:uid="{00000000-0005-0000-0000-0000151B0000}"/>
    <cellStyle name="20% - Accent4 8 2 2 4 2" xfId="13697" xr:uid="{00000000-0005-0000-0000-0000161B0000}"/>
    <cellStyle name="20% - Accent4 8 2 2 4 2 2" xfId="37540" xr:uid="{76869E9D-A4C1-446D-BF18-4F04691C1CF9}"/>
    <cellStyle name="20% - Accent4 8 2 2 4 3" xfId="21645" xr:uid="{00000000-0005-0000-0000-0000171B0000}"/>
    <cellStyle name="20% - Accent4 8 2 2 4 3 2" xfId="45477" xr:uid="{C7FF03FA-3C21-4259-AF9C-6A378DC22338}"/>
    <cellStyle name="20% - Accent4 8 2 2 4 4" xfId="29599" xr:uid="{D0B15529-0EE8-4C46-94ED-0C702C2CDE77}"/>
    <cellStyle name="20% - Accent4 8 2 2 5" xfId="9266" xr:uid="{00000000-0005-0000-0000-0000181B0000}"/>
    <cellStyle name="20% - Accent4 8 2 2 5 2" xfId="17224" xr:uid="{00000000-0005-0000-0000-0000191B0000}"/>
    <cellStyle name="20% - Accent4 8 2 2 5 2 2" xfId="41064" xr:uid="{3929F473-4960-4FC8-B3D2-F56E9AE69185}"/>
    <cellStyle name="20% - Accent4 8 2 2 5 3" xfId="25168" xr:uid="{00000000-0005-0000-0000-00001A1B0000}"/>
    <cellStyle name="20% - Accent4 8 2 2 5 3 2" xfId="49000" xr:uid="{03A708EC-BCF5-4B28-8986-21E681D9F452}"/>
    <cellStyle name="20% - Accent4 8 2 2 5 4" xfId="33123" xr:uid="{A94AC99A-D3F9-436F-9EBA-19232E350B70}"/>
    <cellStyle name="20% - Accent4 8 2 2 6" xfId="10162" xr:uid="{00000000-0005-0000-0000-00001B1B0000}"/>
    <cellStyle name="20% - Accent4 8 2 2 6 2" xfId="34011" xr:uid="{53D0CE1B-31AA-494F-97FF-6A23278A9648}"/>
    <cellStyle name="20% - Accent4 8 2 2 7" xfId="18117" xr:uid="{00000000-0005-0000-0000-00001C1B0000}"/>
    <cellStyle name="20% - Accent4 8 2 2 7 2" xfId="41949" xr:uid="{23B747C8-D14A-45FA-ADC7-85D6B80FD90F}"/>
    <cellStyle name="20% - Accent4 8 2 2 8" xfId="26069" xr:uid="{2AA24308-938C-4B82-BA29-3FEEBF3193E1}"/>
    <cellStyle name="20% - Accent4 8 2 2_Exh G" xfId="2412" xr:uid="{00000000-0005-0000-0000-00001D1B0000}"/>
    <cellStyle name="20% - Accent4 8 2 3" xfId="1245" xr:uid="{00000000-0005-0000-0000-00001E1B0000}"/>
    <cellStyle name="20% - Accent4 8 2 3 2" xfId="4772" xr:uid="{00000000-0005-0000-0000-00001F1B0000}"/>
    <cellStyle name="20% - Accent4 8 2 3 2 2" xfId="8363" xr:uid="{00000000-0005-0000-0000-0000201B0000}"/>
    <cellStyle name="20% - Accent4 8 2 3 2 2 2" xfId="16333" xr:uid="{00000000-0005-0000-0000-0000211B0000}"/>
    <cellStyle name="20% - Accent4 8 2 3 2 2 2 2" xfId="40175" xr:uid="{E2C57838-0C44-461E-99AE-52B86FEFE7FB}"/>
    <cellStyle name="20% - Accent4 8 2 3 2 2 3" xfId="24279" xr:uid="{00000000-0005-0000-0000-0000221B0000}"/>
    <cellStyle name="20% - Accent4 8 2 3 2 2 3 2" xfId="48111" xr:uid="{CFA20F41-6D28-4C94-B4D8-D15BFC35230B}"/>
    <cellStyle name="20% - Accent4 8 2 3 2 2 4" xfId="32234" xr:uid="{9F7276C4-DCE4-411A-A36D-9846413EF2D5}"/>
    <cellStyle name="20% - Accent4 8 2 3 2 3" xfId="12795" xr:uid="{00000000-0005-0000-0000-0000231B0000}"/>
    <cellStyle name="20% - Accent4 8 2 3 2 3 2" xfId="36644" xr:uid="{5D244F2E-850D-4DF1-A25D-E1537484242C}"/>
    <cellStyle name="20% - Accent4 8 2 3 2 4" xfId="20750" xr:uid="{00000000-0005-0000-0000-0000241B0000}"/>
    <cellStyle name="20% - Accent4 8 2 3 2 4 2" xfId="44582" xr:uid="{04516790-D497-4165-A7E5-0A50A2764DBB}"/>
    <cellStyle name="20% - Accent4 8 2 3 2 5" xfId="28703" xr:uid="{1145832E-2963-432A-AE6C-EE2BC178314A}"/>
    <cellStyle name="20% - Accent4 8 2 3 3" xfId="6604" xr:uid="{00000000-0005-0000-0000-0000251B0000}"/>
    <cellStyle name="20% - Accent4 8 2 3 3 2" xfId="14575" xr:uid="{00000000-0005-0000-0000-0000261B0000}"/>
    <cellStyle name="20% - Accent4 8 2 3 3 2 2" xfId="38417" xr:uid="{660BDE30-D3BA-4458-803E-7ACD17FB35B7}"/>
    <cellStyle name="20% - Accent4 8 2 3 3 3" xfId="22522" xr:uid="{00000000-0005-0000-0000-0000271B0000}"/>
    <cellStyle name="20% - Accent4 8 2 3 3 3 2" xfId="46354" xr:uid="{9D7FC43E-6669-455C-9935-0ED474D8D9F0}"/>
    <cellStyle name="20% - Accent4 8 2 3 3 4" xfId="30476" xr:uid="{C11CA7BC-34BD-429B-8249-7A9210AE9820}"/>
    <cellStyle name="20% - Accent4 8 2 3 4" xfId="11039" xr:uid="{00000000-0005-0000-0000-0000281B0000}"/>
    <cellStyle name="20% - Accent4 8 2 3 4 2" xfId="34888" xr:uid="{70DCEFF2-6652-423A-91FC-FC82F3ACF21F}"/>
    <cellStyle name="20% - Accent4 8 2 3 5" xfId="18994" xr:uid="{00000000-0005-0000-0000-0000291B0000}"/>
    <cellStyle name="20% - Accent4 8 2 3 5 2" xfId="42826" xr:uid="{A674C493-20BE-47CC-9DD6-13ACEFD4588F}"/>
    <cellStyle name="20% - Accent4 8 2 3 6" xfId="26946" xr:uid="{38A0FD29-F45E-46A8-B87C-031F6A567E5F}"/>
    <cellStyle name="20% - Accent4 8 2 3_Exh G" xfId="2414" xr:uid="{00000000-0005-0000-0000-00002A1B0000}"/>
    <cellStyle name="20% - Accent4 8 2 4" xfId="3893" xr:uid="{00000000-0005-0000-0000-00002B1B0000}"/>
    <cellStyle name="20% - Accent4 8 2 4 2" xfId="7485" xr:uid="{00000000-0005-0000-0000-00002C1B0000}"/>
    <cellStyle name="20% - Accent4 8 2 4 2 2" xfId="15455" xr:uid="{00000000-0005-0000-0000-00002D1B0000}"/>
    <cellStyle name="20% - Accent4 8 2 4 2 2 2" xfId="39297" xr:uid="{DB0F7102-02DC-41DF-A7D7-F1C729EBCCA6}"/>
    <cellStyle name="20% - Accent4 8 2 4 2 3" xfId="23401" xr:uid="{00000000-0005-0000-0000-00002E1B0000}"/>
    <cellStyle name="20% - Accent4 8 2 4 2 3 2" xfId="47233" xr:uid="{4246146A-CCCF-4AF7-8524-7DED9DD5BA6D}"/>
    <cellStyle name="20% - Accent4 8 2 4 2 4" xfId="31356" xr:uid="{F426F636-DB73-42AD-8554-65DE25AC0235}"/>
    <cellStyle name="20% - Accent4 8 2 4 3" xfId="11917" xr:uid="{00000000-0005-0000-0000-00002F1B0000}"/>
    <cellStyle name="20% - Accent4 8 2 4 3 2" xfId="35766" xr:uid="{512F39B5-9F1E-4B5C-B6F8-E2B99853E541}"/>
    <cellStyle name="20% - Accent4 8 2 4 4" xfId="19872" xr:uid="{00000000-0005-0000-0000-0000301B0000}"/>
    <cellStyle name="20% - Accent4 8 2 4 4 2" xfId="43704" xr:uid="{5A8AE9C3-F54C-49CE-9E83-FB4CE82C3B98}"/>
    <cellStyle name="20% - Accent4 8 2 4 5" xfId="27825" xr:uid="{671A2619-5C0A-4AD7-A781-B0C052C337D8}"/>
    <cellStyle name="20% - Accent4 8 2 5" xfId="5713" xr:uid="{00000000-0005-0000-0000-0000311B0000}"/>
    <cellStyle name="20% - Accent4 8 2 5 2" xfId="13696" xr:uid="{00000000-0005-0000-0000-0000321B0000}"/>
    <cellStyle name="20% - Accent4 8 2 5 2 2" xfId="37539" xr:uid="{1D8C1181-23D0-402C-ABE4-06AFF4386D17}"/>
    <cellStyle name="20% - Accent4 8 2 5 3" xfId="21644" xr:uid="{00000000-0005-0000-0000-0000331B0000}"/>
    <cellStyle name="20% - Accent4 8 2 5 3 2" xfId="45476" xr:uid="{B8A2FCC9-206D-4914-A0F1-76756706056A}"/>
    <cellStyle name="20% - Accent4 8 2 5 4" xfId="29598" xr:uid="{2C7347FB-5397-44E0-B6E0-0E2B668D2E1E}"/>
    <cellStyle name="20% - Accent4 8 2 6" xfId="9265" xr:uid="{00000000-0005-0000-0000-0000341B0000}"/>
    <cellStyle name="20% - Accent4 8 2 6 2" xfId="17223" xr:uid="{00000000-0005-0000-0000-0000351B0000}"/>
    <cellStyle name="20% - Accent4 8 2 6 2 2" xfId="41063" xr:uid="{C23FB914-2CE4-4E83-B2B9-57ECED4E67DD}"/>
    <cellStyle name="20% - Accent4 8 2 6 3" xfId="25167" xr:uid="{00000000-0005-0000-0000-0000361B0000}"/>
    <cellStyle name="20% - Accent4 8 2 6 3 2" xfId="48999" xr:uid="{954DD775-D1A7-49D4-8996-D0EBB445CE6D}"/>
    <cellStyle name="20% - Accent4 8 2 6 4" xfId="33122" xr:uid="{95EC0BD8-2666-4953-8159-FC7DC84C4932}"/>
    <cellStyle name="20% - Accent4 8 2 7" xfId="10161" xr:uid="{00000000-0005-0000-0000-0000371B0000}"/>
    <cellStyle name="20% - Accent4 8 2 7 2" xfId="34010" xr:uid="{777D102B-6E30-4480-B159-A400F3B22A21}"/>
    <cellStyle name="20% - Accent4 8 2 8" xfId="18116" xr:uid="{00000000-0005-0000-0000-0000381B0000}"/>
    <cellStyle name="20% - Accent4 8 2 8 2" xfId="41948" xr:uid="{CFEBB8EA-5259-4071-90D9-9877C9E85E92}"/>
    <cellStyle name="20% - Accent4 8 2 9" xfId="26068" xr:uid="{40AE9769-E8DC-493C-9141-1B4DCE3390C1}"/>
    <cellStyle name="20% - Accent4 8 2_Exh G" xfId="2411" xr:uid="{00000000-0005-0000-0000-0000391B0000}"/>
    <cellStyle name="20% - Accent4 8 3" xfId="221" xr:uid="{00000000-0005-0000-0000-00003A1B0000}"/>
    <cellStyle name="20% - Accent4 8 3 2" xfId="1247" xr:uid="{00000000-0005-0000-0000-00003B1B0000}"/>
    <cellStyle name="20% - Accent4 8 3 2 2" xfId="4774" xr:uid="{00000000-0005-0000-0000-00003C1B0000}"/>
    <cellStyle name="20% - Accent4 8 3 2 2 2" xfId="8365" xr:uid="{00000000-0005-0000-0000-00003D1B0000}"/>
    <cellStyle name="20% - Accent4 8 3 2 2 2 2" xfId="16335" xr:uid="{00000000-0005-0000-0000-00003E1B0000}"/>
    <cellStyle name="20% - Accent4 8 3 2 2 2 2 2" xfId="40177" xr:uid="{9F4D76EB-02B6-4949-87FB-B00257211A26}"/>
    <cellStyle name="20% - Accent4 8 3 2 2 2 3" xfId="24281" xr:uid="{00000000-0005-0000-0000-00003F1B0000}"/>
    <cellStyle name="20% - Accent4 8 3 2 2 2 3 2" xfId="48113" xr:uid="{B817249A-7172-45F5-BEB8-3AD65B5DEA89}"/>
    <cellStyle name="20% - Accent4 8 3 2 2 2 4" xfId="32236" xr:uid="{DF5F68B9-904F-429C-8F99-1AF828EF6517}"/>
    <cellStyle name="20% - Accent4 8 3 2 2 3" xfId="12797" xr:uid="{00000000-0005-0000-0000-0000401B0000}"/>
    <cellStyle name="20% - Accent4 8 3 2 2 3 2" xfId="36646" xr:uid="{FF9808A0-5D23-4020-99F1-3115937B8994}"/>
    <cellStyle name="20% - Accent4 8 3 2 2 4" xfId="20752" xr:uid="{00000000-0005-0000-0000-0000411B0000}"/>
    <cellStyle name="20% - Accent4 8 3 2 2 4 2" xfId="44584" xr:uid="{1669437B-67D9-4DB5-BEC2-EE00E9A5759B}"/>
    <cellStyle name="20% - Accent4 8 3 2 2 5" xfId="28705" xr:uid="{0A9F6091-52CD-459C-A519-947C77906ACD}"/>
    <cellStyle name="20% - Accent4 8 3 2 3" xfId="6606" xr:uid="{00000000-0005-0000-0000-0000421B0000}"/>
    <cellStyle name="20% - Accent4 8 3 2 3 2" xfId="14577" xr:uid="{00000000-0005-0000-0000-0000431B0000}"/>
    <cellStyle name="20% - Accent4 8 3 2 3 2 2" xfId="38419" xr:uid="{9AC999D2-703C-454C-B82D-58DAABFAE5B0}"/>
    <cellStyle name="20% - Accent4 8 3 2 3 3" xfId="22524" xr:uid="{00000000-0005-0000-0000-0000441B0000}"/>
    <cellStyle name="20% - Accent4 8 3 2 3 3 2" xfId="46356" xr:uid="{BCF17C27-D25E-4A38-87E9-D8C0C7D7CCA2}"/>
    <cellStyle name="20% - Accent4 8 3 2 3 4" xfId="30478" xr:uid="{872E17F6-56FD-4AA4-8A1A-F56A8A66DF52}"/>
    <cellStyle name="20% - Accent4 8 3 2 4" xfId="11041" xr:uid="{00000000-0005-0000-0000-0000451B0000}"/>
    <cellStyle name="20% - Accent4 8 3 2 4 2" xfId="34890" xr:uid="{AF674572-5C32-45F3-B4CE-F48A091EED1F}"/>
    <cellStyle name="20% - Accent4 8 3 2 5" xfId="18996" xr:uid="{00000000-0005-0000-0000-0000461B0000}"/>
    <cellStyle name="20% - Accent4 8 3 2 5 2" xfId="42828" xr:uid="{F587B167-0510-480B-A31D-E9EDD67059F7}"/>
    <cellStyle name="20% - Accent4 8 3 2 6" xfId="26948" xr:uid="{77391935-9C90-42D1-8BB1-3F06360A8DF4}"/>
    <cellStyle name="20% - Accent4 8 3 2_Exh G" xfId="2416" xr:uid="{00000000-0005-0000-0000-0000471B0000}"/>
    <cellStyle name="20% - Accent4 8 3 3" xfId="3895" xr:uid="{00000000-0005-0000-0000-0000481B0000}"/>
    <cellStyle name="20% - Accent4 8 3 3 2" xfId="7487" xr:uid="{00000000-0005-0000-0000-0000491B0000}"/>
    <cellStyle name="20% - Accent4 8 3 3 2 2" xfId="15457" xr:uid="{00000000-0005-0000-0000-00004A1B0000}"/>
    <cellStyle name="20% - Accent4 8 3 3 2 2 2" xfId="39299" xr:uid="{6064D393-C458-4A65-84BF-063A87BDD891}"/>
    <cellStyle name="20% - Accent4 8 3 3 2 3" xfId="23403" xr:uid="{00000000-0005-0000-0000-00004B1B0000}"/>
    <cellStyle name="20% - Accent4 8 3 3 2 3 2" xfId="47235" xr:uid="{703A9CCA-47D1-45C7-BC6E-6AFCBE6240F3}"/>
    <cellStyle name="20% - Accent4 8 3 3 2 4" xfId="31358" xr:uid="{4FE70BA2-8C5F-4F65-B071-BFC1639FBE0B}"/>
    <cellStyle name="20% - Accent4 8 3 3 3" xfId="11919" xr:uid="{00000000-0005-0000-0000-00004C1B0000}"/>
    <cellStyle name="20% - Accent4 8 3 3 3 2" xfId="35768" xr:uid="{EEFEAE32-A3DA-4EAB-B82F-73535607EB3C}"/>
    <cellStyle name="20% - Accent4 8 3 3 4" xfId="19874" xr:uid="{00000000-0005-0000-0000-00004D1B0000}"/>
    <cellStyle name="20% - Accent4 8 3 3 4 2" xfId="43706" xr:uid="{57E46137-A558-4936-AFA6-900D0F6CDED7}"/>
    <cellStyle name="20% - Accent4 8 3 3 5" xfId="27827" xr:uid="{0D2BE6D4-64BE-4DE5-A951-AEC3D49D0ADB}"/>
    <cellStyle name="20% - Accent4 8 3 4" xfId="5715" xr:uid="{00000000-0005-0000-0000-00004E1B0000}"/>
    <cellStyle name="20% - Accent4 8 3 4 2" xfId="13698" xr:uid="{00000000-0005-0000-0000-00004F1B0000}"/>
    <cellStyle name="20% - Accent4 8 3 4 2 2" xfId="37541" xr:uid="{523E3DA7-C372-4FA3-8280-B08B77413A3F}"/>
    <cellStyle name="20% - Accent4 8 3 4 3" xfId="21646" xr:uid="{00000000-0005-0000-0000-0000501B0000}"/>
    <cellStyle name="20% - Accent4 8 3 4 3 2" xfId="45478" xr:uid="{62092C9F-9522-4052-8623-A03EAB4AC516}"/>
    <cellStyle name="20% - Accent4 8 3 4 4" xfId="29600" xr:uid="{0424BBEF-3302-4E50-B482-0F7938ED5F38}"/>
    <cellStyle name="20% - Accent4 8 3 5" xfId="9267" xr:uid="{00000000-0005-0000-0000-0000511B0000}"/>
    <cellStyle name="20% - Accent4 8 3 5 2" xfId="17225" xr:uid="{00000000-0005-0000-0000-0000521B0000}"/>
    <cellStyle name="20% - Accent4 8 3 5 2 2" xfId="41065" xr:uid="{EC6CE914-EAB6-4A8D-94EB-522BA94E2660}"/>
    <cellStyle name="20% - Accent4 8 3 5 3" xfId="25169" xr:uid="{00000000-0005-0000-0000-0000531B0000}"/>
    <cellStyle name="20% - Accent4 8 3 5 3 2" xfId="49001" xr:uid="{68A5951D-8275-4E4E-BEBE-F7674056400E}"/>
    <cellStyle name="20% - Accent4 8 3 5 4" xfId="33124" xr:uid="{27DFB471-E0E4-4E63-9F1F-AC7163B93624}"/>
    <cellStyle name="20% - Accent4 8 3 6" xfId="10163" xr:uid="{00000000-0005-0000-0000-0000541B0000}"/>
    <cellStyle name="20% - Accent4 8 3 6 2" xfId="34012" xr:uid="{30BEE497-3730-4C0C-B52C-0ECE3A6BECF6}"/>
    <cellStyle name="20% - Accent4 8 3 7" xfId="18118" xr:uid="{00000000-0005-0000-0000-0000551B0000}"/>
    <cellStyle name="20% - Accent4 8 3 7 2" xfId="41950" xr:uid="{EF1E3226-5A37-4976-BF08-05B715ED3220}"/>
    <cellStyle name="20% - Accent4 8 3 8" xfId="26070" xr:uid="{6E2C3C65-0B78-4558-A4D9-0662D2CD917D}"/>
    <cellStyle name="20% - Accent4 8 3_Exh G" xfId="2415" xr:uid="{00000000-0005-0000-0000-0000561B0000}"/>
    <cellStyle name="20% - Accent4 8 4" xfId="905" xr:uid="{00000000-0005-0000-0000-0000571B0000}"/>
    <cellStyle name="20% - Accent4 8 4 2" xfId="1830" xr:uid="{00000000-0005-0000-0000-0000581B0000}"/>
    <cellStyle name="20% - Accent4 8 4 2 2" xfId="5347" xr:uid="{00000000-0005-0000-0000-0000591B0000}"/>
    <cellStyle name="20% - Accent4 8 4 2 2 2" xfId="8938" xr:uid="{00000000-0005-0000-0000-00005A1B0000}"/>
    <cellStyle name="20% - Accent4 8 4 2 2 2 2" xfId="16908" xr:uid="{00000000-0005-0000-0000-00005B1B0000}"/>
    <cellStyle name="20% - Accent4 8 4 2 2 2 2 2" xfId="40750" xr:uid="{57B3660A-579F-49CD-A922-DD2364E7CE4D}"/>
    <cellStyle name="20% - Accent4 8 4 2 2 2 3" xfId="24854" xr:uid="{00000000-0005-0000-0000-00005C1B0000}"/>
    <cellStyle name="20% - Accent4 8 4 2 2 2 3 2" xfId="48686" xr:uid="{48D22642-00A4-4AAE-9EDF-5AA761E867D9}"/>
    <cellStyle name="20% - Accent4 8 4 2 2 2 4" xfId="32809" xr:uid="{6340CC4B-1D38-4EB5-896C-A1BA05415A4A}"/>
    <cellStyle name="20% - Accent4 8 4 2 2 3" xfId="13370" xr:uid="{00000000-0005-0000-0000-00005D1B0000}"/>
    <cellStyle name="20% - Accent4 8 4 2 2 3 2" xfId="37219" xr:uid="{EF5F57C9-694F-4484-A698-5F870948EC2D}"/>
    <cellStyle name="20% - Accent4 8 4 2 2 4" xfId="21325" xr:uid="{00000000-0005-0000-0000-00005E1B0000}"/>
    <cellStyle name="20% - Accent4 8 4 2 2 4 2" xfId="45157" xr:uid="{E66D5402-9405-45CC-AC12-84390B267056}"/>
    <cellStyle name="20% - Accent4 8 4 2 2 5" xfId="29278" xr:uid="{2F10097C-5082-4B5B-ABC1-2309C4C5F353}"/>
    <cellStyle name="20% - Accent4 8 4 2 3" xfId="7179" xr:uid="{00000000-0005-0000-0000-00005F1B0000}"/>
    <cellStyle name="20% - Accent4 8 4 2 3 2" xfId="15150" xr:uid="{00000000-0005-0000-0000-0000601B0000}"/>
    <cellStyle name="20% - Accent4 8 4 2 3 2 2" xfId="38992" xr:uid="{C874026D-8392-4501-8962-AF7E0FF7556D}"/>
    <cellStyle name="20% - Accent4 8 4 2 3 3" xfId="23097" xr:uid="{00000000-0005-0000-0000-0000611B0000}"/>
    <cellStyle name="20% - Accent4 8 4 2 3 3 2" xfId="46929" xr:uid="{873B6B27-615E-496B-8EA3-673A874491C6}"/>
    <cellStyle name="20% - Accent4 8 4 2 3 4" xfId="31051" xr:uid="{C7143F62-7397-4913-8E17-FF4A5F9F1592}"/>
    <cellStyle name="20% - Accent4 8 4 2 4" xfId="11614" xr:uid="{00000000-0005-0000-0000-0000621B0000}"/>
    <cellStyle name="20% - Accent4 8 4 2 4 2" xfId="35463" xr:uid="{8FC218B3-EACC-43CF-8111-3126B79853B2}"/>
    <cellStyle name="20% - Accent4 8 4 2 5" xfId="19569" xr:uid="{00000000-0005-0000-0000-0000631B0000}"/>
    <cellStyle name="20% - Accent4 8 4 2 5 2" xfId="43401" xr:uid="{C54EE1D5-2531-4253-9640-4B6B13CAB378}"/>
    <cellStyle name="20% - Accent4 8 4 2 6" xfId="27521" xr:uid="{803DF120-7828-4E7E-B3FE-0C27173FF7D5}"/>
    <cellStyle name="20% - Accent4 8 4 2_Exh G" xfId="2418" xr:uid="{00000000-0005-0000-0000-0000641B0000}"/>
    <cellStyle name="20% - Accent4 8 4 3" xfId="4468" xr:uid="{00000000-0005-0000-0000-0000651B0000}"/>
    <cellStyle name="20% - Accent4 8 4 3 2" xfId="8060" xr:uid="{00000000-0005-0000-0000-0000661B0000}"/>
    <cellStyle name="20% - Accent4 8 4 3 2 2" xfId="16030" xr:uid="{00000000-0005-0000-0000-0000671B0000}"/>
    <cellStyle name="20% - Accent4 8 4 3 2 2 2" xfId="39872" xr:uid="{CDFFC458-9FD0-4ED1-8863-959C147CE816}"/>
    <cellStyle name="20% - Accent4 8 4 3 2 3" xfId="23976" xr:uid="{00000000-0005-0000-0000-0000681B0000}"/>
    <cellStyle name="20% - Accent4 8 4 3 2 3 2" xfId="47808" xr:uid="{29E7514C-B17E-43EA-8BEB-2BCA85CF3E09}"/>
    <cellStyle name="20% - Accent4 8 4 3 2 4" xfId="31931" xr:uid="{CAB1E456-6C11-4032-8AF2-0624C394FE06}"/>
    <cellStyle name="20% - Accent4 8 4 3 3" xfId="12492" xr:uid="{00000000-0005-0000-0000-0000691B0000}"/>
    <cellStyle name="20% - Accent4 8 4 3 3 2" xfId="36341" xr:uid="{7E9B6AF0-EB92-4DC4-AFB7-0E4DED8C025A}"/>
    <cellStyle name="20% - Accent4 8 4 3 4" xfId="20447" xr:uid="{00000000-0005-0000-0000-00006A1B0000}"/>
    <cellStyle name="20% - Accent4 8 4 3 4 2" xfId="44279" xr:uid="{C79FEDE5-025C-4DA6-AFD3-440606936451}"/>
    <cellStyle name="20% - Accent4 8 4 3 5" xfId="28400" xr:uid="{20BC8449-6D07-4888-B0F3-A42985C5F31B}"/>
    <cellStyle name="20% - Accent4 8 4 4" xfId="6298" xr:uid="{00000000-0005-0000-0000-00006B1B0000}"/>
    <cellStyle name="20% - Accent4 8 4 4 2" xfId="14272" xr:uid="{00000000-0005-0000-0000-00006C1B0000}"/>
    <cellStyle name="20% - Accent4 8 4 4 2 2" xfId="38114" xr:uid="{D07F7462-9DED-4586-BA38-098780DA0B65}"/>
    <cellStyle name="20% - Accent4 8 4 4 3" xfId="22219" xr:uid="{00000000-0005-0000-0000-00006D1B0000}"/>
    <cellStyle name="20% - Accent4 8 4 4 3 2" xfId="46051" xr:uid="{8A23ADA3-EADD-47AF-BE99-14210760C7AC}"/>
    <cellStyle name="20% - Accent4 8 4 4 4" xfId="30173" xr:uid="{80DCAB39-D9EF-494C-A1A9-788235939A43}"/>
    <cellStyle name="20% - Accent4 8 4 5" xfId="9840" xr:uid="{00000000-0005-0000-0000-00006E1B0000}"/>
    <cellStyle name="20% - Accent4 8 4 5 2" xfId="17798" xr:uid="{00000000-0005-0000-0000-00006F1B0000}"/>
    <cellStyle name="20% - Accent4 8 4 5 2 2" xfId="41638" xr:uid="{75FA73B2-21CF-4ACF-8F12-21BBB423DF13}"/>
    <cellStyle name="20% - Accent4 8 4 5 3" xfId="25742" xr:uid="{00000000-0005-0000-0000-0000701B0000}"/>
    <cellStyle name="20% - Accent4 8 4 5 3 2" xfId="49574" xr:uid="{BF1B2A66-919E-4170-A448-00E91AE5B82B}"/>
    <cellStyle name="20% - Accent4 8 4 5 4" xfId="33697" xr:uid="{46CF378B-9DE0-43FF-8720-107AB3918F05}"/>
    <cellStyle name="20% - Accent4 8 4 6" xfId="10736" xr:uid="{00000000-0005-0000-0000-0000711B0000}"/>
    <cellStyle name="20% - Accent4 8 4 6 2" xfId="34585" xr:uid="{8EDF9C1D-D0C3-460C-9120-DB2A70764858}"/>
    <cellStyle name="20% - Accent4 8 4 7" xfId="18691" xr:uid="{00000000-0005-0000-0000-0000721B0000}"/>
    <cellStyle name="20% - Accent4 8 4 7 2" xfId="42523" xr:uid="{8EF14750-27EB-44A7-8924-573C671E60C3}"/>
    <cellStyle name="20% - Accent4 8 4 8" xfId="26643" xr:uid="{23E3CC0A-A7A3-4D4C-B0F9-599C61F187C9}"/>
    <cellStyle name="20% - Accent4 8 4_Exh G" xfId="2417" xr:uid="{00000000-0005-0000-0000-0000731B0000}"/>
    <cellStyle name="20% - Accent4 8 5" xfId="1244" xr:uid="{00000000-0005-0000-0000-0000741B0000}"/>
    <cellStyle name="20% - Accent4 8 5 2" xfId="4771" xr:uid="{00000000-0005-0000-0000-0000751B0000}"/>
    <cellStyle name="20% - Accent4 8 5 2 2" xfId="8362" xr:uid="{00000000-0005-0000-0000-0000761B0000}"/>
    <cellStyle name="20% - Accent4 8 5 2 2 2" xfId="16332" xr:uid="{00000000-0005-0000-0000-0000771B0000}"/>
    <cellStyle name="20% - Accent4 8 5 2 2 2 2" xfId="40174" xr:uid="{9113CDD5-4E19-4930-B2D2-3E8932431F8C}"/>
    <cellStyle name="20% - Accent4 8 5 2 2 3" xfId="24278" xr:uid="{00000000-0005-0000-0000-0000781B0000}"/>
    <cellStyle name="20% - Accent4 8 5 2 2 3 2" xfId="48110" xr:uid="{3BE6C462-9213-4993-A308-130EC5743254}"/>
    <cellStyle name="20% - Accent4 8 5 2 2 4" xfId="32233" xr:uid="{8C572A68-8F86-40F5-AFA7-5880E0127314}"/>
    <cellStyle name="20% - Accent4 8 5 2 3" xfId="12794" xr:uid="{00000000-0005-0000-0000-0000791B0000}"/>
    <cellStyle name="20% - Accent4 8 5 2 3 2" xfId="36643" xr:uid="{1DCADC33-8486-4BD3-899D-BB8287C07E4A}"/>
    <cellStyle name="20% - Accent4 8 5 2 4" xfId="20749" xr:uid="{00000000-0005-0000-0000-00007A1B0000}"/>
    <cellStyle name="20% - Accent4 8 5 2 4 2" xfId="44581" xr:uid="{9C630401-8413-48D9-A2F7-D1536868EC22}"/>
    <cellStyle name="20% - Accent4 8 5 2 5" xfId="28702" xr:uid="{1A2442E1-638A-4308-ADCB-4D727057BA32}"/>
    <cellStyle name="20% - Accent4 8 5 3" xfId="6603" xr:uid="{00000000-0005-0000-0000-00007B1B0000}"/>
    <cellStyle name="20% - Accent4 8 5 3 2" xfId="14574" xr:uid="{00000000-0005-0000-0000-00007C1B0000}"/>
    <cellStyle name="20% - Accent4 8 5 3 2 2" xfId="38416" xr:uid="{DE031F47-A177-4527-914E-9413287D2346}"/>
    <cellStyle name="20% - Accent4 8 5 3 3" xfId="22521" xr:uid="{00000000-0005-0000-0000-00007D1B0000}"/>
    <cellStyle name="20% - Accent4 8 5 3 3 2" xfId="46353" xr:uid="{32192288-8A2F-4E80-8230-ADDF40830465}"/>
    <cellStyle name="20% - Accent4 8 5 3 4" xfId="30475" xr:uid="{8A1B10C0-3851-44BD-9B5A-CAFDB3ABF41F}"/>
    <cellStyle name="20% - Accent4 8 5 4" xfId="11038" xr:uid="{00000000-0005-0000-0000-00007E1B0000}"/>
    <cellStyle name="20% - Accent4 8 5 4 2" xfId="34887" xr:uid="{2367CA52-7841-4759-BF24-4A5DCE9355C3}"/>
    <cellStyle name="20% - Accent4 8 5 5" xfId="18993" xr:uid="{00000000-0005-0000-0000-00007F1B0000}"/>
    <cellStyle name="20% - Accent4 8 5 5 2" xfId="42825" xr:uid="{4C15B901-6D87-48FB-BF8D-933134806749}"/>
    <cellStyle name="20% - Accent4 8 5 6" xfId="26945" xr:uid="{1EAA7552-E350-4E41-A8C0-F57B23EC7073}"/>
    <cellStyle name="20% - Accent4 8 5_Exh G" xfId="2419" xr:uid="{00000000-0005-0000-0000-0000801B0000}"/>
    <cellStyle name="20% - Accent4 8 6" xfId="3892" xr:uid="{00000000-0005-0000-0000-0000811B0000}"/>
    <cellStyle name="20% - Accent4 8 6 2" xfId="7484" xr:uid="{00000000-0005-0000-0000-0000821B0000}"/>
    <cellStyle name="20% - Accent4 8 6 2 2" xfId="15454" xr:uid="{00000000-0005-0000-0000-0000831B0000}"/>
    <cellStyle name="20% - Accent4 8 6 2 2 2" xfId="39296" xr:uid="{7C03E4A2-B590-420D-8433-D9563DAA19F6}"/>
    <cellStyle name="20% - Accent4 8 6 2 3" xfId="23400" xr:uid="{00000000-0005-0000-0000-0000841B0000}"/>
    <cellStyle name="20% - Accent4 8 6 2 3 2" xfId="47232" xr:uid="{AF710421-46FF-483E-9050-2888E273AC0C}"/>
    <cellStyle name="20% - Accent4 8 6 2 4" xfId="31355" xr:uid="{5FB10508-4E8F-4DEA-97DD-EBAA56561A8A}"/>
    <cellStyle name="20% - Accent4 8 6 3" xfId="11916" xr:uid="{00000000-0005-0000-0000-0000851B0000}"/>
    <cellStyle name="20% - Accent4 8 6 3 2" xfId="35765" xr:uid="{F77DE8EA-47B0-4023-8D5E-82D3B23AB5D2}"/>
    <cellStyle name="20% - Accent4 8 6 4" xfId="19871" xr:uid="{00000000-0005-0000-0000-0000861B0000}"/>
    <cellStyle name="20% - Accent4 8 6 4 2" xfId="43703" xr:uid="{EA29E85E-7C71-4115-80CC-A48EF00CFD37}"/>
    <cellStyle name="20% - Accent4 8 6 5" xfId="27824" xr:uid="{93382D07-B94C-4C4F-BCCB-164697CA8C94}"/>
    <cellStyle name="20% - Accent4 8 7" xfId="5712" xr:uid="{00000000-0005-0000-0000-0000871B0000}"/>
    <cellStyle name="20% - Accent4 8 7 2" xfId="13695" xr:uid="{00000000-0005-0000-0000-0000881B0000}"/>
    <cellStyle name="20% - Accent4 8 7 2 2" xfId="37538" xr:uid="{562D4FEF-EA75-4520-B8C7-53DE1F8062A5}"/>
    <cellStyle name="20% - Accent4 8 7 3" xfId="21643" xr:uid="{00000000-0005-0000-0000-0000891B0000}"/>
    <cellStyle name="20% - Accent4 8 7 3 2" xfId="45475" xr:uid="{9A57D445-93C4-494B-982E-1FA29EC9B17D}"/>
    <cellStyle name="20% - Accent4 8 7 4" xfId="29597" xr:uid="{CD8F2697-831E-4842-90CD-ABB19FAE5129}"/>
    <cellStyle name="20% - Accent4 8 8" xfId="9264" xr:uid="{00000000-0005-0000-0000-00008A1B0000}"/>
    <cellStyle name="20% - Accent4 8 8 2" xfId="17222" xr:uid="{00000000-0005-0000-0000-00008B1B0000}"/>
    <cellStyle name="20% - Accent4 8 8 2 2" xfId="41062" xr:uid="{27BF970D-95A2-48AE-8C18-87CD77D30661}"/>
    <cellStyle name="20% - Accent4 8 8 3" xfId="25166" xr:uid="{00000000-0005-0000-0000-00008C1B0000}"/>
    <cellStyle name="20% - Accent4 8 8 3 2" xfId="48998" xr:uid="{93D48654-8F33-42DC-8BBC-7E0974903D49}"/>
    <cellStyle name="20% - Accent4 8 8 4" xfId="33121" xr:uid="{8F66AD67-CCFB-4111-9350-245FCB10059D}"/>
    <cellStyle name="20% - Accent4 8 9" xfId="10160" xr:uid="{00000000-0005-0000-0000-00008D1B0000}"/>
    <cellStyle name="20% - Accent4 8 9 2" xfId="34009" xr:uid="{B2BD4E8F-1DAB-424E-B004-03B37CDA3FB5}"/>
    <cellStyle name="20% - Accent4 8_Exh G" xfId="2410" xr:uid="{00000000-0005-0000-0000-00008E1B0000}"/>
    <cellStyle name="20% - Accent4 9" xfId="222" xr:uid="{00000000-0005-0000-0000-00008F1B0000}"/>
    <cellStyle name="20% - Accent4 9 10" xfId="18119" xr:uid="{00000000-0005-0000-0000-0000901B0000}"/>
    <cellStyle name="20% - Accent4 9 10 2" xfId="41951" xr:uid="{11FA11AE-BD9C-4E1E-9314-3F40202A462D}"/>
    <cellStyle name="20% - Accent4 9 11" xfId="26071" xr:uid="{2DFCE371-8C54-4AD2-B352-7862623C33CD}"/>
    <cellStyle name="20% - Accent4 9 2" xfId="223" xr:uid="{00000000-0005-0000-0000-0000911B0000}"/>
    <cellStyle name="20% - Accent4 9 2 2" xfId="224" xr:uid="{00000000-0005-0000-0000-0000921B0000}"/>
    <cellStyle name="20% - Accent4 9 2 2 2" xfId="1250" xr:uid="{00000000-0005-0000-0000-0000931B0000}"/>
    <cellStyle name="20% - Accent4 9 2 2 2 2" xfId="4777" xr:uid="{00000000-0005-0000-0000-0000941B0000}"/>
    <cellStyle name="20% - Accent4 9 2 2 2 2 2" xfId="8368" xr:uid="{00000000-0005-0000-0000-0000951B0000}"/>
    <cellStyle name="20% - Accent4 9 2 2 2 2 2 2" xfId="16338" xr:uid="{00000000-0005-0000-0000-0000961B0000}"/>
    <cellStyle name="20% - Accent4 9 2 2 2 2 2 2 2" xfId="40180" xr:uid="{7CDB54C2-D85A-4D69-8464-61A3C30E0B69}"/>
    <cellStyle name="20% - Accent4 9 2 2 2 2 2 3" xfId="24284" xr:uid="{00000000-0005-0000-0000-0000971B0000}"/>
    <cellStyle name="20% - Accent4 9 2 2 2 2 2 3 2" xfId="48116" xr:uid="{FBEF530F-D50C-4BC8-BED1-AD54164BD046}"/>
    <cellStyle name="20% - Accent4 9 2 2 2 2 2 4" xfId="32239" xr:uid="{24D05ADC-3BA9-4282-B399-B0CAE749DB33}"/>
    <cellStyle name="20% - Accent4 9 2 2 2 2 3" xfId="12800" xr:uid="{00000000-0005-0000-0000-0000981B0000}"/>
    <cellStyle name="20% - Accent4 9 2 2 2 2 3 2" xfId="36649" xr:uid="{8B9FAFC0-5081-4150-BE2F-9286C2439FA8}"/>
    <cellStyle name="20% - Accent4 9 2 2 2 2 4" xfId="20755" xr:uid="{00000000-0005-0000-0000-0000991B0000}"/>
    <cellStyle name="20% - Accent4 9 2 2 2 2 4 2" xfId="44587" xr:uid="{3256E3A2-31EE-4B1A-A6A7-658F58072E1B}"/>
    <cellStyle name="20% - Accent4 9 2 2 2 2 5" xfId="28708" xr:uid="{98945753-4D06-4D3F-9B81-271044EB5877}"/>
    <cellStyle name="20% - Accent4 9 2 2 2 3" xfId="6609" xr:uid="{00000000-0005-0000-0000-00009A1B0000}"/>
    <cellStyle name="20% - Accent4 9 2 2 2 3 2" xfId="14580" xr:uid="{00000000-0005-0000-0000-00009B1B0000}"/>
    <cellStyle name="20% - Accent4 9 2 2 2 3 2 2" xfId="38422" xr:uid="{EBD58EE9-9423-4A84-8DA5-D8162BAD86A6}"/>
    <cellStyle name="20% - Accent4 9 2 2 2 3 3" xfId="22527" xr:uid="{00000000-0005-0000-0000-00009C1B0000}"/>
    <cellStyle name="20% - Accent4 9 2 2 2 3 3 2" xfId="46359" xr:uid="{518E7129-CC0F-4659-A1B2-F1086B65CF99}"/>
    <cellStyle name="20% - Accent4 9 2 2 2 3 4" xfId="30481" xr:uid="{993881D1-270F-4060-A167-D4C83DD4311E}"/>
    <cellStyle name="20% - Accent4 9 2 2 2 4" xfId="11044" xr:uid="{00000000-0005-0000-0000-00009D1B0000}"/>
    <cellStyle name="20% - Accent4 9 2 2 2 4 2" xfId="34893" xr:uid="{A021F6D8-C357-4BB4-A4A9-C8A5E35DBE30}"/>
    <cellStyle name="20% - Accent4 9 2 2 2 5" xfId="18999" xr:uid="{00000000-0005-0000-0000-00009E1B0000}"/>
    <cellStyle name="20% - Accent4 9 2 2 2 5 2" xfId="42831" xr:uid="{F549CFC4-4B6E-44AA-9716-7D7855C8B7A8}"/>
    <cellStyle name="20% - Accent4 9 2 2 2 6" xfId="26951" xr:uid="{187F5087-7DE1-46D8-8A5A-0F073C20C2EE}"/>
    <cellStyle name="20% - Accent4 9 2 2 2_Exh G" xfId="2423" xr:uid="{00000000-0005-0000-0000-00009F1B0000}"/>
    <cellStyle name="20% - Accent4 9 2 2 3" xfId="3898" xr:uid="{00000000-0005-0000-0000-0000A01B0000}"/>
    <cellStyle name="20% - Accent4 9 2 2 3 2" xfId="7490" xr:uid="{00000000-0005-0000-0000-0000A11B0000}"/>
    <cellStyle name="20% - Accent4 9 2 2 3 2 2" xfId="15460" xr:uid="{00000000-0005-0000-0000-0000A21B0000}"/>
    <cellStyle name="20% - Accent4 9 2 2 3 2 2 2" xfId="39302" xr:uid="{4AE33FC1-D977-49AE-A7A3-5B1C5688B4B6}"/>
    <cellStyle name="20% - Accent4 9 2 2 3 2 3" xfId="23406" xr:uid="{00000000-0005-0000-0000-0000A31B0000}"/>
    <cellStyle name="20% - Accent4 9 2 2 3 2 3 2" xfId="47238" xr:uid="{0977D8F6-06A9-449A-AEA9-99AED63575A9}"/>
    <cellStyle name="20% - Accent4 9 2 2 3 2 4" xfId="31361" xr:uid="{940D04BA-8696-40A7-BFC7-2B2D18A5D465}"/>
    <cellStyle name="20% - Accent4 9 2 2 3 3" xfId="11922" xr:uid="{00000000-0005-0000-0000-0000A41B0000}"/>
    <cellStyle name="20% - Accent4 9 2 2 3 3 2" xfId="35771" xr:uid="{48B9E701-6F35-436D-B2C6-AC1A8DEA25C9}"/>
    <cellStyle name="20% - Accent4 9 2 2 3 4" xfId="19877" xr:uid="{00000000-0005-0000-0000-0000A51B0000}"/>
    <cellStyle name="20% - Accent4 9 2 2 3 4 2" xfId="43709" xr:uid="{A49B1212-B3CF-4EDA-8200-E7AC4DC6DDAE}"/>
    <cellStyle name="20% - Accent4 9 2 2 3 5" xfId="27830" xr:uid="{2C4D42B5-F7C2-45EF-A19B-7604389FBFE1}"/>
    <cellStyle name="20% - Accent4 9 2 2 4" xfId="5718" xr:uid="{00000000-0005-0000-0000-0000A61B0000}"/>
    <cellStyle name="20% - Accent4 9 2 2 4 2" xfId="13701" xr:uid="{00000000-0005-0000-0000-0000A71B0000}"/>
    <cellStyle name="20% - Accent4 9 2 2 4 2 2" xfId="37544" xr:uid="{8719B895-F367-42AC-B327-E07E75230F93}"/>
    <cellStyle name="20% - Accent4 9 2 2 4 3" xfId="21649" xr:uid="{00000000-0005-0000-0000-0000A81B0000}"/>
    <cellStyle name="20% - Accent4 9 2 2 4 3 2" xfId="45481" xr:uid="{87D34152-B973-4B89-BD67-4CA131B924CC}"/>
    <cellStyle name="20% - Accent4 9 2 2 4 4" xfId="29603" xr:uid="{2A0E5B3F-91DB-4029-B8A1-72C9FFA90E97}"/>
    <cellStyle name="20% - Accent4 9 2 2 5" xfId="9270" xr:uid="{00000000-0005-0000-0000-0000A91B0000}"/>
    <cellStyle name="20% - Accent4 9 2 2 5 2" xfId="17228" xr:uid="{00000000-0005-0000-0000-0000AA1B0000}"/>
    <cellStyle name="20% - Accent4 9 2 2 5 2 2" xfId="41068" xr:uid="{FB8EC6A1-9443-4496-A2D1-77ECAF623914}"/>
    <cellStyle name="20% - Accent4 9 2 2 5 3" xfId="25172" xr:uid="{00000000-0005-0000-0000-0000AB1B0000}"/>
    <cellStyle name="20% - Accent4 9 2 2 5 3 2" xfId="49004" xr:uid="{3F93E550-03F5-4F00-8F34-9DC88B05B09E}"/>
    <cellStyle name="20% - Accent4 9 2 2 5 4" xfId="33127" xr:uid="{5FE67217-37C6-4325-BD2B-50D5A990FD17}"/>
    <cellStyle name="20% - Accent4 9 2 2 6" xfId="10166" xr:uid="{00000000-0005-0000-0000-0000AC1B0000}"/>
    <cellStyle name="20% - Accent4 9 2 2 6 2" xfId="34015" xr:uid="{526B7533-C02C-4818-965B-72193017D9EC}"/>
    <cellStyle name="20% - Accent4 9 2 2 7" xfId="18121" xr:uid="{00000000-0005-0000-0000-0000AD1B0000}"/>
    <cellStyle name="20% - Accent4 9 2 2 7 2" xfId="41953" xr:uid="{71981150-470C-4F41-8735-69408EEFBCBB}"/>
    <cellStyle name="20% - Accent4 9 2 2 8" xfId="26073" xr:uid="{F5EC2CF9-2591-49BA-A4DF-9EDDBA73AF03}"/>
    <cellStyle name="20% - Accent4 9 2 2_Exh G" xfId="2422" xr:uid="{00000000-0005-0000-0000-0000AE1B0000}"/>
    <cellStyle name="20% - Accent4 9 2 3" xfId="1249" xr:uid="{00000000-0005-0000-0000-0000AF1B0000}"/>
    <cellStyle name="20% - Accent4 9 2 3 2" xfId="4776" xr:uid="{00000000-0005-0000-0000-0000B01B0000}"/>
    <cellStyle name="20% - Accent4 9 2 3 2 2" xfId="8367" xr:uid="{00000000-0005-0000-0000-0000B11B0000}"/>
    <cellStyle name="20% - Accent4 9 2 3 2 2 2" xfId="16337" xr:uid="{00000000-0005-0000-0000-0000B21B0000}"/>
    <cellStyle name="20% - Accent4 9 2 3 2 2 2 2" xfId="40179" xr:uid="{B0919E1F-CE0C-44DA-AE72-F1347D028614}"/>
    <cellStyle name="20% - Accent4 9 2 3 2 2 3" xfId="24283" xr:uid="{00000000-0005-0000-0000-0000B31B0000}"/>
    <cellStyle name="20% - Accent4 9 2 3 2 2 3 2" xfId="48115" xr:uid="{960A9876-0DDF-45C0-8010-2E734C047658}"/>
    <cellStyle name="20% - Accent4 9 2 3 2 2 4" xfId="32238" xr:uid="{C6B80271-1E57-424E-9639-C5B9A3CCBA89}"/>
    <cellStyle name="20% - Accent4 9 2 3 2 3" xfId="12799" xr:uid="{00000000-0005-0000-0000-0000B41B0000}"/>
    <cellStyle name="20% - Accent4 9 2 3 2 3 2" xfId="36648" xr:uid="{F847F9F4-08FB-4C38-AA05-3B29BBD9FCAE}"/>
    <cellStyle name="20% - Accent4 9 2 3 2 4" xfId="20754" xr:uid="{00000000-0005-0000-0000-0000B51B0000}"/>
    <cellStyle name="20% - Accent4 9 2 3 2 4 2" xfId="44586" xr:uid="{1C51912A-EB66-433A-B4A4-82C88B26F4B6}"/>
    <cellStyle name="20% - Accent4 9 2 3 2 5" xfId="28707" xr:uid="{5AA23FDF-C7C8-483B-B954-FB06FB11F55C}"/>
    <cellStyle name="20% - Accent4 9 2 3 3" xfId="6608" xr:uid="{00000000-0005-0000-0000-0000B61B0000}"/>
    <cellStyle name="20% - Accent4 9 2 3 3 2" xfId="14579" xr:uid="{00000000-0005-0000-0000-0000B71B0000}"/>
    <cellStyle name="20% - Accent4 9 2 3 3 2 2" xfId="38421" xr:uid="{60F28E7D-019E-408A-9977-F57F8EDA72A8}"/>
    <cellStyle name="20% - Accent4 9 2 3 3 3" xfId="22526" xr:uid="{00000000-0005-0000-0000-0000B81B0000}"/>
    <cellStyle name="20% - Accent4 9 2 3 3 3 2" xfId="46358" xr:uid="{8F04CABD-F0FC-4AA1-BD54-16A847B75239}"/>
    <cellStyle name="20% - Accent4 9 2 3 3 4" xfId="30480" xr:uid="{7F99C9C8-598C-4447-90B3-368EEABF2E12}"/>
    <cellStyle name="20% - Accent4 9 2 3 4" xfId="11043" xr:uid="{00000000-0005-0000-0000-0000B91B0000}"/>
    <cellStyle name="20% - Accent4 9 2 3 4 2" xfId="34892" xr:uid="{5980A628-55D5-48B8-85EE-424AA06705F8}"/>
    <cellStyle name="20% - Accent4 9 2 3 5" xfId="18998" xr:uid="{00000000-0005-0000-0000-0000BA1B0000}"/>
    <cellStyle name="20% - Accent4 9 2 3 5 2" xfId="42830" xr:uid="{227A0BD1-DA22-4B51-BCE8-3218CA286272}"/>
    <cellStyle name="20% - Accent4 9 2 3 6" xfId="26950" xr:uid="{FB181604-D808-49A3-B2A8-BC4ED46AB749}"/>
    <cellStyle name="20% - Accent4 9 2 3_Exh G" xfId="2424" xr:uid="{00000000-0005-0000-0000-0000BB1B0000}"/>
    <cellStyle name="20% - Accent4 9 2 4" xfId="3897" xr:uid="{00000000-0005-0000-0000-0000BC1B0000}"/>
    <cellStyle name="20% - Accent4 9 2 4 2" xfId="7489" xr:uid="{00000000-0005-0000-0000-0000BD1B0000}"/>
    <cellStyle name="20% - Accent4 9 2 4 2 2" xfId="15459" xr:uid="{00000000-0005-0000-0000-0000BE1B0000}"/>
    <cellStyle name="20% - Accent4 9 2 4 2 2 2" xfId="39301" xr:uid="{9EA268E2-043A-4E07-AED3-1BBB34A1C2E4}"/>
    <cellStyle name="20% - Accent4 9 2 4 2 3" xfId="23405" xr:uid="{00000000-0005-0000-0000-0000BF1B0000}"/>
    <cellStyle name="20% - Accent4 9 2 4 2 3 2" xfId="47237" xr:uid="{0775EAE1-0545-4EBD-B127-0B579D6D8370}"/>
    <cellStyle name="20% - Accent4 9 2 4 2 4" xfId="31360" xr:uid="{249705A8-9C58-434F-97F6-06BCEFAAD2E2}"/>
    <cellStyle name="20% - Accent4 9 2 4 3" xfId="11921" xr:uid="{00000000-0005-0000-0000-0000C01B0000}"/>
    <cellStyle name="20% - Accent4 9 2 4 3 2" xfId="35770" xr:uid="{BFBB6FB3-F63D-41A1-B7B1-E3F9F4A34619}"/>
    <cellStyle name="20% - Accent4 9 2 4 4" xfId="19876" xr:uid="{00000000-0005-0000-0000-0000C11B0000}"/>
    <cellStyle name="20% - Accent4 9 2 4 4 2" xfId="43708" xr:uid="{F9690037-D2D0-48CE-9544-3EE8E84320D1}"/>
    <cellStyle name="20% - Accent4 9 2 4 5" xfId="27829" xr:uid="{973D10A2-FAA2-4CE9-BABB-CE8E84830F56}"/>
    <cellStyle name="20% - Accent4 9 2 5" xfId="5717" xr:uid="{00000000-0005-0000-0000-0000C21B0000}"/>
    <cellStyle name="20% - Accent4 9 2 5 2" xfId="13700" xr:uid="{00000000-0005-0000-0000-0000C31B0000}"/>
    <cellStyle name="20% - Accent4 9 2 5 2 2" xfId="37543" xr:uid="{63894365-07B1-44F5-9620-EC69187652AB}"/>
    <cellStyle name="20% - Accent4 9 2 5 3" xfId="21648" xr:uid="{00000000-0005-0000-0000-0000C41B0000}"/>
    <cellStyle name="20% - Accent4 9 2 5 3 2" xfId="45480" xr:uid="{98CDF4C0-722D-4E21-80F1-CD056B689108}"/>
    <cellStyle name="20% - Accent4 9 2 5 4" xfId="29602" xr:uid="{5E2D45C7-7B6E-40B8-BE8D-D25F62833368}"/>
    <cellStyle name="20% - Accent4 9 2 6" xfId="9269" xr:uid="{00000000-0005-0000-0000-0000C51B0000}"/>
    <cellStyle name="20% - Accent4 9 2 6 2" xfId="17227" xr:uid="{00000000-0005-0000-0000-0000C61B0000}"/>
    <cellStyle name="20% - Accent4 9 2 6 2 2" xfId="41067" xr:uid="{6C202C26-25B0-4BCD-88E1-4BE17EFC36D4}"/>
    <cellStyle name="20% - Accent4 9 2 6 3" xfId="25171" xr:uid="{00000000-0005-0000-0000-0000C71B0000}"/>
    <cellStyle name="20% - Accent4 9 2 6 3 2" xfId="49003" xr:uid="{F1312D35-1CE0-44F1-A8F7-2F1143F4805F}"/>
    <cellStyle name="20% - Accent4 9 2 6 4" xfId="33126" xr:uid="{F73174EB-A67E-47B9-9255-13DB821CF037}"/>
    <cellStyle name="20% - Accent4 9 2 7" xfId="10165" xr:uid="{00000000-0005-0000-0000-0000C81B0000}"/>
    <cellStyle name="20% - Accent4 9 2 7 2" xfId="34014" xr:uid="{DCB6C088-354A-4206-86CE-47CADFDE2A7E}"/>
    <cellStyle name="20% - Accent4 9 2 8" xfId="18120" xr:uid="{00000000-0005-0000-0000-0000C91B0000}"/>
    <cellStyle name="20% - Accent4 9 2 8 2" xfId="41952" xr:uid="{C7CBCF10-1590-4373-B203-C9C44F96E548}"/>
    <cellStyle name="20% - Accent4 9 2 9" xfId="26072" xr:uid="{07175DEB-5809-48BF-8EE0-E8598729ED95}"/>
    <cellStyle name="20% - Accent4 9 2_Exh G" xfId="2421" xr:uid="{00000000-0005-0000-0000-0000CA1B0000}"/>
    <cellStyle name="20% - Accent4 9 3" xfId="225" xr:uid="{00000000-0005-0000-0000-0000CB1B0000}"/>
    <cellStyle name="20% - Accent4 9 3 2" xfId="1251" xr:uid="{00000000-0005-0000-0000-0000CC1B0000}"/>
    <cellStyle name="20% - Accent4 9 3 2 2" xfId="4778" xr:uid="{00000000-0005-0000-0000-0000CD1B0000}"/>
    <cellStyle name="20% - Accent4 9 3 2 2 2" xfId="8369" xr:uid="{00000000-0005-0000-0000-0000CE1B0000}"/>
    <cellStyle name="20% - Accent4 9 3 2 2 2 2" xfId="16339" xr:uid="{00000000-0005-0000-0000-0000CF1B0000}"/>
    <cellStyle name="20% - Accent4 9 3 2 2 2 2 2" xfId="40181" xr:uid="{47C73347-F2AA-4767-948B-DF8ECA0E9D98}"/>
    <cellStyle name="20% - Accent4 9 3 2 2 2 3" xfId="24285" xr:uid="{00000000-0005-0000-0000-0000D01B0000}"/>
    <cellStyle name="20% - Accent4 9 3 2 2 2 3 2" xfId="48117" xr:uid="{26CEE285-AEBC-49B9-AB65-D0CF2D12081B}"/>
    <cellStyle name="20% - Accent4 9 3 2 2 2 4" xfId="32240" xr:uid="{E90EC33A-E0AA-48BF-9BEA-FD768823A363}"/>
    <cellStyle name="20% - Accent4 9 3 2 2 3" xfId="12801" xr:uid="{00000000-0005-0000-0000-0000D11B0000}"/>
    <cellStyle name="20% - Accent4 9 3 2 2 3 2" xfId="36650" xr:uid="{F1C25E43-27FB-4D85-A482-63D82F2A9737}"/>
    <cellStyle name="20% - Accent4 9 3 2 2 4" xfId="20756" xr:uid="{00000000-0005-0000-0000-0000D21B0000}"/>
    <cellStyle name="20% - Accent4 9 3 2 2 4 2" xfId="44588" xr:uid="{F27B6DE7-3ED3-4A58-AA0E-B5205B5B5441}"/>
    <cellStyle name="20% - Accent4 9 3 2 2 5" xfId="28709" xr:uid="{494A45B0-93B6-4074-A7EC-17B5A66A5D95}"/>
    <cellStyle name="20% - Accent4 9 3 2 3" xfId="6610" xr:uid="{00000000-0005-0000-0000-0000D31B0000}"/>
    <cellStyle name="20% - Accent4 9 3 2 3 2" xfId="14581" xr:uid="{00000000-0005-0000-0000-0000D41B0000}"/>
    <cellStyle name="20% - Accent4 9 3 2 3 2 2" xfId="38423" xr:uid="{48F74DBB-A9D0-41C7-BF72-5CA81C42818B}"/>
    <cellStyle name="20% - Accent4 9 3 2 3 3" xfId="22528" xr:uid="{00000000-0005-0000-0000-0000D51B0000}"/>
    <cellStyle name="20% - Accent4 9 3 2 3 3 2" xfId="46360" xr:uid="{5A8D6DE3-6796-4F20-9DCE-A6E1B03BAB7E}"/>
    <cellStyle name="20% - Accent4 9 3 2 3 4" xfId="30482" xr:uid="{689F79A9-4D6C-4751-997E-C980BC20DB51}"/>
    <cellStyle name="20% - Accent4 9 3 2 4" xfId="11045" xr:uid="{00000000-0005-0000-0000-0000D61B0000}"/>
    <cellStyle name="20% - Accent4 9 3 2 4 2" xfId="34894" xr:uid="{7F26849B-CE8C-45C6-A4F4-FBDB232E99C9}"/>
    <cellStyle name="20% - Accent4 9 3 2 5" xfId="19000" xr:uid="{00000000-0005-0000-0000-0000D71B0000}"/>
    <cellStyle name="20% - Accent4 9 3 2 5 2" xfId="42832" xr:uid="{104E8EE3-EDD7-4213-A413-6003E1F342D5}"/>
    <cellStyle name="20% - Accent4 9 3 2 6" xfId="26952" xr:uid="{B173A7AA-0995-4F96-8FD5-4B9C88B3BD2F}"/>
    <cellStyle name="20% - Accent4 9 3 2_Exh G" xfId="2426" xr:uid="{00000000-0005-0000-0000-0000D81B0000}"/>
    <cellStyle name="20% - Accent4 9 3 3" xfId="3899" xr:uid="{00000000-0005-0000-0000-0000D91B0000}"/>
    <cellStyle name="20% - Accent4 9 3 3 2" xfId="7491" xr:uid="{00000000-0005-0000-0000-0000DA1B0000}"/>
    <cellStyle name="20% - Accent4 9 3 3 2 2" xfId="15461" xr:uid="{00000000-0005-0000-0000-0000DB1B0000}"/>
    <cellStyle name="20% - Accent4 9 3 3 2 2 2" xfId="39303" xr:uid="{2C9EF351-6D1C-4953-91DD-D1ADB9D8426B}"/>
    <cellStyle name="20% - Accent4 9 3 3 2 3" xfId="23407" xr:uid="{00000000-0005-0000-0000-0000DC1B0000}"/>
    <cellStyle name="20% - Accent4 9 3 3 2 3 2" xfId="47239" xr:uid="{BBD28727-6A46-47F5-997C-E2B781A9CBA0}"/>
    <cellStyle name="20% - Accent4 9 3 3 2 4" xfId="31362" xr:uid="{F604B4BD-6F44-4EA4-AEC0-525990F5F838}"/>
    <cellStyle name="20% - Accent4 9 3 3 3" xfId="11923" xr:uid="{00000000-0005-0000-0000-0000DD1B0000}"/>
    <cellStyle name="20% - Accent4 9 3 3 3 2" xfId="35772" xr:uid="{A4854C00-29B0-4333-88FA-7881951E4AE6}"/>
    <cellStyle name="20% - Accent4 9 3 3 4" xfId="19878" xr:uid="{00000000-0005-0000-0000-0000DE1B0000}"/>
    <cellStyle name="20% - Accent4 9 3 3 4 2" xfId="43710" xr:uid="{D3CCB66B-3DF4-400E-A2A5-816C2C403F1D}"/>
    <cellStyle name="20% - Accent4 9 3 3 5" xfId="27831" xr:uid="{78D6064B-7F1E-45C7-A491-DB8994D50684}"/>
    <cellStyle name="20% - Accent4 9 3 4" xfId="5719" xr:uid="{00000000-0005-0000-0000-0000DF1B0000}"/>
    <cellStyle name="20% - Accent4 9 3 4 2" xfId="13702" xr:uid="{00000000-0005-0000-0000-0000E01B0000}"/>
    <cellStyle name="20% - Accent4 9 3 4 2 2" xfId="37545" xr:uid="{F8FCBE34-CA51-40C9-BAFC-23EC0459D377}"/>
    <cellStyle name="20% - Accent4 9 3 4 3" xfId="21650" xr:uid="{00000000-0005-0000-0000-0000E11B0000}"/>
    <cellStyle name="20% - Accent4 9 3 4 3 2" xfId="45482" xr:uid="{557EB789-50CC-4458-9378-7A743A4D4081}"/>
    <cellStyle name="20% - Accent4 9 3 4 4" xfId="29604" xr:uid="{16104CB7-7765-443C-BCC0-C6375573F6AF}"/>
    <cellStyle name="20% - Accent4 9 3 5" xfId="9271" xr:uid="{00000000-0005-0000-0000-0000E21B0000}"/>
    <cellStyle name="20% - Accent4 9 3 5 2" xfId="17229" xr:uid="{00000000-0005-0000-0000-0000E31B0000}"/>
    <cellStyle name="20% - Accent4 9 3 5 2 2" xfId="41069" xr:uid="{B0AA858A-EF2D-454F-A06B-4FF0B16E5877}"/>
    <cellStyle name="20% - Accent4 9 3 5 3" xfId="25173" xr:uid="{00000000-0005-0000-0000-0000E41B0000}"/>
    <cellStyle name="20% - Accent4 9 3 5 3 2" xfId="49005" xr:uid="{8E3439C7-83A3-4474-A836-304AE5B00094}"/>
    <cellStyle name="20% - Accent4 9 3 5 4" xfId="33128" xr:uid="{03638FF3-9D5B-4F7F-A5E4-4D0F01C89531}"/>
    <cellStyle name="20% - Accent4 9 3 6" xfId="10167" xr:uid="{00000000-0005-0000-0000-0000E51B0000}"/>
    <cellStyle name="20% - Accent4 9 3 6 2" xfId="34016" xr:uid="{013C1EDE-FF4B-40B8-87C0-50603449D742}"/>
    <cellStyle name="20% - Accent4 9 3 7" xfId="18122" xr:uid="{00000000-0005-0000-0000-0000E61B0000}"/>
    <cellStyle name="20% - Accent4 9 3 7 2" xfId="41954" xr:uid="{73B01E60-399B-4998-B72F-96C5F88D9E57}"/>
    <cellStyle name="20% - Accent4 9 3 8" xfId="26074" xr:uid="{BC95548C-AF46-49A3-9719-B02507D85AEE}"/>
    <cellStyle name="20% - Accent4 9 3_Exh G" xfId="2425" xr:uid="{00000000-0005-0000-0000-0000E71B0000}"/>
    <cellStyle name="20% - Accent4 9 4" xfId="906" xr:uid="{00000000-0005-0000-0000-0000E81B0000}"/>
    <cellStyle name="20% - Accent4 9 4 2" xfId="1831" xr:uid="{00000000-0005-0000-0000-0000E91B0000}"/>
    <cellStyle name="20% - Accent4 9 4 2 2" xfId="5348" xr:uid="{00000000-0005-0000-0000-0000EA1B0000}"/>
    <cellStyle name="20% - Accent4 9 4 2 2 2" xfId="8939" xr:uid="{00000000-0005-0000-0000-0000EB1B0000}"/>
    <cellStyle name="20% - Accent4 9 4 2 2 2 2" xfId="16909" xr:uid="{00000000-0005-0000-0000-0000EC1B0000}"/>
    <cellStyle name="20% - Accent4 9 4 2 2 2 2 2" xfId="40751" xr:uid="{88D477B0-A4DF-49C0-A281-B988AF24498E}"/>
    <cellStyle name="20% - Accent4 9 4 2 2 2 3" xfId="24855" xr:uid="{00000000-0005-0000-0000-0000ED1B0000}"/>
    <cellStyle name="20% - Accent4 9 4 2 2 2 3 2" xfId="48687" xr:uid="{195DA8F0-552C-4F78-B265-B89D77143CD5}"/>
    <cellStyle name="20% - Accent4 9 4 2 2 2 4" xfId="32810" xr:uid="{4958E4F7-9894-4272-BE06-015341B1A52D}"/>
    <cellStyle name="20% - Accent4 9 4 2 2 3" xfId="13371" xr:uid="{00000000-0005-0000-0000-0000EE1B0000}"/>
    <cellStyle name="20% - Accent4 9 4 2 2 3 2" xfId="37220" xr:uid="{9D788031-9200-47D1-9286-D01BF2FDFF53}"/>
    <cellStyle name="20% - Accent4 9 4 2 2 4" xfId="21326" xr:uid="{00000000-0005-0000-0000-0000EF1B0000}"/>
    <cellStyle name="20% - Accent4 9 4 2 2 4 2" xfId="45158" xr:uid="{708633BD-7368-4075-8E0C-ABB2CD2521B7}"/>
    <cellStyle name="20% - Accent4 9 4 2 2 5" xfId="29279" xr:uid="{10D60517-33DE-4559-BAF0-E4318D130951}"/>
    <cellStyle name="20% - Accent4 9 4 2 3" xfId="7180" xr:uid="{00000000-0005-0000-0000-0000F01B0000}"/>
    <cellStyle name="20% - Accent4 9 4 2 3 2" xfId="15151" xr:uid="{00000000-0005-0000-0000-0000F11B0000}"/>
    <cellStyle name="20% - Accent4 9 4 2 3 2 2" xfId="38993" xr:uid="{09732ED0-9A20-4C18-A787-7675483922AA}"/>
    <cellStyle name="20% - Accent4 9 4 2 3 3" xfId="23098" xr:uid="{00000000-0005-0000-0000-0000F21B0000}"/>
    <cellStyle name="20% - Accent4 9 4 2 3 3 2" xfId="46930" xr:uid="{E2A9ADD5-926F-4B2F-BD30-6659B7F656B3}"/>
    <cellStyle name="20% - Accent4 9 4 2 3 4" xfId="31052" xr:uid="{D5F58A75-3048-42DC-9FCB-D8A9416FB028}"/>
    <cellStyle name="20% - Accent4 9 4 2 4" xfId="11615" xr:uid="{00000000-0005-0000-0000-0000F31B0000}"/>
    <cellStyle name="20% - Accent4 9 4 2 4 2" xfId="35464" xr:uid="{F9828049-06FD-4433-8B1D-3BF97428A586}"/>
    <cellStyle name="20% - Accent4 9 4 2 5" xfId="19570" xr:uid="{00000000-0005-0000-0000-0000F41B0000}"/>
    <cellStyle name="20% - Accent4 9 4 2 5 2" xfId="43402" xr:uid="{C9ECB0CC-21BF-4EA4-8964-0D198742F5CD}"/>
    <cellStyle name="20% - Accent4 9 4 2 6" xfId="27522" xr:uid="{86E53F30-EC32-4FDA-B0DB-FB69329CC153}"/>
    <cellStyle name="20% - Accent4 9 4 2_Exh G" xfId="2428" xr:uid="{00000000-0005-0000-0000-0000F51B0000}"/>
    <cellStyle name="20% - Accent4 9 4 3" xfId="4469" xr:uid="{00000000-0005-0000-0000-0000F61B0000}"/>
    <cellStyle name="20% - Accent4 9 4 3 2" xfId="8061" xr:uid="{00000000-0005-0000-0000-0000F71B0000}"/>
    <cellStyle name="20% - Accent4 9 4 3 2 2" xfId="16031" xr:uid="{00000000-0005-0000-0000-0000F81B0000}"/>
    <cellStyle name="20% - Accent4 9 4 3 2 2 2" xfId="39873" xr:uid="{FE1DBB86-BAFC-4145-9EB2-5B80F509D9BC}"/>
    <cellStyle name="20% - Accent4 9 4 3 2 3" xfId="23977" xr:uid="{00000000-0005-0000-0000-0000F91B0000}"/>
    <cellStyle name="20% - Accent4 9 4 3 2 3 2" xfId="47809" xr:uid="{15EE5A92-12B2-4C4D-8193-3129DF2E290F}"/>
    <cellStyle name="20% - Accent4 9 4 3 2 4" xfId="31932" xr:uid="{51A2CF71-E166-446E-9008-79AE6CDA0219}"/>
    <cellStyle name="20% - Accent4 9 4 3 3" xfId="12493" xr:uid="{00000000-0005-0000-0000-0000FA1B0000}"/>
    <cellStyle name="20% - Accent4 9 4 3 3 2" xfId="36342" xr:uid="{72EF6A82-9908-4D9D-896D-881EE4AEF073}"/>
    <cellStyle name="20% - Accent4 9 4 3 4" xfId="20448" xr:uid="{00000000-0005-0000-0000-0000FB1B0000}"/>
    <cellStyle name="20% - Accent4 9 4 3 4 2" xfId="44280" xr:uid="{69A14A9A-AB14-4890-8D11-D37742354B99}"/>
    <cellStyle name="20% - Accent4 9 4 3 5" xfId="28401" xr:uid="{780EE6E2-EB4D-4870-BDAF-56F9DD697373}"/>
    <cellStyle name="20% - Accent4 9 4 4" xfId="6299" xr:uid="{00000000-0005-0000-0000-0000FC1B0000}"/>
    <cellStyle name="20% - Accent4 9 4 4 2" xfId="14273" xr:uid="{00000000-0005-0000-0000-0000FD1B0000}"/>
    <cellStyle name="20% - Accent4 9 4 4 2 2" xfId="38115" xr:uid="{3A117EA0-180B-4226-AA11-EB58D8F59044}"/>
    <cellStyle name="20% - Accent4 9 4 4 3" xfId="22220" xr:uid="{00000000-0005-0000-0000-0000FE1B0000}"/>
    <cellStyle name="20% - Accent4 9 4 4 3 2" xfId="46052" xr:uid="{93BC6381-BC5E-407F-97AB-B0E63AD809E7}"/>
    <cellStyle name="20% - Accent4 9 4 4 4" xfId="30174" xr:uid="{C98AB223-E7DB-4DCD-9D9A-DDC1FD4C205D}"/>
    <cellStyle name="20% - Accent4 9 4 5" xfId="9841" xr:uid="{00000000-0005-0000-0000-0000FF1B0000}"/>
    <cellStyle name="20% - Accent4 9 4 5 2" xfId="17799" xr:uid="{00000000-0005-0000-0000-0000001C0000}"/>
    <cellStyle name="20% - Accent4 9 4 5 2 2" xfId="41639" xr:uid="{A67A6DCC-D33C-48FD-A700-1DE67CC26AA3}"/>
    <cellStyle name="20% - Accent4 9 4 5 3" xfId="25743" xr:uid="{00000000-0005-0000-0000-0000011C0000}"/>
    <cellStyle name="20% - Accent4 9 4 5 3 2" xfId="49575" xr:uid="{E0F2ED26-7D2C-45FC-8F99-D8A24EE926B3}"/>
    <cellStyle name="20% - Accent4 9 4 5 4" xfId="33698" xr:uid="{66AFE92E-673D-401A-881F-D242C1E1550A}"/>
    <cellStyle name="20% - Accent4 9 4 6" xfId="10737" xr:uid="{00000000-0005-0000-0000-0000021C0000}"/>
    <cellStyle name="20% - Accent4 9 4 6 2" xfId="34586" xr:uid="{73279337-B76E-479B-8AEB-A6239C9BABE7}"/>
    <cellStyle name="20% - Accent4 9 4 7" xfId="18692" xr:uid="{00000000-0005-0000-0000-0000031C0000}"/>
    <cellStyle name="20% - Accent4 9 4 7 2" xfId="42524" xr:uid="{EB8E5FCD-941C-4246-BCB5-42FBB7A9E4C3}"/>
    <cellStyle name="20% - Accent4 9 4 8" xfId="26644" xr:uid="{8CF61BAF-D0FB-466D-A932-93E40FCBA1D8}"/>
    <cellStyle name="20% - Accent4 9 4_Exh G" xfId="2427" xr:uid="{00000000-0005-0000-0000-0000041C0000}"/>
    <cellStyle name="20% - Accent4 9 5" xfId="1248" xr:uid="{00000000-0005-0000-0000-0000051C0000}"/>
    <cellStyle name="20% - Accent4 9 5 2" xfId="4775" xr:uid="{00000000-0005-0000-0000-0000061C0000}"/>
    <cellStyle name="20% - Accent4 9 5 2 2" xfId="8366" xr:uid="{00000000-0005-0000-0000-0000071C0000}"/>
    <cellStyle name="20% - Accent4 9 5 2 2 2" xfId="16336" xr:uid="{00000000-0005-0000-0000-0000081C0000}"/>
    <cellStyle name="20% - Accent4 9 5 2 2 2 2" xfId="40178" xr:uid="{EE205BBC-2CF2-4F6B-A7BD-7EC7CD91D2EE}"/>
    <cellStyle name="20% - Accent4 9 5 2 2 3" xfId="24282" xr:uid="{00000000-0005-0000-0000-0000091C0000}"/>
    <cellStyle name="20% - Accent4 9 5 2 2 3 2" xfId="48114" xr:uid="{E31D8AC6-0DA8-4760-B610-8135C9783677}"/>
    <cellStyle name="20% - Accent4 9 5 2 2 4" xfId="32237" xr:uid="{5E4997CC-F70C-46BC-8871-86065280862E}"/>
    <cellStyle name="20% - Accent4 9 5 2 3" xfId="12798" xr:uid="{00000000-0005-0000-0000-00000A1C0000}"/>
    <cellStyle name="20% - Accent4 9 5 2 3 2" xfId="36647" xr:uid="{D44A35E1-F569-4240-86B8-E3986B207D97}"/>
    <cellStyle name="20% - Accent4 9 5 2 4" xfId="20753" xr:uid="{00000000-0005-0000-0000-00000B1C0000}"/>
    <cellStyle name="20% - Accent4 9 5 2 4 2" xfId="44585" xr:uid="{C9131E65-713D-4F3F-9B7B-F43A3C368EDD}"/>
    <cellStyle name="20% - Accent4 9 5 2 5" xfId="28706" xr:uid="{8BDD2768-1135-4E8D-8B94-0C8AD0636E38}"/>
    <cellStyle name="20% - Accent4 9 5 3" xfId="6607" xr:uid="{00000000-0005-0000-0000-00000C1C0000}"/>
    <cellStyle name="20% - Accent4 9 5 3 2" xfId="14578" xr:uid="{00000000-0005-0000-0000-00000D1C0000}"/>
    <cellStyle name="20% - Accent4 9 5 3 2 2" xfId="38420" xr:uid="{FE26C3A8-BC77-4A26-8108-AE4ECDBB2B0C}"/>
    <cellStyle name="20% - Accent4 9 5 3 3" xfId="22525" xr:uid="{00000000-0005-0000-0000-00000E1C0000}"/>
    <cellStyle name="20% - Accent4 9 5 3 3 2" xfId="46357" xr:uid="{E8F2BF6F-49EB-4219-A6F9-D479FEF98E8C}"/>
    <cellStyle name="20% - Accent4 9 5 3 4" xfId="30479" xr:uid="{88357BF8-300A-4A09-89B3-ECED42546231}"/>
    <cellStyle name="20% - Accent4 9 5 4" xfId="11042" xr:uid="{00000000-0005-0000-0000-00000F1C0000}"/>
    <cellStyle name="20% - Accent4 9 5 4 2" xfId="34891" xr:uid="{A92ECB3A-E6B0-4B33-A046-59ECE0AC542E}"/>
    <cellStyle name="20% - Accent4 9 5 5" xfId="18997" xr:uid="{00000000-0005-0000-0000-0000101C0000}"/>
    <cellStyle name="20% - Accent4 9 5 5 2" xfId="42829" xr:uid="{745FCED0-DBC9-4538-B9D1-779D9292F76B}"/>
    <cellStyle name="20% - Accent4 9 5 6" xfId="26949" xr:uid="{8CDE856D-25E0-4920-AEFB-1A5AE1C2D682}"/>
    <cellStyle name="20% - Accent4 9 5_Exh G" xfId="2429" xr:uid="{00000000-0005-0000-0000-0000111C0000}"/>
    <cellStyle name="20% - Accent4 9 6" xfId="3896" xr:uid="{00000000-0005-0000-0000-0000121C0000}"/>
    <cellStyle name="20% - Accent4 9 6 2" xfId="7488" xr:uid="{00000000-0005-0000-0000-0000131C0000}"/>
    <cellStyle name="20% - Accent4 9 6 2 2" xfId="15458" xr:uid="{00000000-0005-0000-0000-0000141C0000}"/>
    <cellStyle name="20% - Accent4 9 6 2 2 2" xfId="39300" xr:uid="{0A4420AE-A813-4FC5-9E4E-960515BBCE4A}"/>
    <cellStyle name="20% - Accent4 9 6 2 3" xfId="23404" xr:uid="{00000000-0005-0000-0000-0000151C0000}"/>
    <cellStyle name="20% - Accent4 9 6 2 3 2" xfId="47236" xr:uid="{EDF91C0D-102F-4B36-A39D-457BC2F3C1DC}"/>
    <cellStyle name="20% - Accent4 9 6 2 4" xfId="31359" xr:uid="{B0022A87-2B47-457A-98C4-1BB43FD67F4A}"/>
    <cellStyle name="20% - Accent4 9 6 3" xfId="11920" xr:uid="{00000000-0005-0000-0000-0000161C0000}"/>
    <cellStyle name="20% - Accent4 9 6 3 2" xfId="35769" xr:uid="{F13AA409-B70A-4DB8-A823-5686E254468F}"/>
    <cellStyle name="20% - Accent4 9 6 4" xfId="19875" xr:uid="{00000000-0005-0000-0000-0000171C0000}"/>
    <cellStyle name="20% - Accent4 9 6 4 2" xfId="43707" xr:uid="{16D650E0-3310-402D-BE7E-27C1F7F40C13}"/>
    <cellStyle name="20% - Accent4 9 6 5" xfId="27828" xr:uid="{4B92A250-E0B2-4FE8-A12B-C5F29988353B}"/>
    <cellStyle name="20% - Accent4 9 7" xfId="5716" xr:uid="{00000000-0005-0000-0000-0000181C0000}"/>
    <cellStyle name="20% - Accent4 9 7 2" xfId="13699" xr:uid="{00000000-0005-0000-0000-0000191C0000}"/>
    <cellStyle name="20% - Accent4 9 7 2 2" xfId="37542" xr:uid="{E71DF474-8903-459A-97F3-59EB09F29760}"/>
    <cellStyle name="20% - Accent4 9 7 3" xfId="21647" xr:uid="{00000000-0005-0000-0000-00001A1C0000}"/>
    <cellStyle name="20% - Accent4 9 7 3 2" xfId="45479" xr:uid="{98AE592C-BD24-4029-B909-3185E910C5AB}"/>
    <cellStyle name="20% - Accent4 9 7 4" xfId="29601" xr:uid="{EF2E0F12-7A8E-471A-8416-21D89764A2DB}"/>
    <cellStyle name="20% - Accent4 9 8" xfId="9268" xr:uid="{00000000-0005-0000-0000-00001B1C0000}"/>
    <cellStyle name="20% - Accent4 9 8 2" xfId="17226" xr:uid="{00000000-0005-0000-0000-00001C1C0000}"/>
    <cellStyle name="20% - Accent4 9 8 2 2" xfId="41066" xr:uid="{54326F12-BCB4-4E9F-ADA5-1244B0D668C4}"/>
    <cellStyle name="20% - Accent4 9 8 3" xfId="25170" xr:uid="{00000000-0005-0000-0000-00001D1C0000}"/>
    <cellStyle name="20% - Accent4 9 8 3 2" xfId="49002" xr:uid="{293E62FD-F374-484D-9AB7-B0197F32171F}"/>
    <cellStyle name="20% - Accent4 9 8 4" xfId="33125" xr:uid="{02D8B0EC-D5A8-4364-8C5E-35AAAFC7E2F1}"/>
    <cellStyle name="20% - Accent4 9 9" xfId="10164" xr:uid="{00000000-0005-0000-0000-00001E1C0000}"/>
    <cellStyle name="20% - Accent4 9 9 2" xfId="34013" xr:uid="{810E4705-7635-4A82-B930-F29468AB1552}"/>
    <cellStyle name="20% - Accent4 9_Exh G" xfId="2420" xr:uid="{00000000-0005-0000-0000-00001F1C0000}"/>
    <cellStyle name="20% - Accent5" xfId="49693" builtinId="46" customBuiltin="1"/>
    <cellStyle name="20% - Accent5 10" xfId="226" xr:uid="{00000000-0005-0000-0000-0000201C0000}"/>
    <cellStyle name="20% - Accent5 10 10" xfId="18123" xr:uid="{00000000-0005-0000-0000-0000211C0000}"/>
    <cellStyle name="20% - Accent5 10 10 2" xfId="41955" xr:uid="{0382A021-9D4D-44E3-91C8-BFF906197714}"/>
    <cellStyle name="20% - Accent5 10 11" xfId="26075" xr:uid="{36A457C4-C6C3-43BE-A192-02407EA1F343}"/>
    <cellStyle name="20% - Accent5 10 2" xfId="227" xr:uid="{00000000-0005-0000-0000-0000221C0000}"/>
    <cellStyle name="20% - Accent5 10 2 2" xfId="228" xr:uid="{00000000-0005-0000-0000-0000231C0000}"/>
    <cellStyle name="20% - Accent5 10 2 2 2" xfId="1254" xr:uid="{00000000-0005-0000-0000-0000241C0000}"/>
    <cellStyle name="20% - Accent5 10 2 2 2 2" xfId="4781" xr:uid="{00000000-0005-0000-0000-0000251C0000}"/>
    <cellStyle name="20% - Accent5 10 2 2 2 2 2" xfId="8372" xr:uid="{00000000-0005-0000-0000-0000261C0000}"/>
    <cellStyle name="20% - Accent5 10 2 2 2 2 2 2" xfId="16342" xr:uid="{00000000-0005-0000-0000-0000271C0000}"/>
    <cellStyle name="20% - Accent5 10 2 2 2 2 2 2 2" xfId="40184" xr:uid="{9A7D8FAD-C508-41A6-8426-1C9406C4255B}"/>
    <cellStyle name="20% - Accent5 10 2 2 2 2 2 3" xfId="24288" xr:uid="{00000000-0005-0000-0000-0000281C0000}"/>
    <cellStyle name="20% - Accent5 10 2 2 2 2 2 3 2" xfId="48120" xr:uid="{BB542403-15A9-4445-8FAD-861E571DF08A}"/>
    <cellStyle name="20% - Accent5 10 2 2 2 2 2 4" xfId="32243" xr:uid="{BE47B085-BA8C-4317-A40D-BFF687962068}"/>
    <cellStyle name="20% - Accent5 10 2 2 2 2 3" xfId="12804" xr:uid="{00000000-0005-0000-0000-0000291C0000}"/>
    <cellStyle name="20% - Accent5 10 2 2 2 2 3 2" xfId="36653" xr:uid="{F2AFA4BC-5905-4F9D-9021-9FF72F621FEA}"/>
    <cellStyle name="20% - Accent5 10 2 2 2 2 4" xfId="20759" xr:uid="{00000000-0005-0000-0000-00002A1C0000}"/>
    <cellStyle name="20% - Accent5 10 2 2 2 2 4 2" xfId="44591" xr:uid="{BB1D70F5-748A-466C-B414-4E394D35A7F3}"/>
    <cellStyle name="20% - Accent5 10 2 2 2 2 5" xfId="28712" xr:uid="{0CB2EC3A-12E3-4AED-B525-3DE9D1D1AFA2}"/>
    <cellStyle name="20% - Accent5 10 2 2 2 3" xfId="6613" xr:uid="{00000000-0005-0000-0000-00002B1C0000}"/>
    <cellStyle name="20% - Accent5 10 2 2 2 3 2" xfId="14584" xr:uid="{00000000-0005-0000-0000-00002C1C0000}"/>
    <cellStyle name="20% - Accent5 10 2 2 2 3 2 2" xfId="38426" xr:uid="{402D85C1-6F54-4DC5-A378-32FF54F6A26E}"/>
    <cellStyle name="20% - Accent5 10 2 2 2 3 3" xfId="22531" xr:uid="{00000000-0005-0000-0000-00002D1C0000}"/>
    <cellStyle name="20% - Accent5 10 2 2 2 3 3 2" xfId="46363" xr:uid="{4896EADE-E3FD-4031-854F-C5004A33C7FB}"/>
    <cellStyle name="20% - Accent5 10 2 2 2 3 4" xfId="30485" xr:uid="{62228452-E75E-4505-926D-6ADFB5A2428F}"/>
    <cellStyle name="20% - Accent5 10 2 2 2 4" xfId="11048" xr:uid="{00000000-0005-0000-0000-00002E1C0000}"/>
    <cellStyle name="20% - Accent5 10 2 2 2 4 2" xfId="34897" xr:uid="{C05FE5A9-487D-448B-AA18-421D1ACAE4BC}"/>
    <cellStyle name="20% - Accent5 10 2 2 2 5" xfId="19003" xr:uid="{00000000-0005-0000-0000-00002F1C0000}"/>
    <cellStyle name="20% - Accent5 10 2 2 2 5 2" xfId="42835" xr:uid="{3DEBFC98-68D6-44C9-9C6D-9079D3A7889A}"/>
    <cellStyle name="20% - Accent5 10 2 2 2 6" xfId="26955" xr:uid="{26B354E1-87E0-431D-9268-8F1F366263B2}"/>
    <cellStyle name="20% - Accent5 10 2 2 2_Exh G" xfId="2433" xr:uid="{00000000-0005-0000-0000-0000301C0000}"/>
    <cellStyle name="20% - Accent5 10 2 2 3" xfId="3902" xr:uid="{00000000-0005-0000-0000-0000311C0000}"/>
    <cellStyle name="20% - Accent5 10 2 2 3 2" xfId="7494" xr:uid="{00000000-0005-0000-0000-0000321C0000}"/>
    <cellStyle name="20% - Accent5 10 2 2 3 2 2" xfId="15464" xr:uid="{00000000-0005-0000-0000-0000331C0000}"/>
    <cellStyle name="20% - Accent5 10 2 2 3 2 2 2" xfId="39306" xr:uid="{298512FA-DA12-4EDC-B6AE-BD1AD2E1A2A8}"/>
    <cellStyle name="20% - Accent5 10 2 2 3 2 3" xfId="23410" xr:uid="{00000000-0005-0000-0000-0000341C0000}"/>
    <cellStyle name="20% - Accent5 10 2 2 3 2 3 2" xfId="47242" xr:uid="{400DAC39-CEB1-41C9-94E2-FB7812FE574E}"/>
    <cellStyle name="20% - Accent5 10 2 2 3 2 4" xfId="31365" xr:uid="{C69BC268-BB61-4BC6-9D44-1EC32D8E255F}"/>
    <cellStyle name="20% - Accent5 10 2 2 3 3" xfId="11926" xr:uid="{00000000-0005-0000-0000-0000351C0000}"/>
    <cellStyle name="20% - Accent5 10 2 2 3 3 2" xfId="35775" xr:uid="{0C956393-F5ED-42BB-A8E8-2167A8AB034D}"/>
    <cellStyle name="20% - Accent5 10 2 2 3 4" xfId="19881" xr:uid="{00000000-0005-0000-0000-0000361C0000}"/>
    <cellStyle name="20% - Accent5 10 2 2 3 4 2" xfId="43713" xr:uid="{D9140B1E-BDF7-4A8F-AC49-2251AAD004FC}"/>
    <cellStyle name="20% - Accent5 10 2 2 3 5" xfId="27834" xr:uid="{722AC416-D26A-4785-BB9B-509F099878D7}"/>
    <cellStyle name="20% - Accent5 10 2 2 4" xfId="5722" xr:uid="{00000000-0005-0000-0000-0000371C0000}"/>
    <cellStyle name="20% - Accent5 10 2 2 4 2" xfId="13705" xr:uid="{00000000-0005-0000-0000-0000381C0000}"/>
    <cellStyle name="20% - Accent5 10 2 2 4 2 2" xfId="37548" xr:uid="{F7B4A214-1CD2-4C5A-B652-AEFAE8476AC1}"/>
    <cellStyle name="20% - Accent5 10 2 2 4 3" xfId="21653" xr:uid="{00000000-0005-0000-0000-0000391C0000}"/>
    <cellStyle name="20% - Accent5 10 2 2 4 3 2" xfId="45485" xr:uid="{9BA096FB-2EF2-4854-8C97-E55D7C183875}"/>
    <cellStyle name="20% - Accent5 10 2 2 4 4" xfId="29607" xr:uid="{F585D550-5B19-45F7-91A4-119B3CF8129D}"/>
    <cellStyle name="20% - Accent5 10 2 2 5" xfId="9274" xr:uid="{00000000-0005-0000-0000-00003A1C0000}"/>
    <cellStyle name="20% - Accent5 10 2 2 5 2" xfId="17232" xr:uid="{00000000-0005-0000-0000-00003B1C0000}"/>
    <cellStyle name="20% - Accent5 10 2 2 5 2 2" xfId="41072" xr:uid="{8B08668B-04D3-46DA-9109-E2F02E11A53E}"/>
    <cellStyle name="20% - Accent5 10 2 2 5 3" xfId="25176" xr:uid="{00000000-0005-0000-0000-00003C1C0000}"/>
    <cellStyle name="20% - Accent5 10 2 2 5 3 2" xfId="49008" xr:uid="{153FB33B-881C-4F3F-A8E5-5A8256246B9B}"/>
    <cellStyle name="20% - Accent5 10 2 2 5 4" xfId="33131" xr:uid="{3CFDD78F-0DB6-4C2E-A72E-53757629421B}"/>
    <cellStyle name="20% - Accent5 10 2 2 6" xfId="10170" xr:uid="{00000000-0005-0000-0000-00003D1C0000}"/>
    <cellStyle name="20% - Accent5 10 2 2 6 2" xfId="34019" xr:uid="{3EDAFF54-849A-40D5-9565-CD662A09FA2B}"/>
    <cellStyle name="20% - Accent5 10 2 2 7" xfId="18125" xr:uid="{00000000-0005-0000-0000-00003E1C0000}"/>
    <cellStyle name="20% - Accent5 10 2 2 7 2" xfId="41957" xr:uid="{ECD71E6C-E6A8-46B9-AA0D-688ACB0B54A3}"/>
    <cellStyle name="20% - Accent5 10 2 2 8" xfId="26077" xr:uid="{DF64EEED-AF39-41EB-8F41-9827F4A21EEF}"/>
    <cellStyle name="20% - Accent5 10 2 2_Exh G" xfId="2432" xr:uid="{00000000-0005-0000-0000-00003F1C0000}"/>
    <cellStyle name="20% - Accent5 10 2 3" xfId="1253" xr:uid="{00000000-0005-0000-0000-0000401C0000}"/>
    <cellStyle name="20% - Accent5 10 2 3 2" xfId="4780" xr:uid="{00000000-0005-0000-0000-0000411C0000}"/>
    <cellStyle name="20% - Accent5 10 2 3 2 2" xfId="8371" xr:uid="{00000000-0005-0000-0000-0000421C0000}"/>
    <cellStyle name="20% - Accent5 10 2 3 2 2 2" xfId="16341" xr:uid="{00000000-0005-0000-0000-0000431C0000}"/>
    <cellStyle name="20% - Accent5 10 2 3 2 2 2 2" xfId="40183" xr:uid="{5A3F5F80-890B-47C0-AAF4-A77AD8FAEE45}"/>
    <cellStyle name="20% - Accent5 10 2 3 2 2 3" xfId="24287" xr:uid="{00000000-0005-0000-0000-0000441C0000}"/>
    <cellStyle name="20% - Accent5 10 2 3 2 2 3 2" xfId="48119" xr:uid="{D4E1DE46-2174-4BA5-BE68-7BA744AC2ACF}"/>
    <cellStyle name="20% - Accent5 10 2 3 2 2 4" xfId="32242" xr:uid="{33348D50-3142-4620-840A-92EA5CF89EEA}"/>
    <cellStyle name="20% - Accent5 10 2 3 2 3" xfId="12803" xr:uid="{00000000-0005-0000-0000-0000451C0000}"/>
    <cellStyle name="20% - Accent5 10 2 3 2 3 2" xfId="36652" xr:uid="{49E0BC18-1586-4168-8F34-1D4731F2914F}"/>
    <cellStyle name="20% - Accent5 10 2 3 2 4" xfId="20758" xr:uid="{00000000-0005-0000-0000-0000461C0000}"/>
    <cellStyle name="20% - Accent5 10 2 3 2 4 2" xfId="44590" xr:uid="{8C5B2C9D-D124-4136-820C-8920FFD358F4}"/>
    <cellStyle name="20% - Accent5 10 2 3 2 5" xfId="28711" xr:uid="{E47E8487-853B-46BE-9350-7A02E2CA1EE7}"/>
    <cellStyle name="20% - Accent5 10 2 3 3" xfId="6612" xr:uid="{00000000-0005-0000-0000-0000471C0000}"/>
    <cellStyle name="20% - Accent5 10 2 3 3 2" xfId="14583" xr:uid="{00000000-0005-0000-0000-0000481C0000}"/>
    <cellStyle name="20% - Accent5 10 2 3 3 2 2" xfId="38425" xr:uid="{5D28D4F1-F570-4FA9-810D-E39C41AE4C33}"/>
    <cellStyle name="20% - Accent5 10 2 3 3 3" xfId="22530" xr:uid="{00000000-0005-0000-0000-0000491C0000}"/>
    <cellStyle name="20% - Accent5 10 2 3 3 3 2" xfId="46362" xr:uid="{FD644518-BDE7-437F-B343-226CE1962A3B}"/>
    <cellStyle name="20% - Accent5 10 2 3 3 4" xfId="30484" xr:uid="{C326F107-6E73-4650-AD06-10A765E6FC25}"/>
    <cellStyle name="20% - Accent5 10 2 3 4" xfId="11047" xr:uid="{00000000-0005-0000-0000-00004A1C0000}"/>
    <cellStyle name="20% - Accent5 10 2 3 4 2" xfId="34896" xr:uid="{03BEC86E-1AA6-468C-A646-6A08DA3EC481}"/>
    <cellStyle name="20% - Accent5 10 2 3 5" xfId="19002" xr:uid="{00000000-0005-0000-0000-00004B1C0000}"/>
    <cellStyle name="20% - Accent5 10 2 3 5 2" xfId="42834" xr:uid="{1E34BFDD-02E9-4BA0-99C5-6D2AB75303C8}"/>
    <cellStyle name="20% - Accent5 10 2 3 6" xfId="26954" xr:uid="{CC609BDB-DC51-41F5-978A-93FCAFBD32AA}"/>
    <cellStyle name="20% - Accent5 10 2 3_Exh G" xfId="2434" xr:uid="{00000000-0005-0000-0000-00004C1C0000}"/>
    <cellStyle name="20% - Accent5 10 2 4" xfId="3901" xr:uid="{00000000-0005-0000-0000-00004D1C0000}"/>
    <cellStyle name="20% - Accent5 10 2 4 2" xfId="7493" xr:uid="{00000000-0005-0000-0000-00004E1C0000}"/>
    <cellStyle name="20% - Accent5 10 2 4 2 2" xfId="15463" xr:uid="{00000000-0005-0000-0000-00004F1C0000}"/>
    <cellStyle name="20% - Accent5 10 2 4 2 2 2" xfId="39305" xr:uid="{10F17AB7-2630-49E3-BF69-B4AA263EAD7F}"/>
    <cellStyle name="20% - Accent5 10 2 4 2 3" xfId="23409" xr:uid="{00000000-0005-0000-0000-0000501C0000}"/>
    <cellStyle name="20% - Accent5 10 2 4 2 3 2" xfId="47241" xr:uid="{680A11E5-1860-489E-8148-5C2D0941A58F}"/>
    <cellStyle name="20% - Accent5 10 2 4 2 4" xfId="31364" xr:uid="{7A9D1359-C691-41E5-95DE-37DBB3CECAF2}"/>
    <cellStyle name="20% - Accent5 10 2 4 3" xfId="11925" xr:uid="{00000000-0005-0000-0000-0000511C0000}"/>
    <cellStyle name="20% - Accent5 10 2 4 3 2" xfId="35774" xr:uid="{7AA7CF15-AD64-436B-BECC-6B4404FFFE30}"/>
    <cellStyle name="20% - Accent5 10 2 4 4" xfId="19880" xr:uid="{00000000-0005-0000-0000-0000521C0000}"/>
    <cellStyle name="20% - Accent5 10 2 4 4 2" xfId="43712" xr:uid="{1BF33EAB-B2E8-485E-9533-306A3AB89097}"/>
    <cellStyle name="20% - Accent5 10 2 4 5" xfId="27833" xr:uid="{3A1CD1D2-1D33-48CB-BB56-DF095EBC8270}"/>
    <cellStyle name="20% - Accent5 10 2 5" xfId="5721" xr:uid="{00000000-0005-0000-0000-0000531C0000}"/>
    <cellStyle name="20% - Accent5 10 2 5 2" xfId="13704" xr:uid="{00000000-0005-0000-0000-0000541C0000}"/>
    <cellStyle name="20% - Accent5 10 2 5 2 2" xfId="37547" xr:uid="{0FA2CBE7-656E-484C-A5C8-E9AF9151C266}"/>
    <cellStyle name="20% - Accent5 10 2 5 3" xfId="21652" xr:uid="{00000000-0005-0000-0000-0000551C0000}"/>
    <cellStyle name="20% - Accent5 10 2 5 3 2" xfId="45484" xr:uid="{0705397E-A28C-4BEC-A703-FCC77E719D75}"/>
    <cellStyle name="20% - Accent5 10 2 5 4" xfId="29606" xr:uid="{AA8271D3-849C-4C19-90BC-DAA95F0AADC0}"/>
    <cellStyle name="20% - Accent5 10 2 6" xfId="9273" xr:uid="{00000000-0005-0000-0000-0000561C0000}"/>
    <cellStyle name="20% - Accent5 10 2 6 2" xfId="17231" xr:uid="{00000000-0005-0000-0000-0000571C0000}"/>
    <cellStyle name="20% - Accent5 10 2 6 2 2" xfId="41071" xr:uid="{771A4402-3CDB-4CCE-B40D-E4DE6E284233}"/>
    <cellStyle name="20% - Accent5 10 2 6 3" xfId="25175" xr:uid="{00000000-0005-0000-0000-0000581C0000}"/>
    <cellStyle name="20% - Accent5 10 2 6 3 2" xfId="49007" xr:uid="{17E9B780-4DCB-4EF9-8EC7-139FB2698800}"/>
    <cellStyle name="20% - Accent5 10 2 6 4" xfId="33130" xr:uid="{C63D2C88-7366-4FBE-87DC-7B48EFD3F441}"/>
    <cellStyle name="20% - Accent5 10 2 7" xfId="10169" xr:uid="{00000000-0005-0000-0000-0000591C0000}"/>
    <cellStyle name="20% - Accent5 10 2 7 2" xfId="34018" xr:uid="{5BAD8B33-0C3C-4F8A-963A-8B232CBAAF7C}"/>
    <cellStyle name="20% - Accent5 10 2 8" xfId="18124" xr:uid="{00000000-0005-0000-0000-00005A1C0000}"/>
    <cellStyle name="20% - Accent5 10 2 8 2" xfId="41956" xr:uid="{50F445C0-DBD0-44AD-9F54-63D81C269430}"/>
    <cellStyle name="20% - Accent5 10 2 9" xfId="26076" xr:uid="{58AADB83-5D6E-47CA-8F2C-1767B2B577FC}"/>
    <cellStyle name="20% - Accent5 10 2_Exh G" xfId="2431" xr:uid="{00000000-0005-0000-0000-00005B1C0000}"/>
    <cellStyle name="20% - Accent5 10 3" xfId="229" xr:uid="{00000000-0005-0000-0000-00005C1C0000}"/>
    <cellStyle name="20% - Accent5 10 3 2" xfId="1255" xr:uid="{00000000-0005-0000-0000-00005D1C0000}"/>
    <cellStyle name="20% - Accent5 10 3 2 2" xfId="4782" xr:uid="{00000000-0005-0000-0000-00005E1C0000}"/>
    <cellStyle name="20% - Accent5 10 3 2 2 2" xfId="8373" xr:uid="{00000000-0005-0000-0000-00005F1C0000}"/>
    <cellStyle name="20% - Accent5 10 3 2 2 2 2" xfId="16343" xr:uid="{00000000-0005-0000-0000-0000601C0000}"/>
    <cellStyle name="20% - Accent5 10 3 2 2 2 2 2" xfId="40185" xr:uid="{43E4FD08-47C3-44A2-B940-4617948787C2}"/>
    <cellStyle name="20% - Accent5 10 3 2 2 2 3" xfId="24289" xr:uid="{00000000-0005-0000-0000-0000611C0000}"/>
    <cellStyle name="20% - Accent5 10 3 2 2 2 3 2" xfId="48121" xr:uid="{B1AF985F-E59B-4E72-B864-A4B9DC7F18F4}"/>
    <cellStyle name="20% - Accent5 10 3 2 2 2 4" xfId="32244" xr:uid="{40E3AB47-FDD8-489F-8626-3EAAC4727B3D}"/>
    <cellStyle name="20% - Accent5 10 3 2 2 3" xfId="12805" xr:uid="{00000000-0005-0000-0000-0000621C0000}"/>
    <cellStyle name="20% - Accent5 10 3 2 2 3 2" xfId="36654" xr:uid="{05775A7F-7069-4297-A90A-80EC4FDBCC69}"/>
    <cellStyle name="20% - Accent5 10 3 2 2 4" xfId="20760" xr:uid="{00000000-0005-0000-0000-0000631C0000}"/>
    <cellStyle name="20% - Accent5 10 3 2 2 4 2" xfId="44592" xr:uid="{9B777533-D6E0-4FB3-9DE1-20E9DFA307A0}"/>
    <cellStyle name="20% - Accent5 10 3 2 2 5" xfId="28713" xr:uid="{628A6C2A-AB7B-45CB-8AC0-57A856F0578D}"/>
    <cellStyle name="20% - Accent5 10 3 2 3" xfId="6614" xr:uid="{00000000-0005-0000-0000-0000641C0000}"/>
    <cellStyle name="20% - Accent5 10 3 2 3 2" xfId="14585" xr:uid="{00000000-0005-0000-0000-0000651C0000}"/>
    <cellStyle name="20% - Accent5 10 3 2 3 2 2" xfId="38427" xr:uid="{BFD357F1-C2DA-4D75-85EB-E3FDABF2663C}"/>
    <cellStyle name="20% - Accent5 10 3 2 3 3" xfId="22532" xr:uid="{00000000-0005-0000-0000-0000661C0000}"/>
    <cellStyle name="20% - Accent5 10 3 2 3 3 2" xfId="46364" xr:uid="{ABDA118C-6624-4358-BDF3-5B3BAA809072}"/>
    <cellStyle name="20% - Accent5 10 3 2 3 4" xfId="30486" xr:uid="{7B316612-5686-4EA8-BBE7-1CA51D8B437C}"/>
    <cellStyle name="20% - Accent5 10 3 2 4" xfId="11049" xr:uid="{00000000-0005-0000-0000-0000671C0000}"/>
    <cellStyle name="20% - Accent5 10 3 2 4 2" xfId="34898" xr:uid="{573111CE-5B2E-4343-A7B8-EEB8701722D0}"/>
    <cellStyle name="20% - Accent5 10 3 2 5" xfId="19004" xr:uid="{00000000-0005-0000-0000-0000681C0000}"/>
    <cellStyle name="20% - Accent5 10 3 2 5 2" xfId="42836" xr:uid="{81D72D70-F21F-415B-A3EF-556CDBEC40E5}"/>
    <cellStyle name="20% - Accent5 10 3 2 6" xfId="26956" xr:uid="{034E9799-04FB-4A70-A156-3DCD18401F73}"/>
    <cellStyle name="20% - Accent5 10 3 2_Exh G" xfId="2436" xr:uid="{00000000-0005-0000-0000-0000691C0000}"/>
    <cellStyle name="20% - Accent5 10 3 3" xfId="3903" xr:uid="{00000000-0005-0000-0000-00006A1C0000}"/>
    <cellStyle name="20% - Accent5 10 3 3 2" xfId="7495" xr:uid="{00000000-0005-0000-0000-00006B1C0000}"/>
    <cellStyle name="20% - Accent5 10 3 3 2 2" xfId="15465" xr:uid="{00000000-0005-0000-0000-00006C1C0000}"/>
    <cellStyle name="20% - Accent5 10 3 3 2 2 2" xfId="39307" xr:uid="{8862584C-5982-4C1F-8CFA-89B9FD59D504}"/>
    <cellStyle name="20% - Accent5 10 3 3 2 3" xfId="23411" xr:uid="{00000000-0005-0000-0000-00006D1C0000}"/>
    <cellStyle name="20% - Accent5 10 3 3 2 3 2" xfId="47243" xr:uid="{1F8CBB97-DCB4-41BE-9362-627005F6522C}"/>
    <cellStyle name="20% - Accent5 10 3 3 2 4" xfId="31366" xr:uid="{42D2A9D6-CD59-4BB2-9D06-333327AB2F28}"/>
    <cellStyle name="20% - Accent5 10 3 3 3" xfId="11927" xr:uid="{00000000-0005-0000-0000-00006E1C0000}"/>
    <cellStyle name="20% - Accent5 10 3 3 3 2" xfId="35776" xr:uid="{EE3F9DBA-C544-432C-83BA-23BECA2764C6}"/>
    <cellStyle name="20% - Accent5 10 3 3 4" xfId="19882" xr:uid="{00000000-0005-0000-0000-00006F1C0000}"/>
    <cellStyle name="20% - Accent5 10 3 3 4 2" xfId="43714" xr:uid="{2C07D6D1-FB13-4851-9D2B-A3537FD7F949}"/>
    <cellStyle name="20% - Accent5 10 3 3 5" xfId="27835" xr:uid="{F8EE1DBE-5E54-47CC-B929-64847896DC26}"/>
    <cellStyle name="20% - Accent5 10 3 4" xfId="5723" xr:uid="{00000000-0005-0000-0000-0000701C0000}"/>
    <cellStyle name="20% - Accent5 10 3 4 2" xfId="13706" xr:uid="{00000000-0005-0000-0000-0000711C0000}"/>
    <cellStyle name="20% - Accent5 10 3 4 2 2" xfId="37549" xr:uid="{03F943E8-BE31-45C5-ACE7-E43D4B3225DF}"/>
    <cellStyle name="20% - Accent5 10 3 4 3" xfId="21654" xr:uid="{00000000-0005-0000-0000-0000721C0000}"/>
    <cellStyle name="20% - Accent5 10 3 4 3 2" xfId="45486" xr:uid="{FF60EA60-FF75-4823-B3A8-7AB33FE1FD1B}"/>
    <cellStyle name="20% - Accent5 10 3 4 4" xfId="29608" xr:uid="{BFDF12E4-7876-4B08-8DAD-4BBA9C6FF6A4}"/>
    <cellStyle name="20% - Accent5 10 3 5" xfId="9275" xr:uid="{00000000-0005-0000-0000-0000731C0000}"/>
    <cellStyle name="20% - Accent5 10 3 5 2" xfId="17233" xr:uid="{00000000-0005-0000-0000-0000741C0000}"/>
    <cellStyle name="20% - Accent5 10 3 5 2 2" xfId="41073" xr:uid="{CFD7E979-80AB-4E38-BD38-598F903B179B}"/>
    <cellStyle name="20% - Accent5 10 3 5 3" xfId="25177" xr:uid="{00000000-0005-0000-0000-0000751C0000}"/>
    <cellStyle name="20% - Accent5 10 3 5 3 2" xfId="49009" xr:uid="{D368C919-1899-4795-8350-D427444B5BCA}"/>
    <cellStyle name="20% - Accent5 10 3 5 4" xfId="33132" xr:uid="{9CC6921C-A3F4-411E-AEE7-D45A281F4FF4}"/>
    <cellStyle name="20% - Accent5 10 3 6" xfId="10171" xr:uid="{00000000-0005-0000-0000-0000761C0000}"/>
    <cellStyle name="20% - Accent5 10 3 6 2" xfId="34020" xr:uid="{F5D36921-90B0-4AAF-BE0B-D5359730D833}"/>
    <cellStyle name="20% - Accent5 10 3 7" xfId="18126" xr:uid="{00000000-0005-0000-0000-0000771C0000}"/>
    <cellStyle name="20% - Accent5 10 3 7 2" xfId="41958" xr:uid="{D0FB25F7-9611-4CBB-97A0-8634E1016905}"/>
    <cellStyle name="20% - Accent5 10 3 8" xfId="26078" xr:uid="{0164B109-8F1A-47B1-BF2B-D48E17A9BA9F}"/>
    <cellStyle name="20% - Accent5 10 3_Exh G" xfId="2435" xr:uid="{00000000-0005-0000-0000-0000781C0000}"/>
    <cellStyle name="20% - Accent5 10 4" xfId="907" xr:uid="{00000000-0005-0000-0000-0000791C0000}"/>
    <cellStyle name="20% - Accent5 10 5" xfId="1252" xr:uid="{00000000-0005-0000-0000-00007A1C0000}"/>
    <cellStyle name="20% - Accent5 10 5 2" xfId="4779" xr:uid="{00000000-0005-0000-0000-00007B1C0000}"/>
    <cellStyle name="20% - Accent5 10 5 2 2" xfId="8370" xr:uid="{00000000-0005-0000-0000-00007C1C0000}"/>
    <cellStyle name="20% - Accent5 10 5 2 2 2" xfId="16340" xr:uid="{00000000-0005-0000-0000-00007D1C0000}"/>
    <cellStyle name="20% - Accent5 10 5 2 2 2 2" xfId="40182" xr:uid="{AD1F3109-9B43-4DA8-A552-D8A037F0CB16}"/>
    <cellStyle name="20% - Accent5 10 5 2 2 3" xfId="24286" xr:uid="{00000000-0005-0000-0000-00007E1C0000}"/>
    <cellStyle name="20% - Accent5 10 5 2 2 3 2" xfId="48118" xr:uid="{A3979616-2552-4035-A1CF-4CE44552AF8E}"/>
    <cellStyle name="20% - Accent5 10 5 2 2 4" xfId="32241" xr:uid="{EB7B50A4-E23C-4729-9B4F-814A5C3CEB47}"/>
    <cellStyle name="20% - Accent5 10 5 2 3" xfId="12802" xr:uid="{00000000-0005-0000-0000-00007F1C0000}"/>
    <cellStyle name="20% - Accent5 10 5 2 3 2" xfId="36651" xr:uid="{0919F1F1-E138-4C70-8E01-CFB85BF3EC54}"/>
    <cellStyle name="20% - Accent5 10 5 2 4" xfId="20757" xr:uid="{00000000-0005-0000-0000-0000801C0000}"/>
    <cellStyle name="20% - Accent5 10 5 2 4 2" xfId="44589" xr:uid="{72C32024-FB89-43F1-B054-FEC83650A801}"/>
    <cellStyle name="20% - Accent5 10 5 2 5" xfId="28710" xr:uid="{8545159D-4A5F-4A06-B43B-82FD16673566}"/>
    <cellStyle name="20% - Accent5 10 5 3" xfId="6611" xr:uid="{00000000-0005-0000-0000-0000811C0000}"/>
    <cellStyle name="20% - Accent5 10 5 3 2" xfId="14582" xr:uid="{00000000-0005-0000-0000-0000821C0000}"/>
    <cellStyle name="20% - Accent5 10 5 3 2 2" xfId="38424" xr:uid="{5BDB1B05-0C8B-4009-AF7E-618E59D89844}"/>
    <cellStyle name="20% - Accent5 10 5 3 3" xfId="22529" xr:uid="{00000000-0005-0000-0000-0000831C0000}"/>
    <cellStyle name="20% - Accent5 10 5 3 3 2" xfId="46361" xr:uid="{366E6DE6-2B20-4649-9DE8-5253A9650FD4}"/>
    <cellStyle name="20% - Accent5 10 5 3 4" xfId="30483" xr:uid="{B5528302-4608-4965-891A-1E7B4E376ACD}"/>
    <cellStyle name="20% - Accent5 10 5 4" xfId="11046" xr:uid="{00000000-0005-0000-0000-0000841C0000}"/>
    <cellStyle name="20% - Accent5 10 5 4 2" xfId="34895" xr:uid="{53FD3E23-3F48-40DE-B372-41B02C3DECE1}"/>
    <cellStyle name="20% - Accent5 10 5 5" xfId="19001" xr:uid="{00000000-0005-0000-0000-0000851C0000}"/>
    <cellStyle name="20% - Accent5 10 5 5 2" xfId="42833" xr:uid="{4D0035B5-5C8D-43DC-8D9B-5BFB3088996B}"/>
    <cellStyle name="20% - Accent5 10 5 6" xfId="26953" xr:uid="{65D77784-85C4-4777-922F-F1FCE838F9A8}"/>
    <cellStyle name="20% - Accent5 10 5_Exh G" xfId="2437" xr:uid="{00000000-0005-0000-0000-0000861C0000}"/>
    <cellStyle name="20% - Accent5 10 6" xfId="3900" xr:uid="{00000000-0005-0000-0000-0000871C0000}"/>
    <cellStyle name="20% - Accent5 10 6 2" xfId="7492" xr:uid="{00000000-0005-0000-0000-0000881C0000}"/>
    <cellStyle name="20% - Accent5 10 6 2 2" xfId="15462" xr:uid="{00000000-0005-0000-0000-0000891C0000}"/>
    <cellStyle name="20% - Accent5 10 6 2 2 2" xfId="39304" xr:uid="{CA0C6D32-7321-4FAD-B7B7-25616F4C9F6C}"/>
    <cellStyle name="20% - Accent5 10 6 2 3" xfId="23408" xr:uid="{00000000-0005-0000-0000-00008A1C0000}"/>
    <cellStyle name="20% - Accent5 10 6 2 3 2" xfId="47240" xr:uid="{2415DE6D-8F56-4796-B4BB-4385FF4B7881}"/>
    <cellStyle name="20% - Accent5 10 6 2 4" xfId="31363" xr:uid="{4C864121-2619-4FD6-9C24-6AC7C894D0BF}"/>
    <cellStyle name="20% - Accent5 10 6 3" xfId="11924" xr:uid="{00000000-0005-0000-0000-00008B1C0000}"/>
    <cellStyle name="20% - Accent5 10 6 3 2" xfId="35773" xr:uid="{644ACAA5-D02D-493B-A308-6BADCA67BC5A}"/>
    <cellStyle name="20% - Accent5 10 6 4" xfId="19879" xr:uid="{00000000-0005-0000-0000-00008C1C0000}"/>
    <cellStyle name="20% - Accent5 10 6 4 2" xfId="43711" xr:uid="{95542E62-7B2B-4B97-AB6A-DF0FC23644C3}"/>
    <cellStyle name="20% - Accent5 10 6 5" xfId="27832" xr:uid="{721FCBB0-32FA-45D7-BB64-BA07AD0B903D}"/>
    <cellStyle name="20% - Accent5 10 7" xfId="5720" xr:uid="{00000000-0005-0000-0000-00008D1C0000}"/>
    <cellStyle name="20% - Accent5 10 7 2" xfId="13703" xr:uid="{00000000-0005-0000-0000-00008E1C0000}"/>
    <cellStyle name="20% - Accent5 10 7 2 2" xfId="37546" xr:uid="{1238BD8F-1D6A-4A9B-A9CD-450482C9FD6B}"/>
    <cellStyle name="20% - Accent5 10 7 3" xfId="21651" xr:uid="{00000000-0005-0000-0000-00008F1C0000}"/>
    <cellStyle name="20% - Accent5 10 7 3 2" xfId="45483" xr:uid="{89D4248E-404C-4999-A7DD-C070DBA8B590}"/>
    <cellStyle name="20% - Accent5 10 7 4" xfId="29605" xr:uid="{CCC9C34F-3E66-43A2-957E-13BB18B467B4}"/>
    <cellStyle name="20% - Accent5 10 8" xfId="9272" xr:uid="{00000000-0005-0000-0000-0000901C0000}"/>
    <cellStyle name="20% - Accent5 10 8 2" xfId="17230" xr:uid="{00000000-0005-0000-0000-0000911C0000}"/>
    <cellStyle name="20% - Accent5 10 8 2 2" xfId="41070" xr:uid="{E452C764-0AC2-4CAF-B698-AEEB2DF7005C}"/>
    <cellStyle name="20% - Accent5 10 8 3" xfId="25174" xr:uid="{00000000-0005-0000-0000-0000921C0000}"/>
    <cellStyle name="20% - Accent5 10 8 3 2" xfId="49006" xr:uid="{C59D144B-B78A-409B-A353-51556266F3AE}"/>
    <cellStyle name="20% - Accent5 10 8 4" xfId="33129" xr:uid="{008ACFC2-91AB-49E0-8A53-DA66D3AF75E6}"/>
    <cellStyle name="20% - Accent5 10 9" xfId="10168" xr:uid="{00000000-0005-0000-0000-0000931C0000}"/>
    <cellStyle name="20% - Accent5 10 9 2" xfId="34017" xr:uid="{52ECCAC9-FA6D-4E9A-A1EF-354016018187}"/>
    <cellStyle name="20% - Accent5 10_Exh G" xfId="2430" xr:uid="{00000000-0005-0000-0000-0000941C0000}"/>
    <cellStyle name="20% - Accent5 11" xfId="230" xr:uid="{00000000-0005-0000-0000-0000951C0000}"/>
    <cellStyle name="20% - Accent5 11 10" xfId="26079" xr:uid="{EDEA82C3-748E-454D-BB64-626ABAACC178}"/>
    <cellStyle name="20% - Accent5 11 2" xfId="231" xr:uid="{00000000-0005-0000-0000-0000961C0000}"/>
    <cellStyle name="20% - Accent5 11 2 2" xfId="232" xr:uid="{00000000-0005-0000-0000-0000971C0000}"/>
    <cellStyle name="20% - Accent5 11 2 2 2" xfId="1258" xr:uid="{00000000-0005-0000-0000-0000981C0000}"/>
    <cellStyle name="20% - Accent5 11 2 2 2 2" xfId="4785" xr:uid="{00000000-0005-0000-0000-0000991C0000}"/>
    <cellStyle name="20% - Accent5 11 2 2 2 2 2" xfId="8376" xr:uid="{00000000-0005-0000-0000-00009A1C0000}"/>
    <cellStyle name="20% - Accent5 11 2 2 2 2 2 2" xfId="16346" xr:uid="{00000000-0005-0000-0000-00009B1C0000}"/>
    <cellStyle name="20% - Accent5 11 2 2 2 2 2 2 2" xfId="40188" xr:uid="{4F6C1A86-3F14-4D19-91A1-2C9D6BB37B3A}"/>
    <cellStyle name="20% - Accent5 11 2 2 2 2 2 3" xfId="24292" xr:uid="{00000000-0005-0000-0000-00009C1C0000}"/>
    <cellStyle name="20% - Accent5 11 2 2 2 2 2 3 2" xfId="48124" xr:uid="{1A9060FC-7903-4EC1-A658-607E7CFEC170}"/>
    <cellStyle name="20% - Accent5 11 2 2 2 2 2 4" xfId="32247" xr:uid="{3EF68755-B640-4DF1-9D1D-871E6464716C}"/>
    <cellStyle name="20% - Accent5 11 2 2 2 2 3" xfId="12808" xr:uid="{00000000-0005-0000-0000-00009D1C0000}"/>
    <cellStyle name="20% - Accent5 11 2 2 2 2 3 2" xfId="36657" xr:uid="{88C57EB4-5FE1-41B0-9A3A-5A304773DC91}"/>
    <cellStyle name="20% - Accent5 11 2 2 2 2 4" xfId="20763" xr:uid="{00000000-0005-0000-0000-00009E1C0000}"/>
    <cellStyle name="20% - Accent5 11 2 2 2 2 4 2" xfId="44595" xr:uid="{8A786332-C944-439E-99C7-FB234F773162}"/>
    <cellStyle name="20% - Accent5 11 2 2 2 2 5" xfId="28716" xr:uid="{AD1D3A04-E042-42E4-A8BF-F31C847297E9}"/>
    <cellStyle name="20% - Accent5 11 2 2 2 3" xfId="6617" xr:uid="{00000000-0005-0000-0000-00009F1C0000}"/>
    <cellStyle name="20% - Accent5 11 2 2 2 3 2" xfId="14588" xr:uid="{00000000-0005-0000-0000-0000A01C0000}"/>
    <cellStyle name="20% - Accent5 11 2 2 2 3 2 2" xfId="38430" xr:uid="{1849DFAE-1C39-425D-A6F0-74245902DB34}"/>
    <cellStyle name="20% - Accent5 11 2 2 2 3 3" xfId="22535" xr:uid="{00000000-0005-0000-0000-0000A11C0000}"/>
    <cellStyle name="20% - Accent5 11 2 2 2 3 3 2" xfId="46367" xr:uid="{71722771-2B0F-4D18-AA41-5DD694587CD0}"/>
    <cellStyle name="20% - Accent5 11 2 2 2 3 4" xfId="30489" xr:uid="{10551933-2DFD-4D82-B742-CB16B2207D11}"/>
    <cellStyle name="20% - Accent5 11 2 2 2 4" xfId="11052" xr:uid="{00000000-0005-0000-0000-0000A21C0000}"/>
    <cellStyle name="20% - Accent5 11 2 2 2 4 2" xfId="34901" xr:uid="{54B4EE6F-F37E-4EF6-BF78-6EC5163537AE}"/>
    <cellStyle name="20% - Accent5 11 2 2 2 5" xfId="19007" xr:uid="{00000000-0005-0000-0000-0000A31C0000}"/>
    <cellStyle name="20% - Accent5 11 2 2 2 5 2" xfId="42839" xr:uid="{C079F5D9-9817-4728-B307-398DB2B75986}"/>
    <cellStyle name="20% - Accent5 11 2 2 2 6" xfId="26959" xr:uid="{8FBF3C09-C484-4D2D-AA79-AA8786BF3EE5}"/>
    <cellStyle name="20% - Accent5 11 2 2 2_Exh G" xfId="2441" xr:uid="{00000000-0005-0000-0000-0000A41C0000}"/>
    <cellStyle name="20% - Accent5 11 2 2 3" xfId="3906" xr:uid="{00000000-0005-0000-0000-0000A51C0000}"/>
    <cellStyle name="20% - Accent5 11 2 2 3 2" xfId="7498" xr:uid="{00000000-0005-0000-0000-0000A61C0000}"/>
    <cellStyle name="20% - Accent5 11 2 2 3 2 2" xfId="15468" xr:uid="{00000000-0005-0000-0000-0000A71C0000}"/>
    <cellStyle name="20% - Accent5 11 2 2 3 2 2 2" xfId="39310" xr:uid="{CFB0554A-423B-4663-B865-FDE4B86A251C}"/>
    <cellStyle name="20% - Accent5 11 2 2 3 2 3" xfId="23414" xr:uid="{00000000-0005-0000-0000-0000A81C0000}"/>
    <cellStyle name="20% - Accent5 11 2 2 3 2 3 2" xfId="47246" xr:uid="{88DB5BDF-52E2-4FB1-8884-3E991EBAA355}"/>
    <cellStyle name="20% - Accent5 11 2 2 3 2 4" xfId="31369" xr:uid="{AB4406FB-D717-4680-AE3A-F4CEDA939B42}"/>
    <cellStyle name="20% - Accent5 11 2 2 3 3" xfId="11930" xr:uid="{00000000-0005-0000-0000-0000A91C0000}"/>
    <cellStyle name="20% - Accent5 11 2 2 3 3 2" xfId="35779" xr:uid="{920F9742-AE8A-466B-83ED-1CE518EB1B63}"/>
    <cellStyle name="20% - Accent5 11 2 2 3 4" xfId="19885" xr:uid="{00000000-0005-0000-0000-0000AA1C0000}"/>
    <cellStyle name="20% - Accent5 11 2 2 3 4 2" xfId="43717" xr:uid="{3F6957CD-2B62-4C59-8720-58328A1219EE}"/>
    <cellStyle name="20% - Accent5 11 2 2 3 5" xfId="27838" xr:uid="{4E66131D-D904-4EA6-9212-2DD404082256}"/>
    <cellStyle name="20% - Accent5 11 2 2 4" xfId="5726" xr:uid="{00000000-0005-0000-0000-0000AB1C0000}"/>
    <cellStyle name="20% - Accent5 11 2 2 4 2" xfId="13709" xr:uid="{00000000-0005-0000-0000-0000AC1C0000}"/>
    <cellStyle name="20% - Accent5 11 2 2 4 2 2" xfId="37552" xr:uid="{13C51DA4-9C28-4B51-8978-3AD704F86221}"/>
    <cellStyle name="20% - Accent5 11 2 2 4 3" xfId="21657" xr:uid="{00000000-0005-0000-0000-0000AD1C0000}"/>
    <cellStyle name="20% - Accent5 11 2 2 4 3 2" xfId="45489" xr:uid="{93859073-A23E-4E85-A58B-C1988B74825A}"/>
    <cellStyle name="20% - Accent5 11 2 2 4 4" xfId="29611" xr:uid="{C314DC11-B72A-4686-BB5C-288D416DB2E7}"/>
    <cellStyle name="20% - Accent5 11 2 2 5" xfId="9278" xr:uid="{00000000-0005-0000-0000-0000AE1C0000}"/>
    <cellStyle name="20% - Accent5 11 2 2 5 2" xfId="17236" xr:uid="{00000000-0005-0000-0000-0000AF1C0000}"/>
    <cellStyle name="20% - Accent5 11 2 2 5 2 2" xfId="41076" xr:uid="{0AD4C625-747F-42FB-86CD-5B62E49EBFB0}"/>
    <cellStyle name="20% - Accent5 11 2 2 5 3" xfId="25180" xr:uid="{00000000-0005-0000-0000-0000B01C0000}"/>
    <cellStyle name="20% - Accent5 11 2 2 5 3 2" xfId="49012" xr:uid="{7ED74E57-D90B-4E7D-B089-FD0BD6A58C5C}"/>
    <cellStyle name="20% - Accent5 11 2 2 5 4" xfId="33135" xr:uid="{EB9E82B6-D015-46BD-9E7E-90F3B0809757}"/>
    <cellStyle name="20% - Accent5 11 2 2 6" xfId="10174" xr:uid="{00000000-0005-0000-0000-0000B11C0000}"/>
    <cellStyle name="20% - Accent5 11 2 2 6 2" xfId="34023" xr:uid="{59164C0C-E5C0-433D-9A24-40782F35D337}"/>
    <cellStyle name="20% - Accent5 11 2 2 7" xfId="18129" xr:uid="{00000000-0005-0000-0000-0000B21C0000}"/>
    <cellStyle name="20% - Accent5 11 2 2 7 2" xfId="41961" xr:uid="{91C16DE7-9BED-4507-8327-9518A879DAB1}"/>
    <cellStyle name="20% - Accent5 11 2 2 8" xfId="26081" xr:uid="{4863A611-FF6F-4E32-8018-2D9FA05FC9C8}"/>
    <cellStyle name="20% - Accent5 11 2 2_Exh G" xfId="2440" xr:uid="{00000000-0005-0000-0000-0000B31C0000}"/>
    <cellStyle name="20% - Accent5 11 2 3" xfId="1257" xr:uid="{00000000-0005-0000-0000-0000B41C0000}"/>
    <cellStyle name="20% - Accent5 11 2 3 2" xfId="4784" xr:uid="{00000000-0005-0000-0000-0000B51C0000}"/>
    <cellStyle name="20% - Accent5 11 2 3 2 2" xfId="8375" xr:uid="{00000000-0005-0000-0000-0000B61C0000}"/>
    <cellStyle name="20% - Accent5 11 2 3 2 2 2" xfId="16345" xr:uid="{00000000-0005-0000-0000-0000B71C0000}"/>
    <cellStyle name="20% - Accent5 11 2 3 2 2 2 2" xfId="40187" xr:uid="{310FDDEA-9377-430C-B644-5C3E58527AA8}"/>
    <cellStyle name="20% - Accent5 11 2 3 2 2 3" xfId="24291" xr:uid="{00000000-0005-0000-0000-0000B81C0000}"/>
    <cellStyle name="20% - Accent5 11 2 3 2 2 3 2" xfId="48123" xr:uid="{89DD1B20-528E-4975-887C-007CD9CD13A9}"/>
    <cellStyle name="20% - Accent5 11 2 3 2 2 4" xfId="32246" xr:uid="{D18DB40C-7F63-428F-97DE-33425B08113F}"/>
    <cellStyle name="20% - Accent5 11 2 3 2 3" xfId="12807" xr:uid="{00000000-0005-0000-0000-0000B91C0000}"/>
    <cellStyle name="20% - Accent5 11 2 3 2 3 2" xfId="36656" xr:uid="{FB7C5DA0-BFE6-4D62-809B-2C9A18C9900C}"/>
    <cellStyle name="20% - Accent5 11 2 3 2 4" xfId="20762" xr:uid="{00000000-0005-0000-0000-0000BA1C0000}"/>
    <cellStyle name="20% - Accent5 11 2 3 2 4 2" xfId="44594" xr:uid="{249423B6-B710-4C06-A82C-4F2D8497F77F}"/>
    <cellStyle name="20% - Accent5 11 2 3 2 5" xfId="28715" xr:uid="{06C7A405-EC7F-45CC-AAB1-6CAA25D53817}"/>
    <cellStyle name="20% - Accent5 11 2 3 3" xfId="6616" xr:uid="{00000000-0005-0000-0000-0000BB1C0000}"/>
    <cellStyle name="20% - Accent5 11 2 3 3 2" xfId="14587" xr:uid="{00000000-0005-0000-0000-0000BC1C0000}"/>
    <cellStyle name="20% - Accent5 11 2 3 3 2 2" xfId="38429" xr:uid="{131B6437-A1D1-4AFF-B435-33626A5822C0}"/>
    <cellStyle name="20% - Accent5 11 2 3 3 3" xfId="22534" xr:uid="{00000000-0005-0000-0000-0000BD1C0000}"/>
    <cellStyle name="20% - Accent5 11 2 3 3 3 2" xfId="46366" xr:uid="{5A6F6A27-528A-4160-9008-9C5382677AAB}"/>
    <cellStyle name="20% - Accent5 11 2 3 3 4" xfId="30488" xr:uid="{F7007F0A-5E47-4E12-9CB2-CB631AFA3FC8}"/>
    <cellStyle name="20% - Accent5 11 2 3 4" xfId="11051" xr:uid="{00000000-0005-0000-0000-0000BE1C0000}"/>
    <cellStyle name="20% - Accent5 11 2 3 4 2" xfId="34900" xr:uid="{22E54021-5C31-4E09-BD46-1A3A3EC8E65D}"/>
    <cellStyle name="20% - Accent5 11 2 3 5" xfId="19006" xr:uid="{00000000-0005-0000-0000-0000BF1C0000}"/>
    <cellStyle name="20% - Accent5 11 2 3 5 2" xfId="42838" xr:uid="{4FE39032-F57D-4F9D-9CBB-676DA8ADE827}"/>
    <cellStyle name="20% - Accent5 11 2 3 6" xfId="26958" xr:uid="{A2DAD41A-01A6-462D-A7D0-DE9EEAAF7FAF}"/>
    <cellStyle name="20% - Accent5 11 2 3_Exh G" xfId="2442" xr:uid="{00000000-0005-0000-0000-0000C01C0000}"/>
    <cellStyle name="20% - Accent5 11 2 4" xfId="3905" xr:uid="{00000000-0005-0000-0000-0000C11C0000}"/>
    <cellStyle name="20% - Accent5 11 2 4 2" xfId="7497" xr:uid="{00000000-0005-0000-0000-0000C21C0000}"/>
    <cellStyle name="20% - Accent5 11 2 4 2 2" xfId="15467" xr:uid="{00000000-0005-0000-0000-0000C31C0000}"/>
    <cellStyle name="20% - Accent5 11 2 4 2 2 2" xfId="39309" xr:uid="{2F402230-F091-4AD4-BD6C-44EDDCB60021}"/>
    <cellStyle name="20% - Accent5 11 2 4 2 3" xfId="23413" xr:uid="{00000000-0005-0000-0000-0000C41C0000}"/>
    <cellStyle name="20% - Accent5 11 2 4 2 3 2" xfId="47245" xr:uid="{50183291-70E8-472C-AB38-4CD8E488FB7E}"/>
    <cellStyle name="20% - Accent5 11 2 4 2 4" xfId="31368" xr:uid="{77A17ADD-55E4-4EFD-A997-90E996712A28}"/>
    <cellStyle name="20% - Accent5 11 2 4 3" xfId="11929" xr:uid="{00000000-0005-0000-0000-0000C51C0000}"/>
    <cellStyle name="20% - Accent5 11 2 4 3 2" xfId="35778" xr:uid="{462ADD5A-0EFA-41AA-B6F5-4A56E3F2266B}"/>
    <cellStyle name="20% - Accent5 11 2 4 4" xfId="19884" xr:uid="{00000000-0005-0000-0000-0000C61C0000}"/>
    <cellStyle name="20% - Accent5 11 2 4 4 2" xfId="43716" xr:uid="{B5EA47F4-C962-4890-B164-2AA454903002}"/>
    <cellStyle name="20% - Accent5 11 2 4 5" xfId="27837" xr:uid="{FA1B38C1-6E2F-4E5F-9DEF-2AA2F7143D7C}"/>
    <cellStyle name="20% - Accent5 11 2 5" xfId="5725" xr:uid="{00000000-0005-0000-0000-0000C71C0000}"/>
    <cellStyle name="20% - Accent5 11 2 5 2" xfId="13708" xr:uid="{00000000-0005-0000-0000-0000C81C0000}"/>
    <cellStyle name="20% - Accent5 11 2 5 2 2" xfId="37551" xr:uid="{BEF2E6CF-156E-47F7-B366-0688CDA5A8DC}"/>
    <cellStyle name="20% - Accent5 11 2 5 3" xfId="21656" xr:uid="{00000000-0005-0000-0000-0000C91C0000}"/>
    <cellStyle name="20% - Accent5 11 2 5 3 2" xfId="45488" xr:uid="{40AE2D1F-C1FB-4B88-BE17-915B0CA8C8DD}"/>
    <cellStyle name="20% - Accent5 11 2 5 4" xfId="29610" xr:uid="{3231EB43-7961-4812-8BE4-4DC1FC341924}"/>
    <cellStyle name="20% - Accent5 11 2 6" xfId="9277" xr:uid="{00000000-0005-0000-0000-0000CA1C0000}"/>
    <cellStyle name="20% - Accent5 11 2 6 2" xfId="17235" xr:uid="{00000000-0005-0000-0000-0000CB1C0000}"/>
    <cellStyle name="20% - Accent5 11 2 6 2 2" xfId="41075" xr:uid="{0CA48069-1245-49E7-AE3B-036E1BFCCCF4}"/>
    <cellStyle name="20% - Accent5 11 2 6 3" xfId="25179" xr:uid="{00000000-0005-0000-0000-0000CC1C0000}"/>
    <cellStyle name="20% - Accent5 11 2 6 3 2" xfId="49011" xr:uid="{12063BB9-2A8C-4D3D-9643-9F1CAD96DB84}"/>
    <cellStyle name="20% - Accent5 11 2 6 4" xfId="33134" xr:uid="{37D73305-E695-4AF9-BA2B-CED766FE8523}"/>
    <cellStyle name="20% - Accent5 11 2 7" xfId="10173" xr:uid="{00000000-0005-0000-0000-0000CD1C0000}"/>
    <cellStyle name="20% - Accent5 11 2 7 2" xfId="34022" xr:uid="{3F31E5AB-23CB-457D-A9EB-60169ED21472}"/>
    <cellStyle name="20% - Accent5 11 2 8" xfId="18128" xr:uid="{00000000-0005-0000-0000-0000CE1C0000}"/>
    <cellStyle name="20% - Accent5 11 2 8 2" xfId="41960" xr:uid="{CEBB8A24-6DF9-47C0-9EF2-9CECF9E4FC46}"/>
    <cellStyle name="20% - Accent5 11 2 9" xfId="26080" xr:uid="{A4F8018E-1328-4899-8F5A-4F7040089C21}"/>
    <cellStyle name="20% - Accent5 11 2_Exh G" xfId="2439" xr:uid="{00000000-0005-0000-0000-0000CF1C0000}"/>
    <cellStyle name="20% - Accent5 11 3" xfId="233" xr:uid="{00000000-0005-0000-0000-0000D01C0000}"/>
    <cellStyle name="20% - Accent5 11 3 2" xfId="1259" xr:uid="{00000000-0005-0000-0000-0000D11C0000}"/>
    <cellStyle name="20% - Accent5 11 3 2 2" xfId="4786" xr:uid="{00000000-0005-0000-0000-0000D21C0000}"/>
    <cellStyle name="20% - Accent5 11 3 2 2 2" xfId="8377" xr:uid="{00000000-0005-0000-0000-0000D31C0000}"/>
    <cellStyle name="20% - Accent5 11 3 2 2 2 2" xfId="16347" xr:uid="{00000000-0005-0000-0000-0000D41C0000}"/>
    <cellStyle name="20% - Accent5 11 3 2 2 2 2 2" xfId="40189" xr:uid="{83AF2C13-7F38-4048-BB7B-59F729869EB8}"/>
    <cellStyle name="20% - Accent5 11 3 2 2 2 3" xfId="24293" xr:uid="{00000000-0005-0000-0000-0000D51C0000}"/>
    <cellStyle name="20% - Accent5 11 3 2 2 2 3 2" xfId="48125" xr:uid="{7EABBFCE-DC97-478F-A0C7-188416A33290}"/>
    <cellStyle name="20% - Accent5 11 3 2 2 2 4" xfId="32248" xr:uid="{3FC81779-CB3A-4FAD-970A-F0526547FC56}"/>
    <cellStyle name="20% - Accent5 11 3 2 2 3" xfId="12809" xr:uid="{00000000-0005-0000-0000-0000D61C0000}"/>
    <cellStyle name="20% - Accent5 11 3 2 2 3 2" xfId="36658" xr:uid="{E817D027-4855-40AC-AC95-45D7C8FAB9D3}"/>
    <cellStyle name="20% - Accent5 11 3 2 2 4" xfId="20764" xr:uid="{00000000-0005-0000-0000-0000D71C0000}"/>
    <cellStyle name="20% - Accent5 11 3 2 2 4 2" xfId="44596" xr:uid="{17AE358D-A062-447A-A126-08E9B42A8DA0}"/>
    <cellStyle name="20% - Accent5 11 3 2 2 5" xfId="28717" xr:uid="{C25C3C7B-DBCF-4EFA-BE58-A8DA98624E87}"/>
    <cellStyle name="20% - Accent5 11 3 2 3" xfId="6618" xr:uid="{00000000-0005-0000-0000-0000D81C0000}"/>
    <cellStyle name="20% - Accent5 11 3 2 3 2" xfId="14589" xr:uid="{00000000-0005-0000-0000-0000D91C0000}"/>
    <cellStyle name="20% - Accent5 11 3 2 3 2 2" xfId="38431" xr:uid="{659F2084-F903-4815-8405-C249D4692674}"/>
    <cellStyle name="20% - Accent5 11 3 2 3 3" xfId="22536" xr:uid="{00000000-0005-0000-0000-0000DA1C0000}"/>
    <cellStyle name="20% - Accent5 11 3 2 3 3 2" xfId="46368" xr:uid="{AB738CC1-C3AB-4F79-B792-09B45ECBCCBE}"/>
    <cellStyle name="20% - Accent5 11 3 2 3 4" xfId="30490" xr:uid="{25144A3C-94C0-4DC0-95BC-577A6C58E682}"/>
    <cellStyle name="20% - Accent5 11 3 2 4" xfId="11053" xr:uid="{00000000-0005-0000-0000-0000DB1C0000}"/>
    <cellStyle name="20% - Accent5 11 3 2 4 2" xfId="34902" xr:uid="{0B453F2A-8A25-4630-A18D-4023DD5F46A6}"/>
    <cellStyle name="20% - Accent5 11 3 2 5" xfId="19008" xr:uid="{00000000-0005-0000-0000-0000DC1C0000}"/>
    <cellStyle name="20% - Accent5 11 3 2 5 2" xfId="42840" xr:uid="{4D781934-D1A6-4246-9665-A599AFD95609}"/>
    <cellStyle name="20% - Accent5 11 3 2 6" xfId="26960" xr:uid="{A95177D1-5D77-49DA-B084-AEDFD4D011F0}"/>
    <cellStyle name="20% - Accent5 11 3 2_Exh G" xfId="2444" xr:uid="{00000000-0005-0000-0000-0000DD1C0000}"/>
    <cellStyle name="20% - Accent5 11 3 3" xfId="3907" xr:uid="{00000000-0005-0000-0000-0000DE1C0000}"/>
    <cellStyle name="20% - Accent5 11 3 3 2" xfId="7499" xr:uid="{00000000-0005-0000-0000-0000DF1C0000}"/>
    <cellStyle name="20% - Accent5 11 3 3 2 2" xfId="15469" xr:uid="{00000000-0005-0000-0000-0000E01C0000}"/>
    <cellStyle name="20% - Accent5 11 3 3 2 2 2" xfId="39311" xr:uid="{5541F18F-F5C2-4688-BF0F-210850A701AC}"/>
    <cellStyle name="20% - Accent5 11 3 3 2 3" xfId="23415" xr:uid="{00000000-0005-0000-0000-0000E11C0000}"/>
    <cellStyle name="20% - Accent5 11 3 3 2 3 2" xfId="47247" xr:uid="{2B8FCC3B-30F0-4F79-80D5-90DC9A54CDA9}"/>
    <cellStyle name="20% - Accent5 11 3 3 2 4" xfId="31370" xr:uid="{8AE53DA2-51D8-46F4-BFBE-00F3367771AB}"/>
    <cellStyle name="20% - Accent5 11 3 3 3" xfId="11931" xr:uid="{00000000-0005-0000-0000-0000E21C0000}"/>
    <cellStyle name="20% - Accent5 11 3 3 3 2" xfId="35780" xr:uid="{761CC9B0-21C1-4E5F-BCEC-746B6DB9A3F7}"/>
    <cellStyle name="20% - Accent5 11 3 3 4" xfId="19886" xr:uid="{00000000-0005-0000-0000-0000E31C0000}"/>
    <cellStyle name="20% - Accent5 11 3 3 4 2" xfId="43718" xr:uid="{86A08902-A43B-4DC3-892E-C2AAEFFEEB5B}"/>
    <cellStyle name="20% - Accent5 11 3 3 5" xfId="27839" xr:uid="{45AC0CCA-3CF9-4AEF-8D7C-4BB3B182661F}"/>
    <cellStyle name="20% - Accent5 11 3 4" xfId="5727" xr:uid="{00000000-0005-0000-0000-0000E41C0000}"/>
    <cellStyle name="20% - Accent5 11 3 4 2" xfId="13710" xr:uid="{00000000-0005-0000-0000-0000E51C0000}"/>
    <cellStyle name="20% - Accent5 11 3 4 2 2" xfId="37553" xr:uid="{A7E5D3A9-D8C8-43EE-91C6-4D2A7025E1E2}"/>
    <cellStyle name="20% - Accent5 11 3 4 3" xfId="21658" xr:uid="{00000000-0005-0000-0000-0000E61C0000}"/>
    <cellStyle name="20% - Accent5 11 3 4 3 2" xfId="45490" xr:uid="{BB21032C-C529-4634-BECE-74998A9F18F3}"/>
    <cellStyle name="20% - Accent5 11 3 4 4" xfId="29612" xr:uid="{56D12AA7-900E-4880-998F-318706848F08}"/>
    <cellStyle name="20% - Accent5 11 3 5" xfId="9279" xr:uid="{00000000-0005-0000-0000-0000E71C0000}"/>
    <cellStyle name="20% - Accent5 11 3 5 2" xfId="17237" xr:uid="{00000000-0005-0000-0000-0000E81C0000}"/>
    <cellStyle name="20% - Accent5 11 3 5 2 2" xfId="41077" xr:uid="{4EBE3316-6711-44C1-BDBF-9CE55A7D52AB}"/>
    <cellStyle name="20% - Accent5 11 3 5 3" xfId="25181" xr:uid="{00000000-0005-0000-0000-0000E91C0000}"/>
    <cellStyle name="20% - Accent5 11 3 5 3 2" xfId="49013" xr:uid="{873173C4-78FD-4264-9864-FB09B447A300}"/>
    <cellStyle name="20% - Accent5 11 3 5 4" xfId="33136" xr:uid="{62161B34-3569-425A-B2E2-20AF56769327}"/>
    <cellStyle name="20% - Accent5 11 3 6" xfId="10175" xr:uid="{00000000-0005-0000-0000-0000EA1C0000}"/>
    <cellStyle name="20% - Accent5 11 3 6 2" xfId="34024" xr:uid="{49089319-A669-447F-BB39-2DC5CB4DDFAF}"/>
    <cellStyle name="20% - Accent5 11 3 7" xfId="18130" xr:uid="{00000000-0005-0000-0000-0000EB1C0000}"/>
    <cellStyle name="20% - Accent5 11 3 7 2" xfId="41962" xr:uid="{FCE986BE-7B86-4479-9474-5B6C322BD636}"/>
    <cellStyle name="20% - Accent5 11 3 8" xfId="26082" xr:uid="{7745CF36-D9B4-4C63-9990-2862351671DA}"/>
    <cellStyle name="20% - Accent5 11 3_Exh G" xfId="2443" xr:uid="{00000000-0005-0000-0000-0000EC1C0000}"/>
    <cellStyle name="20% - Accent5 11 4" xfId="1256" xr:uid="{00000000-0005-0000-0000-0000ED1C0000}"/>
    <cellStyle name="20% - Accent5 11 4 2" xfId="4783" xr:uid="{00000000-0005-0000-0000-0000EE1C0000}"/>
    <cellStyle name="20% - Accent5 11 4 2 2" xfId="8374" xr:uid="{00000000-0005-0000-0000-0000EF1C0000}"/>
    <cellStyle name="20% - Accent5 11 4 2 2 2" xfId="16344" xr:uid="{00000000-0005-0000-0000-0000F01C0000}"/>
    <cellStyle name="20% - Accent5 11 4 2 2 2 2" xfId="40186" xr:uid="{C17D9006-38A0-47A8-A6EE-FA32CFFB2E88}"/>
    <cellStyle name="20% - Accent5 11 4 2 2 3" xfId="24290" xr:uid="{00000000-0005-0000-0000-0000F11C0000}"/>
    <cellStyle name="20% - Accent5 11 4 2 2 3 2" xfId="48122" xr:uid="{2945BBA7-5B2C-4AA9-BF73-BF55D5353145}"/>
    <cellStyle name="20% - Accent5 11 4 2 2 4" xfId="32245" xr:uid="{6C6CB874-8113-4D0F-96B1-C99F2FD19DE5}"/>
    <cellStyle name="20% - Accent5 11 4 2 3" xfId="12806" xr:uid="{00000000-0005-0000-0000-0000F21C0000}"/>
    <cellStyle name="20% - Accent5 11 4 2 3 2" xfId="36655" xr:uid="{DC75A835-111B-4AA9-967B-02DE7ED12804}"/>
    <cellStyle name="20% - Accent5 11 4 2 4" xfId="20761" xr:uid="{00000000-0005-0000-0000-0000F31C0000}"/>
    <cellStyle name="20% - Accent5 11 4 2 4 2" xfId="44593" xr:uid="{EA3D1BAD-85FD-4FCC-9781-DAF884FD6F1D}"/>
    <cellStyle name="20% - Accent5 11 4 2 5" xfId="28714" xr:uid="{A41666E5-736C-4261-B97C-6D71B878CF61}"/>
    <cellStyle name="20% - Accent5 11 4 3" xfId="6615" xr:uid="{00000000-0005-0000-0000-0000F41C0000}"/>
    <cellStyle name="20% - Accent5 11 4 3 2" xfId="14586" xr:uid="{00000000-0005-0000-0000-0000F51C0000}"/>
    <cellStyle name="20% - Accent5 11 4 3 2 2" xfId="38428" xr:uid="{0B691D23-B18A-4C74-8E0C-C496A1F31906}"/>
    <cellStyle name="20% - Accent5 11 4 3 3" xfId="22533" xr:uid="{00000000-0005-0000-0000-0000F61C0000}"/>
    <cellStyle name="20% - Accent5 11 4 3 3 2" xfId="46365" xr:uid="{6CB30AC6-DA42-4985-867E-76A3172FDB3B}"/>
    <cellStyle name="20% - Accent5 11 4 3 4" xfId="30487" xr:uid="{2D2D7AA6-DC4B-475F-B337-BDCBDBF15D2A}"/>
    <cellStyle name="20% - Accent5 11 4 4" xfId="11050" xr:uid="{00000000-0005-0000-0000-0000F71C0000}"/>
    <cellStyle name="20% - Accent5 11 4 4 2" xfId="34899" xr:uid="{A61413F8-A286-4984-8F10-839B7FF04F01}"/>
    <cellStyle name="20% - Accent5 11 4 5" xfId="19005" xr:uid="{00000000-0005-0000-0000-0000F81C0000}"/>
    <cellStyle name="20% - Accent5 11 4 5 2" xfId="42837" xr:uid="{F294C42A-966D-4579-A3ED-E6298D1E1DCE}"/>
    <cellStyle name="20% - Accent5 11 4 6" xfId="26957" xr:uid="{5528E4C4-CBF2-417F-A46E-8D8A7F2F04A1}"/>
    <cellStyle name="20% - Accent5 11 4_Exh G" xfId="2445" xr:uid="{00000000-0005-0000-0000-0000F91C0000}"/>
    <cellStyle name="20% - Accent5 11 5" xfId="3904" xr:uid="{00000000-0005-0000-0000-0000FA1C0000}"/>
    <cellStyle name="20% - Accent5 11 5 2" xfId="7496" xr:uid="{00000000-0005-0000-0000-0000FB1C0000}"/>
    <cellStyle name="20% - Accent5 11 5 2 2" xfId="15466" xr:uid="{00000000-0005-0000-0000-0000FC1C0000}"/>
    <cellStyle name="20% - Accent5 11 5 2 2 2" xfId="39308" xr:uid="{1486405A-E256-4ED8-A461-D909FC180C24}"/>
    <cellStyle name="20% - Accent5 11 5 2 3" xfId="23412" xr:uid="{00000000-0005-0000-0000-0000FD1C0000}"/>
    <cellStyle name="20% - Accent5 11 5 2 3 2" xfId="47244" xr:uid="{47DF288D-10BF-437B-9E18-59633E09CF8A}"/>
    <cellStyle name="20% - Accent5 11 5 2 4" xfId="31367" xr:uid="{9E4659E6-0E3D-4E39-BF55-77C46F05150F}"/>
    <cellStyle name="20% - Accent5 11 5 3" xfId="11928" xr:uid="{00000000-0005-0000-0000-0000FE1C0000}"/>
    <cellStyle name="20% - Accent5 11 5 3 2" xfId="35777" xr:uid="{3A49F66B-FC8E-45C8-B57A-52FD412BF6EB}"/>
    <cellStyle name="20% - Accent5 11 5 4" xfId="19883" xr:uid="{00000000-0005-0000-0000-0000FF1C0000}"/>
    <cellStyle name="20% - Accent5 11 5 4 2" xfId="43715" xr:uid="{C306A4AA-2D59-40FA-A65B-5892F52BB29E}"/>
    <cellStyle name="20% - Accent5 11 5 5" xfId="27836" xr:uid="{EFDAB9AF-38F8-43CD-85EC-C0512AB26063}"/>
    <cellStyle name="20% - Accent5 11 6" xfId="5724" xr:uid="{00000000-0005-0000-0000-0000001D0000}"/>
    <cellStyle name="20% - Accent5 11 6 2" xfId="13707" xr:uid="{00000000-0005-0000-0000-0000011D0000}"/>
    <cellStyle name="20% - Accent5 11 6 2 2" xfId="37550" xr:uid="{8844F41B-0CBA-4824-AA89-072567F1290A}"/>
    <cellStyle name="20% - Accent5 11 6 3" xfId="21655" xr:uid="{00000000-0005-0000-0000-0000021D0000}"/>
    <cellStyle name="20% - Accent5 11 6 3 2" xfId="45487" xr:uid="{4E708D2A-31BF-42FC-A595-41C17A93A7DD}"/>
    <cellStyle name="20% - Accent5 11 6 4" xfId="29609" xr:uid="{4D19F61E-B617-4563-BDBD-C922620E800A}"/>
    <cellStyle name="20% - Accent5 11 7" xfId="9276" xr:uid="{00000000-0005-0000-0000-0000031D0000}"/>
    <cellStyle name="20% - Accent5 11 7 2" xfId="17234" xr:uid="{00000000-0005-0000-0000-0000041D0000}"/>
    <cellStyle name="20% - Accent5 11 7 2 2" xfId="41074" xr:uid="{39D4E8FE-2C57-4A72-B4B1-D32EB619D9CD}"/>
    <cellStyle name="20% - Accent5 11 7 3" xfId="25178" xr:uid="{00000000-0005-0000-0000-0000051D0000}"/>
    <cellStyle name="20% - Accent5 11 7 3 2" xfId="49010" xr:uid="{6A6DC99A-615A-4EEB-8EC8-7CEC6B2FEE56}"/>
    <cellStyle name="20% - Accent5 11 7 4" xfId="33133" xr:uid="{8EEAE0CE-CE6B-4914-BE75-8659E15F01D2}"/>
    <cellStyle name="20% - Accent5 11 8" xfId="10172" xr:uid="{00000000-0005-0000-0000-0000061D0000}"/>
    <cellStyle name="20% - Accent5 11 8 2" xfId="34021" xr:uid="{EEFEDB78-0FA5-4121-9571-9595DAE1223C}"/>
    <cellStyle name="20% - Accent5 11 9" xfId="18127" xr:uid="{00000000-0005-0000-0000-0000071D0000}"/>
    <cellStyle name="20% - Accent5 11 9 2" xfId="41959" xr:uid="{F43DB838-6361-42B1-9400-1225459C8BB8}"/>
    <cellStyle name="20% - Accent5 11_Exh G" xfId="2438" xr:uid="{00000000-0005-0000-0000-0000081D0000}"/>
    <cellStyle name="20% - Accent5 12" xfId="234" xr:uid="{00000000-0005-0000-0000-0000091D0000}"/>
    <cellStyle name="20% - Accent5 12 10" xfId="26083" xr:uid="{DB056558-7F16-43AA-9D13-A866481F6700}"/>
    <cellStyle name="20% - Accent5 12 2" xfId="235" xr:uid="{00000000-0005-0000-0000-00000A1D0000}"/>
    <cellStyle name="20% - Accent5 12 2 2" xfId="236" xr:uid="{00000000-0005-0000-0000-00000B1D0000}"/>
    <cellStyle name="20% - Accent5 12 2 2 2" xfId="1262" xr:uid="{00000000-0005-0000-0000-00000C1D0000}"/>
    <cellStyle name="20% - Accent5 12 2 2 2 2" xfId="4789" xr:uid="{00000000-0005-0000-0000-00000D1D0000}"/>
    <cellStyle name="20% - Accent5 12 2 2 2 2 2" xfId="8380" xr:uid="{00000000-0005-0000-0000-00000E1D0000}"/>
    <cellStyle name="20% - Accent5 12 2 2 2 2 2 2" xfId="16350" xr:uid="{00000000-0005-0000-0000-00000F1D0000}"/>
    <cellStyle name="20% - Accent5 12 2 2 2 2 2 2 2" xfId="40192" xr:uid="{D1E9E994-7F83-45E3-83E4-57AE6DBEF3F6}"/>
    <cellStyle name="20% - Accent5 12 2 2 2 2 2 3" xfId="24296" xr:uid="{00000000-0005-0000-0000-0000101D0000}"/>
    <cellStyle name="20% - Accent5 12 2 2 2 2 2 3 2" xfId="48128" xr:uid="{8E78B4D3-EEAD-449A-8B0E-E1B6E42C2146}"/>
    <cellStyle name="20% - Accent5 12 2 2 2 2 2 4" xfId="32251" xr:uid="{775CA2AA-11C3-43D1-B078-67FACAB263F8}"/>
    <cellStyle name="20% - Accent5 12 2 2 2 2 3" xfId="12812" xr:uid="{00000000-0005-0000-0000-0000111D0000}"/>
    <cellStyle name="20% - Accent5 12 2 2 2 2 3 2" xfId="36661" xr:uid="{0E7689E9-00D1-4F51-8724-00E2D06F9C5C}"/>
    <cellStyle name="20% - Accent5 12 2 2 2 2 4" xfId="20767" xr:uid="{00000000-0005-0000-0000-0000121D0000}"/>
    <cellStyle name="20% - Accent5 12 2 2 2 2 4 2" xfId="44599" xr:uid="{F0CE54DF-F11D-4B84-89E2-0E229374F72F}"/>
    <cellStyle name="20% - Accent5 12 2 2 2 2 5" xfId="28720" xr:uid="{E08C3053-02B3-443E-8BE9-DB97EDEDFA18}"/>
    <cellStyle name="20% - Accent5 12 2 2 2 3" xfId="6621" xr:uid="{00000000-0005-0000-0000-0000131D0000}"/>
    <cellStyle name="20% - Accent5 12 2 2 2 3 2" xfId="14592" xr:uid="{00000000-0005-0000-0000-0000141D0000}"/>
    <cellStyle name="20% - Accent5 12 2 2 2 3 2 2" xfId="38434" xr:uid="{90DD602A-C1C2-4549-BE26-6758E2295823}"/>
    <cellStyle name="20% - Accent5 12 2 2 2 3 3" xfId="22539" xr:uid="{00000000-0005-0000-0000-0000151D0000}"/>
    <cellStyle name="20% - Accent5 12 2 2 2 3 3 2" xfId="46371" xr:uid="{D50A6DA3-8CF0-4071-865C-EA43638244A2}"/>
    <cellStyle name="20% - Accent5 12 2 2 2 3 4" xfId="30493" xr:uid="{13887849-BABE-4748-8857-B86E20B21E09}"/>
    <cellStyle name="20% - Accent5 12 2 2 2 4" xfId="11056" xr:uid="{00000000-0005-0000-0000-0000161D0000}"/>
    <cellStyle name="20% - Accent5 12 2 2 2 4 2" xfId="34905" xr:uid="{040309AF-3098-4395-B833-F18D0DB898CC}"/>
    <cellStyle name="20% - Accent5 12 2 2 2 5" xfId="19011" xr:uid="{00000000-0005-0000-0000-0000171D0000}"/>
    <cellStyle name="20% - Accent5 12 2 2 2 5 2" xfId="42843" xr:uid="{563B6A25-FCC6-42FE-8762-4D97ADA5E772}"/>
    <cellStyle name="20% - Accent5 12 2 2 2 6" xfId="26963" xr:uid="{977DAE3F-42C4-4681-82E7-94BDD3A8FA9C}"/>
    <cellStyle name="20% - Accent5 12 2 2 2_Exh G" xfId="2449" xr:uid="{00000000-0005-0000-0000-0000181D0000}"/>
    <cellStyle name="20% - Accent5 12 2 2 3" xfId="3910" xr:uid="{00000000-0005-0000-0000-0000191D0000}"/>
    <cellStyle name="20% - Accent5 12 2 2 3 2" xfId="7502" xr:uid="{00000000-0005-0000-0000-00001A1D0000}"/>
    <cellStyle name="20% - Accent5 12 2 2 3 2 2" xfId="15472" xr:uid="{00000000-0005-0000-0000-00001B1D0000}"/>
    <cellStyle name="20% - Accent5 12 2 2 3 2 2 2" xfId="39314" xr:uid="{61905D80-02AC-4320-80D5-946B66BD70C1}"/>
    <cellStyle name="20% - Accent5 12 2 2 3 2 3" xfId="23418" xr:uid="{00000000-0005-0000-0000-00001C1D0000}"/>
    <cellStyle name="20% - Accent5 12 2 2 3 2 3 2" xfId="47250" xr:uid="{D6344D2D-3824-4C96-8560-6339E499A9E0}"/>
    <cellStyle name="20% - Accent5 12 2 2 3 2 4" xfId="31373" xr:uid="{05DBABDE-7E03-4C77-A014-14632037C48D}"/>
    <cellStyle name="20% - Accent5 12 2 2 3 3" xfId="11934" xr:uid="{00000000-0005-0000-0000-00001D1D0000}"/>
    <cellStyle name="20% - Accent5 12 2 2 3 3 2" xfId="35783" xr:uid="{CB1541EE-2887-419F-AFA9-9B0BF8F63ECF}"/>
    <cellStyle name="20% - Accent5 12 2 2 3 4" xfId="19889" xr:uid="{00000000-0005-0000-0000-00001E1D0000}"/>
    <cellStyle name="20% - Accent5 12 2 2 3 4 2" xfId="43721" xr:uid="{B1DC5442-61D4-4F0C-AB04-19CAFA6EC3CD}"/>
    <cellStyle name="20% - Accent5 12 2 2 3 5" xfId="27842" xr:uid="{215318A9-4A73-4E0D-9D5D-01C0EC635AF4}"/>
    <cellStyle name="20% - Accent5 12 2 2 4" xfId="5730" xr:uid="{00000000-0005-0000-0000-00001F1D0000}"/>
    <cellStyle name="20% - Accent5 12 2 2 4 2" xfId="13713" xr:uid="{00000000-0005-0000-0000-0000201D0000}"/>
    <cellStyle name="20% - Accent5 12 2 2 4 2 2" xfId="37556" xr:uid="{DF94403D-40F9-4399-888E-9DA4CEA2CE2D}"/>
    <cellStyle name="20% - Accent5 12 2 2 4 3" xfId="21661" xr:uid="{00000000-0005-0000-0000-0000211D0000}"/>
    <cellStyle name="20% - Accent5 12 2 2 4 3 2" xfId="45493" xr:uid="{A8466FFD-29D0-4835-82F6-49CD9D1BA236}"/>
    <cellStyle name="20% - Accent5 12 2 2 4 4" xfId="29615" xr:uid="{B53D7088-7955-4D99-86B9-9AE37A7D09A9}"/>
    <cellStyle name="20% - Accent5 12 2 2 5" xfId="9282" xr:uid="{00000000-0005-0000-0000-0000221D0000}"/>
    <cellStyle name="20% - Accent5 12 2 2 5 2" xfId="17240" xr:uid="{00000000-0005-0000-0000-0000231D0000}"/>
    <cellStyle name="20% - Accent5 12 2 2 5 2 2" xfId="41080" xr:uid="{6E0D8B09-13EE-4582-A98A-62F811C7D471}"/>
    <cellStyle name="20% - Accent5 12 2 2 5 3" xfId="25184" xr:uid="{00000000-0005-0000-0000-0000241D0000}"/>
    <cellStyle name="20% - Accent5 12 2 2 5 3 2" xfId="49016" xr:uid="{CB2701E9-3515-404B-8044-9BA9DDE36E3B}"/>
    <cellStyle name="20% - Accent5 12 2 2 5 4" xfId="33139" xr:uid="{098F6F7B-A80C-47C8-B722-8D9B394D32F3}"/>
    <cellStyle name="20% - Accent5 12 2 2 6" xfId="10178" xr:uid="{00000000-0005-0000-0000-0000251D0000}"/>
    <cellStyle name="20% - Accent5 12 2 2 6 2" xfId="34027" xr:uid="{FD74571C-AF81-45BF-B9D3-07C96972E33B}"/>
    <cellStyle name="20% - Accent5 12 2 2 7" xfId="18133" xr:uid="{00000000-0005-0000-0000-0000261D0000}"/>
    <cellStyle name="20% - Accent5 12 2 2 7 2" xfId="41965" xr:uid="{ADD7DBEE-C7CE-4C42-B804-018AE27AA8BD}"/>
    <cellStyle name="20% - Accent5 12 2 2 8" xfId="26085" xr:uid="{C1CE3FDB-24E7-4343-AD18-2A48A3600BFC}"/>
    <cellStyle name="20% - Accent5 12 2 2_Exh G" xfId="2448" xr:uid="{00000000-0005-0000-0000-0000271D0000}"/>
    <cellStyle name="20% - Accent5 12 2 3" xfId="1261" xr:uid="{00000000-0005-0000-0000-0000281D0000}"/>
    <cellStyle name="20% - Accent5 12 2 3 2" xfId="4788" xr:uid="{00000000-0005-0000-0000-0000291D0000}"/>
    <cellStyle name="20% - Accent5 12 2 3 2 2" xfId="8379" xr:uid="{00000000-0005-0000-0000-00002A1D0000}"/>
    <cellStyle name="20% - Accent5 12 2 3 2 2 2" xfId="16349" xr:uid="{00000000-0005-0000-0000-00002B1D0000}"/>
    <cellStyle name="20% - Accent5 12 2 3 2 2 2 2" xfId="40191" xr:uid="{BA6E254E-91E7-4356-B52B-E4781966105D}"/>
    <cellStyle name="20% - Accent5 12 2 3 2 2 3" xfId="24295" xr:uid="{00000000-0005-0000-0000-00002C1D0000}"/>
    <cellStyle name="20% - Accent5 12 2 3 2 2 3 2" xfId="48127" xr:uid="{5D70DA85-F7C3-46C2-AD44-29D2271BCF6F}"/>
    <cellStyle name="20% - Accent5 12 2 3 2 2 4" xfId="32250" xr:uid="{E046BE0B-7EEF-4599-8E2A-636C91629233}"/>
    <cellStyle name="20% - Accent5 12 2 3 2 3" xfId="12811" xr:uid="{00000000-0005-0000-0000-00002D1D0000}"/>
    <cellStyle name="20% - Accent5 12 2 3 2 3 2" xfId="36660" xr:uid="{460EE341-E63B-40DC-AEF8-0BBA676D1165}"/>
    <cellStyle name="20% - Accent5 12 2 3 2 4" xfId="20766" xr:uid="{00000000-0005-0000-0000-00002E1D0000}"/>
    <cellStyle name="20% - Accent5 12 2 3 2 4 2" xfId="44598" xr:uid="{CF879428-605D-4C63-B8AD-EEB1F016D6E9}"/>
    <cellStyle name="20% - Accent5 12 2 3 2 5" xfId="28719" xr:uid="{1AF9975E-0D99-4FCC-961E-1784A4B3C442}"/>
    <cellStyle name="20% - Accent5 12 2 3 3" xfId="6620" xr:uid="{00000000-0005-0000-0000-00002F1D0000}"/>
    <cellStyle name="20% - Accent5 12 2 3 3 2" xfId="14591" xr:uid="{00000000-0005-0000-0000-0000301D0000}"/>
    <cellStyle name="20% - Accent5 12 2 3 3 2 2" xfId="38433" xr:uid="{E93DC95F-067C-4140-AF11-0937661F57D8}"/>
    <cellStyle name="20% - Accent5 12 2 3 3 3" xfId="22538" xr:uid="{00000000-0005-0000-0000-0000311D0000}"/>
    <cellStyle name="20% - Accent5 12 2 3 3 3 2" xfId="46370" xr:uid="{651A0091-7187-4230-9A97-0B6040E2BD32}"/>
    <cellStyle name="20% - Accent5 12 2 3 3 4" xfId="30492" xr:uid="{D6D13CE9-89BD-478F-A69C-56A2E51AEF5D}"/>
    <cellStyle name="20% - Accent5 12 2 3 4" xfId="11055" xr:uid="{00000000-0005-0000-0000-0000321D0000}"/>
    <cellStyle name="20% - Accent5 12 2 3 4 2" xfId="34904" xr:uid="{AC1B20FE-4A70-4B95-961B-EE523847317D}"/>
    <cellStyle name="20% - Accent5 12 2 3 5" xfId="19010" xr:uid="{00000000-0005-0000-0000-0000331D0000}"/>
    <cellStyle name="20% - Accent5 12 2 3 5 2" xfId="42842" xr:uid="{60C19E00-E22F-42F1-B136-0DB582ECBBC4}"/>
    <cellStyle name="20% - Accent5 12 2 3 6" xfId="26962" xr:uid="{978EA9DC-F12B-4BA4-A2E1-17186528D31E}"/>
    <cellStyle name="20% - Accent5 12 2 3_Exh G" xfId="2450" xr:uid="{00000000-0005-0000-0000-0000341D0000}"/>
    <cellStyle name="20% - Accent5 12 2 4" xfId="3909" xr:uid="{00000000-0005-0000-0000-0000351D0000}"/>
    <cellStyle name="20% - Accent5 12 2 4 2" xfId="7501" xr:uid="{00000000-0005-0000-0000-0000361D0000}"/>
    <cellStyle name="20% - Accent5 12 2 4 2 2" xfId="15471" xr:uid="{00000000-0005-0000-0000-0000371D0000}"/>
    <cellStyle name="20% - Accent5 12 2 4 2 2 2" xfId="39313" xr:uid="{71E65E74-0952-4D22-AC21-CEA2BA053D96}"/>
    <cellStyle name="20% - Accent5 12 2 4 2 3" xfId="23417" xr:uid="{00000000-0005-0000-0000-0000381D0000}"/>
    <cellStyle name="20% - Accent5 12 2 4 2 3 2" xfId="47249" xr:uid="{DE4CD0BD-F950-4FB2-B77C-5177B6B123BE}"/>
    <cellStyle name="20% - Accent5 12 2 4 2 4" xfId="31372" xr:uid="{671BC46F-182C-4EA9-96E7-0073ED3D389E}"/>
    <cellStyle name="20% - Accent5 12 2 4 3" xfId="11933" xr:uid="{00000000-0005-0000-0000-0000391D0000}"/>
    <cellStyle name="20% - Accent5 12 2 4 3 2" xfId="35782" xr:uid="{048AD690-2BE0-4898-AE91-3967260D51A4}"/>
    <cellStyle name="20% - Accent5 12 2 4 4" xfId="19888" xr:uid="{00000000-0005-0000-0000-00003A1D0000}"/>
    <cellStyle name="20% - Accent5 12 2 4 4 2" xfId="43720" xr:uid="{221B25D5-8CDB-4AF7-8009-757596B1F04F}"/>
    <cellStyle name="20% - Accent5 12 2 4 5" xfId="27841" xr:uid="{28F5ACDD-6274-474F-9AD0-077F47088130}"/>
    <cellStyle name="20% - Accent5 12 2 5" xfId="5729" xr:uid="{00000000-0005-0000-0000-00003B1D0000}"/>
    <cellStyle name="20% - Accent5 12 2 5 2" xfId="13712" xr:uid="{00000000-0005-0000-0000-00003C1D0000}"/>
    <cellStyle name="20% - Accent5 12 2 5 2 2" xfId="37555" xr:uid="{CA18E86B-C841-4DAD-997E-A424B88AB730}"/>
    <cellStyle name="20% - Accent5 12 2 5 3" xfId="21660" xr:uid="{00000000-0005-0000-0000-00003D1D0000}"/>
    <cellStyle name="20% - Accent5 12 2 5 3 2" xfId="45492" xr:uid="{C443C5F4-E88F-424F-BDCE-8C950BB6091F}"/>
    <cellStyle name="20% - Accent5 12 2 5 4" xfId="29614" xr:uid="{C4D0C210-DFC7-4F6B-B191-5812B473CF8E}"/>
    <cellStyle name="20% - Accent5 12 2 6" xfId="9281" xr:uid="{00000000-0005-0000-0000-00003E1D0000}"/>
    <cellStyle name="20% - Accent5 12 2 6 2" xfId="17239" xr:uid="{00000000-0005-0000-0000-00003F1D0000}"/>
    <cellStyle name="20% - Accent5 12 2 6 2 2" xfId="41079" xr:uid="{6D53FB0F-173B-416B-9942-414D39878479}"/>
    <cellStyle name="20% - Accent5 12 2 6 3" xfId="25183" xr:uid="{00000000-0005-0000-0000-0000401D0000}"/>
    <cellStyle name="20% - Accent5 12 2 6 3 2" xfId="49015" xr:uid="{ADE4257D-176E-40FE-BC44-C121FC28831E}"/>
    <cellStyle name="20% - Accent5 12 2 6 4" xfId="33138" xr:uid="{65C86FE3-556A-4C28-B53C-B2B4D6A52C52}"/>
    <cellStyle name="20% - Accent5 12 2 7" xfId="10177" xr:uid="{00000000-0005-0000-0000-0000411D0000}"/>
    <cellStyle name="20% - Accent5 12 2 7 2" xfId="34026" xr:uid="{6E7895BF-01FD-486C-B6EE-908D8583446B}"/>
    <cellStyle name="20% - Accent5 12 2 8" xfId="18132" xr:uid="{00000000-0005-0000-0000-0000421D0000}"/>
    <cellStyle name="20% - Accent5 12 2 8 2" xfId="41964" xr:uid="{73733EB1-2A38-4B67-B702-37B01533D64F}"/>
    <cellStyle name="20% - Accent5 12 2 9" xfId="26084" xr:uid="{D556A75C-586E-4732-BB33-ADF11EF4A4AF}"/>
    <cellStyle name="20% - Accent5 12 2_Exh G" xfId="2447" xr:uid="{00000000-0005-0000-0000-0000431D0000}"/>
    <cellStyle name="20% - Accent5 12 3" xfId="237" xr:uid="{00000000-0005-0000-0000-0000441D0000}"/>
    <cellStyle name="20% - Accent5 12 3 2" xfId="1263" xr:uid="{00000000-0005-0000-0000-0000451D0000}"/>
    <cellStyle name="20% - Accent5 12 3 2 2" xfId="4790" xr:uid="{00000000-0005-0000-0000-0000461D0000}"/>
    <cellStyle name="20% - Accent5 12 3 2 2 2" xfId="8381" xr:uid="{00000000-0005-0000-0000-0000471D0000}"/>
    <cellStyle name="20% - Accent5 12 3 2 2 2 2" xfId="16351" xr:uid="{00000000-0005-0000-0000-0000481D0000}"/>
    <cellStyle name="20% - Accent5 12 3 2 2 2 2 2" xfId="40193" xr:uid="{0C013822-CE12-435B-9AE7-E4A787AA421C}"/>
    <cellStyle name="20% - Accent5 12 3 2 2 2 3" xfId="24297" xr:uid="{00000000-0005-0000-0000-0000491D0000}"/>
    <cellStyle name="20% - Accent5 12 3 2 2 2 3 2" xfId="48129" xr:uid="{09845713-3F43-46AD-AE9C-5729C0BA0854}"/>
    <cellStyle name="20% - Accent5 12 3 2 2 2 4" xfId="32252" xr:uid="{F70C60AC-5BBC-4538-9850-ECA6C8912E6C}"/>
    <cellStyle name="20% - Accent5 12 3 2 2 3" xfId="12813" xr:uid="{00000000-0005-0000-0000-00004A1D0000}"/>
    <cellStyle name="20% - Accent5 12 3 2 2 3 2" xfId="36662" xr:uid="{C42299B7-94D6-4C7B-8FFB-BD02D841734A}"/>
    <cellStyle name="20% - Accent5 12 3 2 2 4" xfId="20768" xr:uid="{00000000-0005-0000-0000-00004B1D0000}"/>
    <cellStyle name="20% - Accent5 12 3 2 2 4 2" xfId="44600" xr:uid="{B4BDECEF-04B2-4DF9-857B-3F1D6F2AB34F}"/>
    <cellStyle name="20% - Accent5 12 3 2 2 5" xfId="28721" xr:uid="{77ABAD2F-3A76-4C2D-ADD0-F06ADC886834}"/>
    <cellStyle name="20% - Accent5 12 3 2 3" xfId="6622" xr:uid="{00000000-0005-0000-0000-00004C1D0000}"/>
    <cellStyle name="20% - Accent5 12 3 2 3 2" xfId="14593" xr:uid="{00000000-0005-0000-0000-00004D1D0000}"/>
    <cellStyle name="20% - Accent5 12 3 2 3 2 2" xfId="38435" xr:uid="{C86D5B2D-D75B-4B6A-8976-6752928D7548}"/>
    <cellStyle name="20% - Accent5 12 3 2 3 3" xfId="22540" xr:uid="{00000000-0005-0000-0000-00004E1D0000}"/>
    <cellStyle name="20% - Accent5 12 3 2 3 3 2" xfId="46372" xr:uid="{267E5736-A18B-4398-A45B-7D735A89AD86}"/>
    <cellStyle name="20% - Accent5 12 3 2 3 4" xfId="30494" xr:uid="{7F7140F5-1054-4DCC-AEC1-052B6E7C54A3}"/>
    <cellStyle name="20% - Accent5 12 3 2 4" xfId="11057" xr:uid="{00000000-0005-0000-0000-00004F1D0000}"/>
    <cellStyle name="20% - Accent5 12 3 2 4 2" xfId="34906" xr:uid="{049FC204-D96D-4D76-A380-4CD9C9E87C5A}"/>
    <cellStyle name="20% - Accent5 12 3 2 5" xfId="19012" xr:uid="{00000000-0005-0000-0000-0000501D0000}"/>
    <cellStyle name="20% - Accent5 12 3 2 5 2" xfId="42844" xr:uid="{DC865FDB-84D9-46A2-978A-1FED6D14D408}"/>
    <cellStyle name="20% - Accent5 12 3 2 6" xfId="26964" xr:uid="{14C8DA82-D532-4246-8AA7-225352F93759}"/>
    <cellStyle name="20% - Accent5 12 3 2_Exh G" xfId="2452" xr:uid="{00000000-0005-0000-0000-0000511D0000}"/>
    <cellStyle name="20% - Accent5 12 3 3" xfId="3911" xr:uid="{00000000-0005-0000-0000-0000521D0000}"/>
    <cellStyle name="20% - Accent5 12 3 3 2" xfId="7503" xr:uid="{00000000-0005-0000-0000-0000531D0000}"/>
    <cellStyle name="20% - Accent5 12 3 3 2 2" xfId="15473" xr:uid="{00000000-0005-0000-0000-0000541D0000}"/>
    <cellStyle name="20% - Accent5 12 3 3 2 2 2" xfId="39315" xr:uid="{61AC687D-B37D-423C-8FCE-A7B42CDC84D1}"/>
    <cellStyle name="20% - Accent5 12 3 3 2 3" xfId="23419" xr:uid="{00000000-0005-0000-0000-0000551D0000}"/>
    <cellStyle name="20% - Accent5 12 3 3 2 3 2" xfId="47251" xr:uid="{9A86D614-702D-4AAF-8560-A0D2D221FD10}"/>
    <cellStyle name="20% - Accent5 12 3 3 2 4" xfId="31374" xr:uid="{A07D0E94-EF76-4054-8500-1924CFADF2EA}"/>
    <cellStyle name="20% - Accent5 12 3 3 3" xfId="11935" xr:uid="{00000000-0005-0000-0000-0000561D0000}"/>
    <cellStyle name="20% - Accent5 12 3 3 3 2" xfId="35784" xr:uid="{62257C61-3D3C-44F9-ABD4-89F0CEC00262}"/>
    <cellStyle name="20% - Accent5 12 3 3 4" xfId="19890" xr:uid="{00000000-0005-0000-0000-0000571D0000}"/>
    <cellStyle name="20% - Accent5 12 3 3 4 2" xfId="43722" xr:uid="{C8AEFE80-19C4-41DF-ABAC-E40E72954F3A}"/>
    <cellStyle name="20% - Accent5 12 3 3 5" xfId="27843" xr:uid="{4A30679F-E612-44A3-948D-3A55F23BC743}"/>
    <cellStyle name="20% - Accent5 12 3 4" xfId="5731" xr:uid="{00000000-0005-0000-0000-0000581D0000}"/>
    <cellStyle name="20% - Accent5 12 3 4 2" xfId="13714" xr:uid="{00000000-0005-0000-0000-0000591D0000}"/>
    <cellStyle name="20% - Accent5 12 3 4 2 2" xfId="37557" xr:uid="{BFC06454-3F44-4007-B852-0224B26C859E}"/>
    <cellStyle name="20% - Accent5 12 3 4 3" xfId="21662" xr:uid="{00000000-0005-0000-0000-00005A1D0000}"/>
    <cellStyle name="20% - Accent5 12 3 4 3 2" xfId="45494" xr:uid="{7690DF84-C438-4949-84C0-1336707399AD}"/>
    <cellStyle name="20% - Accent5 12 3 4 4" xfId="29616" xr:uid="{C27B00A7-F7A9-40DD-B521-397B199057F7}"/>
    <cellStyle name="20% - Accent5 12 3 5" xfId="9283" xr:uid="{00000000-0005-0000-0000-00005B1D0000}"/>
    <cellStyle name="20% - Accent5 12 3 5 2" xfId="17241" xr:uid="{00000000-0005-0000-0000-00005C1D0000}"/>
    <cellStyle name="20% - Accent5 12 3 5 2 2" xfId="41081" xr:uid="{F521B933-8135-402A-9218-169F18E3E069}"/>
    <cellStyle name="20% - Accent5 12 3 5 3" xfId="25185" xr:uid="{00000000-0005-0000-0000-00005D1D0000}"/>
    <cellStyle name="20% - Accent5 12 3 5 3 2" xfId="49017" xr:uid="{1F0DA942-6FCC-4268-A015-05D1DAAC8628}"/>
    <cellStyle name="20% - Accent5 12 3 5 4" xfId="33140" xr:uid="{15821628-31CC-4C9F-88A2-662F8DB62063}"/>
    <cellStyle name="20% - Accent5 12 3 6" xfId="10179" xr:uid="{00000000-0005-0000-0000-00005E1D0000}"/>
    <cellStyle name="20% - Accent5 12 3 6 2" xfId="34028" xr:uid="{F1EF37CA-FE2D-40A3-9849-36E7EEE0111A}"/>
    <cellStyle name="20% - Accent5 12 3 7" xfId="18134" xr:uid="{00000000-0005-0000-0000-00005F1D0000}"/>
    <cellStyle name="20% - Accent5 12 3 7 2" xfId="41966" xr:uid="{44E42E37-DD37-47AF-8EE2-DB939737395B}"/>
    <cellStyle name="20% - Accent5 12 3 8" xfId="26086" xr:uid="{09624003-D1C7-494F-B69D-DDA0F3312C23}"/>
    <cellStyle name="20% - Accent5 12 3_Exh G" xfId="2451" xr:uid="{00000000-0005-0000-0000-0000601D0000}"/>
    <cellStyle name="20% - Accent5 12 4" xfId="1260" xr:uid="{00000000-0005-0000-0000-0000611D0000}"/>
    <cellStyle name="20% - Accent5 12 4 2" xfId="4787" xr:uid="{00000000-0005-0000-0000-0000621D0000}"/>
    <cellStyle name="20% - Accent5 12 4 2 2" xfId="8378" xr:uid="{00000000-0005-0000-0000-0000631D0000}"/>
    <cellStyle name="20% - Accent5 12 4 2 2 2" xfId="16348" xr:uid="{00000000-0005-0000-0000-0000641D0000}"/>
    <cellStyle name="20% - Accent5 12 4 2 2 2 2" xfId="40190" xr:uid="{D52713AD-24F1-4913-9CA5-3D1C74538C68}"/>
    <cellStyle name="20% - Accent5 12 4 2 2 3" xfId="24294" xr:uid="{00000000-0005-0000-0000-0000651D0000}"/>
    <cellStyle name="20% - Accent5 12 4 2 2 3 2" xfId="48126" xr:uid="{12D5A8A7-4A18-4589-B37C-30767BA7CB82}"/>
    <cellStyle name="20% - Accent5 12 4 2 2 4" xfId="32249" xr:uid="{A1AF2430-2890-4710-94DD-892B0F51352A}"/>
    <cellStyle name="20% - Accent5 12 4 2 3" xfId="12810" xr:uid="{00000000-0005-0000-0000-0000661D0000}"/>
    <cellStyle name="20% - Accent5 12 4 2 3 2" xfId="36659" xr:uid="{C7B8EFB0-83D5-4292-8768-35164F0D3E0B}"/>
    <cellStyle name="20% - Accent5 12 4 2 4" xfId="20765" xr:uid="{00000000-0005-0000-0000-0000671D0000}"/>
    <cellStyle name="20% - Accent5 12 4 2 4 2" xfId="44597" xr:uid="{8E09CB8C-9332-48D1-BB08-A3E63EBA3DEB}"/>
    <cellStyle name="20% - Accent5 12 4 2 5" xfId="28718" xr:uid="{A0D5E455-EC36-42E5-AD3A-980DAB73D996}"/>
    <cellStyle name="20% - Accent5 12 4 3" xfId="6619" xr:uid="{00000000-0005-0000-0000-0000681D0000}"/>
    <cellStyle name="20% - Accent5 12 4 3 2" xfId="14590" xr:uid="{00000000-0005-0000-0000-0000691D0000}"/>
    <cellStyle name="20% - Accent5 12 4 3 2 2" xfId="38432" xr:uid="{266C84FD-5E72-4956-80EC-EC8F1DA7A08B}"/>
    <cellStyle name="20% - Accent5 12 4 3 3" xfId="22537" xr:uid="{00000000-0005-0000-0000-00006A1D0000}"/>
    <cellStyle name="20% - Accent5 12 4 3 3 2" xfId="46369" xr:uid="{46EBAD8A-4AB4-4ABB-AB55-BDB0865C4A20}"/>
    <cellStyle name="20% - Accent5 12 4 3 4" xfId="30491" xr:uid="{5A74DA61-475B-4D6B-881D-0CA755E6D220}"/>
    <cellStyle name="20% - Accent5 12 4 4" xfId="11054" xr:uid="{00000000-0005-0000-0000-00006B1D0000}"/>
    <cellStyle name="20% - Accent5 12 4 4 2" xfId="34903" xr:uid="{1306D243-9B02-4D6E-9065-1045AD8BDB96}"/>
    <cellStyle name="20% - Accent5 12 4 5" xfId="19009" xr:uid="{00000000-0005-0000-0000-00006C1D0000}"/>
    <cellStyle name="20% - Accent5 12 4 5 2" xfId="42841" xr:uid="{4F45C83A-9570-4116-A397-D4A966B8C40B}"/>
    <cellStyle name="20% - Accent5 12 4 6" xfId="26961" xr:uid="{EEF35499-9B48-491E-A18E-8B7A470D57D2}"/>
    <cellStyle name="20% - Accent5 12 4_Exh G" xfId="2453" xr:uid="{00000000-0005-0000-0000-00006D1D0000}"/>
    <cellStyle name="20% - Accent5 12 5" xfId="3908" xr:uid="{00000000-0005-0000-0000-00006E1D0000}"/>
    <cellStyle name="20% - Accent5 12 5 2" xfId="7500" xr:uid="{00000000-0005-0000-0000-00006F1D0000}"/>
    <cellStyle name="20% - Accent5 12 5 2 2" xfId="15470" xr:uid="{00000000-0005-0000-0000-0000701D0000}"/>
    <cellStyle name="20% - Accent5 12 5 2 2 2" xfId="39312" xr:uid="{20A656AF-2790-4B04-94DA-4B0217856354}"/>
    <cellStyle name="20% - Accent5 12 5 2 3" xfId="23416" xr:uid="{00000000-0005-0000-0000-0000711D0000}"/>
    <cellStyle name="20% - Accent5 12 5 2 3 2" xfId="47248" xr:uid="{F7806817-40CF-4C51-8541-E8EC97A3135F}"/>
    <cellStyle name="20% - Accent5 12 5 2 4" xfId="31371" xr:uid="{9F72D510-1D6E-479A-8EFF-EA56D5F758AA}"/>
    <cellStyle name="20% - Accent5 12 5 3" xfId="11932" xr:uid="{00000000-0005-0000-0000-0000721D0000}"/>
    <cellStyle name="20% - Accent5 12 5 3 2" xfId="35781" xr:uid="{337A88A3-6D98-4B32-9EB2-73ED7C4A9477}"/>
    <cellStyle name="20% - Accent5 12 5 4" xfId="19887" xr:uid="{00000000-0005-0000-0000-0000731D0000}"/>
    <cellStyle name="20% - Accent5 12 5 4 2" xfId="43719" xr:uid="{846FD91C-9C6E-429A-8CED-F8B4BAB3B7D6}"/>
    <cellStyle name="20% - Accent5 12 5 5" xfId="27840" xr:uid="{2592E060-5C4D-4ED1-B9A3-823883877E8B}"/>
    <cellStyle name="20% - Accent5 12 6" xfId="5728" xr:uid="{00000000-0005-0000-0000-0000741D0000}"/>
    <cellStyle name="20% - Accent5 12 6 2" xfId="13711" xr:uid="{00000000-0005-0000-0000-0000751D0000}"/>
    <cellStyle name="20% - Accent5 12 6 2 2" xfId="37554" xr:uid="{203FA8D7-5AB0-45BA-86DD-94A72FDFE630}"/>
    <cellStyle name="20% - Accent5 12 6 3" xfId="21659" xr:uid="{00000000-0005-0000-0000-0000761D0000}"/>
    <cellStyle name="20% - Accent5 12 6 3 2" xfId="45491" xr:uid="{C0621941-D89C-4106-B87E-017BA37171E4}"/>
    <cellStyle name="20% - Accent5 12 6 4" xfId="29613" xr:uid="{FAECF4C6-4933-4629-9F4B-0684F6275382}"/>
    <cellStyle name="20% - Accent5 12 7" xfId="9280" xr:uid="{00000000-0005-0000-0000-0000771D0000}"/>
    <cellStyle name="20% - Accent5 12 7 2" xfId="17238" xr:uid="{00000000-0005-0000-0000-0000781D0000}"/>
    <cellStyle name="20% - Accent5 12 7 2 2" xfId="41078" xr:uid="{A73EFBF0-AD9C-4703-A20A-7166586E561B}"/>
    <cellStyle name="20% - Accent5 12 7 3" xfId="25182" xr:uid="{00000000-0005-0000-0000-0000791D0000}"/>
    <cellStyle name="20% - Accent5 12 7 3 2" xfId="49014" xr:uid="{64DBFC43-AC84-4789-8FAE-6D66AF0DE14C}"/>
    <cellStyle name="20% - Accent5 12 7 4" xfId="33137" xr:uid="{287F5FFB-24CC-4AE1-9FBC-316E9AF268F9}"/>
    <cellStyle name="20% - Accent5 12 8" xfId="10176" xr:uid="{00000000-0005-0000-0000-00007A1D0000}"/>
    <cellStyle name="20% - Accent5 12 8 2" xfId="34025" xr:uid="{B22E19BE-3F00-4736-9E46-C9FEE3F0E813}"/>
    <cellStyle name="20% - Accent5 12 9" xfId="18131" xr:uid="{00000000-0005-0000-0000-00007B1D0000}"/>
    <cellStyle name="20% - Accent5 12 9 2" xfId="41963" xr:uid="{C7E32357-8B86-4B17-8792-3F6F51595CB1}"/>
    <cellStyle name="20% - Accent5 12_Exh G" xfId="2446" xr:uid="{00000000-0005-0000-0000-00007C1D0000}"/>
    <cellStyle name="20% - Accent5 13" xfId="238" xr:uid="{00000000-0005-0000-0000-00007D1D0000}"/>
    <cellStyle name="20% - Accent5 13 10" xfId="26087" xr:uid="{DE57B2D6-9767-495F-B367-4347F13C334F}"/>
    <cellStyle name="20% - Accent5 13 2" xfId="239" xr:uid="{00000000-0005-0000-0000-00007E1D0000}"/>
    <cellStyle name="20% - Accent5 13 2 2" xfId="240" xr:uid="{00000000-0005-0000-0000-00007F1D0000}"/>
    <cellStyle name="20% - Accent5 13 2 2 2" xfId="1266" xr:uid="{00000000-0005-0000-0000-0000801D0000}"/>
    <cellStyle name="20% - Accent5 13 2 2 2 2" xfId="4793" xr:uid="{00000000-0005-0000-0000-0000811D0000}"/>
    <cellStyle name="20% - Accent5 13 2 2 2 2 2" xfId="8384" xr:uid="{00000000-0005-0000-0000-0000821D0000}"/>
    <cellStyle name="20% - Accent5 13 2 2 2 2 2 2" xfId="16354" xr:uid="{00000000-0005-0000-0000-0000831D0000}"/>
    <cellStyle name="20% - Accent5 13 2 2 2 2 2 2 2" xfId="40196" xr:uid="{E8B7A0AD-F489-4341-8024-4EF652A99ADD}"/>
    <cellStyle name="20% - Accent5 13 2 2 2 2 2 3" xfId="24300" xr:uid="{00000000-0005-0000-0000-0000841D0000}"/>
    <cellStyle name="20% - Accent5 13 2 2 2 2 2 3 2" xfId="48132" xr:uid="{23E2ECB3-AEF7-4F65-AE9A-DFABB505AB39}"/>
    <cellStyle name="20% - Accent5 13 2 2 2 2 2 4" xfId="32255" xr:uid="{252DE69C-A9E5-46BA-A7ED-22526F17BF12}"/>
    <cellStyle name="20% - Accent5 13 2 2 2 2 3" xfId="12816" xr:uid="{00000000-0005-0000-0000-0000851D0000}"/>
    <cellStyle name="20% - Accent5 13 2 2 2 2 3 2" xfId="36665" xr:uid="{6F05DC6D-5B44-465B-B4FF-A2EAC3E2ED7A}"/>
    <cellStyle name="20% - Accent5 13 2 2 2 2 4" xfId="20771" xr:uid="{00000000-0005-0000-0000-0000861D0000}"/>
    <cellStyle name="20% - Accent5 13 2 2 2 2 4 2" xfId="44603" xr:uid="{1605C3BC-7C96-4EF2-BE0B-A7F0604EE047}"/>
    <cellStyle name="20% - Accent5 13 2 2 2 2 5" xfId="28724" xr:uid="{C705D874-EBAF-4309-B3DC-9B3BCE85D2F0}"/>
    <cellStyle name="20% - Accent5 13 2 2 2 3" xfId="6625" xr:uid="{00000000-0005-0000-0000-0000871D0000}"/>
    <cellStyle name="20% - Accent5 13 2 2 2 3 2" xfId="14596" xr:uid="{00000000-0005-0000-0000-0000881D0000}"/>
    <cellStyle name="20% - Accent5 13 2 2 2 3 2 2" xfId="38438" xr:uid="{2476B5F4-5B0A-4957-BC7B-B3FCA5D2F86F}"/>
    <cellStyle name="20% - Accent5 13 2 2 2 3 3" xfId="22543" xr:uid="{00000000-0005-0000-0000-0000891D0000}"/>
    <cellStyle name="20% - Accent5 13 2 2 2 3 3 2" xfId="46375" xr:uid="{E54235C3-97B0-4CAE-983D-0B249381E024}"/>
    <cellStyle name="20% - Accent5 13 2 2 2 3 4" xfId="30497" xr:uid="{2CD94CBE-A933-404D-8A99-A733A5401853}"/>
    <cellStyle name="20% - Accent5 13 2 2 2 4" xfId="11060" xr:uid="{00000000-0005-0000-0000-00008A1D0000}"/>
    <cellStyle name="20% - Accent5 13 2 2 2 4 2" xfId="34909" xr:uid="{6557A7DD-DA32-477E-A931-9B639791AEB9}"/>
    <cellStyle name="20% - Accent5 13 2 2 2 5" xfId="19015" xr:uid="{00000000-0005-0000-0000-00008B1D0000}"/>
    <cellStyle name="20% - Accent5 13 2 2 2 5 2" xfId="42847" xr:uid="{CA3DC8CB-5BD5-49A5-8996-824E2EA628BF}"/>
    <cellStyle name="20% - Accent5 13 2 2 2 6" xfId="26967" xr:uid="{1594F5E5-AA8F-42C6-9250-37853BC32A48}"/>
    <cellStyle name="20% - Accent5 13 2 2 2_Exh G" xfId="2457" xr:uid="{00000000-0005-0000-0000-00008C1D0000}"/>
    <cellStyle name="20% - Accent5 13 2 2 3" xfId="3914" xr:uid="{00000000-0005-0000-0000-00008D1D0000}"/>
    <cellStyle name="20% - Accent5 13 2 2 3 2" xfId="7506" xr:uid="{00000000-0005-0000-0000-00008E1D0000}"/>
    <cellStyle name="20% - Accent5 13 2 2 3 2 2" xfId="15476" xr:uid="{00000000-0005-0000-0000-00008F1D0000}"/>
    <cellStyle name="20% - Accent5 13 2 2 3 2 2 2" xfId="39318" xr:uid="{0C1C0BFD-C282-417A-8A76-8E5115B7B1BD}"/>
    <cellStyle name="20% - Accent5 13 2 2 3 2 3" xfId="23422" xr:uid="{00000000-0005-0000-0000-0000901D0000}"/>
    <cellStyle name="20% - Accent5 13 2 2 3 2 3 2" xfId="47254" xr:uid="{B996B34F-708D-4C66-91CA-D47F6FF8266D}"/>
    <cellStyle name="20% - Accent5 13 2 2 3 2 4" xfId="31377" xr:uid="{173FE4EF-87F8-4208-ABFE-E33F330C5BB5}"/>
    <cellStyle name="20% - Accent5 13 2 2 3 3" xfId="11938" xr:uid="{00000000-0005-0000-0000-0000911D0000}"/>
    <cellStyle name="20% - Accent5 13 2 2 3 3 2" xfId="35787" xr:uid="{494009FA-8A0D-4B83-A674-52E0361B3726}"/>
    <cellStyle name="20% - Accent5 13 2 2 3 4" xfId="19893" xr:uid="{00000000-0005-0000-0000-0000921D0000}"/>
    <cellStyle name="20% - Accent5 13 2 2 3 4 2" xfId="43725" xr:uid="{C63118E4-F83D-44D3-A6DF-2739C41B0F8E}"/>
    <cellStyle name="20% - Accent5 13 2 2 3 5" xfId="27846" xr:uid="{16A931EB-7357-483E-9F7A-C0F42A80412B}"/>
    <cellStyle name="20% - Accent5 13 2 2 4" xfId="5734" xr:uid="{00000000-0005-0000-0000-0000931D0000}"/>
    <cellStyle name="20% - Accent5 13 2 2 4 2" xfId="13717" xr:uid="{00000000-0005-0000-0000-0000941D0000}"/>
    <cellStyle name="20% - Accent5 13 2 2 4 2 2" xfId="37560" xr:uid="{E16F253C-8F13-4DC4-A687-3C4274EA14A7}"/>
    <cellStyle name="20% - Accent5 13 2 2 4 3" xfId="21665" xr:uid="{00000000-0005-0000-0000-0000951D0000}"/>
    <cellStyle name="20% - Accent5 13 2 2 4 3 2" xfId="45497" xr:uid="{E157D91A-3B36-426B-A832-453CE0050D02}"/>
    <cellStyle name="20% - Accent5 13 2 2 4 4" xfId="29619" xr:uid="{6A115177-5F94-48C1-9FFE-19B7D6D927BC}"/>
    <cellStyle name="20% - Accent5 13 2 2 5" xfId="9286" xr:uid="{00000000-0005-0000-0000-0000961D0000}"/>
    <cellStyle name="20% - Accent5 13 2 2 5 2" xfId="17244" xr:uid="{00000000-0005-0000-0000-0000971D0000}"/>
    <cellStyle name="20% - Accent5 13 2 2 5 2 2" xfId="41084" xr:uid="{920341BC-4321-4B61-ADCA-A8DCB64FA240}"/>
    <cellStyle name="20% - Accent5 13 2 2 5 3" xfId="25188" xr:uid="{00000000-0005-0000-0000-0000981D0000}"/>
    <cellStyle name="20% - Accent5 13 2 2 5 3 2" xfId="49020" xr:uid="{724D402E-DFB4-467E-98A3-DEC11237EFE4}"/>
    <cellStyle name="20% - Accent5 13 2 2 5 4" xfId="33143" xr:uid="{AAC47D27-D44C-4082-A42C-6143DFFEC367}"/>
    <cellStyle name="20% - Accent5 13 2 2 6" xfId="10182" xr:uid="{00000000-0005-0000-0000-0000991D0000}"/>
    <cellStyle name="20% - Accent5 13 2 2 6 2" xfId="34031" xr:uid="{8D56604D-291C-4363-B8B6-25A0B28E3387}"/>
    <cellStyle name="20% - Accent5 13 2 2 7" xfId="18137" xr:uid="{00000000-0005-0000-0000-00009A1D0000}"/>
    <cellStyle name="20% - Accent5 13 2 2 7 2" xfId="41969" xr:uid="{CB3CDE38-7B2B-4BB8-A596-9C9B140CF674}"/>
    <cellStyle name="20% - Accent5 13 2 2 8" xfId="26089" xr:uid="{305BBAC9-F84D-4077-ABFD-838ECB7C33FE}"/>
    <cellStyle name="20% - Accent5 13 2 2_Exh G" xfId="2456" xr:uid="{00000000-0005-0000-0000-00009B1D0000}"/>
    <cellStyle name="20% - Accent5 13 2 3" xfId="1265" xr:uid="{00000000-0005-0000-0000-00009C1D0000}"/>
    <cellStyle name="20% - Accent5 13 2 3 2" xfId="4792" xr:uid="{00000000-0005-0000-0000-00009D1D0000}"/>
    <cellStyle name="20% - Accent5 13 2 3 2 2" xfId="8383" xr:uid="{00000000-0005-0000-0000-00009E1D0000}"/>
    <cellStyle name="20% - Accent5 13 2 3 2 2 2" xfId="16353" xr:uid="{00000000-0005-0000-0000-00009F1D0000}"/>
    <cellStyle name="20% - Accent5 13 2 3 2 2 2 2" xfId="40195" xr:uid="{82B2277D-8396-473B-B0A6-54573B545259}"/>
    <cellStyle name="20% - Accent5 13 2 3 2 2 3" xfId="24299" xr:uid="{00000000-0005-0000-0000-0000A01D0000}"/>
    <cellStyle name="20% - Accent5 13 2 3 2 2 3 2" xfId="48131" xr:uid="{1E066375-5ED6-47BD-A409-D1CC12D7E8D6}"/>
    <cellStyle name="20% - Accent5 13 2 3 2 2 4" xfId="32254" xr:uid="{E40633B6-8027-4774-B6A1-A2104E2707F1}"/>
    <cellStyle name="20% - Accent5 13 2 3 2 3" xfId="12815" xr:uid="{00000000-0005-0000-0000-0000A11D0000}"/>
    <cellStyle name="20% - Accent5 13 2 3 2 3 2" xfId="36664" xr:uid="{53B06251-B6FE-4EA0-A5C9-BDC7DB5036E7}"/>
    <cellStyle name="20% - Accent5 13 2 3 2 4" xfId="20770" xr:uid="{00000000-0005-0000-0000-0000A21D0000}"/>
    <cellStyle name="20% - Accent5 13 2 3 2 4 2" xfId="44602" xr:uid="{DD4FBB69-5413-4E37-8A6A-A6C54E9A9AE2}"/>
    <cellStyle name="20% - Accent5 13 2 3 2 5" xfId="28723" xr:uid="{427D6BB3-2B1E-4EDB-840D-2D4C89A36785}"/>
    <cellStyle name="20% - Accent5 13 2 3 3" xfId="6624" xr:uid="{00000000-0005-0000-0000-0000A31D0000}"/>
    <cellStyle name="20% - Accent5 13 2 3 3 2" xfId="14595" xr:uid="{00000000-0005-0000-0000-0000A41D0000}"/>
    <cellStyle name="20% - Accent5 13 2 3 3 2 2" xfId="38437" xr:uid="{87780B6D-9EC2-49BF-B7DE-05586701F6F2}"/>
    <cellStyle name="20% - Accent5 13 2 3 3 3" xfId="22542" xr:uid="{00000000-0005-0000-0000-0000A51D0000}"/>
    <cellStyle name="20% - Accent5 13 2 3 3 3 2" xfId="46374" xr:uid="{2B6CB93E-89A2-47BC-8997-07894A5B6A30}"/>
    <cellStyle name="20% - Accent5 13 2 3 3 4" xfId="30496" xr:uid="{E8276F5B-2D0D-4A5B-B839-F15FB87DEA05}"/>
    <cellStyle name="20% - Accent5 13 2 3 4" xfId="11059" xr:uid="{00000000-0005-0000-0000-0000A61D0000}"/>
    <cellStyle name="20% - Accent5 13 2 3 4 2" xfId="34908" xr:uid="{D619CE1C-715E-49D1-B525-AE36B360E0E2}"/>
    <cellStyle name="20% - Accent5 13 2 3 5" xfId="19014" xr:uid="{00000000-0005-0000-0000-0000A71D0000}"/>
    <cellStyle name="20% - Accent5 13 2 3 5 2" xfId="42846" xr:uid="{B46EC3FE-FE28-4824-8F6B-5603BBAFF2E5}"/>
    <cellStyle name="20% - Accent5 13 2 3 6" xfId="26966" xr:uid="{3D879784-ECBD-4C1F-AEB8-9B90DC87D0DC}"/>
    <cellStyle name="20% - Accent5 13 2 3_Exh G" xfId="2458" xr:uid="{00000000-0005-0000-0000-0000A81D0000}"/>
    <cellStyle name="20% - Accent5 13 2 4" xfId="3913" xr:uid="{00000000-0005-0000-0000-0000A91D0000}"/>
    <cellStyle name="20% - Accent5 13 2 4 2" xfId="7505" xr:uid="{00000000-0005-0000-0000-0000AA1D0000}"/>
    <cellStyle name="20% - Accent5 13 2 4 2 2" xfId="15475" xr:uid="{00000000-0005-0000-0000-0000AB1D0000}"/>
    <cellStyle name="20% - Accent5 13 2 4 2 2 2" xfId="39317" xr:uid="{15C982EE-0674-41F6-B209-429D14A1259D}"/>
    <cellStyle name="20% - Accent5 13 2 4 2 3" xfId="23421" xr:uid="{00000000-0005-0000-0000-0000AC1D0000}"/>
    <cellStyle name="20% - Accent5 13 2 4 2 3 2" xfId="47253" xr:uid="{A486BCA0-C8CC-4987-8D21-553F4BC874FF}"/>
    <cellStyle name="20% - Accent5 13 2 4 2 4" xfId="31376" xr:uid="{FC08F54D-F70A-4ACB-B123-58FAF4FB8499}"/>
    <cellStyle name="20% - Accent5 13 2 4 3" xfId="11937" xr:uid="{00000000-0005-0000-0000-0000AD1D0000}"/>
    <cellStyle name="20% - Accent5 13 2 4 3 2" xfId="35786" xr:uid="{A8EA12C4-AACB-487E-BC9B-C0EC7256AED3}"/>
    <cellStyle name="20% - Accent5 13 2 4 4" xfId="19892" xr:uid="{00000000-0005-0000-0000-0000AE1D0000}"/>
    <cellStyle name="20% - Accent5 13 2 4 4 2" xfId="43724" xr:uid="{1A28BC58-DF75-45A6-96D0-A8112BFC6BCC}"/>
    <cellStyle name="20% - Accent5 13 2 4 5" xfId="27845" xr:uid="{A7FCBB10-395B-4A06-B869-6E91680EAE5F}"/>
    <cellStyle name="20% - Accent5 13 2 5" xfId="5733" xr:uid="{00000000-0005-0000-0000-0000AF1D0000}"/>
    <cellStyle name="20% - Accent5 13 2 5 2" xfId="13716" xr:uid="{00000000-0005-0000-0000-0000B01D0000}"/>
    <cellStyle name="20% - Accent5 13 2 5 2 2" xfId="37559" xr:uid="{70750F5E-93C9-428E-AC62-82EE93D14968}"/>
    <cellStyle name="20% - Accent5 13 2 5 3" xfId="21664" xr:uid="{00000000-0005-0000-0000-0000B11D0000}"/>
    <cellStyle name="20% - Accent5 13 2 5 3 2" xfId="45496" xr:uid="{93C63A47-54B5-4440-8197-FB0636044E23}"/>
    <cellStyle name="20% - Accent5 13 2 5 4" xfId="29618" xr:uid="{FFED742F-DD36-41F5-A97F-206AAC1103D6}"/>
    <cellStyle name="20% - Accent5 13 2 6" xfId="9285" xr:uid="{00000000-0005-0000-0000-0000B21D0000}"/>
    <cellStyle name="20% - Accent5 13 2 6 2" xfId="17243" xr:uid="{00000000-0005-0000-0000-0000B31D0000}"/>
    <cellStyle name="20% - Accent5 13 2 6 2 2" xfId="41083" xr:uid="{BD0E25B8-E448-4D44-AB0D-0C07DCC0E343}"/>
    <cellStyle name="20% - Accent5 13 2 6 3" xfId="25187" xr:uid="{00000000-0005-0000-0000-0000B41D0000}"/>
    <cellStyle name="20% - Accent5 13 2 6 3 2" xfId="49019" xr:uid="{B690B962-BD4E-4FB5-BA37-519A63E50F86}"/>
    <cellStyle name="20% - Accent5 13 2 6 4" xfId="33142" xr:uid="{4B869C52-5A7B-4342-BAC1-6E3D092BDCB2}"/>
    <cellStyle name="20% - Accent5 13 2 7" xfId="10181" xr:uid="{00000000-0005-0000-0000-0000B51D0000}"/>
    <cellStyle name="20% - Accent5 13 2 7 2" xfId="34030" xr:uid="{01EFD3F5-157A-4837-AA9F-8BC1723F45A3}"/>
    <cellStyle name="20% - Accent5 13 2 8" xfId="18136" xr:uid="{00000000-0005-0000-0000-0000B61D0000}"/>
    <cellStyle name="20% - Accent5 13 2 8 2" xfId="41968" xr:uid="{1E64A75D-5295-4200-BD09-18D61387A447}"/>
    <cellStyle name="20% - Accent5 13 2 9" xfId="26088" xr:uid="{332EF8FC-E10F-4859-AD96-56063DCF2FF6}"/>
    <cellStyle name="20% - Accent5 13 2_Exh G" xfId="2455" xr:uid="{00000000-0005-0000-0000-0000B71D0000}"/>
    <cellStyle name="20% - Accent5 13 3" xfId="241" xr:uid="{00000000-0005-0000-0000-0000B81D0000}"/>
    <cellStyle name="20% - Accent5 13 3 2" xfId="1267" xr:uid="{00000000-0005-0000-0000-0000B91D0000}"/>
    <cellStyle name="20% - Accent5 13 3 2 2" xfId="4794" xr:uid="{00000000-0005-0000-0000-0000BA1D0000}"/>
    <cellStyle name="20% - Accent5 13 3 2 2 2" xfId="8385" xr:uid="{00000000-0005-0000-0000-0000BB1D0000}"/>
    <cellStyle name="20% - Accent5 13 3 2 2 2 2" xfId="16355" xr:uid="{00000000-0005-0000-0000-0000BC1D0000}"/>
    <cellStyle name="20% - Accent5 13 3 2 2 2 2 2" xfId="40197" xr:uid="{77BA1294-C619-4108-8432-4E3E265762E4}"/>
    <cellStyle name="20% - Accent5 13 3 2 2 2 3" xfId="24301" xr:uid="{00000000-0005-0000-0000-0000BD1D0000}"/>
    <cellStyle name="20% - Accent5 13 3 2 2 2 3 2" xfId="48133" xr:uid="{DBD24705-D4D8-480E-86C2-827106B9986C}"/>
    <cellStyle name="20% - Accent5 13 3 2 2 2 4" xfId="32256" xr:uid="{2A8BC4B3-A5CD-44F4-9E87-C8BD9236E287}"/>
    <cellStyle name="20% - Accent5 13 3 2 2 3" xfId="12817" xr:uid="{00000000-0005-0000-0000-0000BE1D0000}"/>
    <cellStyle name="20% - Accent5 13 3 2 2 3 2" xfId="36666" xr:uid="{5240C39F-D26C-4649-9B19-F40292537CCE}"/>
    <cellStyle name="20% - Accent5 13 3 2 2 4" xfId="20772" xr:uid="{00000000-0005-0000-0000-0000BF1D0000}"/>
    <cellStyle name="20% - Accent5 13 3 2 2 4 2" xfId="44604" xr:uid="{A1E0B1D6-D218-40B2-86EF-1F6CCC5F4C63}"/>
    <cellStyle name="20% - Accent5 13 3 2 2 5" xfId="28725" xr:uid="{E8E29076-2F8B-4C14-A681-A9B90E26F466}"/>
    <cellStyle name="20% - Accent5 13 3 2 3" xfId="6626" xr:uid="{00000000-0005-0000-0000-0000C01D0000}"/>
    <cellStyle name="20% - Accent5 13 3 2 3 2" xfId="14597" xr:uid="{00000000-0005-0000-0000-0000C11D0000}"/>
    <cellStyle name="20% - Accent5 13 3 2 3 2 2" xfId="38439" xr:uid="{5192F187-A6EC-43F1-857C-9D4F61E7A7A4}"/>
    <cellStyle name="20% - Accent5 13 3 2 3 3" xfId="22544" xr:uid="{00000000-0005-0000-0000-0000C21D0000}"/>
    <cellStyle name="20% - Accent5 13 3 2 3 3 2" xfId="46376" xr:uid="{50E761BA-3652-4334-8BD4-30C33CEBBB4B}"/>
    <cellStyle name="20% - Accent5 13 3 2 3 4" xfId="30498" xr:uid="{B0DA085F-2ADC-4CE4-99FD-3C13F7E13A26}"/>
    <cellStyle name="20% - Accent5 13 3 2 4" xfId="11061" xr:uid="{00000000-0005-0000-0000-0000C31D0000}"/>
    <cellStyle name="20% - Accent5 13 3 2 4 2" xfId="34910" xr:uid="{3A7CFE4B-BB53-446D-A440-8BBEE28FF358}"/>
    <cellStyle name="20% - Accent5 13 3 2 5" xfId="19016" xr:uid="{00000000-0005-0000-0000-0000C41D0000}"/>
    <cellStyle name="20% - Accent5 13 3 2 5 2" xfId="42848" xr:uid="{CD129010-F58E-4318-A6F6-DD34BB4930D2}"/>
    <cellStyle name="20% - Accent5 13 3 2 6" xfId="26968" xr:uid="{66E18408-9B65-4332-B5AC-E78724655B99}"/>
    <cellStyle name="20% - Accent5 13 3 2_Exh G" xfId="2460" xr:uid="{00000000-0005-0000-0000-0000C51D0000}"/>
    <cellStyle name="20% - Accent5 13 3 3" xfId="3915" xr:uid="{00000000-0005-0000-0000-0000C61D0000}"/>
    <cellStyle name="20% - Accent5 13 3 3 2" xfId="7507" xr:uid="{00000000-0005-0000-0000-0000C71D0000}"/>
    <cellStyle name="20% - Accent5 13 3 3 2 2" xfId="15477" xr:uid="{00000000-0005-0000-0000-0000C81D0000}"/>
    <cellStyle name="20% - Accent5 13 3 3 2 2 2" xfId="39319" xr:uid="{8B71E18B-C1F0-4355-88E9-6663331E3970}"/>
    <cellStyle name="20% - Accent5 13 3 3 2 3" xfId="23423" xr:uid="{00000000-0005-0000-0000-0000C91D0000}"/>
    <cellStyle name="20% - Accent5 13 3 3 2 3 2" xfId="47255" xr:uid="{035CFDE5-C24D-4F7E-994F-08D1A72B95AE}"/>
    <cellStyle name="20% - Accent5 13 3 3 2 4" xfId="31378" xr:uid="{584D1B8C-C238-4B5D-BF0A-D0568E37CFC9}"/>
    <cellStyle name="20% - Accent5 13 3 3 3" xfId="11939" xr:uid="{00000000-0005-0000-0000-0000CA1D0000}"/>
    <cellStyle name="20% - Accent5 13 3 3 3 2" xfId="35788" xr:uid="{D0A2EBDB-C1A1-4BA3-8B87-6B62D3F905A0}"/>
    <cellStyle name="20% - Accent5 13 3 3 4" xfId="19894" xr:uid="{00000000-0005-0000-0000-0000CB1D0000}"/>
    <cellStyle name="20% - Accent5 13 3 3 4 2" xfId="43726" xr:uid="{EB41032D-2983-46BC-9A55-6486D974ACB8}"/>
    <cellStyle name="20% - Accent5 13 3 3 5" xfId="27847" xr:uid="{49DC54A1-2866-46F2-A350-46269A876F6E}"/>
    <cellStyle name="20% - Accent5 13 3 4" xfId="5735" xr:uid="{00000000-0005-0000-0000-0000CC1D0000}"/>
    <cellStyle name="20% - Accent5 13 3 4 2" xfId="13718" xr:uid="{00000000-0005-0000-0000-0000CD1D0000}"/>
    <cellStyle name="20% - Accent5 13 3 4 2 2" xfId="37561" xr:uid="{D553E8F3-B44E-409D-8E4F-F71839762AA1}"/>
    <cellStyle name="20% - Accent5 13 3 4 3" xfId="21666" xr:uid="{00000000-0005-0000-0000-0000CE1D0000}"/>
    <cellStyle name="20% - Accent5 13 3 4 3 2" xfId="45498" xr:uid="{5F777953-6EB7-4ED2-8E40-8E34DD3FC61D}"/>
    <cellStyle name="20% - Accent5 13 3 4 4" xfId="29620" xr:uid="{AA2F238D-D6C4-424F-AB26-646C37D6F2FF}"/>
    <cellStyle name="20% - Accent5 13 3 5" xfId="9287" xr:uid="{00000000-0005-0000-0000-0000CF1D0000}"/>
    <cellStyle name="20% - Accent5 13 3 5 2" xfId="17245" xr:uid="{00000000-0005-0000-0000-0000D01D0000}"/>
    <cellStyle name="20% - Accent5 13 3 5 2 2" xfId="41085" xr:uid="{B4AC5215-43D3-4DA8-BBEB-FAAD20FFBC4C}"/>
    <cellStyle name="20% - Accent5 13 3 5 3" xfId="25189" xr:uid="{00000000-0005-0000-0000-0000D11D0000}"/>
    <cellStyle name="20% - Accent5 13 3 5 3 2" xfId="49021" xr:uid="{AAB99947-1FA5-481F-B4C3-A7EA2DA65B4A}"/>
    <cellStyle name="20% - Accent5 13 3 5 4" xfId="33144" xr:uid="{1663D910-C7AE-4602-A3A4-27FFB7294312}"/>
    <cellStyle name="20% - Accent5 13 3 6" xfId="10183" xr:uid="{00000000-0005-0000-0000-0000D21D0000}"/>
    <cellStyle name="20% - Accent5 13 3 6 2" xfId="34032" xr:uid="{7C52981C-8923-4362-80E9-18CB30805177}"/>
    <cellStyle name="20% - Accent5 13 3 7" xfId="18138" xr:uid="{00000000-0005-0000-0000-0000D31D0000}"/>
    <cellStyle name="20% - Accent5 13 3 7 2" xfId="41970" xr:uid="{4DECA3DC-A226-4D38-9641-0AB36CDECB0D}"/>
    <cellStyle name="20% - Accent5 13 3 8" xfId="26090" xr:uid="{6653EF7D-1605-4717-BAE7-8DD1A3B0768D}"/>
    <cellStyle name="20% - Accent5 13 3_Exh G" xfId="2459" xr:uid="{00000000-0005-0000-0000-0000D41D0000}"/>
    <cellStyle name="20% - Accent5 13 4" xfId="1264" xr:uid="{00000000-0005-0000-0000-0000D51D0000}"/>
    <cellStyle name="20% - Accent5 13 4 2" xfId="4791" xr:uid="{00000000-0005-0000-0000-0000D61D0000}"/>
    <cellStyle name="20% - Accent5 13 4 2 2" xfId="8382" xr:uid="{00000000-0005-0000-0000-0000D71D0000}"/>
    <cellStyle name="20% - Accent5 13 4 2 2 2" xfId="16352" xr:uid="{00000000-0005-0000-0000-0000D81D0000}"/>
    <cellStyle name="20% - Accent5 13 4 2 2 2 2" xfId="40194" xr:uid="{88D8226E-6904-4099-B9FB-213597F34C22}"/>
    <cellStyle name="20% - Accent5 13 4 2 2 3" xfId="24298" xr:uid="{00000000-0005-0000-0000-0000D91D0000}"/>
    <cellStyle name="20% - Accent5 13 4 2 2 3 2" xfId="48130" xr:uid="{3E28002B-150D-4B4B-9FD6-A26F6E6044EA}"/>
    <cellStyle name="20% - Accent5 13 4 2 2 4" xfId="32253" xr:uid="{BC39698C-D122-46E1-9423-E5D19595282C}"/>
    <cellStyle name="20% - Accent5 13 4 2 3" xfId="12814" xr:uid="{00000000-0005-0000-0000-0000DA1D0000}"/>
    <cellStyle name="20% - Accent5 13 4 2 3 2" xfId="36663" xr:uid="{9084833A-8738-41CB-8613-F703A1881D50}"/>
    <cellStyle name="20% - Accent5 13 4 2 4" xfId="20769" xr:uid="{00000000-0005-0000-0000-0000DB1D0000}"/>
    <cellStyle name="20% - Accent5 13 4 2 4 2" xfId="44601" xr:uid="{49E16342-7986-41DD-9979-EF6107EB3251}"/>
    <cellStyle name="20% - Accent5 13 4 2 5" xfId="28722" xr:uid="{0D902729-CAAC-445A-9387-ED6E35328C88}"/>
    <cellStyle name="20% - Accent5 13 4 3" xfId="6623" xr:uid="{00000000-0005-0000-0000-0000DC1D0000}"/>
    <cellStyle name="20% - Accent5 13 4 3 2" xfId="14594" xr:uid="{00000000-0005-0000-0000-0000DD1D0000}"/>
    <cellStyle name="20% - Accent5 13 4 3 2 2" xfId="38436" xr:uid="{00D49EB4-057A-4DAE-89BD-38AB90529EC6}"/>
    <cellStyle name="20% - Accent5 13 4 3 3" xfId="22541" xr:uid="{00000000-0005-0000-0000-0000DE1D0000}"/>
    <cellStyle name="20% - Accent5 13 4 3 3 2" xfId="46373" xr:uid="{CE382D4C-2456-4C08-BCA7-828339DD9BCF}"/>
    <cellStyle name="20% - Accent5 13 4 3 4" xfId="30495" xr:uid="{856BB385-D13D-44AE-998B-12F927DA4625}"/>
    <cellStyle name="20% - Accent5 13 4 4" xfId="11058" xr:uid="{00000000-0005-0000-0000-0000DF1D0000}"/>
    <cellStyle name="20% - Accent5 13 4 4 2" xfId="34907" xr:uid="{AA78191D-D490-4FCD-9177-80B226464570}"/>
    <cellStyle name="20% - Accent5 13 4 5" xfId="19013" xr:uid="{00000000-0005-0000-0000-0000E01D0000}"/>
    <cellStyle name="20% - Accent5 13 4 5 2" xfId="42845" xr:uid="{43ECCD9E-3584-48D3-A76A-165FFB718979}"/>
    <cellStyle name="20% - Accent5 13 4 6" xfId="26965" xr:uid="{38F5CD9E-23B9-4854-ADAC-67A30B389E8D}"/>
    <cellStyle name="20% - Accent5 13 4_Exh G" xfId="2461" xr:uid="{00000000-0005-0000-0000-0000E11D0000}"/>
    <cellStyle name="20% - Accent5 13 5" xfId="3912" xr:uid="{00000000-0005-0000-0000-0000E21D0000}"/>
    <cellStyle name="20% - Accent5 13 5 2" xfId="7504" xr:uid="{00000000-0005-0000-0000-0000E31D0000}"/>
    <cellStyle name="20% - Accent5 13 5 2 2" xfId="15474" xr:uid="{00000000-0005-0000-0000-0000E41D0000}"/>
    <cellStyle name="20% - Accent5 13 5 2 2 2" xfId="39316" xr:uid="{1BA413F3-AD65-4532-8BA4-41B044164CA9}"/>
    <cellStyle name="20% - Accent5 13 5 2 3" xfId="23420" xr:uid="{00000000-0005-0000-0000-0000E51D0000}"/>
    <cellStyle name="20% - Accent5 13 5 2 3 2" xfId="47252" xr:uid="{2267AA10-8AA6-4C7A-AE26-E03BA10C5057}"/>
    <cellStyle name="20% - Accent5 13 5 2 4" xfId="31375" xr:uid="{903EEBD0-03B5-448F-93EF-29A688B6C6A9}"/>
    <cellStyle name="20% - Accent5 13 5 3" xfId="11936" xr:uid="{00000000-0005-0000-0000-0000E61D0000}"/>
    <cellStyle name="20% - Accent5 13 5 3 2" xfId="35785" xr:uid="{83D054F9-985E-4BF8-B243-0D48804A969A}"/>
    <cellStyle name="20% - Accent5 13 5 4" xfId="19891" xr:uid="{00000000-0005-0000-0000-0000E71D0000}"/>
    <cellStyle name="20% - Accent5 13 5 4 2" xfId="43723" xr:uid="{EAA67211-FB3C-4E16-997B-C0BBC83A62D9}"/>
    <cellStyle name="20% - Accent5 13 5 5" xfId="27844" xr:uid="{1A114ED1-1FDB-4A95-82DA-A34596D97751}"/>
    <cellStyle name="20% - Accent5 13 6" xfId="5732" xr:uid="{00000000-0005-0000-0000-0000E81D0000}"/>
    <cellStyle name="20% - Accent5 13 6 2" xfId="13715" xr:uid="{00000000-0005-0000-0000-0000E91D0000}"/>
    <cellStyle name="20% - Accent5 13 6 2 2" xfId="37558" xr:uid="{734AA32E-13C5-4BAA-8C4B-2A0D7A56E335}"/>
    <cellStyle name="20% - Accent5 13 6 3" xfId="21663" xr:uid="{00000000-0005-0000-0000-0000EA1D0000}"/>
    <cellStyle name="20% - Accent5 13 6 3 2" xfId="45495" xr:uid="{9F936676-B125-44B2-84EB-9B1D9BD7BF13}"/>
    <cellStyle name="20% - Accent5 13 6 4" xfId="29617" xr:uid="{8E422EF6-9D21-4AAA-A843-04AAC89FC54D}"/>
    <cellStyle name="20% - Accent5 13 7" xfId="9284" xr:uid="{00000000-0005-0000-0000-0000EB1D0000}"/>
    <cellStyle name="20% - Accent5 13 7 2" xfId="17242" xr:uid="{00000000-0005-0000-0000-0000EC1D0000}"/>
    <cellStyle name="20% - Accent5 13 7 2 2" xfId="41082" xr:uid="{B524788F-EEFA-4FE2-BE57-6EB02200CAFB}"/>
    <cellStyle name="20% - Accent5 13 7 3" xfId="25186" xr:uid="{00000000-0005-0000-0000-0000ED1D0000}"/>
    <cellStyle name="20% - Accent5 13 7 3 2" xfId="49018" xr:uid="{9D1AE978-8338-42D3-A88D-773D3687E54C}"/>
    <cellStyle name="20% - Accent5 13 7 4" xfId="33141" xr:uid="{DDC9A46C-883C-42F2-A972-11B4A1493F5C}"/>
    <cellStyle name="20% - Accent5 13 8" xfId="10180" xr:uid="{00000000-0005-0000-0000-0000EE1D0000}"/>
    <cellStyle name="20% - Accent5 13 8 2" xfId="34029" xr:uid="{A6811475-5436-4961-9DAB-004138BBA7BE}"/>
    <cellStyle name="20% - Accent5 13 9" xfId="18135" xr:uid="{00000000-0005-0000-0000-0000EF1D0000}"/>
    <cellStyle name="20% - Accent5 13 9 2" xfId="41967" xr:uid="{5EF3DBC9-B4BD-4F21-AFF5-9CD055B3D876}"/>
    <cellStyle name="20% - Accent5 13_Exh G" xfId="2454" xr:uid="{00000000-0005-0000-0000-0000F01D0000}"/>
    <cellStyle name="20% - Accent5 14" xfId="242" xr:uid="{00000000-0005-0000-0000-0000F11D0000}"/>
    <cellStyle name="20% - Accent5 14 2" xfId="243" xr:uid="{00000000-0005-0000-0000-0000F21D0000}"/>
    <cellStyle name="20% - Accent5 14 2 2" xfId="1269" xr:uid="{00000000-0005-0000-0000-0000F31D0000}"/>
    <cellStyle name="20% - Accent5 14 2 2 2" xfId="4796" xr:uid="{00000000-0005-0000-0000-0000F41D0000}"/>
    <cellStyle name="20% - Accent5 14 2 2 2 2" xfId="8387" xr:uid="{00000000-0005-0000-0000-0000F51D0000}"/>
    <cellStyle name="20% - Accent5 14 2 2 2 2 2" xfId="16357" xr:uid="{00000000-0005-0000-0000-0000F61D0000}"/>
    <cellStyle name="20% - Accent5 14 2 2 2 2 2 2" xfId="40199" xr:uid="{42C18052-123A-4BED-A4CA-E9EE8AC21198}"/>
    <cellStyle name="20% - Accent5 14 2 2 2 2 3" xfId="24303" xr:uid="{00000000-0005-0000-0000-0000F71D0000}"/>
    <cellStyle name="20% - Accent5 14 2 2 2 2 3 2" xfId="48135" xr:uid="{0F60E358-11D5-4D91-997E-4BEE1318B09E}"/>
    <cellStyle name="20% - Accent5 14 2 2 2 2 4" xfId="32258" xr:uid="{C7132CB9-AA53-4B7C-9B86-E61E6BD75C11}"/>
    <cellStyle name="20% - Accent5 14 2 2 2 3" xfId="12819" xr:uid="{00000000-0005-0000-0000-0000F81D0000}"/>
    <cellStyle name="20% - Accent5 14 2 2 2 3 2" xfId="36668" xr:uid="{1A30A8C7-133D-4149-B315-8328BC8069C6}"/>
    <cellStyle name="20% - Accent5 14 2 2 2 4" xfId="20774" xr:uid="{00000000-0005-0000-0000-0000F91D0000}"/>
    <cellStyle name="20% - Accent5 14 2 2 2 4 2" xfId="44606" xr:uid="{807977A8-2E0A-4CBA-9701-59F193E59769}"/>
    <cellStyle name="20% - Accent5 14 2 2 2 5" xfId="28727" xr:uid="{EF3A6E4D-1E36-40AF-ABD6-44B5B69FB33C}"/>
    <cellStyle name="20% - Accent5 14 2 2 3" xfId="6628" xr:uid="{00000000-0005-0000-0000-0000FA1D0000}"/>
    <cellStyle name="20% - Accent5 14 2 2 3 2" xfId="14599" xr:uid="{00000000-0005-0000-0000-0000FB1D0000}"/>
    <cellStyle name="20% - Accent5 14 2 2 3 2 2" xfId="38441" xr:uid="{AC471207-075D-46B2-92E8-6B20DD92018A}"/>
    <cellStyle name="20% - Accent5 14 2 2 3 3" xfId="22546" xr:uid="{00000000-0005-0000-0000-0000FC1D0000}"/>
    <cellStyle name="20% - Accent5 14 2 2 3 3 2" xfId="46378" xr:uid="{08296A8B-1974-4EFC-A181-28D37A97DAA4}"/>
    <cellStyle name="20% - Accent5 14 2 2 3 4" xfId="30500" xr:uid="{FAF90A31-C148-48BE-9856-930885AB8884}"/>
    <cellStyle name="20% - Accent5 14 2 2 4" xfId="11063" xr:uid="{00000000-0005-0000-0000-0000FD1D0000}"/>
    <cellStyle name="20% - Accent5 14 2 2 4 2" xfId="34912" xr:uid="{D9334058-B518-464A-83D3-8631C4CCD45E}"/>
    <cellStyle name="20% - Accent5 14 2 2 5" xfId="19018" xr:uid="{00000000-0005-0000-0000-0000FE1D0000}"/>
    <cellStyle name="20% - Accent5 14 2 2 5 2" xfId="42850" xr:uid="{66B01DD9-E471-42B6-B851-7EB62F79E204}"/>
    <cellStyle name="20% - Accent5 14 2 2 6" xfId="26970" xr:uid="{AB03C91F-C52A-4FA0-A49F-8A487D7586ED}"/>
    <cellStyle name="20% - Accent5 14 2 2_Exh G" xfId="2464" xr:uid="{00000000-0005-0000-0000-0000FF1D0000}"/>
    <cellStyle name="20% - Accent5 14 2 3" xfId="3917" xr:uid="{00000000-0005-0000-0000-0000001E0000}"/>
    <cellStyle name="20% - Accent5 14 2 3 2" xfId="7509" xr:uid="{00000000-0005-0000-0000-0000011E0000}"/>
    <cellStyle name="20% - Accent5 14 2 3 2 2" xfId="15479" xr:uid="{00000000-0005-0000-0000-0000021E0000}"/>
    <cellStyle name="20% - Accent5 14 2 3 2 2 2" xfId="39321" xr:uid="{619DF550-7107-4266-8E02-CE59B569A572}"/>
    <cellStyle name="20% - Accent5 14 2 3 2 3" xfId="23425" xr:uid="{00000000-0005-0000-0000-0000031E0000}"/>
    <cellStyle name="20% - Accent5 14 2 3 2 3 2" xfId="47257" xr:uid="{52463A46-E1D2-4844-A9FD-0075F8115052}"/>
    <cellStyle name="20% - Accent5 14 2 3 2 4" xfId="31380" xr:uid="{05C520A1-AF4D-4556-B725-8884096D6800}"/>
    <cellStyle name="20% - Accent5 14 2 3 3" xfId="11941" xr:uid="{00000000-0005-0000-0000-0000041E0000}"/>
    <cellStyle name="20% - Accent5 14 2 3 3 2" xfId="35790" xr:uid="{BAD76776-46C7-4211-8A9F-FC4612EFBDFA}"/>
    <cellStyle name="20% - Accent5 14 2 3 4" xfId="19896" xr:uid="{00000000-0005-0000-0000-0000051E0000}"/>
    <cellStyle name="20% - Accent5 14 2 3 4 2" xfId="43728" xr:uid="{6D1C2F1D-47A9-454D-A8AE-050F27A88582}"/>
    <cellStyle name="20% - Accent5 14 2 3 5" xfId="27849" xr:uid="{D5B19370-1F6E-458E-89D4-AAF37147D324}"/>
    <cellStyle name="20% - Accent5 14 2 4" xfId="5737" xr:uid="{00000000-0005-0000-0000-0000061E0000}"/>
    <cellStyle name="20% - Accent5 14 2 4 2" xfId="13720" xr:uid="{00000000-0005-0000-0000-0000071E0000}"/>
    <cellStyle name="20% - Accent5 14 2 4 2 2" xfId="37563" xr:uid="{0AC961BF-D11C-49C4-BC84-DF9360192EF3}"/>
    <cellStyle name="20% - Accent5 14 2 4 3" xfId="21668" xr:uid="{00000000-0005-0000-0000-0000081E0000}"/>
    <cellStyle name="20% - Accent5 14 2 4 3 2" xfId="45500" xr:uid="{0EDACCB8-E087-476F-90B1-EEBAFDE5E87A}"/>
    <cellStyle name="20% - Accent5 14 2 4 4" xfId="29622" xr:uid="{961DFCE5-CDF1-4B8B-8D5D-4A89CE999193}"/>
    <cellStyle name="20% - Accent5 14 2 5" xfId="9289" xr:uid="{00000000-0005-0000-0000-0000091E0000}"/>
    <cellStyle name="20% - Accent5 14 2 5 2" xfId="17247" xr:uid="{00000000-0005-0000-0000-00000A1E0000}"/>
    <cellStyle name="20% - Accent5 14 2 5 2 2" xfId="41087" xr:uid="{36169D8D-A887-4C3B-906F-FFE7998F05D9}"/>
    <cellStyle name="20% - Accent5 14 2 5 3" xfId="25191" xr:uid="{00000000-0005-0000-0000-00000B1E0000}"/>
    <cellStyle name="20% - Accent5 14 2 5 3 2" xfId="49023" xr:uid="{A227CAFC-0610-4A5E-8BF6-0230A0A67658}"/>
    <cellStyle name="20% - Accent5 14 2 5 4" xfId="33146" xr:uid="{B012EF26-459B-45A9-A4E1-4CA1D1461BC4}"/>
    <cellStyle name="20% - Accent5 14 2 6" xfId="10185" xr:uid="{00000000-0005-0000-0000-00000C1E0000}"/>
    <cellStyle name="20% - Accent5 14 2 6 2" xfId="34034" xr:uid="{05A4BC1B-A84B-486C-9E37-FE53C30AD969}"/>
    <cellStyle name="20% - Accent5 14 2 7" xfId="18140" xr:uid="{00000000-0005-0000-0000-00000D1E0000}"/>
    <cellStyle name="20% - Accent5 14 2 7 2" xfId="41972" xr:uid="{16FA4BEB-4B20-46E9-9FA4-F742AF18447F}"/>
    <cellStyle name="20% - Accent5 14 2 8" xfId="26092" xr:uid="{1C01AEAC-EF35-4AE4-BB5E-1B6D7BF0DAAE}"/>
    <cellStyle name="20% - Accent5 14 2_Exh G" xfId="2463" xr:uid="{00000000-0005-0000-0000-00000E1E0000}"/>
    <cellStyle name="20% - Accent5 14 3" xfId="1268" xr:uid="{00000000-0005-0000-0000-00000F1E0000}"/>
    <cellStyle name="20% - Accent5 14 3 2" xfId="4795" xr:uid="{00000000-0005-0000-0000-0000101E0000}"/>
    <cellStyle name="20% - Accent5 14 3 2 2" xfId="8386" xr:uid="{00000000-0005-0000-0000-0000111E0000}"/>
    <cellStyle name="20% - Accent5 14 3 2 2 2" xfId="16356" xr:uid="{00000000-0005-0000-0000-0000121E0000}"/>
    <cellStyle name="20% - Accent5 14 3 2 2 2 2" xfId="40198" xr:uid="{3C6D057D-1766-4EB5-BAB2-063493981A0E}"/>
    <cellStyle name="20% - Accent5 14 3 2 2 3" xfId="24302" xr:uid="{00000000-0005-0000-0000-0000131E0000}"/>
    <cellStyle name="20% - Accent5 14 3 2 2 3 2" xfId="48134" xr:uid="{4D6EF735-826F-4E4D-94E3-27712F835FE2}"/>
    <cellStyle name="20% - Accent5 14 3 2 2 4" xfId="32257" xr:uid="{8142E049-94F1-4BC4-987F-02DFFC28D94F}"/>
    <cellStyle name="20% - Accent5 14 3 2 3" xfId="12818" xr:uid="{00000000-0005-0000-0000-0000141E0000}"/>
    <cellStyle name="20% - Accent5 14 3 2 3 2" xfId="36667" xr:uid="{486DAD3F-58CE-4B1E-B007-81C65EC2B534}"/>
    <cellStyle name="20% - Accent5 14 3 2 4" xfId="20773" xr:uid="{00000000-0005-0000-0000-0000151E0000}"/>
    <cellStyle name="20% - Accent5 14 3 2 4 2" xfId="44605" xr:uid="{860D748E-7043-4A3D-86A6-24C7E1C97151}"/>
    <cellStyle name="20% - Accent5 14 3 2 5" xfId="28726" xr:uid="{FD680071-4B5B-47D3-87C7-73D9D81B41CD}"/>
    <cellStyle name="20% - Accent5 14 3 3" xfId="6627" xr:uid="{00000000-0005-0000-0000-0000161E0000}"/>
    <cellStyle name="20% - Accent5 14 3 3 2" xfId="14598" xr:uid="{00000000-0005-0000-0000-0000171E0000}"/>
    <cellStyle name="20% - Accent5 14 3 3 2 2" xfId="38440" xr:uid="{55A7DC70-3572-482F-A745-AFA80C48F0BA}"/>
    <cellStyle name="20% - Accent5 14 3 3 3" xfId="22545" xr:uid="{00000000-0005-0000-0000-0000181E0000}"/>
    <cellStyle name="20% - Accent5 14 3 3 3 2" xfId="46377" xr:uid="{5FADA9F9-F823-484B-8FF4-5E88D92E76B4}"/>
    <cellStyle name="20% - Accent5 14 3 3 4" xfId="30499" xr:uid="{5C83E520-18FB-4CD2-A5DA-1EFA4E54FED4}"/>
    <cellStyle name="20% - Accent5 14 3 4" xfId="11062" xr:uid="{00000000-0005-0000-0000-0000191E0000}"/>
    <cellStyle name="20% - Accent5 14 3 4 2" xfId="34911" xr:uid="{1E103635-9013-4CFB-82F5-911F1FCB190E}"/>
    <cellStyle name="20% - Accent5 14 3 5" xfId="19017" xr:uid="{00000000-0005-0000-0000-00001A1E0000}"/>
    <cellStyle name="20% - Accent5 14 3 5 2" xfId="42849" xr:uid="{D3D38AE0-603D-4D8A-B2E5-78849E2B881B}"/>
    <cellStyle name="20% - Accent5 14 3 6" xfId="26969" xr:uid="{777B1B8E-1FB4-4896-9DF4-6FA043F994EC}"/>
    <cellStyle name="20% - Accent5 14 3_Exh G" xfId="2465" xr:uid="{00000000-0005-0000-0000-00001B1E0000}"/>
    <cellStyle name="20% - Accent5 14 4" xfId="3916" xr:uid="{00000000-0005-0000-0000-00001C1E0000}"/>
    <cellStyle name="20% - Accent5 14 4 2" xfId="7508" xr:uid="{00000000-0005-0000-0000-00001D1E0000}"/>
    <cellStyle name="20% - Accent5 14 4 2 2" xfId="15478" xr:uid="{00000000-0005-0000-0000-00001E1E0000}"/>
    <cellStyle name="20% - Accent5 14 4 2 2 2" xfId="39320" xr:uid="{E9752D5C-A284-4D7E-B16E-9001D8F1D0AA}"/>
    <cellStyle name="20% - Accent5 14 4 2 3" xfId="23424" xr:uid="{00000000-0005-0000-0000-00001F1E0000}"/>
    <cellStyle name="20% - Accent5 14 4 2 3 2" xfId="47256" xr:uid="{0C19C676-C00F-4955-8D6F-F5ECA9E990DE}"/>
    <cellStyle name="20% - Accent5 14 4 2 4" xfId="31379" xr:uid="{7FCF06AF-E940-4D5F-9E9C-C515393EFD8C}"/>
    <cellStyle name="20% - Accent5 14 4 3" xfId="11940" xr:uid="{00000000-0005-0000-0000-0000201E0000}"/>
    <cellStyle name="20% - Accent5 14 4 3 2" xfId="35789" xr:uid="{AE93CADB-CE7D-49F4-B285-7E7365AEF773}"/>
    <cellStyle name="20% - Accent5 14 4 4" xfId="19895" xr:uid="{00000000-0005-0000-0000-0000211E0000}"/>
    <cellStyle name="20% - Accent5 14 4 4 2" xfId="43727" xr:uid="{F3364425-CA08-444C-93D2-33D65F3A356A}"/>
    <cellStyle name="20% - Accent5 14 4 5" xfId="27848" xr:uid="{24A0057F-E791-4F44-B27B-CFF6EFDB33DC}"/>
    <cellStyle name="20% - Accent5 14 5" xfId="5736" xr:uid="{00000000-0005-0000-0000-0000221E0000}"/>
    <cellStyle name="20% - Accent5 14 5 2" xfId="13719" xr:uid="{00000000-0005-0000-0000-0000231E0000}"/>
    <cellStyle name="20% - Accent5 14 5 2 2" xfId="37562" xr:uid="{1D82F001-65AD-42ED-BE02-CB3A274CF44B}"/>
    <cellStyle name="20% - Accent5 14 5 3" xfId="21667" xr:uid="{00000000-0005-0000-0000-0000241E0000}"/>
    <cellStyle name="20% - Accent5 14 5 3 2" xfId="45499" xr:uid="{FC26FE91-E3FC-46D3-9412-1B62B91B61F5}"/>
    <cellStyle name="20% - Accent5 14 5 4" xfId="29621" xr:uid="{3C2F9E31-7849-46B6-9685-5346CD42BCFA}"/>
    <cellStyle name="20% - Accent5 14 6" xfId="9288" xr:uid="{00000000-0005-0000-0000-0000251E0000}"/>
    <cellStyle name="20% - Accent5 14 6 2" xfId="17246" xr:uid="{00000000-0005-0000-0000-0000261E0000}"/>
    <cellStyle name="20% - Accent5 14 6 2 2" xfId="41086" xr:uid="{D2B43074-8EC1-457E-8A9C-608152702C93}"/>
    <cellStyle name="20% - Accent5 14 6 3" xfId="25190" xr:uid="{00000000-0005-0000-0000-0000271E0000}"/>
    <cellStyle name="20% - Accent5 14 6 3 2" xfId="49022" xr:uid="{E6BC11BE-4D84-426B-96F0-8BD9E9AB6339}"/>
    <cellStyle name="20% - Accent5 14 6 4" xfId="33145" xr:uid="{9B4E13F9-5EC3-402A-B2C8-EFFB8E9565BD}"/>
    <cellStyle name="20% - Accent5 14 7" xfId="10184" xr:uid="{00000000-0005-0000-0000-0000281E0000}"/>
    <cellStyle name="20% - Accent5 14 7 2" xfId="34033" xr:uid="{2205B9C1-8A41-4042-9E35-2F966E1359F9}"/>
    <cellStyle name="20% - Accent5 14 8" xfId="18139" xr:uid="{00000000-0005-0000-0000-0000291E0000}"/>
    <cellStyle name="20% - Accent5 14 8 2" xfId="41971" xr:uid="{1633EC70-159D-4F84-B3A8-D76098AFA646}"/>
    <cellStyle name="20% - Accent5 14 9" xfId="26091" xr:uid="{EF3D7D16-3974-4051-A3F4-5D68052FFA9D}"/>
    <cellStyle name="20% - Accent5 14_Exh G" xfId="2462" xr:uid="{00000000-0005-0000-0000-00002A1E0000}"/>
    <cellStyle name="20% - Accent5 15" xfId="244" xr:uid="{00000000-0005-0000-0000-00002B1E0000}"/>
    <cellStyle name="20% - Accent5 15 2" xfId="1270" xr:uid="{00000000-0005-0000-0000-00002C1E0000}"/>
    <cellStyle name="20% - Accent5 15 2 2" xfId="4797" xr:uid="{00000000-0005-0000-0000-00002D1E0000}"/>
    <cellStyle name="20% - Accent5 15 2 2 2" xfId="8388" xr:uid="{00000000-0005-0000-0000-00002E1E0000}"/>
    <cellStyle name="20% - Accent5 15 2 2 2 2" xfId="16358" xr:uid="{00000000-0005-0000-0000-00002F1E0000}"/>
    <cellStyle name="20% - Accent5 15 2 2 2 2 2" xfId="40200" xr:uid="{6C0AC16A-D034-4FC1-A370-7176FBDF3F99}"/>
    <cellStyle name="20% - Accent5 15 2 2 2 3" xfId="24304" xr:uid="{00000000-0005-0000-0000-0000301E0000}"/>
    <cellStyle name="20% - Accent5 15 2 2 2 3 2" xfId="48136" xr:uid="{98A17D12-D57F-4B0F-AB4D-A52037D8A192}"/>
    <cellStyle name="20% - Accent5 15 2 2 2 4" xfId="32259" xr:uid="{96110B40-D7C7-4FBB-A2F8-111D309DB901}"/>
    <cellStyle name="20% - Accent5 15 2 2 3" xfId="12820" xr:uid="{00000000-0005-0000-0000-0000311E0000}"/>
    <cellStyle name="20% - Accent5 15 2 2 3 2" xfId="36669" xr:uid="{24EF6BF6-548B-45B2-B39C-4635D48D96A4}"/>
    <cellStyle name="20% - Accent5 15 2 2 4" xfId="20775" xr:uid="{00000000-0005-0000-0000-0000321E0000}"/>
    <cellStyle name="20% - Accent5 15 2 2 4 2" xfId="44607" xr:uid="{F58F3EFB-80AF-427F-8CE4-9D5E1D07BF76}"/>
    <cellStyle name="20% - Accent5 15 2 2 5" xfId="28728" xr:uid="{6810C77D-0AD5-42D5-8556-14842DE0680C}"/>
    <cellStyle name="20% - Accent5 15 2 3" xfId="6629" xr:uid="{00000000-0005-0000-0000-0000331E0000}"/>
    <cellStyle name="20% - Accent5 15 2 3 2" xfId="14600" xr:uid="{00000000-0005-0000-0000-0000341E0000}"/>
    <cellStyle name="20% - Accent5 15 2 3 2 2" xfId="38442" xr:uid="{0FCA9C11-A3C6-453C-81E7-FD73E4287ED7}"/>
    <cellStyle name="20% - Accent5 15 2 3 3" xfId="22547" xr:uid="{00000000-0005-0000-0000-0000351E0000}"/>
    <cellStyle name="20% - Accent5 15 2 3 3 2" xfId="46379" xr:uid="{0908A25D-111D-4841-BACE-190875446F65}"/>
    <cellStyle name="20% - Accent5 15 2 3 4" xfId="30501" xr:uid="{A07CD9D4-FE02-434A-A761-74E4790AE7A8}"/>
    <cellStyle name="20% - Accent5 15 2 4" xfId="11064" xr:uid="{00000000-0005-0000-0000-0000361E0000}"/>
    <cellStyle name="20% - Accent5 15 2 4 2" xfId="34913" xr:uid="{AA4DF979-22A1-465F-A7E9-BC1428B72222}"/>
    <cellStyle name="20% - Accent5 15 2 5" xfId="19019" xr:uid="{00000000-0005-0000-0000-0000371E0000}"/>
    <cellStyle name="20% - Accent5 15 2 5 2" xfId="42851" xr:uid="{BA0D949C-EF1E-41BD-A7B9-94CDB70CED11}"/>
    <cellStyle name="20% - Accent5 15 2 6" xfId="26971" xr:uid="{CE3C7168-613F-481A-960E-C896155DBDEA}"/>
    <cellStyle name="20% - Accent5 15 2_Exh G" xfId="2467" xr:uid="{00000000-0005-0000-0000-0000381E0000}"/>
    <cellStyle name="20% - Accent5 15 3" xfId="3918" xr:uid="{00000000-0005-0000-0000-0000391E0000}"/>
    <cellStyle name="20% - Accent5 15 3 2" xfId="7510" xr:uid="{00000000-0005-0000-0000-00003A1E0000}"/>
    <cellStyle name="20% - Accent5 15 3 2 2" xfId="15480" xr:uid="{00000000-0005-0000-0000-00003B1E0000}"/>
    <cellStyle name="20% - Accent5 15 3 2 2 2" xfId="39322" xr:uid="{E23B2BF8-776A-4895-9F8B-CEC4A594B61A}"/>
    <cellStyle name="20% - Accent5 15 3 2 3" xfId="23426" xr:uid="{00000000-0005-0000-0000-00003C1E0000}"/>
    <cellStyle name="20% - Accent5 15 3 2 3 2" xfId="47258" xr:uid="{9B770143-A869-4C43-9553-AFF85B1732E7}"/>
    <cellStyle name="20% - Accent5 15 3 2 4" xfId="31381" xr:uid="{F6D0208D-18E3-4004-A3DB-AE92B7098CD7}"/>
    <cellStyle name="20% - Accent5 15 3 3" xfId="11942" xr:uid="{00000000-0005-0000-0000-00003D1E0000}"/>
    <cellStyle name="20% - Accent5 15 3 3 2" xfId="35791" xr:uid="{D6C92AB3-60A1-4E46-8DE8-A280B2253C44}"/>
    <cellStyle name="20% - Accent5 15 3 4" xfId="19897" xr:uid="{00000000-0005-0000-0000-00003E1E0000}"/>
    <cellStyle name="20% - Accent5 15 3 4 2" xfId="43729" xr:uid="{EE6DB6E4-25EC-4A77-B20D-827E9F5C2C68}"/>
    <cellStyle name="20% - Accent5 15 3 5" xfId="27850" xr:uid="{B4983D75-9AEA-46ED-ACD9-5268BF16162F}"/>
    <cellStyle name="20% - Accent5 15 4" xfId="5738" xr:uid="{00000000-0005-0000-0000-00003F1E0000}"/>
    <cellStyle name="20% - Accent5 15 4 2" xfId="13721" xr:uid="{00000000-0005-0000-0000-0000401E0000}"/>
    <cellStyle name="20% - Accent5 15 4 2 2" xfId="37564" xr:uid="{96664E36-4071-481C-9BEB-C37ECE60D3D6}"/>
    <cellStyle name="20% - Accent5 15 4 3" xfId="21669" xr:uid="{00000000-0005-0000-0000-0000411E0000}"/>
    <cellStyle name="20% - Accent5 15 4 3 2" xfId="45501" xr:uid="{D9A67F5C-FE25-4CCE-A855-CD320C159815}"/>
    <cellStyle name="20% - Accent5 15 4 4" xfId="29623" xr:uid="{D8C96A2C-5908-4016-B181-C0158F42234D}"/>
    <cellStyle name="20% - Accent5 15 5" xfId="9290" xr:uid="{00000000-0005-0000-0000-0000421E0000}"/>
    <cellStyle name="20% - Accent5 15 5 2" xfId="17248" xr:uid="{00000000-0005-0000-0000-0000431E0000}"/>
    <cellStyle name="20% - Accent5 15 5 2 2" xfId="41088" xr:uid="{CD770889-3440-4927-9B0E-34969EF1792A}"/>
    <cellStyle name="20% - Accent5 15 5 3" xfId="25192" xr:uid="{00000000-0005-0000-0000-0000441E0000}"/>
    <cellStyle name="20% - Accent5 15 5 3 2" xfId="49024" xr:uid="{4389EBFE-BEDB-47F1-8E96-9BD2EBC4E833}"/>
    <cellStyle name="20% - Accent5 15 5 4" xfId="33147" xr:uid="{08BADA86-FA4D-4601-94BD-91C7BEEC50A7}"/>
    <cellStyle name="20% - Accent5 15 6" xfId="10186" xr:uid="{00000000-0005-0000-0000-0000451E0000}"/>
    <cellStyle name="20% - Accent5 15 6 2" xfId="34035" xr:uid="{A0FF62B9-016C-4966-B217-D5A435A919C7}"/>
    <cellStyle name="20% - Accent5 15 7" xfId="18141" xr:uid="{00000000-0005-0000-0000-0000461E0000}"/>
    <cellStyle name="20% - Accent5 15 7 2" xfId="41973" xr:uid="{A3160F34-71F2-470C-8A98-74731D4D3A4E}"/>
    <cellStyle name="20% - Accent5 15 8" xfId="26093" xr:uid="{2273F41D-3B4A-4D50-9F10-49E9E2F33D6A}"/>
    <cellStyle name="20% - Accent5 15_Exh G" xfId="2466" xr:uid="{00000000-0005-0000-0000-0000471E0000}"/>
    <cellStyle name="20% - Accent5 16" xfId="844" xr:uid="{00000000-0005-0000-0000-0000481E0000}"/>
    <cellStyle name="20% - Accent5 16 2" xfId="1779" xr:uid="{00000000-0005-0000-0000-0000491E0000}"/>
    <cellStyle name="20% - Accent5 16 2 2" xfId="5299" xr:uid="{00000000-0005-0000-0000-00004A1E0000}"/>
    <cellStyle name="20% - Accent5 16 2 2 2" xfId="8890" xr:uid="{00000000-0005-0000-0000-00004B1E0000}"/>
    <cellStyle name="20% - Accent5 16 2 2 2 2" xfId="16860" xr:uid="{00000000-0005-0000-0000-00004C1E0000}"/>
    <cellStyle name="20% - Accent5 16 2 2 2 2 2" xfId="40702" xr:uid="{CD8D54AF-6416-4551-AF03-DC3ABD36FD7D}"/>
    <cellStyle name="20% - Accent5 16 2 2 2 3" xfId="24806" xr:uid="{00000000-0005-0000-0000-00004D1E0000}"/>
    <cellStyle name="20% - Accent5 16 2 2 2 3 2" xfId="48638" xr:uid="{0D58899D-6A51-421A-912E-14C61F7740FB}"/>
    <cellStyle name="20% - Accent5 16 2 2 2 4" xfId="32761" xr:uid="{0D1ECE56-DAC8-4F80-A933-B65554EB9CF6}"/>
    <cellStyle name="20% - Accent5 16 2 2 3" xfId="13322" xr:uid="{00000000-0005-0000-0000-00004E1E0000}"/>
    <cellStyle name="20% - Accent5 16 2 2 3 2" xfId="37171" xr:uid="{BD8BF230-5C80-4A6F-BFFB-A525AE10ECDE}"/>
    <cellStyle name="20% - Accent5 16 2 2 4" xfId="21277" xr:uid="{00000000-0005-0000-0000-00004F1E0000}"/>
    <cellStyle name="20% - Accent5 16 2 2 4 2" xfId="45109" xr:uid="{1C05D4EE-B333-479A-BEEC-B2CD5A0D1B0A}"/>
    <cellStyle name="20% - Accent5 16 2 2 5" xfId="29230" xr:uid="{634A5461-830E-48DF-9A22-345974B9AA97}"/>
    <cellStyle name="20% - Accent5 16 2 3" xfId="7131" xr:uid="{00000000-0005-0000-0000-0000501E0000}"/>
    <cellStyle name="20% - Accent5 16 2 3 2" xfId="15102" xr:uid="{00000000-0005-0000-0000-0000511E0000}"/>
    <cellStyle name="20% - Accent5 16 2 3 2 2" xfId="38944" xr:uid="{278DDC06-357E-4DDD-B6C4-4E2FB87D6C86}"/>
    <cellStyle name="20% - Accent5 16 2 3 3" xfId="23049" xr:uid="{00000000-0005-0000-0000-0000521E0000}"/>
    <cellStyle name="20% - Accent5 16 2 3 3 2" xfId="46881" xr:uid="{721CF5C8-AD96-4419-B1DF-751F5883F070}"/>
    <cellStyle name="20% - Accent5 16 2 3 4" xfId="31003" xr:uid="{22169C79-1629-4434-9230-7180B5D5A72B}"/>
    <cellStyle name="20% - Accent5 16 2 4" xfId="11566" xr:uid="{00000000-0005-0000-0000-0000531E0000}"/>
    <cellStyle name="20% - Accent5 16 2 4 2" xfId="35415" xr:uid="{36DACF6F-C85E-46C8-AD1C-6CB3E01E531F}"/>
    <cellStyle name="20% - Accent5 16 2 5" xfId="19521" xr:uid="{00000000-0005-0000-0000-0000541E0000}"/>
    <cellStyle name="20% - Accent5 16 2 5 2" xfId="43353" xr:uid="{6951F409-168B-4756-941B-982F8B2CFC57}"/>
    <cellStyle name="20% - Accent5 16 2 6" xfId="27473" xr:uid="{E9A83D6D-2ED7-4939-8D2F-4BE561790DCA}"/>
    <cellStyle name="20% - Accent5 16 2_Exh G" xfId="2469" xr:uid="{00000000-0005-0000-0000-0000551E0000}"/>
    <cellStyle name="20% - Accent5 16 3" xfId="4420" xr:uid="{00000000-0005-0000-0000-0000561E0000}"/>
    <cellStyle name="20% - Accent5 16 3 2" xfId="8012" xr:uid="{00000000-0005-0000-0000-0000571E0000}"/>
    <cellStyle name="20% - Accent5 16 3 2 2" xfId="15982" xr:uid="{00000000-0005-0000-0000-0000581E0000}"/>
    <cellStyle name="20% - Accent5 16 3 2 2 2" xfId="39824" xr:uid="{A6E9997C-7230-4208-A49F-5708ECE5C752}"/>
    <cellStyle name="20% - Accent5 16 3 2 3" xfId="23928" xr:uid="{00000000-0005-0000-0000-0000591E0000}"/>
    <cellStyle name="20% - Accent5 16 3 2 3 2" xfId="47760" xr:uid="{0BC449DE-8D06-4BD6-B6D9-7371FCC9CD68}"/>
    <cellStyle name="20% - Accent5 16 3 2 4" xfId="31883" xr:uid="{003661DC-D3F0-4FC0-8A78-21A24E787AEA}"/>
    <cellStyle name="20% - Accent5 16 3 3" xfId="12444" xr:uid="{00000000-0005-0000-0000-00005A1E0000}"/>
    <cellStyle name="20% - Accent5 16 3 3 2" xfId="36293" xr:uid="{9263AD86-CD88-4FE2-BE28-F5D171EE56AC}"/>
    <cellStyle name="20% - Accent5 16 3 4" xfId="20399" xr:uid="{00000000-0005-0000-0000-00005B1E0000}"/>
    <cellStyle name="20% - Accent5 16 3 4 2" xfId="44231" xr:uid="{05E06585-7FAA-46E9-BD66-E3ABE9BAADDF}"/>
    <cellStyle name="20% - Accent5 16 3 5" xfId="28352" xr:uid="{FBF2C0FD-046E-4637-AB8D-524096BB5492}"/>
    <cellStyle name="20% - Accent5 16 4" xfId="6250" xr:uid="{00000000-0005-0000-0000-00005C1E0000}"/>
    <cellStyle name="20% - Accent5 16 4 2" xfId="14224" xr:uid="{00000000-0005-0000-0000-00005D1E0000}"/>
    <cellStyle name="20% - Accent5 16 4 2 2" xfId="38066" xr:uid="{B6FDD149-22B0-4ED4-9F59-F8A9778A2DEC}"/>
    <cellStyle name="20% - Accent5 16 4 3" xfId="22171" xr:uid="{00000000-0005-0000-0000-00005E1E0000}"/>
    <cellStyle name="20% - Accent5 16 4 3 2" xfId="46003" xr:uid="{76419D62-E41B-4524-9E34-45168FDE67A2}"/>
    <cellStyle name="20% - Accent5 16 4 4" xfId="30125" xr:uid="{BD652081-57D2-44F6-9624-0B792A096811}"/>
    <cellStyle name="20% - Accent5 16 5" xfId="9792" xr:uid="{00000000-0005-0000-0000-00005F1E0000}"/>
    <cellStyle name="20% - Accent5 16 5 2" xfId="17750" xr:uid="{00000000-0005-0000-0000-0000601E0000}"/>
    <cellStyle name="20% - Accent5 16 5 2 2" xfId="41590" xr:uid="{361C4ED7-58E3-42F1-B236-D038CA0B2817}"/>
    <cellStyle name="20% - Accent5 16 5 3" xfId="25694" xr:uid="{00000000-0005-0000-0000-0000611E0000}"/>
    <cellStyle name="20% - Accent5 16 5 3 2" xfId="49526" xr:uid="{DD5376CE-1D17-457A-BDED-7E5856F753B9}"/>
    <cellStyle name="20% - Accent5 16 5 4" xfId="33649" xr:uid="{072D6F21-1DB9-4FA3-A76D-1F808B7E7441}"/>
    <cellStyle name="20% - Accent5 16 6" xfId="10688" xr:uid="{00000000-0005-0000-0000-0000621E0000}"/>
    <cellStyle name="20% - Accent5 16 6 2" xfId="34537" xr:uid="{A333D925-6962-4922-A459-7C5C75D3D1F9}"/>
    <cellStyle name="20% - Accent5 16 7" xfId="18643" xr:uid="{00000000-0005-0000-0000-0000631E0000}"/>
    <cellStyle name="20% - Accent5 16 7 2" xfId="42475" xr:uid="{A64BA5FB-1138-4D73-B57E-F4FF83006ECB}"/>
    <cellStyle name="20% - Accent5 16 8" xfId="26595" xr:uid="{B4E749AF-2110-4F5C-AB57-427D3D3417DE}"/>
    <cellStyle name="20% - Accent5 16_Exh G" xfId="2468" xr:uid="{00000000-0005-0000-0000-0000641E0000}"/>
    <cellStyle name="20% - Accent5 17" xfId="49791" xr:uid="{F21BA508-5F2E-4B0C-8F2F-67B8E340F3EE}"/>
    <cellStyle name="20% - Accent5 18" xfId="49831" xr:uid="{3045C7DC-1FA6-42D8-A310-8D5F0E8875EB}"/>
    <cellStyle name="20% - Accent5 2" xfId="245" xr:uid="{00000000-0005-0000-0000-0000651E0000}"/>
    <cellStyle name="20% - Accent5 2 10" xfId="18142" xr:uid="{00000000-0005-0000-0000-0000661E0000}"/>
    <cellStyle name="20% - Accent5 2 10 2" xfId="41974" xr:uid="{806D8F63-AEE9-45E6-A679-F8B95DAC5437}"/>
    <cellStyle name="20% - Accent5 2 11" xfId="26094" xr:uid="{3B99B583-C0AA-4FF0-A0AA-4C43A9BEB3E1}"/>
    <cellStyle name="20% - Accent5 2 12" xfId="49776" xr:uid="{39659C3B-173F-45B7-AFE5-9CDB25164FCD}"/>
    <cellStyle name="20% - Accent5 2 13" xfId="49804" xr:uid="{FF1607C8-D95D-42DD-9AF6-5B2CB418C4B8}"/>
    <cellStyle name="20% - Accent5 2 14" xfId="49845" xr:uid="{7B5E354F-BA11-4793-A505-2976A6B591AE}"/>
    <cellStyle name="20% - Accent5 2 2" xfId="246" xr:uid="{00000000-0005-0000-0000-0000671E0000}"/>
    <cellStyle name="20% - Accent5 2 2 10" xfId="26095" xr:uid="{F7763727-FE4C-4F3C-A41E-9EC107180D29}"/>
    <cellStyle name="20% - Accent5 2 2 2" xfId="247" xr:uid="{00000000-0005-0000-0000-0000681E0000}"/>
    <cellStyle name="20% - Accent5 2 2 2 2" xfId="1273" xr:uid="{00000000-0005-0000-0000-0000691E0000}"/>
    <cellStyle name="20% - Accent5 2 2 2 2 2" xfId="4800" xr:uid="{00000000-0005-0000-0000-00006A1E0000}"/>
    <cellStyle name="20% - Accent5 2 2 2 2 2 2" xfId="8391" xr:uid="{00000000-0005-0000-0000-00006B1E0000}"/>
    <cellStyle name="20% - Accent5 2 2 2 2 2 2 2" xfId="16361" xr:uid="{00000000-0005-0000-0000-00006C1E0000}"/>
    <cellStyle name="20% - Accent5 2 2 2 2 2 2 2 2" xfId="40203" xr:uid="{78052D98-F094-4130-8B50-38DF5A9FBAC5}"/>
    <cellStyle name="20% - Accent5 2 2 2 2 2 2 3" xfId="24307" xr:uid="{00000000-0005-0000-0000-00006D1E0000}"/>
    <cellStyle name="20% - Accent5 2 2 2 2 2 2 3 2" xfId="48139" xr:uid="{D95EC4B0-05C4-43DE-B741-4FF17D35E66A}"/>
    <cellStyle name="20% - Accent5 2 2 2 2 2 2 4" xfId="32262" xr:uid="{075E6267-8629-4CB2-9054-559F822A819E}"/>
    <cellStyle name="20% - Accent5 2 2 2 2 2 3" xfId="12823" xr:uid="{00000000-0005-0000-0000-00006E1E0000}"/>
    <cellStyle name="20% - Accent5 2 2 2 2 2 3 2" xfId="36672" xr:uid="{DA00B602-DFE7-49C6-9907-1A02DBC7F916}"/>
    <cellStyle name="20% - Accent5 2 2 2 2 2 4" xfId="20778" xr:uid="{00000000-0005-0000-0000-00006F1E0000}"/>
    <cellStyle name="20% - Accent5 2 2 2 2 2 4 2" xfId="44610" xr:uid="{DE8BFF95-02E0-4536-87D0-3ACF27A76CE5}"/>
    <cellStyle name="20% - Accent5 2 2 2 2 2 5" xfId="28731" xr:uid="{C8633938-48AC-48AD-8E6B-800079889A81}"/>
    <cellStyle name="20% - Accent5 2 2 2 2 3" xfId="6632" xr:uid="{00000000-0005-0000-0000-0000701E0000}"/>
    <cellStyle name="20% - Accent5 2 2 2 2 3 2" xfId="14603" xr:uid="{00000000-0005-0000-0000-0000711E0000}"/>
    <cellStyle name="20% - Accent5 2 2 2 2 3 2 2" xfId="38445" xr:uid="{9378BDC3-72A5-4305-9EA1-D90FC3EE55E1}"/>
    <cellStyle name="20% - Accent5 2 2 2 2 3 3" xfId="22550" xr:uid="{00000000-0005-0000-0000-0000721E0000}"/>
    <cellStyle name="20% - Accent5 2 2 2 2 3 3 2" xfId="46382" xr:uid="{2EB46A90-19F3-4CB0-97C3-1F95B46E8406}"/>
    <cellStyle name="20% - Accent5 2 2 2 2 3 4" xfId="30504" xr:uid="{EE8E5C1E-9A1C-4972-A150-7CDAC970F8E5}"/>
    <cellStyle name="20% - Accent5 2 2 2 2 4" xfId="11067" xr:uid="{00000000-0005-0000-0000-0000731E0000}"/>
    <cellStyle name="20% - Accent5 2 2 2 2 4 2" xfId="34916" xr:uid="{5D799E7C-4287-49F9-9A77-01A26996E475}"/>
    <cellStyle name="20% - Accent5 2 2 2 2 5" xfId="19022" xr:uid="{00000000-0005-0000-0000-0000741E0000}"/>
    <cellStyle name="20% - Accent5 2 2 2 2 5 2" xfId="42854" xr:uid="{7EF9C27E-2DB6-48D2-8A26-6305E46DE400}"/>
    <cellStyle name="20% - Accent5 2 2 2 2 6" xfId="26974" xr:uid="{77F4C72F-02E3-4B5F-893A-FBA5DFA50F0D}"/>
    <cellStyle name="20% - Accent5 2 2 2 2_Exh G" xfId="2473" xr:uid="{00000000-0005-0000-0000-0000751E0000}"/>
    <cellStyle name="20% - Accent5 2 2 2 3" xfId="3921" xr:uid="{00000000-0005-0000-0000-0000761E0000}"/>
    <cellStyle name="20% - Accent5 2 2 2 3 2" xfId="7513" xr:uid="{00000000-0005-0000-0000-0000771E0000}"/>
    <cellStyle name="20% - Accent5 2 2 2 3 2 2" xfId="15483" xr:uid="{00000000-0005-0000-0000-0000781E0000}"/>
    <cellStyle name="20% - Accent5 2 2 2 3 2 2 2" xfId="39325" xr:uid="{70B6DE0D-C82C-449C-B68D-2BF3AD75EAD9}"/>
    <cellStyle name="20% - Accent5 2 2 2 3 2 3" xfId="23429" xr:uid="{00000000-0005-0000-0000-0000791E0000}"/>
    <cellStyle name="20% - Accent5 2 2 2 3 2 3 2" xfId="47261" xr:uid="{C2E117F9-3156-4DAF-92C7-64DBD4A27999}"/>
    <cellStyle name="20% - Accent5 2 2 2 3 2 4" xfId="31384" xr:uid="{5AF6B1C8-F7E1-4DDD-9B43-D8D3F2657DAE}"/>
    <cellStyle name="20% - Accent5 2 2 2 3 3" xfId="11945" xr:uid="{00000000-0005-0000-0000-00007A1E0000}"/>
    <cellStyle name="20% - Accent5 2 2 2 3 3 2" xfId="35794" xr:uid="{E55EBC24-585F-4CB6-A575-0E56983637F7}"/>
    <cellStyle name="20% - Accent5 2 2 2 3 4" xfId="19900" xr:uid="{00000000-0005-0000-0000-00007B1E0000}"/>
    <cellStyle name="20% - Accent5 2 2 2 3 4 2" xfId="43732" xr:uid="{13442232-721B-4AB3-A561-1CE5EBFA4371}"/>
    <cellStyle name="20% - Accent5 2 2 2 3 5" xfId="27853" xr:uid="{5D817BC5-8493-4A84-B04F-DBB258BC259F}"/>
    <cellStyle name="20% - Accent5 2 2 2 4" xfId="5741" xr:uid="{00000000-0005-0000-0000-00007C1E0000}"/>
    <cellStyle name="20% - Accent5 2 2 2 4 2" xfId="13724" xr:uid="{00000000-0005-0000-0000-00007D1E0000}"/>
    <cellStyle name="20% - Accent5 2 2 2 4 2 2" xfId="37567" xr:uid="{DD301FF2-45C2-422E-A4FA-AE413AF636A3}"/>
    <cellStyle name="20% - Accent5 2 2 2 4 3" xfId="21672" xr:uid="{00000000-0005-0000-0000-00007E1E0000}"/>
    <cellStyle name="20% - Accent5 2 2 2 4 3 2" xfId="45504" xr:uid="{BFFF91C5-5107-4E2A-AA70-E07ED6382136}"/>
    <cellStyle name="20% - Accent5 2 2 2 4 4" xfId="29626" xr:uid="{DD2F8BBE-6CBD-46BF-BD46-4AE8BC8B7891}"/>
    <cellStyle name="20% - Accent5 2 2 2 5" xfId="9293" xr:uid="{00000000-0005-0000-0000-00007F1E0000}"/>
    <cellStyle name="20% - Accent5 2 2 2 5 2" xfId="17251" xr:uid="{00000000-0005-0000-0000-0000801E0000}"/>
    <cellStyle name="20% - Accent5 2 2 2 5 2 2" xfId="41091" xr:uid="{B9D00F12-A780-4E45-B0C9-46B60D7560FA}"/>
    <cellStyle name="20% - Accent5 2 2 2 5 3" xfId="25195" xr:uid="{00000000-0005-0000-0000-0000811E0000}"/>
    <cellStyle name="20% - Accent5 2 2 2 5 3 2" xfId="49027" xr:uid="{A4BD3A1A-07CB-4E40-ADBB-6FA72F8A0CD7}"/>
    <cellStyle name="20% - Accent5 2 2 2 5 4" xfId="33150" xr:uid="{F6BBC88A-39C3-47C9-978F-15675369F9F8}"/>
    <cellStyle name="20% - Accent5 2 2 2 6" xfId="10189" xr:uid="{00000000-0005-0000-0000-0000821E0000}"/>
    <cellStyle name="20% - Accent5 2 2 2 6 2" xfId="34038" xr:uid="{7493DE01-7088-42C8-9C88-F6EFEF373196}"/>
    <cellStyle name="20% - Accent5 2 2 2 7" xfId="18144" xr:uid="{00000000-0005-0000-0000-0000831E0000}"/>
    <cellStyle name="20% - Accent5 2 2 2 7 2" xfId="41976" xr:uid="{F59577CE-1B00-47D5-B26B-3487D0169C93}"/>
    <cellStyle name="20% - Accent5 2 2 2 8" xfId="26096" xr:uid="{1A64F3E4-22E8-4ABF-A7EF-0CE15B963AFF}"/>
    <cellStyle name="20% - Accent5 2 2 2_Exh G" xfId="2472" xr:uid="{00000000-0005-0000-0000-0000841E0000}"/>
    <cellStyle name="20% - Accent5 2 2 3" xfId="909" xr:uid="{00000000-0005-0000-0000-0000851E0000}"/>
    <cellStyle name="20% - Accent5 2 2 3 2" xfId="1833" xr:uid="{00000000-0005-0000-0000-0000861E0000}"/>
    <cellStyle name="20% - Accent5 2 2 3 2 2" xfId="5350" xr:uid="{00000000-0005-0000-0000-0000871E0000}"/>
    <cellStyle name="20% - Accent5 2 2 3 2 2 2" xfId="8941" xr:uid="{00000000-0005-0000-0000-0000881E0000}"/>
    <cellStyle name="20% - Accent5 2 2 3 2 2 2 2" xfId="16911" xr:uid="{00000000-0005-0000-0000-0000891E0000}"/>
    <cellStyle name="20% - Accent5 2 2 3 2 2 2 2 2" xfId="40753" xr:uid="{3F069FA0-E5DA-40B6-8DBB-F9752B02F435}"/>
    <cellStyle name="20% - Accent5 2 2 3 2 2 2 3" xfId="24857" xr:uid="{00000000-0005-0000-0000-00008A1E0000}"/>
    <cellStyle name="20% - Accent5 2 2 3 2 2 2 3 2" xfId="48689" xr:uid="{E26A3F67-F23D-42BF-98A6-CFA4159EF129}"/>
    <cellStyle name="20% - Accent5 2 2 3 2 2 2 4" xfId="32812" xr:uid="{CE34B3B3-DF17-4C05-A238-8D53746400D5}"/>
    <cellStyle name="20% - Accent5 2 2 3 2 2 3" xfId="13373" xr:uid="{00000000-0005-0000-0000-00008B1E0000}"/>
    <cellStyle name="20% - Accent5 2 2 3 2 2 3 2" xfId="37222" xr:uid="{B5B6DD8B-8EDD-484E-9A14-F39A739E931E}"/>
    <cellStyle name="20% - Accent5 2 2 3 2 2 4" xfId="21328" xr:uid="{00000000-0005-0000-0000-00008C1E0000}"/>
    <cellStyle name="20% - Accent5 2 2 3 2 2 4 2" xfId="45160" xr:uid="{F290EF41-06F5-42DB-957B-0E12A519B415}"/>
    <cellStyle name="20% - Accent5 2 2 3 2 2 5" xfId="29281" xr:uid="{3B474A2B-3466-45FE-9FF5-05D8F318D4DA}"/>
    <cellStyle name="20% - Accent5 2 2 3 2 3" xfId="7182" xr:uid="{00000000-0005-0000-0000-00008D1E0000}"/>
    <cellStyle name="20% - Accent5 2 2 3 2 3 2" xfId="15153" xr:uid="{00000000-0005-0000-0000-00008E1E0000}"/>
    <cellStyle name="20% - Accent5 2 2 3 2 3 2 2" xfId="38995" xr:uid="{97F784D8-C208-4F4E-AFD0-AF8DEBC2AEAA}"/>
    <cellStyle name="20% - Accent5 2 2 3 2 3 3" xfId="23100" xr:uid="{00000000-0005-0000-0000-00008F1E0000}"/>
    <cellStyle name="20% - Accent5 2 2 3 2 3 3 2" xfId="46932" xr:uid="{50771DD9-9A6D-4ADF-921F-DC4081AB4BC6}"/>
    <cellStyle name="20% - Accent5 2 2 3 2 3 4" xfId="31054" xr:uid="{2C9A79ED-9473-4737-B6C4-AD15B137FD78}"/>
    <cellStyle name="20% - Accent5 2 2 3 2 4" xfId="11617" xr:uid="{00000000-0005-0000-0000-0000901E0000}"/>
    <cellStyle name="20% - Accent5 2 2 3 2 4 2" xfId="35466" xr:uid="{5BBCEE09-F6EF-46A3-A27C-5CA9C034FED9}"/>
    <cellStyle name="20% - Accent5 2 2 3 2 5" xfId="19572" xr:uid="{00000000-0005-0000-0000-0000911E0000}"/>
    <cellStyle name="20% - Accent5 2 2 3 2 5 2" xfId="43404" xr:uid="{79FBF992-0770-4996-AC76-BD7C9EB35A78}"/>
    <cellStyle name="20% - Accent5 2 2 3 2 6" xfId="27524" xr:uid="{762040E4-E9CC-4360-9D18-DC0AEEE2F915}"/>
    <cellStyle name="20% - Accent5 2 2 3 2_Exh G" xfId="2475" xr:uid="{00000000-0005-0000-0000-0000921E0000}"/>
    <cellStyle name="20% - Accent5 2 2 3 3" xfId="4471" xr:uid="{00000000-0005-0000-0000-0000931E0000}"/>
    <cellStyle name="20% - Accent5 2 2 3 3 2" xfId="8063" xr:uid="{00000000-0005-0000-0000-0000941E0000}"/>
    <cellStyle name="20% - Accent5 2 2 3 3 2 2" xfId="16033" xr:uid="{00000000-0005-0000-0000-0000951E0000}"/>
    <cellStyle name="20% - Accent5 2 2 3 3 2 2 2" xfId="39875" xr:uid="{7648A0D7-6DAA-4401-B44E-D08E9FF61890}"/>
    <cellStyle name="20% - Accent5 2 2 3 3 2 3" xfId="23979" xr:uid="{00000000-0005-0000-0000-0000961E0000}"/>
    <cellStyle name="20% - Accent5 2 2 3 3 2 3 2" xfId="47811" xr:uid="{929B33DE-2BFF-4D45-9220-72C452647219}"/>
    <cellStyle name="20% - Accent5 2 2 3 3 2 4" xfId="31934" xr:uid="{4C664BAF-CACE-4F9A-8852-D3433F6C2A70}"/>
    <cellStyle name="20% - Accent5 2 2 3 3 3" xfId="12495" xr:uid="{00000000-0005-0000-0000-0000971E0000}"/>
    <cellStyle name="20% - Accent5 2 2 3 3 3 2" xfId="36344" xr:uid="{27305B91-9014-4EAA-A315-607D573A69F5}"/>
    <cellStyle name="20% - Accent5 2 2 3 3 4" xfId="20450" xr:uid="{00000000-0005-0000-0000-0000981E0000}"/>
    <cellStyle name="20% - Accent5 2 2 3 3 4 2" xfId="44282" xr:uid="{902AC4DC-FE92-40F4-BC0C-B9176ADB1F3E}"/>
    <cellStyle name="20% - Accent5 2 2 3 3 5" xfId="28403" xr:uid="{FE415AD4-B251-4A56-863A-CEB7B413C294}"/>
    <cellStyle name="20% - Accent5 2 2 3 4" xfId="6301" xr:uid="{00000000-0005-0000-0000-0000991E0000}"/>
    <cellStyle name="20% - Accent5 2 2 3 4 2" xfId="14275" xr:uid="{00000000-0005-0000-0000-00009A1E0000}"/>
    <cellStyle name="20% - Accent5 2 2 3 4 2 2" xfId="38117" xr:uid="{3FBF0614-4827-45F1-BB68-EF44093D0760}"/>
    <cellStyle name="20% - Accent5 2 2 3 4 3" xfId="22222" xr:uid="{00000000-0005-0000-0000-00009B1E0000}"/>
    <cellStyle name="20% - Accent5 2 2 3 4 3 2" xfId="46054" xr:uid="{28E05076-9AAE-4A8D-A67D-08061EBE9FC8}"/>
    <cellStyle name="20% - Accent5 2 2 3 4 4" xfId="30176" xr:uid="{54F79E74-EF5B-4ACB-9410-5F023B60E0E6}"/>
    <cellStyle name="20% - Accent5 2 2 3 5" xfId="9843" xr:uid="{00000000-0005-0000-0000-00009C1E0000}"/>
    <cellStyle name="20% - Accent5 2 2 3 5 2" xfId="17801" xr:uid="{00000000-0005-0000-0000-00009D1E0000}"/>
    <cellStyle name="20% - Accent5 2 2 3 5 2 2" xfId="41641" xr:uid="{A22C850A-5763-4452-AC84-627D8D918843}"/>
    <cellStyle name="20% - Accent5 2 2 3 5 3" xfId="25745" xr:uid="{00000000-0005-0000-0000-00009E1E0000}"/>
    <cellStyle name="20% - Accent5 2 2 3 5 3 2" xfId="49577" xr:uid="{8E0AFE8C-52EE-46D8-B5ED-427F185C1C47}"/>
    <cellStyle name="20% - Accent5 2 2 3 5 4" xfId="33700" xr:uid="{113C6B16-DD0D-4361-B023-3EA36334E033}"/>
    <cellStyle name="20% - Accent5 2 2 3 6" xfId="10739" xr:uid="{00000000-0005-0000-0000-00009F1E0000}"/>
    <cellStyle name="20% - Accent5 2 2 3 6 2" xfId="34588" xr:uid="{212E370C-D0EE-4231-80D3-09A37147A185}"/>
    <cellStyle name="20% - Accent5 2 2 3 7" xfId="18694" xr:uid="{00000000-0005-0000-0000-0000A01E0000}"/>
    <cellStyle name="20% - Accent5 2 2 3 7 2" xfId="42526" xr:uid="{1212129E-F6FD-48F2-8784-A4C54480E1A2}"/>
    <cellStyle name="20% - Accent5 2 2 3 8" xfId="26646" xr:uid="{38971907-DD45-413E-A7C2-960311776F07}"/>
    <cellStyle name="20% - Accent5 2 2 3_Exh G" xfId="2474" xr:uid="{00000000-0005-0000-0000-0000A11E0000}"/>
    <cellStyle name="20% - Accent5 2 2 4" xfId="1272" xr:uid="{00000000-0005-0000-0000-0000A21E0000}"/>
    <cellStyle name="20% - Accent5 2 2 4 2" xfId="4799" xr:uid="{00000000-0005-0000-0000-0000A31E0000}"/>
    <cellStyle name="20% - Accent5 2 2 4 2 2" xfId="8390" xr:uid="{00000000-0005-0000-0000-0000A41E0000}"/>
    <cellStyle name="20% - Accent5 2 2 4 2 2 2" xfId="16360" xr:uid="{00000000-0005-0000-0000-0000A51E0000}"/>
    <cellStyle name="20% - Accent5 2 2 4 2 2 2 2" xfId="40202" xr:uid="{66277825-E91F-45AD-ABE5-849862652D66}"/>
    <cellStyle name="20% - Accent5 2 2 4 2 2 3" xfId="24306" xr:uid="{00000000-0005-0000-0000-0000A61E0000}"/>
    <cellStyle name="20% - Accent5 2 2 4 2 2 3 2" xfId="48138" xr:uid="{6728436C-735F-4A16-A4A2-A77DAB1DE5A1}"/>
    <cellStyle name="20% - Accent5 2 2 4 2 2 4" xfId="32261" xr:uid="{57685C60-5CFE-4043-B62A-FE37F1892E27}"/>
    <cellStyle name="20% - Accent5 2 2 4 2 3" xfId="12822" xr:uid="{00000000-0005-0000-0000-0000A71E0000}"/>
    <cellStyle name="20% - Accent5 2 2 4 2 3 2" xfId="36671" xr:uid="{84EFC5C3-5F8A-48B8-827E-FB4B266DEBB6}"/>
    <cellStyle name="20% - Accent5 2 2 4 2 4" xfId="20777" xr:uid="{00000000-0005-0000-0000-0000A81E0000}"/>
    <cellStyle name="20% - Accent5 2 2 4 2 4 2" xfId="44609" xr:uid="{769024C2-E8EC-42D4-9735-6BA9AA6EA40C}"/>
    <cellStyle name="20% - Accent5 2 2 4 2 5" xfId="28730" xr:uid="{A6FACD55-3B45-49E7-B689-BF4A333E5F12}"/>
    <cellStyle name="20% - Accent5 2 2 4 3" xfId="6631" xr:uid="{00000000-0005-0000-0000-0000A91E0000}"/>
    <cellStyle name="20% - Accent5 2 2 4 3 2" xfId="14602" xr:uid="{00000000-0005-0000-0000-0000AA1E0000}"/>
    <cellStyle name="20% - Accent5 2 2 4 3 2 2" xfId="38444" xr:uid="{6E17944E-F3D9-4BEC-AAAF-6326832B9A7E}"/>
    <cellStyle name="20% - Accent5 2 2 4 3 3" xfId="22549" xr:uid="{00000000-0005-0000-0000-0000AB1E0000}"/>
    <cellStyle name="20% - Accent5 2 2 4 3 3 2" xfId="46381" xr:uid="{7BE5492A-79E8-41D9-9977-1022A564F6FE}"/>
    <cellStyle name="20% - Accent5 2 2 4 3 4" xfId="30503" xr:uid="{DF2943C3-8C73-409E-918A-895E8D06E049}"/>
    <cellStyle name="20% - Accent5 2 2 4 4" xfId="11066" xr:uid="{00000000-0005-0000-0000-0000AC1E0000}"/>
    <cellStyle name="20% - Accent5 2 2 4 4 2" xfId="34915" xr:uid="{C22354B5-B0A0-4FF2-A365-E6CD25E45D9D}"/>
    <cellStyle name="20% - Accent5 2 2 4 5" xfId="19021" xr:uid="{00000000-0005-0000-0000-0000AD1E0000}"/>
    <cellStyle name="20% - Accent5 2 2 4 5 2" xfId="42853" xr:uid="{5708D649-EA79-4E9B-99D2-4D5C867D4737}"/>
    <cellStyle name="20% - Accent5 2 2 4 6" xfId="26973" xr:uid="{140DFFA3-9A97-490A-ABE7-72457E2F5404}"/>
    <cellStyle name="20% - Accent5 2 2 4_Exh G" xfId="2476" xr:uid="{00000000-0005-0000-0000-0000AE1E0000}"/>
    <cellStyle name="20% - Accent5 2 2 5" xfId="3920" xr:uid="{00000000-0005-0000-0000-0000AF1E0000}"/>
    <cellStyle name="20% - Accent5 2 2 5 2" xfId="7512" xr:uid="{00000000-0005-0000-0000-0000B01E0000}"/>
    <cellStyle name="20% - Accent5 2 2 5 2 2" xfId="15482" xr:uid="{00000000-0005-0000-0000-0000B11E0000}"/>
    <cellStyle name="20% - Accent5 2 2 5 2 2 2" xfId="39324" xr:uid="{6AC95B25-5068-4E65-AF1D-1839FB7D24C8}"/>
    <cellStyle name="20% - Accent5 2 2 5 2 3" xfId="23428" xr:uid="{00000000-0005-0000-0000-0000B21E0000}"/>
    <cellStyle name="20% - Accent5 2 2 5 2 3 2" xfId="47260" xr:uid="{74BC22FF-7C94-4BE7-9815-8985347B743B}"/>
    <cellStyle name="20% - Accent5 2 2 5 2 4" xfId="31383" xr:uid="{587F5A36-433F-4256-A4BC-C480C81B1B08}"/>
    <cellStyle name="20% - Accent5 2 2 5 3" xfId="11944" xr:uid="{00000000-0005-0000-0000-0000B31E0000}"/>
    <cellStyle name="20% - Accent5 2 2 5 3 2" xfId="35793" xr:uid="{2B214C07-4B95-46C5-AEEA-1D3B348DCF7C}"/>
    <cellStyle name="20% - Accent5 2 2 5 4" xfId="19899" xr:uid="{00000000-0005-0000-0000-0000B41E0000}"/>
    <cellStyle name="20% - Accent5 2 2 5 4 2" xfId="43731" xr:uid="{50868B5C-67FB-4E0C-A032-5F9EEC563634}"/>
    <cellStyle name="20% - Accent5 2 2 5 5" xfId="27852" xr:uid="{B344FA21-6816-41B8-990A-36E490071380}"/>
    <cellStyle name="20% - Accent5 2 2 6" xfId="5740" xr:uid="{00000000-0005-0000-0000-0000B51E0000}"/>
    <cellStyle name="20% - Accent5 2 2 6 2" xfId="13723" xr:uid="{00000000-0005-0000-0000-0000B61E0000}"/>
    <cellStyle name="20% - Accent5 2 2 6 2 2" xfId="37566" xr:uid="{038E3027-E11D-493F-B509-BE1C03D3C4C3}"/>
    <cellStyle name="20% - Accent5 2 2 6 3" xfId="21671" xr:uid="{00000000-0005-0000-0000-0000B71E0000}"/>
    <cellStyle name="20% - Accent5 2 2 6 3 2" xfId="45503" xr:uid="{DB3A93D6-A690-4A7C-9B80-5FAEAB25E1DF}"/>
    <cellStyle name="20% - Accent5 2 2 6 4" xfId="29625" xr:uid="{B7237864-DE87-4C41-8973-D0030A003AA0}"/>
    <cellStyle name="20% - Accent5 2 2 7" xfId="9292" xr:uid="{00000000-0005-0000-0000-0000B81E0000}"/>
    <cellStyle name="20% - Accent5 2 2 7 2" xfId="17250" xr:uid="{00000000-0005-0000-0000-0000B91E0000}"/>
    <cellStyle name="20% - Accent5 2 2 7 2 2" xfId="41090" xr:uid="{8AD08DA6-6AEC-41D5-BCDD-FBF371CABE11}"/>
    <cellStyle name="20% - Accent5 2 2 7 3" xfId="25194" xr:uid="{00000000-0005-0000-0000-0000BA1E0000}"/>
    <cellStyle name="20% - Accent5 2 2 7 3 2" xfId="49026" xr:uid="{802798D8-0758-4902-8D92-072623C20709}"/>
    <cellStyle name="20% - Accent5 2 2 7 4" xfId="33149" xr:uid="{46DB6753-E8D0-4BB6-ADFF-FBE541B7E9D4}"/>
    <cellStyle name="20% - Accent5 2 2 8" xfId="10188" xr:uid="{00000000-0005-0000-0000-0000BB1E0000}"/>
    <cellStyle name="20% - Accent5 2 2 8 2" xfId="34037" xr:uid="{70519252-42D6-4FAF-8136-AD8D61E38359}"/>
    <cellStyle name="20% - Accent5 2 2 9" xfId="18143" xr:uid="{00000000-0005-0000-0000-0000BC1E0000}"/>
    <cellStyle name="20% - Accent5 2 2 9 2" xfId="41975" xr:uid="{23482311-AE9E-46C9-BC62-B58BFCF64A7D}"/>
    <cellStyle name="20% - Accent5 2 2_Exh G" xfId="2471" xr:uid="{00000000-0005-0000-0000-0000BD1E0000}"/>
    <cellStyle name="20% - Accent5 2 3" xfId="248" xr:uid="{00000000-0005-0000-0000-0000BE1E0000}"/>
    <cellStyle name="20% - Accent5 2 3 2" xfId="1274" xr:uid="{00000000-0005-0000-0000-0000BF1E0000}"/>
    <cellStyle name="20% - Accent5 2 3 2 2" xfId="4801" xr:uid="{00000000-0005-0000-0000-0000C01E0000}"/>
    <cellStyle name="20% - Accent5 2 3 2 2 2" xfId="8392" xr:uid="{00000000-0005-0000-0000-0000C11E0000}"/>
    <cellStyle name="20% - Accent5 2 3 2 2 2 2" xfId="16362" xr:uid="{00000000-0005-0000-0000-0000C21E0000}"/>
    <cellStyle name="20% - Accent5 2 3 2 2 2 2 2" xfId="40204" xr:uid="{52C0790A-37EF-480E-8F36-B0965A27D3CE}"/>
    <cellStyle name="20% - Accent5 2 3 2 2 2 3" xfId="24308" xr:uid="{00000000-0005-0000-0000-0000C31E0000}"/>
    <cellStyle name="20% - Accent5 2 3 2 2 2 3 2" xfId="48140" xr:uid="{A3C9190C-4899-48D8-89F5-FA718ED81D86}"/>
    <cellStyle name="20% - Accent5 2 3 2 2 2 4" xfId="32263" xr:uid="{69727AB3-115E-48FA-B9F5-1D99AE86EBD0}"/>
    <cellStyle name="20% - Accent5 2 3 2 2 3" xfId="12824" xr:uid="{00000000-0005-0000-0000-0000C41E0000}"/>
    <cellStyle name="20% - Accent5 2 3 2 2 3 2" xfId="36673" xr:uid="{2F3C3D8E-5C0B-4958-8BA2-20071E14CC96}"/>
    <cellStyle name="20% - Accent5 2 3 2 2 4" xfId="20779" xr:uid="{00000000-0005-0000-0000-0000C51E0000}"/>
    <cellStyle name="20% - Accent5 2 3 2 2 4 2" xfId="44611" xr:uid="{0E47228F-00DD-4E1C-9BAC-33F6A4A6F34F}"/>
    <cellStyle name="20% - Accent5 2 3 2 2 5" xfId="28732" xr:uid="{70215000-AB83-45BC-A962-C71347417DFE}"/>
    <cellStyle name="20% - Accent5 2 3 2 3" xfId="6633" xr:uid="{00000000-0005-0000-0000-0000C61E0000}"/>
    <cellStyle name="20% - Accent5 2 3 2 3 2" xfId="14604" xr:uid="{00000000-0005-0000-0000-0000C71E0000}"/>
    <cellStyle name="20% - Accent5 2 3 2 3 2 2" xfId="38446" xr:uid="{3B8CCBAD-4097-4C48-B0A7-10DF55B91AE1}"/>
    <cellStyle name="20% - Accent5 2 3 2 3 3" xfId="22551" xr:uid="{00000000-0005-0000-0000-0000C81E0000}"/>
    <cellStyle name="20% - Accent5 2 3 2 3 3 2" xfId="46383" xr:uid="{4647DB61-1C1A-4A23-86B5-1FB3646E8A69}"/>
    <cellStyle name="20% - Accent5 2 3 2 3 4" xfId="30505" xr:uid="{D1E6775C-446B-43E0-92FC-504931FE3AC3}"/>
    <cellStyle name="20% - Accent5 2 3 2 4" xfId="11068" xr:uid="{00000000-0005-0000-0000-0000C91E0000}"/>
    <cellStyle name="20% - Accent5 2 3 2 4 2" xfId="34917" xr:uid="{1F4FE8C9-97CD-4FE2-A7C1-719B0C2B2C0D}"/>
    <cellStyle name="20% - Accent5 2 3 2 5" xfId="19023" xr:uid="{00000000-0005-0000-0000-0000CA1E0000}"/>
    <cellStyle name="20% - Accent5 2 3 2 5 2" xfId="42855" xr:uid="{08F91B9F-5C64-4B88-9E81-C49994C5F52E}"/>
    <cellStyle name="20% - Accent5 2 3 2 6" xfId="26975" xr:uid="{E372C863-49EA-4721-976F-7FB744FD0706}"/>
    <cellStyle name="20% - Accent5 2 3 2_Exh G" xfId="2478" xr:uid="{00000000-0005-0000-0000-0000CB1E0000}"/>
    <cellStyle name="20% - Accent5 2 3 3" xfId="3922" xr:uid="{00000000-0005-0000-0000-0000CC1E0000}"/>
    <cellStyle name="20% - Accent5 2 3 3 2" xfId="7514" xr:uid="{00000000-0005-0000-0000-0000CD1E0000}"/>
    <cellStyle name="20% - Accent5 2 3 3 2 2" xfId="15484" xr:uid="{00000000-0005-0000-0000-0000CE1E0000}"/>
    <cellStyle name="20% - Accent5 2 3 3 2 2 2" xfId="39326" xr:uid="{EAA77046-3B3A-4EA3-9494-851DB8169CAA}"/>
    <cellStyle name="20% - Accent5 2 3 3 2 3" xfId="23430" xr:uid="{00000000-0005-0000-0000-0000CF1E0000}"/>
    <cellStyle name="20% - Accent5 2 3 3 2 3 2" xfId="47262" xr:uid="{788A02EA-7014-4F27-B5A4-AE67DCF71EBF}"/>
    <cellStyle name="20% - Accent5 2 3 3 2 4" xfId="31385" xr:uid="{D75C80A7-517C-4CBB-A691-D4BD78B9FD22}"/>
    <cellStyle name="20% - Accent5 2 3 3 3" xfId="11946" xr:uid="{00000000-0005-0000-0000-0000D01E0000}"/>
    <cellStyle name="20% - Accent5 2 3 3 3 2" xfId="35795" xr:uid="{14C0791A-1C30-4CB0-A7C8-D204CCC9BD01}"/>
    <cellStyle name="20% - Accent5 2 3 3 4" xfId="19901" xr:uid="{00000000-0005-0000-0000-0000D11E0000}"/>
    <cellStyle name="20% - Accent5 2 3 3 4 2" xfId="43733" xr:uid="{2B770DE6-A415-4319-A612-3B6FAD0A9C56}"/>
    <cellStyle name="20% - Accent5 2 3 3 5" xfId="27854" xr:uid="{C6D8F0DD-8FBB-4B72-A36C-3003C6325413}"/>
    <cellStyle name="20% - Accent5 2 3 4" xfId="5742" xr:uid="{00000000-0005-0000-0000-0000D21E0000}"/>
    <cellStyle name="20% - Accent5 2 3 4 2" xfId="13725" xr:uid="{00000000-0005-0000-0000-0000D31E0000}"/>
    <cellStyle name="20% - Accent5 2 3 4 2 2" xfId="37568" xr:uid="{42B43F27-DF89-4F0A-B337-FF32FD559C65}"/>
    <cellStyle name="20% - Accent5 2 3 4 3" xfId="21673" xr:uid="{00000000-0005-0000-0000-0000D41E0000}"/>
    <cellStyle name="20% - Accent5 2 3 4 3 2" xfId="45505" xr:uid="{74547EA9-2001-4706-BA2B-21B5B428D928}"/>
    <cellStyle name="20% - Accent5 2 3 4 4" xfId="29627" xr:uid="{92DB4FA5-067E-4FF5-811F-EFDC636187DB}"/>
    <cellStyle name="20% - Accent5 2 3 5" xfId="9294" xr:uid="{00000000-0005-0000-0000-0000D51E0000}"/>
    <cellStyle name="20% - Accent5 2 3 5 2" xfId="17252" xr:uid="{00000000-0005-0000-0000-0000D61E0000}"/>
    <cellStyle name="20% - Accent5 2 3 5 2 2" xfId="41092" xr:uid="{5E5E45F3-6912-4013-88B7-D3F21B23388B}"/>
    <cellStyle name="20% - Accent5 2 3 5 3" xfId="25196" xr:uid="{00000000-0005-0000-0000-0000D71E0000}"/>
    <cellStyle name="20% - Accent5 2 3 5 3 2" xfId="49028" xr:uid="{9B7F791F-997A-4D13-BBA7-E47C20E8B843}"/>
    <cellStyle name="20% - Accent5 2 3 5 4" xfId="33151" xr:uid="{0CF5A02A-C25A-4714-BADE-140E547533F3}"/>
    <cellStyle name="20% - Accent5 2 3 6" xfId="10190" xr:uid="{00000000-0005-0000-0000-0000D81E0000}"/>
    <cellStyle name="20% - Accent5 2 3 6 2" xfId="34039" xr:uid="{31115DD1-5C50-4730-8F2E-43D7B6C140EE}"/>
    <cellStyle name="20% - Accent5 2 3 7" xfId="18145" xr:uid="{00000000-0005-0000-0000-0000D91E0000}"/>
    <cellStyle name="20% - Accent5 2 3 7 2" xfId="41977" xr:uid="{D2FC82D1-E6FA-4AF3-8B14-97EB0157AA57}"/>
    <cellStyle name="20% - Accent5 2 3 8" xfId="26097" xr:uid="{B4ABD534-3D30-4E6C-88DC-C4DA00A919DC}"/>
    <cellStyle name="20% - Accent5 2 3_Exh G" xfId="2477" xr:uid="{00000000-0005-0000-0000-0000DA1E0000}"/>
    <cellStyle name="20% - Accent5 2 4" xfId="908" xr:uid="{00000000-0005-0000-0000-0000DB1E0000}"/>
    <cellStyle name="20% - Accent5 2 4 2" xfId="1832" xr:uid="{00000000-0005-0000-0000-0000DC1E0000}"/>
    <cellStyle name="20% - Accent5 2 4 2 2" xfId="5349" xr:uid="{00000000-0005-0000-0000-0000DD1E0000}"/>
    <cellStyle name="20% - Accent5 2 4 2 2 2" xfId="8940" xr:uid="{00000000-0005-0000-0000-0000DE1E0000}"/>
    <cellStyle name="20% - Accent5 2 4 2 2 2 2" xfId="16910" xr:uid="{00000000-0005-0000-0000-0000DF1E0000}"/>
    <cellStyle name="20% - Accent5 2 4 2 2 2 2 2" xfId="40752" xr:uid="{95713E84-B24A-4787-8935-66461324EC5F}"/>
    <cellStyle name="20% - Accent5 2 4 2 2 2 3" xfId="24856" xr:uid="{00000000-0005-0000-0000-0000E01E0000}"/>
    <cellStyle name="20% - Accent5 2 4 2 2 2 3 2" xfId="48688" xr:uid="{B682CDB4-DB57-45AB-9164-777610450D39}"/>
    <cellStyle name="20% - Accent5 2 4 2 2 2 4" xfId="32811" xr:uid="{482C5C49-1480-42DB-9B42-38B117FC92D1}"/>
    <cellStyle name="20% - Accent5 2 4 2 2 3" xfId="13372" xr:uid="{00000000-0005-0000-0000-0000E11E0000}"/>
    <cellStyle name="20% - Accent5 2 4 2 2 3 2" xfId="37221" xr:uid="{84F3DB1F-F06B-41B5-99DC-2B837839C702}"/>
    <cellStyle name="20% - Accent5 2 4 2 2 4" xfId="21327" xr:uid="{00000000-0005-0000-0000-0000E21E0000}"/>
    <cellStyle name="20% - Accent5 2 4 2 2 4 2" xfId="45159" xr:uid="{7EC22814-16DC-4290-9929-CB22CBD808D7}"/>
    <cellStyle name="20% - Accent5 2 4 2 2 5" xfId="29280" xr:uid="{E0230F5E-EE9F-4C4A-AD02-8D7EC14FC382}"/>
    <cellStyle name="20% - Accent5 2 4 2 3" xfId="7181" xr:uid="{00000000-0005-0000-0000-0000E31E0000}"/>
    <cellStyle name="20% - Accent5 2 4 2 3 2" xfId="15152" xr:uid="{00000000-0005-0000-0000-0000E41E0000}"/>
    <cellStyle name="20% - Accent5 2 4 2 3 2 2" xfId="38994" xr:uid="{D22E2B96-5139-4454-BA6F-78E04CBA1D28}"/>
    <cellStyle name="20% - Accent5 2 4 2 3 3" xfId="23099" xr:uid="{00000000-0005-0000-0000-0000E51E0000}"/>
    <cellStyle name="20% - Accent5 2 4 2 3 3 2" xfId="46931" xr:uid="{2D621961-DFCA-4092-A384-CB40507E4C52}"/>
    <cellStyle name="20% - Accent5 2 4 2 3 4" xfId="31053" xr:uid="{E922E5A7-4A68-4C50-9174-F7F6B5D12E50}"/>
    <cellStyle name="20% - Accent5 2 4 2 4" xfId="11616" xr:uid="{00000000-0005-0000-0000-0000E61E0000}"/>
    <cellStyle name="20% - Accent5 2 4 2 4 2" xfId="35465" xr:uid="{7FBA52C5-C37C-49E4-B7EB-FF26BB9DA90E}"/>
    <cellStyle name="20% - Accent5 2 4 2 5" xfId="19571" xr:uid="{00000000-0005-0000-0000-0000E71E0000}"/>
    <cellStyle name="20% - Accent5 2 4 2 5 2" xfId="43403" xr:uid="{FC6C69A1-11C1-4C6D-A1AC-725FDED0D120}"/>
    <cellStyle name="20% - Accent5 2 4 2 6" xfId="27523" xr:uid="{A44B3D99-E4E7-4A03-A558-DC6647767208}"/>
    <cellStyle name="20% - Accent5 2 4 2_Exh G" xfId="2480" xr:uid="{00000000-0005-0000-0000-0000E81E0000}"/>
    <cellStyle name="20% - Accent5 2 4 3" xfId="4470" xr:uid="{00000000-0005-0000-0000-0000E91E0000}"/>
    <cellStyle name="20% - Accent5 2 4 3 2" xfId="8062" xr:uid="{00000000-0005-0000-0000-0000EA1E0000}"/>
    <cellStyle name="20% - Accent5 2 4 3 2 2" xfId="16032" xr:uid="{00000000-0005-0000-0000-0000EB1E0000}"/>
    <cellStyle name="20% - Accent5 2 4 3 2 2 2" xfId="39874" xr:uid="{6948E651-687D-4A1A-BC65-36684F0A7E7F}"/>
    <cellStyle name="20% - Accent5 2 4 3 2 3" xfId="23978" xr:uid="{00000000-0005-0000-0000-0000EC1E0000}"/>
    <cellStyle name="20% - Accent5 2 4 3 2 3 2" xfId="47810" xr:uid="{847D03C7-887D-4811-B18A-58CE14183B68}"/>
    <cellStyle name="20% - Accent5 2 4 3 2 4" xfId="31933" xr:uid="{52C0C719-F5EE-4CE5-B616-AE76C85DA144}"/>
    <cellStyle name="20% - Accent5 2 4 3 3" xfId="12494" xr:uid="{00000000-0005-0000-0000-0000ED1E0000}"/>
    <cellStyle name="20% - Accent5 2 4 3 3 2" xfId="36343" xr:uid="{957166A5-5EC0-4F6B-9B1B-9DEFF0064DC9}"/>
    <cellStyle name="20% - Accent5 2 4 3 4" xfId="20449" xr:uid="{00000000-0005-0000-0000-0000EE1E0000}"/>
    <cellStyle name="20% - Accent5 2 4 3 4 2" xfId="44281" xr:uid="{71F740DD-A26D-4D5A-B270-9BB8410039BA}"/>
    <cellStyle name="20% - Accent5 2 4 3 5" xfId="28402" xr:uid="{73000160-7397-44CE-AF4D-7FE35E21F54F}"/>
    <cellStyle name="20% - Accent5 2 4 4" xfId="6300" xr:uid="{00000000-0005-0000-0000-0000EF1E0000}"/>
    <cellStyle name="20% - Accent5 2 4 4 2" xfId="14274" xr:uid="{00000000-0005-0000-0000-0000F01E0000}"/>
    <cellStyle name="20% - Accent5 2 4 4 2 2" xfId="38116" xr:uid="{2C5676C9-8BA8-4859-898C-A1D9A5FEB612}"/>
    <cellStyle name="20% - Accent5 2 4 4 3" xfId="22221" xr:uid="{00000000-0005-0000-0000-0000F11E0000}"/>
    <cellStyle name="20% - Accent5 2 4 4 3 2" xfId="46053" xr:uid="{D442B29E-4695-45A6-B8AA-BCCD65BEA3C7}"/>
    <cellStyle name="20% - Accent5 2 4 4 4" xfId="30175" xr:uid="{06AFE1EE-2163-4C89-9255-C32B3F4D3B4E}"/>
    <cellStyle name="20% - Accent5 2 4 5" xfId="9842" xr:uid="{00000000-0005-0000-0000-0000F21E0000}"/>
    <cellStyle name="20% - Accent5 2 4 5 2" xfId="17800" xr:uid="{00000000-0005-0000-0000-0000F31E0000}"/>
    <cellStyle name="20% - Accent5 2 4 5 2 2" xfId="41640" xr:uid="{D642E8B4-B610-4286-BECD-B9DD78565BC3}"/>
    <cellStyle name="20% - Accent5 2 4 5 3" xfId="25744" xr:uid="{00000000-0005-0000-0000-0000F41E0000}"/>
    <cellStyle name="20% - Accent5 2 4 5 3 2" xfId="49576" xr:uid="{8060629F-2779-4C55-AD76-0393AD19D44B}"/>
    <cellStyle name="20% - Accent5 2 4 5 4" xfId="33699" xr:uid="{4D3378FE-A025-495A-96B3-AE2E6D32BB1C}"/>
    <cellStyle name="20% - Accent5 2 4 6" xfId="10738" xr:uid="{00000000-0005-0000-0000-0000F51E0000}"/>
    <cellStyle name="20% - Accent5 2 4 6 2" xfId="34587" xr:uid="{2B98C86D-C321-434F-B3CE-09EBF531C58F}"/>
    <cellStyle name="20% - Accent5 2 4 7" xfId="18693" xr:uid="{00000000-0005-0000-0000-0000F61E0000}"/>
    <cellStyle name="20% - Accent5 2 4 7 2" xfId="42525" xr:uid="{CEEB0BC4-A458-4C1A-AA81-FEBA211AAD49}"/>
    <cellStyle name="20% - Accent5 2 4 8" xfId="26645" xr:uid="{F0DD4FD4-5806-4FF0-9187-D02245D7EEA8}"/>
    <cellStyle name="20% - Accent5 2 4_Exh G" xfId="2479" xr:uid="{00000000-0005-0000-0000-0000F71E0000}"/>
    <cellStyle name="20% - Accent5 2 5" xfId="1271" xr:uid="{00000000-0005-0000-0000-0000F81E0000}"/>
    <cellStyle name="20% - Accent5 2 5 2" xfId="4798" xr:uid="{00000000-0005-0000-0000-0000F91E0000}"/>
    <cellStyle name="20% - Accent5 2 5 2 2" xfId="8389" xr:uid="{00000000-0005-0000-0000-0000FA1E0000}"/>
    <cellStyle name="20% - Accent5 2 5 2 2 2" xfId="16359" xr:uid="{00000000-0005-0000-0000-0000FB1E0000}"/>
    <cellStyle name="20% - Accent5 2 5 2 2 2 2" xfId="40201" xr:uid="{8F560EAD-CE0F-47A3-A441-9AE72AB9F6D7}"/>
    <cellStyle name="20% - Accent5 2 5 2 2 3" xfId="24305" xr:uid="{00000000-0005-0000-0000-0000FC1E0000}"/>
    <cellStyle name="20% - Accent5 2 5 2 2 3 2" xfId="48137" xr:uid="{6437FEB3-0210-420D-9E51-8FD1779EB080}"/>
    <cellStyle name="20% - Accent5 2 5 2 2 4" xfId="32260" xr:uid="{6B1094FB-49BD-431F-B5C5-0769EBD48812}"/>
    <cellStyle name="20% - Accent5 2 5 2 3" xfId="12821" xr:uid="{00000000-0005-0000-0000-0000FD1E0000}"/>
    <cellStyle name="20% - Accent5 2 5 2 3 2" xfId="36670" xr:uid="{502D1A35-FA37-447F-8919-6AB5EB482061}"/>
    <cellStyle name="20% - Accent5 2 5 2 4" xfId="20776" xr:uid="{00000000-0005-0000-0000-0000FE1E0000}"/>
    <cellStyle name="20% - Accent5 2 5 2 4 2" xfId="44608" xr:uid="{4A9595B9-36DB-41A4-A056-29647EAA53E1}"/>
    <cellStyle name="20% - Accent5 2 5 2 5" xfId="28729" xr:uid="{19164F66-FD72-4FA0-89E8-9E55875EBCE1}"/>
    <cellStyle name="20% - Accent5 2 5 3" xfId="6630" xr:uid="{00000000-0005-0000-0000-0000FF1E0000}"/>
    <cellStyle name="20% - Accent5 2 5 3 2" xfId="14601" xr:uid="{00000000-0005-0000-0000-0000001F0000}"/>
    <cellStyle name="20% - Accent5 2 5 3 2 2" xfId="38443" xr:uid="{C7971F98-F980-441D-AB92-CCFC146DDED5}"/>
    <cellStyle name="20% - Accent5 2 5 3 3" xfId="22548" xr:uid="{00000000-0005-0000-0000-0000011F0000}"/>
    <cellStyle name="20% - Accent5 2 5 3 3 2" xfId="46380" xr:uid="{9403341A-FCE8-4041-8B0F-9E719ACFE80B}"/>
    <cellStyle name="20% - Accent5 2 5 3 4" xfId="30502" xr:uid="{7749FAAA-8F9A-427C-B1D5-85987090D698}"/>
    <cellStyle name="20% - Accent5 2 5 4" xfId="11065" xr:uid="{00000000-0005-0000-0000-0000021F0000}"/>
    <cellStyle name="20% - Accent5 2 5 4 2" xfId="34914" xr:uid="{3CEBD589-07F7-47B5-B519-642F70AB7E4A}"/>
    <cellStyle name="20% - Accent5 2 5 5" xfId="19020" xr:uid="{00000000-0005-0000-0000-0000031F0000}"/>
    <cellStyle name="20% - Accent5 2 5 5 2" xfId="42852" xr:uid="{EAA253B7-9BB2-4B52-A7C5-305D635CE84A}"/>
    <cellStyle name="20% - Accent5 2 5 6" xfId="26972" xr:uid="{2A0BCCD8-D79D-43A4-8B2A-5E754A25AD68}"/>
    <cellStyle name="20% - Accent5 2 5_Exh G" xfId="2481" xr:uid="{00000000-0005-0000-0000-0000041F0000}"/>
    <cellStyle name="20% - Accent5 2 6" xfId="3919" xr:uid="{00000000-0005-0000-0000-0000051F0000}"/>
    <cellStyle name="20% - Accent5 2 6 2" xfId="7511" xr:uid="{00000000-0005-0000-0000-0000061F0000}"/>
    <cellStyle name="20% - Accent5 2 6 2 2" xfId="15481" xr:uid="{00000000-0005-0000-0000-0000071F0000}"/>
    <cellStyle name="20% - Accent5 2 6 2 2 2" xfId="39323" xr:uid="{9992EC6D-FF4D-479E-8FCD-AA2B3C306BBB}"/>
    <cellStyle name="20% - Accent5 2 6 2 3" xfId="23427" xr:uid="{00000000-0005-0000-0000-0000081F0000}"/>
    <cellStyle name="20% - Accent5 2 6 2 3 2" xfId="47259" xr:uid="{D6A4C343-DBE9-4589-9C57-41F309DFA27A}"/>
    <cellStyle name="20% - Accent5 2 6 2 4" xfId="31382" xr:uid="{82F2DE8C-A9F8-493F-99E3-F255C1E8B221}"/>
    <cellStyle name="20% - Accent5 2 6 3" xfId="11943" xr:uid="{00000000-0005-0000-0000-0000091F0000}"/>
    <cellStyle name="20% - Accent5 2 6 3 2" xfId="35792" xr:uid="{5BA5A169-340D-4E03-9AD7-73F3AD5636C2}"/>
    <cellStyle name="20% - Accent5 2 6 4" xfId="19898" xr:uid="{00000000-0005-0000-0000-00000A1F0000}"/>
    <cellStyle name="20% - Accent5 2 6 4 2" xfId="43730" xr:uid="{89A6F20F-E6BC-4F97-8845-B346A9C0FCAB}"/>
    <cellStyle name="20% - Accent5 2 6 5" xfId="27851" xr:uid="{736A5600-757E-46CA-B8A4-7FEA559ECA85}"/>
    <cellStyle name="20% - Accent5 2 7" xfId="5739" xr:uid="{00000000-0005-0000-0000-00000B1F0000}"/>
    <cellStyle name="20% - Accent5 2 7 2" xfId="13722" xr:uid="{00000000-0005-0000-0000-00000C1F0000}"/>
    <cellStyle name="20% - Accent5 2 7 2 2" xfId="37565" xr:uid="{345ADE02-1DBF-46AC-97FA-CD29B7BA28CE}"/>
    <cellStyle name="20% - Accent5 2 7 3" xfId="21670" xr:uid="{00000000-0005-0000-0000-00000D1F0000}"/>
    <cellStyle name="20% - Accent5 2 7 3 2" xfId="45502" xr:uid="{B8346EFD-45B4-41CC-ABC6-20408716C200}"/>
    <cellStyle name="20% - Accent5 2 7 4" xfId="29624" xr:uid="{7425D9E3-AA18-4533-B6BC-6AD78C8A7064}"/>
    <cellStyle name="20% - Accent5 2 8" xfId="9291" xr:uid="{00000000-0005-0000-0000-00000E1F0000}"/>
    <cellStyle name="20% - Accent5 2 8 2" xfId="17249" xr:uid="{00000000-0005-0000-0000-00000F1F0000}"/>
    <cellStyle name="20% - Accent5 2 8 2 2" xfId="41089" xr:uid="{E73ECFB0-5350-4E87-84E5-06F2DB6F3098}"/>
    <cellStyle name="20% - Accent5 2 8 3" xfId="25193" xr:uid="{00000000-0005-0000-0000-0000101F0000}"/>
    <cellStyle name="20% - Accent5 2 8 3 2" xfId="49025" xr:uid="{2855E040-B7DF-4B7C-B684-1954AFC65BD5}"/>
    <cellStyle name="20% - Accent5 2 8 4" xfId="33148" xr:uid="{4A4584E7-2EA1-454E-A6A0-BCF62FDCA472}"/>
    <cellStyle name="20% - Accent5 2 9" xfId="10187" xr:uid="{00000000-0005-0000-0000-0000111F0000}"/>
    <cellStyle name="20% - Accent5 2 9 2" xfId="34036" xr:uid="{7BC756EA-4039-43FA-908F-C1B98DE3F8D7}"/>
    <cellStyle name="20% - Accent5 2_Exh G" xfId="2470" xr:uid="{00000000-0005-0000-0000-0000121F0000}"/>
    <cellStyle name="20% - Accent5 3" xfId="249" xr:uid="{00000000-0005-0000-0000-0000131F0000}"/>
    <cellStyle name="20% - Accent5 3 10" xfId="18146" xr:uid="{00000000-0005-0000-0000-0000141F0000}"/>
    <cellStyle name="20% - Accent5 3 10 2" xfId="41978" xr:uid="{D1A15652-8611-4422-808E-FC92FCA3FF2A}"/>
    <cellStyle name="20% - Accent5 3 11" xfId="26098" xr:uid="{9D55866E-B3CC-4633-9DAD-DD871A9F33E3}"/>
    <cellStyle name="20% - Accent5 3 12" xfId="49762" xr:uid="{B1364B62-E969-4E62-A715-EC57E16D280D}"/>
    <cellStyle name="20% - Accent5 3 13" xfId="49816" xr:uid="{67BC31E0-703A-42E3-BF41-EDE96BDA5966}"/>
    <cellStyle name="20% - Accent5 3 2" xfId="250" xr:uid="{00000000-0005-0000-0000-0000151F0000}"/>
    <cellStyle name="20% - Accent5 3 2 10" xfId="26099" xr:uid="{4E967EBA-3B6F-46A8-9D48-1F5617BDD4F8}"/>
    <cellStyle name="20% - Accent5 3 2 2" xfId="251" xr:uid="{00000000-0005-0000-0000-0000161F0000}"/>
    <cellStyle name="20% - Accent5 3 2 2 2" xfId="1277" xr:uid="{00000000-0005-0000-0000-0000171F0000}"/>
    <cellStyle name="20% - Accent5 3 2 2 2 2" xfId="4804" xr:uid="{00000000-0005-0000-0000-0000181F0000}"/>
    <cellStyle name="20% - Accent5 3 2 2 2 2 2" xfId="8395" xr:uid="{00000000-0005-0000-0000-0000191F0000}"/>
    <cellStyle name="20% - Accent5 3 2 2 2 2 2 2" xfId="16365" xr:uid="{00000000-0005-0000-0000-00001A1F0000}"/>
    <cellStyle name="20% - Accent5 3 2 2 2 2 2 2 2" xfId="40207" xr:uid="{DDF06356-1981-49F6-A847-848A42EB7D04}"/>
    <cellStyle name="20% - Accent5 3 2 2 2 2 2 3" xfId="24311" xr:uid="{00000000-0005-0000-0000-00001B1F0000}"/>
    <cellStyle name="20% - Accent5 3 2 2 2 2 2 3 2" xfId="48143" xr:uid="{C9C7C27F-D793-4BFC-B17A-0732A2DDFAFA}"/>
    <cellStyle name="20% - Accent5 3 2 2 2 2 2 4" xfId="32266" xr:uid="{1B5C7698-A558-437E-94D6-DBB1053F699F}"/>
    <cellStyle name="20% - Accent5 3 2 2 2 2 3" xfId="12827" xr:uid="{00000000-0005-0000-0000-00001C1F0000}"/>
    <cellStyle name="20% - Accent5 3 2 2 2 2 3 2" xfId="36676" xr:uid="{1B201984-8ED8-4F72-8056-F8048901341C}"/>
    <cellStyle name="20% - Accent5 3 2 2 2 2 4" xfId="20782" xr:uid="{00000000-0005-0000-0000-00001D1F0000}"/>
    <cellStyle name="20% - Accent5 3 2 2 2 2 4 2" xfId="44614" xr:uid="{11AD5967-493F-49A0-AF29-BF2C6FD1A574}"/>
    <cellStyle name="20% - Accent5 3 2 2 2 2 5" xfId="28735" xr:uid="{92779F6B-A4F8-4235-A8EA-54EE722F503F}"/>
    <cellStyle name="20% - Accent5 3 2 2 2 3" xfId="6636" xr:uid="{00000000-0005-0000-0000-00001E1F0000}"/>
    <cellStyle name="20% - Accent5 3 2 2 2 3 2" xfId="14607" xr:uid="{00000000-0005-0000-0000-00001F1F0000}"/>
    <cellStyle name="20% - Accent5 3 2 2 2 3 2 2" xfId="38449" xr:uid="{8F12F087-F185-477B-BE2B-1F892B80012F}"/>
    <cellStyle name="20% - Accent5 3 2 2 2 3 3" xfId="22554" xr:uid="{00000000-0005-0000-0000-0000201F0000}"/>
    <cellStyle name="20% - Accent5 3 2 2 2 3 3 2" xfId="46386" xr:uid="{DA39E621-7C3C-4707-BB4A-B741343B85A0}"/>
    <cellStyle name="20% - Accent5 3 2 2 2 3 4" xfId="30508" xr:uid="{299D008F-8A12-440B-9A76-8D54D32BD45B}"/>
    <cellStyle name="20% - Accent5 3 2 2 2 4" xfId="11071" xr:uid="{00000000-0005-0000-0000-0000211F0000}"/>
    <cellStyle name="20% - Accent5 3 2 2 2 4 2" xfId="34920" xr:uid="{AD1D88D7-1731-4D1D-83E5-5CD4813494D6}"/>
    <cellStyle name="20% - Accent5 3 2 2 2 5" xfId="19026" xr:uid="{00000000-0005-0000-0000-0000221F0000}"/>
    <cellStyle name="20% - Accent5 3 2 2 2 5 2" xfId="42858" xr:uid="{7658D699-B029-4724-B7FB-4E478B50C738}"/>
    <cellStyle name="20% - Accent5 3 2 2 2 6" xfId="26978" xr:uid="{F14A16C7-F2EA-4F12-955F-DCB03DAB8BD7}"/>
    <cellStyle name="20% - Accent5 3 2 2 2_Exh G" xfId="2485" xr:uid="{00000000-0005-0000-0000-0000231F0000}"/>
    <cellStyle name="20% - Accent5 3 2 2 3" xfId="3925" xr:uid="{00000000-0005-0000-0000-0000241F0000}"/>
    <cellStyle name="20% - Accent5 3 2 2 3 2" xfId="7517" xr:uid="{00000000-0005-0000-0000-0000251F0000}"/>
    <cellStyle name="20% - Accent5 3 2 2 3 2 2" xfId="15487" xr:uid="{00000000-0005-0000-0000-0000261F0000}"/>
    <cellStyle name="20% - Accent5 3 2 2 3 2 2 2" xfId="39329" xr:uid="{E5455759-48B3-498D-85A2-982FED88897C}"/>
    <cellStyle name="20% - Accent5 3 2 2 3 2 3" xfId="23433" xr:uid="{00000000-0005-0000-0000-0000271F0000}"/>
    <cellStyle name="20% - Accent5 3 2 2 3 2 3 2" xfId="47265" xr:uid="{897397B2-FE25-47F0-BB0B-37F9C792D2F8}"/>
    <cellStyle name="20% - Accent5 3 2 2 3 2 4" xfId="31388" xr:uid="{EAC9360A-3A3B-4BB9-B112-E92C244585A7}"/>
    <cellStyle name="20% - Accent5 3 2 2 3 3" xfId="11949" xr:uid="{00000000-0005-0000-0000-0000281F0000}"/>
    <cellStyle name="20% - Accent5 3 2 2 3 3 2" xfId="35798" xr:uid="{0BE2B348-F156-4A1D-8648-271F2B2FF0FD}"/>
    <cellStyle name="20% - Accent5 3 2 2 3 4" xfId="19904" xr:uid="{00000000-0005-0000-0000-0000291F0000}"/>
    <cellStyle name="20% - Accent5 3 2 2 3 4 2" xfId="43736" xr:uid="{80F59EF7-870A-495B-9A0D-E35986FFB8F6}"/>
    <cellStyle name="20% - Accent5 3 2 2 3 5" xfId="27857" xr:uid="{44C36D88-ECA9-4F2A-8C9F-1F0E5DE40829}"/>
    <cellStyle name="20% - Accent5 3 2 2 4" xfId="5745" xr:uid="{00000000-0005-0000-0000-00002A1F0000}"/>
    <cellStyle name="20% - Accent5 3 2 2 4 2" xfId="13728" xr:uid="{00000000-0005-0000-0000-00002B1F0000}"/>
    <cellStyle name="20% - Accent5 3 2 2 4 2 2" xfId="37571" xr:uid="{419E5172-386A-4ECE-BB73-EFEBB6F53206}"/>
    <cellStyle name="20% - Accent5 3 2 2 4 3" xfId="21676" xr:uid="{00000000-0005-0000-0000-00002C1F0000}"/>
    <cellStyle name="20% - Accent5 3 2 2 4 3 2" xfId="45508" xr:uid="{1DC15D6F-557D-4C47-AEAF-4B1E16A5C303}"/>
    <cellStyle name="20% - Accent5 3 2 2 4 4" xfId="29630" xr:uid="{AF8DCCE2-5E2F-4DAC-9091-F0B169091A3D}"/>
    <cellStyle name="20% - Accent5 3 2 2 5" xfId="9297" xr:uid="{00000000-0005-0000-0000-00002D1F0000}"/>
    <cellStyle name="20% - Accent5 3 2 2 5 2" xfId="17255" xr:uid="{00000000-0005-0000-0000-00002E1F0000}"/>
    <cellStyle name="20% - Accent5 3 2 2 5 2 2" xfId="41095" xr:uid="{708E1DCF-1367-4B79-9E4B-D74685313838}"/>
    <cellStyle name="20% - Accent5 3 2 2 5 3" xfId="25199" xr:uid="{00000000-0005-0000-0000-00002F1F0000}"/>
    <cellStyle name="20% - Accent5 3 2 2 5 3 2" xfId="49031" xr:uid="{D2724CCC-B9A7-402C-BA60-6434A819E007}"/>
    <cellStyle name="20% - Accent5 3 2 2 5 4" xfId="33154" xr:uid="{F2A2B110-183B-478C-AC3F-755D6D32616D}"/>
    <cellStyle name="20% - Accent5 3 2 2 6" xfId="10193" xr:uid="{00000000-0005-0000-0000-0000301F0000}"/>
    <cellStyle name="20% - Accent5 3 2 2 6 2" xfId="34042" xr:uid="{373D417B-CC7A-4530-9986-BC08E0DFAB87}"/>
    <cellStyle name="20% - Accent5 3 2 2 7" xfId="18148" xr:uid="{00000000-0005-0000-0000-0000311F0000}"/>
    <cellStyle name="20% - Accent5 3 2 2 7 2" xfId="41980" xr:uid="{45D5D31F-4495-47A8-A477-8EA112516745}"/>
    <cellStyle name="20% - Accent5 3 2 2 8" xfId="26100" xr:uid="{90A8663B-7FE9-42C4-921A-AB4BB096FA68}"/>
    <cellStyle name="20% - Accent5 3 2 2_Exh G" xfId="2484" xr:uid="{00000000-0005-0000-0000-0000321F0000}"/>
    <cellStyle name="20% - Accent5 3 2 3" xfId="911" xr:uid="{00000000-0005-0000-0000-0000331F0000}"/>
    <cellStyle name="20% - Accent5 3 2 3 2" xfId="1835" xr:uid="{00000000-0005-0000-0000-0000341F0000}"/>
    <cellStyle name="20% - Accent5 3 2 3 2 2" xfId="5352" xr:uid="{00000000-0005-0000-0000-0000351F0000}"/>
    <cellStyle name="20% - Accent5 3 2 3 2 2 2" xfId="8943" xr:uid="{00000000-0005-0000-0000-0000361F0000}"/>
    <cellStyle name="20% - Accent5 3 2 3 2 2 2 2" xfId="16913" xr:uid="{00000000-0005-0000-0000-0000371F0000}"/>
    <cellStyle name="20% - Accent5 3 2 3 2 2 2 2 2" xfId="40755" xr:uid="{3CFFEB1F-67C4-475B-AFA9-DC8794278EE4}"/>
    <cellStyle name="20% - Accent5 3 2 3 2 2 2 3" xfId="24859" xr:uid="{00000000-0005-0000-0000-0000381F0000}"/>
    <cellStyle name="20% - Accent5 3 2 3 2 2 2 3 2" xfId="48691" xr:uid="{76AABF60-B084-4D82-8A16-3FA9ED5FB1F6}"/>
    <cellStyle name="20% - Accent5 3 2 3 2 2 2 4" xfId="32814" xr:uid="{A3145CE2-6AB0-48F2-BCAD-009844363F6C}"/>
    <cellStyle name="20% - Accent5 3 2 3 2 2 3" xfId="13375" xr:uid="{00000000-0005-0000-0000-0000391F0000}"/>
    <cellStyle name="20% - Accent5 3 2 3 2 2 3 2" xfId="37224" xr:uid="{CD9C6B03-F2DC-44A8-9D5E-2A656D3D063F}"/>
    <cellStyle name="20% - Accent5 3 2 3 2 2 4" xfId="21330" xr:uid="{00000000-0005-0000-0000-00003A1F0000}"/>
    <cellStyle name="20% - Accent5 3 2 3 2 2 4 2" xfId="45162" xr:uid="{F68B36D0-7F28-4808-A086-AD7D3C7BD44B}"/>
    <cellStyle name="20% - Accent5 3 2 3 2 2 5" xfId="29283" xr:uid="{564A1EE2-5B6A-4B9D-935F-3A004542B835}"/>
    <cellStyle name="20% - Accent5 3 2 3 2 3" xfId="7184" xr:uid="{00000000-0005-0000-0000-00003B1F0000}"/>
    <cellStyle name="20% - Accent5 3 2 3 2 3 2" xfId="15155" xr:uid="{00000000-0005-0000-0000-00003C1F0000}"/>
    <cellStyle name="20% - Accent5 3 2 3 2 3 2 2" xfId="38997" xr:uid="{41210852-D61A-4682-B123-737F73DACD40}"/>
    <cellStyle name="20% - Accent5 3 2 3 2 3 3" xfId="23102" xr:uid="{00000000-0005-0000-0000-00003D1F0000}"/>
    <cellStyle name="20% - Accent5 3 2 3 2 3 3 2" xfId="46934" xr:uid="{4CE5BC37-436D-429C-8645-BE58A87F4B77}"/>
    <cellStyle name="20% - Accent5 3 2 3 2 3 4" xfId="31056" xr:uid="{8E0575AF-3C12-4992-A0A8-B40473FC1164}"/>
    <cellStyle name="20% - Accent5 3 2 3 2 4" xfId="11619" xr:uid="{00000000-0005-0000-0000-00003E1F0000}"/>
    <cellStyle name="20% - Accent5 3 2 3 2 4 2" xfId="35468" xr:uid="{AF6938D5-1CBF-437A-BECB-FE7A090D7561}"/>
    <cellStyle name="20% - Accent5 3 2 3 2 5" xfId="19574" xr:uid="{00000000-0005-0000-0000-00003F1F0000}"/>
    <cellStyle name="20% - Accent5 3 2 3 2 5 2" xfId="43406" xr:uid="{636832E6-A583-4B6D-9559-70FED2A5BC68}"/>
    <cellStyle name="20% - Accent5 3 2 3 2 6" xfId="27526" xr:uid="{3D0DDEB0-C5EA-4850-9988-754149F9737E}"/>
    <cellStyle name="20% - Accent5 3 2 3 2_Exh G" xfId="2487" xr:uid="{00000000-0005-0000-0000-0000401F0000}"/>
    <cellStyle name="20% - Accent5 3 2 3 3" xfId="4473" xr:uid="{00000000-0005-0000-0000-0000411F0000}"/>
    <cellStyle name="20% - Accent5 3 2 3 3 2" xfId="8065" xr:uid="{00000000-0005-0000-0000-0000421F0000}"/>
    <cellStyle name="20% - Accent5 3 2 3 3 2 2" xfId="16035" xr:uid="{00000000-0005-0000-0000-0000431F0000}"/>
    <cellStyle name="20% - Accent5 3 2 3 3 2 2 2" xfId="39877" xr:uid="{FA817DA5-79AA-4A1B-B69A-5B24DFB6BA8A}"/>
    <cellStyle name="20% - Accent5 3 2 3 3 2 3" xfId="23981" xr:uid="{00000000-0005-0000-0000-0000441F0000}"/>
    <cellStyle name="20% - Accent5 3 2 3 3 2 3 2" xfId="47813" xr:uid="{A8813BA7-A4AB-4C8A-AF9F-F3E58F6FA75D}"/>
    <cellStyle name="20% - Accent5 3 2 3 3 2 4" xfId="31936" xr:uid="{EED0999B-7D2F-4E9E-9FD2-5E4B9CE19193}"/>
    <cellStyle name="20% - Accent5 3 2 3 3 3" xfId="12497" xr:uid="{00000000-0005-0000-0000-0000451F0000}"/>
    <cellStyle name="20% - Accent5 3 2 3 3 3 2" xfId="36346" xr:uid="{1B3DEF65-9AA9-49DB-9B2F-DEC10B011C37}"/>
    <cellStyle name="20% - Accent5 3 2 3 3 4" xfId="20452" xr:uid="{00000000-0005-0000-0000-0000461F0000}"/>
    <cellStyle name="20% - Accent5 3 2 3 3 4 2" xfId="44284" xr:uid="{5A9CDAD9-E67B-42C6-9CBB-E365CF7C1D73}"/>
    <cellStyle name="20% - Accent5 3 2 3 3 5" xfId="28405" xr:uid="{B0510770-50BD-4133-965E-2BC1D7969218}"/>
    <cellStyle name="20% - Accent5 3 2 3 4" xfId="6303" xr:uid="{00000000-0005-0000-0000-0000471F0000}"/>
    <cellStyle name="20% - Accent5 3 2 3 4 2" xfId="14277" xr:uid="{00000000-0005-0000-0000-0000481F0000}"/>
    <cellStyle name="20% - Accent5 3 2 3 4 2 2" xfId="38119" xr:uid="{70DD2ECB-135F-4205-9ABC-AA8A13C5361E}"/>
    <cellStyle name="20% - Accent5 3 2 3 4 3" xfId="22224" xr:uid="{00000000-0005-0000-0000-0000491F0000}"/>
    <cellStyle name="20% - Accent5 3 2 3 4 3 2" xfId="46056" xr:uid="{0FC9CAFF-5AA3-4654-8BF9-2BA3CDF993E3}"/>
    <cellStyle name="20% - Accent5 3 2 3 4 4" xfId="30178" xr:uid="{4D7ED8C3-23F7-4DEB-836E-427531E57CF5}"/>
    <cellStyle name="20% - Accent5 3 2 3 5" xfId="9845" xr:uid="{00000000-0005-0000-0000-00004A1F0000}"/>
    <cellStyle name="20% - Accent5 3 2 3 5 2" xfId="17803" xr:uid="{00000000-0005-0000-0000-00004B1F0000}"/>
    <cellStyle name="20% - Accent5 3 2 3 5 2 2" xfId="41643" xr:uid="{DF645FE0-A680-4E2A-A5FA-3BA12439FA28}"/>
    <cellStyle name="20% - Accent5 3 2 3 5 3" xfId="25747" xr:uid="{00000000-0005-0000-0000-00004C1F0000}"/>
    <cellStyle name="20% - Accent5 3 2 3 5 3 2" xfId="49579" xr:uid="{31BCCD6B-C447-4E6D-81D6-100A02B20348}"/>
    <cellStyle name="20% - Accent5 3 2 3 5 4" xfId="33702" xr:uid="{0FE5A241-48C2-4EAA-AE98-884C3EFB7A91}"/>
    <cellStyle name="20% - Accent5 3 2 3 6" xfId="10741" xr:uid="{00000000-0005-0000-0000-00004D1F0000}"/>
    <cellStyle name="20% - Accent5 3 2 3 6 2" xfId="34590" xr:uid="{BC84EED9-6CE1-4D70-9D95-BD6953C2B79D}"/>
    <cellStyle name="20% - Accent5 3 2 3 7" xfId="18696" xr:uid="{00000000-0005-0000-0000-00004E1F0000}"/>
    <cellStyle name="20% - Accent5 3 2 3 7 2" xfId="42528" xr:uid="{F7093080-B411-4685-87C8-EFA77DC18F03}"/>
    <cellStyle name="20% - Accent5 3 2 3 8" xfId="26648" xr:uid="{DAF429D2-9F89-4876-A76B-EF39C5C3D094}"/>
    <cellStyle name="20% - Accent5 3 2 3_Exh G" xfId="2486" xr:uid="{00000000-0005-0000-0000-00004F1F0000}"/>
    <cellStyle name="20% - Accent5 3 2 4" xfId="1276" xr:uid="{00000000-0005-0000-0000-0000501F0000}"/>
    <cellStyle name="20% - Accent5 3 2 4 2" xfId="4803" xr:uid="{00000000-0005-0000-0000-0000511F0000}"/>
    <cellStyle name="20% - Accent5 3 2 4 2 2" xfId="8394" xr:uid="{00000000-0005-0000-0000-0000521F0000}"/>
    <cellStyle name="20% - Accent5 3 2 4 2 2 2" xfId="16364" xr:uid="{00000000-0005-0000-0000-0000531F0000}"/>
    <cellStyle name="20% - Accent5 3 2 4 2 2 2 2" xfId="40206" xr:uid="{C2F54819-7F17-4288-BE28-F4B98CF95170}"/>
    <cellStyle name="20% - Accent5 3 2 4 2 2 3" xfId="24310" xr:uid="{00000000-0005-0000-0000-0000541F0000}"/>
    <cellStyle name="20% - Accent5 3 2 4 2 2 3 2" xfId="48142" xr:uid="{F1D8D911-811E-403A-978E-1238697D023C}"/>
    <cellStyle name="20% - Accent5 3 2 4 2 2 4" xfId="32265" xr:uid="{28FB328B-B080-4460-834B-A598B67C3382}"/>
    <cellStyle name="20% - Accent5 3 2 4 2 3" xfId="12826" xr:uid="{00000000-0005-0000-0000-0000551F0000}"/>
    <cellStyle name="20% - Accent5 3 2 4 2 3 2" xfId="36675" xr:uid="{D0DEBEB3-E10C-4C60-B453-97CBCBD6BAFF}"/>
    <cellStyle name="20% - Accent5 3 2 4 2 4" xfId="20781" xr:uid="{00000000-0005-0000-0000-0000561F0000}"/>
    <cellStyle name="20% - Accent5 3 2 4 2 4 2" xfId="44613" xr:uid="{6986E510-AF4C-4BE8-8C32-9AC9D80E234D}"/>
    <cellStyle name="20% - Accent5 3 2 4 2 5" xfId="28734" xr:uid="{A900DF04-B3A7-4C23-AB4C-EA0D248C0D60}"/>
    <cellStyle name="20% - Accent5 3 2 4 3" xfId="6635" xr:uid="{00000000-0005-0000-0000-0000571F0000}"/>
    <cellStyle name="20% - Accent5 3 2 4 3 2" xfId="14606" xr:uid="{00000000-0005-0000-0000-0000581F0000}"/>
    <cellStyle name="20% - Accent5 3 2 4 3 2 2" xfId="38448" xr:uid="{48E8C3FD-8255-4F89-9457-3FE9CF872D3C}"/>
    <cellStyle name="20% - Accent5 3 2 4 3 3" xfId="22553" xr:uid="{00000000-0005-0000-0000-0000591F0000}"/>
    <cellStyle name="20% - Accent5 3 2 4 3 3 2" xfId="46385" xr:uid="{94D5AF2E-5E98-4961-87ED-EAC416F987CC}"/>
    <cellStyle name="20% - Accent5 3 2 4 3 4" xfId="30507" xr:uid="{0051BF3C-C6B3-4536-B9D5-86648A7C5367}"/>
    <cellStyle name="20% - Accent5 3 2 4 4" xfId="11070" xr:uid="{00000000-0005-0000-0000-00005A1F0000}"/>
    <cellStyle name="20% - Accent5 3 2 4 4 2" xfId="34919" xr:uid="{8D5D7ACD-2BEC-4E22-909E-09FEEE774616}"/>
    <cellStyle name="20% - Accent5 3 2 4 5" xfId="19025" xr:uid="{00000000-0005-0000-0000-00005B1F0000}"/>
    <cellStyle name="20% - Accent5 3 2 4 5 2" xfId="42857" xr:uid="{95EEA537-400C-4A27-8A6F-A503B49BB1BB}"/>
    <cellStyle name="20% - Accent5 3 2 4 6" xfId="26977" xr:uid="{D7C0880A-9ED4-4F7F-9DFC-631E1CA6B388}"/>
    <cellStyle name="20% - Accent5 3 2 4_Exh G" xfId="2488" xr:uid="{00000000-0005-0000-0000-00005C1F0000}"/>
    <cellStyle name="20% - Accent5 3 2 5" xfId="3924" xr:uid="{00000000-0005-0000-0000-00005D1F0000}"/>
    <cellStyle name="20% - Accent5 3 2 5 2" xfId="7516" xr:uid="{00000000-0005-0000-0000-00005E1F0000}"/>
    <cellStyle name="20% - Accent5 3 2 5 2 2" xfId="15486" xr:uid="{00000000-0005-0000-0000-00005F1F0000}"/>
    <cellStyle name="20% - Accent5 3 2 5 2 2 2" xfId="39328" xr:uid="{674A4FDF-37CA-475A-84F6-150FDB82C447}"/>
    <cellStyle name="20% - Accent5 3 2 5 2 3" xfId="23432" xr:uid="{00000000-0005-0000-0000-0000601F0000}"/>
    <cellStyle name="20% - Accent5 3 2 5 2 3 2" xfId="47264" xr:uid="{60F7403B-94B3-480B-9562-8D6807B74534}"/>
    <cellStyle name="20% - Accent5 3 2 5 2 4" xfId="31387" xr:uid="{3EF81BCD-D319-4C73-8FCC-C67C33CC687D}"/>
    <cellStyle name="20% - Accent5 3 2 5 3" xfId="11948" xr:uid="{00000000-0005-0000-0000-0000611F0000}"/>
    <cellStyle name="20% - Accent5 3 2 5 3 2" xfId="35797" xr:uid="{34374C8B-64A6-4072-A605-194BBF6F1E3D}"/>
    <cellStyle name="20% - Accent5 3 2 5 4" xfId="19903" xr:uid="{00000000-0005-0000-0000-0000621F0000}"/>
    <cellStyle name="20% - Accent5 3 2 5 4 2" xfId="43735" xr:uid="{9F8DD5C8-36ED-445E-96E9-901BC88507EB}"/>
    <cellStyle name="20% - Accent5 3 2 5 5" xfId="27856" xr:uid="{839FD5CE-1682-4A12-B1DA-2429D0933A7A}"/>
    <cellStyle name="20% - Accent5 3 2 6" xfId="5744" xr:uid="{00000000-0005-0000-0000-0000631F0000}"/>
    <cellStyle name="20% - Accent5 3 2 6 2" xfId="13727" xr:uid="{00000000-0005-0000-0000-0000641F0000}"/>
    <cellStyle name="20% - Accent5 3 2 6 2 2" xfId="37570" xr:uid="{4D1838BF-5841-471A-837C-6A65F7E906E8}"/>
    <cellStyle name="20% - Accent5 3 2 6 3" xfId="21675" xr:uid="{00000000-0005-0000-0000-0000651F0000}"/>
    <cellStyle name="20% - Accent5 3 2 6 3 2" xfId="45507" xr:uid="{31329398-C160-4F20-B63D-AA223DC0197D}"/>
    <cellStyle name="20% - Accent5 3 2 6 4" xfId="29629" xr:uid="{6F9F49D3-D7FB-4161-A8A4-F1B34A92A1DC}"/>
    <cellStyle name="20% - Accent5 3 2 7" xfId="9296" xr:uid="{00000000-0005-0000-0000-0000661F0000}"/>
    <cellStyle name="20% - Accent5 3 2 7 2" xfId="17254" xr:uid="{00000000-0005-0000-0000-0000671F0000}"/>
    <cellStyle name="20% - Accent5 3 2 7 2 2" xfId="41094" xr:uid="{70DCAAEA-CA5B-4F55-9253-4F6B8DE59E7C}"/>
    <cellStyle name="20% - Accent5 3 2 7 3" xfId="25198" xr:uid="{00000000-0005-0000-0000-0000681F0000}"/>
    <cellStyle name="20% - Accent5 3 2 7 3 2" xfId="49030" xr:uid="{DF0B3B9E-E03C-4B49-853F-2A629EF07D57}"/>
    <cellStyle name="20% - Accent5 3 2 7 4" xfId="33153" xr:uid="{787EA3B2-2631-4C5D-AABB-C1E88047E560}"/>
    <cellStyle name="20% - Accent5 3 2 8" xfId="10192" xr:uid="{00000000-0005-0000-0000-0000691F0000}"/>
    <cellStyle name="20% - Accent5 3 2 8 2" xfId="34041" xr:uid="{E6FBB3FB-0E78-4B65-B790-52449B001D1A}"/>
    <cellStyle name="20% - Accent5 3 2 9" xfId="18147" xr:uid="{00000000-0005-0000-0000-00006A1F0000}"/>
    <cellStyle name="20% - Accent5 3 2 9 2" xfId="41979" xr:uid="{FCDA576C-F7B0-4032-8B70-393DFA37F34B}"/>
    <cellStyle name="20% - Accent5 3 2_Exh G" xfId="2483" xr:uid="{00000000-0005-0000-0000-00006B1F0000}"/>
    <cellStyle name="20% - Accent5 3 3" xfId="252" xr:uid="{00000000-0005-0000-0000-00006C1F0000}"/>
    <cellStyle name="20% - Accent5 3 3 2" xfId="1278" xr:uid="{00000000-0005-0000-0000-00006D1F0000}"/>
    <cellStyle name="20% - Accent5 3 3 2 2" xfId="4805" xr:uid="{00000000-0005-0000-0000-00006E1F0000}"/>
    <cellStyle name="20% - Accent5 3 3 2 2 2" xfId="8396" xr:uid="{00000000-0005-0000-0000-00006F1F0000}"/>
    <cellStyle name="20% - Accent5 3 3 2 2 2 2" xfId="16366" xr:uid="{00000000-0005-0000-0000-0000701F0000}"/>
    <cellStyle name="20% - Accent5 3 3 2 2 2 2 2" xfId="40208" xr:uid="{50ED666C-658B-42BE-821D-3C6860C654DB}"/>
    <cellStyle name="20% - Accent5 3 3 2 2 2 3" xfId="24312" xr:uid="{00000000-0005-0000-0000-0000711F0000}"/>
    <cellStyle name="20% - Accent5 3 3 2 2 2 3 2" xfId="48144" xr:uid="{29D4F9AA-CC9F-4C62-934E-C27E976EB2A4}"/>
    <cellStyle name="20% - Accent5 3 3 2 2 2 4" xfId="32267" xr:uid="{DB9CCA29-6BD5-4227-9B5A-9644D7362C24}"/>
    <cellStyle name="20% - Accent5 3 3 2 2 3" xfId="12828" xr:uid="{00000000-0005-0000-0000-0000721F0000}"/>
    <cellStyle name="20% - Accent5 3 3 2 2 3 2" xfId="36677" xr:uid="{4608E6F0-9790-4BB7-BF47-01D83DB873CB}"/>
    <cellStyle name="20% - Accent5 3 3 2 2 4" xfId="20783" xr:uid="{00000000-0005-0000-0000-0000731F0000}"/>
    <cellStyle name="20% - Accent5 3 3 2 2 4 2" xfId="44615" xr:uid="{F7C89231-1B02-4AB7-B692-9D4061337164}"/>
    <cellStyle name="20% - Accent5 3 3 2 2 5" xfId="28736" xr:uid="{DF13AD6B-88C5-4B6C-B14A-66C083210A6D}"/>
    <cellStyle name="20% - Accent5 3 3 2 3" xfId="6637" xr:uid="{00000000-0005-0000-0000-0000741F0000}"/>
    <cellStyle name="20% - Accent5 3 3 2 3 2" xfId="14608" xr:uid="{00000000-0005-0000-0000-0000751F0000}"/>
    <cellStyle name="20% - Accent5 3 3 2 3 2 2" xfId="38450" xr:uid="{F6CD071B-D0AE-4ADB-A297-D0361E9BC233}"/>
    <cellStyle name="20% - Accent5 3 3 2 3 3" xfId="22555" xr:uid="{00000000-0005-0000-0000-0000761F0000}"/>
    <cellStyle name="20% - Accent5 3 3 2 3 3 2" xfId="46387" xr:uid="{3A733179-1AD9-4BC7-914B-08A04F482710}"/>
    <cellStyle name="20% - Accent5 3 3 2 3 4" xfId="30509" xr:uid="{07891802-23A7-4888-BCD0-8AC5460DA7B8}"/>
    <cellStyle name="20% - Accent5 3 3 2 4" xfId="11072" xr:uid="{00000000-0005-0000-0000-0000771F0000}"/>
    <cellStyle name="20% - Accent5 3 3 2 4 2" xfId="34921" xr:uid="{5E373054-876E-4F62-8DC3-05B462316A6E}"/>
    <cellStyle name="20% - Accent5 3 3 2 5" xfId="19027" xr:uid="{00000000-0005-0000-0000-0000781F0000}"/>
    <cellStyle name="20% - Accent5 3 3 2 5 2" xfId="42859" xr:uid="{9CEE978E-DA1E-4CD9-A21B-9790BE8D3279}"/>
    <cellStyle name="20% - Accent5 3 3 2 6" xfId="26979" xr:uid="{10F09034-6F6A-4189-8722-7F42C775AC5E}"/>
    <cellStyle name="20% - Accent5 3 3 2_Exh G" xfId="2490" xr:uid="{00000000-0005-0000-0000-0000791F0000}"/>
    <cellStyle name="20% - Accent5 3 3 3" xfId="3926" xr:uid="{00000000-0005-0000-0000-00007A1F0000}"/>
    <cellStyle name="20% - Accent5 3 3 3 2" xfId="7518" xr:uid="{00000000-0005-0000-0000-00007B1F0000}"/>
    <cellStyle name="20% - Accent5 3 3 3 2 2" xfId="15488" xr:uid="{00000000-0005-0000-0000-00007C1F0000}"/>
    <cellStyle name="20% - Accent5 3 3 3 2 2 2" xfId="39330" xr:uid="{C1CCEC65-072C-43E4-A563-3738DC6D0DD6}"/>
    <cellStyle name="20% - Accent5 3 3 3 2 3" xfId="23434" xr:uid="{00000000-0005-0000-0000-00007D1F0000}"/>
    <cellStyle name="20% - Accent5 3 3 3 2 3 2" xfId="47266" xr:uid="{FAA55C0C-2B0E-4F98-8C6C-0C9BF9D2F2F0}"/>
    <cellStyle name="20% - Accent5 3 3 3 2 4" xfId="31389" xr:uid="{7726A279-24E4-4A6B-9F38-275FB0C9B54A}"/>
    <cellStyle name="20% - Accent5 3 3 3 3" xfId="11950" xr:uid="{00000000-0005-0000-0000-00007E1F0000}"/>
    <cellStyle name="20% - Accent5 3 3 3 3 2" xfId="35799" xr:uid="{5DAFEE07-3637-441F-875F-02B19B6E4DD0}"/>
    <cellStyle name="20% - Accent5 3 3 3 4" xfId="19905" xr:uid="{00000000-0005-0000-0000-00007F1F0000}"/>
    <cellStyle name="20% - Accent5 3 3 3 4 2" xfId="43737" xr:uid="{7729F32D-8388-4AAB-9FFA-A6DF4D8741D6}"/>
    <cellStyle name="20% - Accent5 3 3 3 5" xfId="27858" xr:uid="{72216F27-0086-4702-8CAC-65E226FE3816}"/>
    <cellStyle name="20% - Accent5 3 3 4" xfId="5746" xr:uid="{00000000-0005-0000-0000-0000801F0000}"/>
    <cellStyle name="20% - Accent5 3 3 4 2" xfId="13729" xr:uid="{00000000-0005-0000-0000-0000811F0000}"/>
    <cellStyle name="20% - Accent5 3 3 4 2 2" xfId="37572" xr:uid="{5B105818-D14F-48DD-8844-7F8599B6DB9B}"/>
    <cellStyle name="20% - Accent5 3 3 4 3" xfId="21677" xr:uid="{00000000-0005-0000-0000-0000821F0000}"/>
    <cellStyle name="20% - Accent5 3 3 4 3 2" xfId="45509" xr:uid="{7FC084BF-DC95-4C47-9A51-1825C7F9C51F}"/>
    <cellStyle name="20% - Accent5 3 3 4 4" xfId="29631" xr:uid="{E923502B-747F-45D2-B93C-332889F0D9DA}"/>
    <cellStyle name="20% - Accent5 3 3 5" xfId="9298" xr:uid="{00000000-0005-0000-0000-0000831F0000}"/>
    <cellStyle name="20% - Accent5 3 3 5 2" xfId="17256" xr:uid="{00000000-0005-0000-0000-0000841F0000}"/>
    <cellStyle name="20% - Accent5 3 3 5 2 2" xfId="41096" xr:uid="{B9F11228-71B4-48DB-90EC-D145AB8947C1}"/>
    <cellStyle name="20% - Accent5 3 3 5 3" xfId="25200" xr:uid="{00000000-0005-0000-0000-0000851F0000}"/>
    <cellStyle name="20% - Accent5 3 3 5 3 2" xfId="49032" xr:uid="{42A41A53-42E2-44E4-B641-F633E04BA6A6}"/>
    <cellStyle name="20% - Accent5 3 3 5 4" xfId="33155" xr:uid="{9A0F7EA0-37ED-47FA-B0D8-94F886597EE7}"/>
    <cellStyle name="20% - Accent5 3 3 6" xfId="10194" xr:uid="{00000000-0005-0000-0000-0000861F0000}"/>
    <cellStyle name="20% - Accent5 3 3 6 2" xfId="34043" xr:uid="{A7AAF48B-33B7-4F60-92F8-0A25EE43D7B7}"/>
    <cellStyle name="20% - Accent5 3 3 7" xfId="18149" xr:uid="{00000000-0005-0000-0000-0000871F0000}"/>
    <cellStyle name="20% - Accent5 3 3 7 2" xfId="41981" xr:uid="{F19E6BCA-3438-4E72-8C20-A89D81F7FA71}"/>
    <cellStyle name="20% - Accent5 3 3 8" xfId="26101" xr:uid="{226FD49C-0506-452F-80E8-553C5C1F21D4}"/>
    <cellStyle name="20% - Accent5 3 3_Exh G" xfId="2489" xr:uid="{00000000-0005-0000-0000-0000881F0000}"/>
    <cellStyle name="20% - Accent5 3 4" xfId="910" xr:uid="{00000000-0005-0000-0000-0000891F0000}"/>
    <cellStyle name="20% - Accent5 3 4 2" xfId="1834" xr:uid="{00000000-0005-0000-0000-00008A1F0000}"/>
    <cellStyle name="20% - Accent5 3 4 2 2" xfId="5351" xr:uid="{00000000-0005-0000-0000-00008B1F0000}"/>
    <cellStyle name="20% - Accent5 3 4 2 2 2" xfId="8942" xr:uid="{00000000-0005-0000-0000-00008C1F0000}"/>
    <cellStyle name="20% - Accent5 3 4 2 2 2 2" xfId="16912" xr:uid="{00000000-0005-0000-0000-00008D1F0000}"/>
    <cellStyle name="20% - Accent5 3 4 2 2 2 2 2" xfId="40754" xr:uid="{C9AF3B58-46D4-49D9-B9A6-01504F2BA27E}"/>
    <cellStyle name="20% - Accent5 3 4 2 2 2 3" xfId="24858" xr:uid="{00000000-0005-0000-0000-00008E1F0000}"/>
    <cellStyle name="20% - Accent5 3 4 2 2 2 3 2" xfId="48690" xr:uid="{23651A99-48B7-49A1-AE58-DA5263439C6F}"/>
    <cellStyle name="20% - Accent5 3 4 2 2 2 4" xfId="32813" xr:uid="{B40E0723-E7E2-43F8-9C71-17909D368690}"/>
    <cellStyle name="20% - Accent5 3 4 2 2 3" xfId="13374" xr:uid="{00000000-0005-0000-0000-00008F1F0000}"/>
    <cellStyle name="20% - Accent5 3 4 2 2 3 2" xfId="37223" xr:uid="{B40DB2C3-04D1-4B0D-81CF-D33E3280C9A1}"/>
    <cellStyle name="20% - Accent5 3 4 2 2 4" xfId="21329" xr:uid="{00000000-0005-0000-0000-0000901F0000}"/>
    <cellStyle name="20% - Accent5 3 4 2 2 4 2" xfId="45161" xr:uid="{E0A2DE39-8DC8-4753-B432-4C637F29522D}"/>
    <cellStyle name="20% - Accent5 3 4 2 2 5" xfId="29282" xr:uid="{D7E1095E-3B4D-47EB-B804-EAB4B3AEA2D1}"/>
    <cellStyle name="20% - Accent5 3 4 2 3" xfId="7183" xr:uid="{00000000-0005-0000-0000-0000911F0000}"/>
    <cellStyle name="20% - Accent5 3 4 2 3 2" xfId="15154" xr:uid="{00000000-0005-0000-0000-0000921F0000}"/>
    <cellStyle name="20% - Accent5 3 4 2 3 2 2" xfId="38996" xr:uid="{929EC2D6-F850-4985-BEA4-DD53D65CCEFD}"/>
    <cellStyle name="20% - Accent5 3 4 2 3 3" xfId="23101" xr:uid="{00000000-0005-0000-0000-0000931F0000}"/>
    <cellStyle name="20% - Accent5 3 4 2 3 3 2" xfId="46933" xr:uid="{DE3F5D55-E103-4455-9C45-1833C4BBA10B}"/>
    <cellStyle name="20% - Accent5 3 4 2 3 4" xfId="31055" xr:uid="{F87236CA-DCB9-4F90-B422-627FAC41BE3A}"/>
    <cellStyle name="20% - Accent5 3 4 2 4" xfId="11618" xr:uid="{00000000-0005-0000-0000-0000941F0000}"/>
    <cellStyle name="20% - Accent5 3 4 2 4 2" xfId="35467" xr:uid="{FAD7EEB5-851E-4ADC-8939-719157CBB126}"/>
    <cellStyle name="20% - Accent5 3 4 2 5" xfId="19573" xr:uid="{00000000-0005-0000-0000-0000951F0000}"/>
    <cellStyle name="20% - Accent5 3 4 2 5 2" xfId="43405" xr:uid="{4F756F03-7D4B-4BF1-B850-C760E89BAD35}"/>
    <cellStyle name="20% - Accent5 3 4 2 6" xfId="27525" xr:uid="{DB0E164B-6281-4BFD-8972-68827EEB6534}"/>
    <cellStyle name="20% - Accent5 3 4 2_Exh G" xfId="2492" xr:uid="{00000000-0005-0000-0000-0000961F0000}"/>
    <cellStyle name="20% - Accent5 3 4 3" xfId="4472" xr:uid="{00000000-0005-0000-0000-0000971F0000}"/>
    <cellStyle name="20% - Accent5 3 4 3 2" xfId="8064" xr:uid="{00000000-0005-0000-0000-0000981F0000}"/>
    <cellStyle name="20% - Accent5 3 4 3 2 2" xfId="16034" xr:uid="{00000000-0005-0000-0000-0000991F0000}"/>
    <cellStyle name="20% - Accent5 3 4 3 2 2 2" xfId="39876" xr:uid="{AF5570E4-853F-48EF-B91B-3A1A5B1C85F0}"/>
    <cellStyle name="20% - Accent5 3 4 3 2 3" xfId="23980" xr:uid="{00000000-0005-0000-0000-00009A1F0000}"/>
    <cellStyle name="20% - Accent5 3 4 3 2 3 2" xfId="47812" xr:uid="{1BBFD631-FF6D-4C7A-B11C-DC0978A031EC}"/>
    <cellStyle name="20% - Accent5 3 4 3 2 4" xfId="31935" xr:uid="{F02D3A70-A49A-4CF9-B864-EF69FE34D2DA}"/>
    <cellStyle name="20% - Accent5 3 4 3 3" xfId="12496" xr:uid="{00000000-0005-0000-0000-00009B1F0000}"/>
    <cellStyle name="20% - Accent5 3 4 3 3 2" xfId="36345" xr:uid="{346E1B12-33E3-417B-961D-B7F8E679D6B5}"/>
    <cellStyle name="20% - Accent5 3 4 3 4" xfId="20451" xr:uid="{00000000-0005-0000-0000-00009C1F0000}"/>
    <cellStyle name="20% - Accent5 3 4 3 4 2" xfId="44283" xr:uid="{85B46E29-A76A-4E6B-A296-9E781D932A9E}"/>
    <cellStyle name="20% - Accent5 3 4 3 5" xfId="28404" xr:uid="{B9389831-A0FD-4B5F-9BEE-07BC425E45A0}"/>
    <cellStyle name="20% - Accent5 3 4 4" xfId="6302" xr:uid="{00000000-0005-0000-0000-00009D1F0000}"/>
    <cellStyle name="20% - Accent5 3 4 4 2" xfId="14276" xr:uid="{00000000-0005-0000-0000-00009E1F0000}"/>
    <cellStyle name="20% - Accent5 3 4 4 2 2" xfId="38118" xr:uid="{7D336748-26A4-49FE-80C6-96B377B706B1}"/>
    <cellStyle name="20% - Accent5 3 4 4 3" xfId="22223" xr:uid="{00000000-0005-0000-0000-00009F1F0000}"/>
    <cellStyle name="20% - Accent5 3 4 4 3 2" xfId="46055" xr:uid="{215D26F2-E4B3-4CB1-A176-F1810B88D194}"/>
    <cellStyle name="20% - Accent5 3 4 4 4" xfId="30177" xr:uid="{32DFF9F9-D9DA-42BE-B8EC-0F4F7331BF35}"/>
    <cellStyle name="20% - Accent5 3 4 5" xfId="9844" xr:uid="{00000000-0005-0000-0000-0000A01F0000}"/>
    <cellStyle name="20% - Accent5 3 4 5 2" xfId="17802" xr:uid="{00000000-0005-0000-0000-0000A11F0000}"/>
    <cellStyle name="20% - Accent5 3 4 5 2 2" xfId="41642" xr:uid="{600AAA3F-DB4E-466D-A316-6A20E775AB5A}"/>
    <cellStyle name="20% - Accent5 3 4 5 3" xfId="25746" xr:uid="{00000000-0005-0000-0000-0000A21F0000}"/>
    <cellStyle name="20% - Accent5 3 4 5 3 2" xfId="49578" xr:uid="{3E90A0CC-9507-49CA-83F7-74D53A6B794F}"/>
    <cellStyle name="20% - Accent5 3 4 5 4" xfId="33701" xr:uid="{0DA6D1AA-00DC-4A4A-8902-F3F4D7A64DCC}"/>
    <cellStyle name="20% - Accent5 3 4 6" xfId="10740" xr:uid="{00000000-0005-0000-0000-0000A31F0000}"/>
    <cellStyle name="20% - Accent5 3 4 6 2" xfId="34589" xr:uid="{076C8595-793A-431D-815A-7B3E1D21C25F}"/>
    <cellStyle name="20% - Accent5 3 4 7" xfId="18695" xr:uid="{00000000-0005-0000-0000-0000A41F0000}"/>
    <cellStyle name="20% - Accent5 3 4 7 2" xfId="42527" xr:uid="{21F79489-14AD-45D2-867C-21100F7611B7}"/>
    <cellStyle name="20% - Accent5 3 4 8" xfId="26647" xr:uid="{9E55D9A2-32FF-471E-8239-3C2B07A70C34}"/>
    <cellStyle name="20% - Accent5 3 4_Exh G" xfId="2491" xr:uid="{00000000-0005-0000-0000-0000A51F0000}"/>
    <cellStyle name="20% - Accent5 3 5" xfId="1275" xr:uid="{00000000-0005-0000-0000-0000A61F0000}"/>
    <cellStyle name="20% - Accent5 3 5 2" xfId="4802" xr:uid="{00000000-0005-0000-0000-0000A71F0000}"/>
    <cellStyle name="20% - Accent5 3 5 2 2" xfId="8393" xr:uid="{00000000-0005-0000-0000-0000A81F0000}"/>
    <cellStyle name="20% - Accent5 3 5 2 2 2" xfId="16363" xr:uid="{00000000-0005-0000-0000-0000A91F0000}"/>
    <cellStyle name="20% - Accent5 3 5 2 2 2 2" xfId="40205" xr:uid="{B3B1FD42-C079-4CF5-AF00-74E1FA68D916}"/>
    <cellStyle name="20% - Accent5 3 5 2 2 3" xfId="24309" xr:uid="{00000000-0005-0000-0000-0000AA1F0000}"/>
    <cellStyle name="20% - Accent5 3 5 2 2 3 2" xfId="48141" xr:uid="{140C1B59-C561-4D3E-95CE-8CBDBC42E7C4}"/>
    <cellStyle name="20% - Accent5 3 5 2 2 4" xfId="32264" xr:uid="{214ED543-F152-4827-9965-9054DB583E33}"/>
    <cellStyle name="20% - Accent5 3 5 2 3" xfId="12825" xr:uid="{00000000-0005-0000-0000-0000AB1F0000}"/>
    <cellStyle name="20% - Accent5 3 5 2 3 2" xfId="36674" xr:uid="{4B8CA411-D207-4F46-B76F-A9BEF2D178C5}"/>
    <cellStyle name="20% - Accent5 3 5 2 4" xfId="20780" xr:uid="{00000000-0005-0000-0000-0000AC1F0000}"/>
    <cellStyle name="20% - Accent5 3 5 2 4 2" xfId="44612" xr:uid="{7D76F872-EAE8-4EB9-9552-599A1C13B830}"/>
    <cellStyle name="20% - Accent5 3 5 2 5" xfId="28733" xr:uid="{C1E9126F-E054-4FAB-BF7F-906DEA02C449}"/>
    <cellStyle name="20% - Accent5 3 5 3" xfId="6634" xr:uid="{00000000-0005-0000-0000-0000AD1F0000}"/>
    <cellStyle name="20% - Accent5 3 5 3 2" xfId="14605" xr:uid="{00000000-0005-0000-0000-0000AE1F0000}"/>
    <cellStyle name="20% - Accent5 3 5 3 2 2" xfId="38447" xr:uid="{7EA3DF3B-AA2F-435A-9890-C961037732D3}"/>
    <cellStyle name="20% - Accent5 3 5 3 3" xfId="22552" xr:uid="{00000000-0005-0000-0000-0000AF1F0000}"/>
    <cellStyle name="20% - Accent5 3 5 3 3 2" xfId="46384" xr:uid="{12734964-821D-4F99-850D-185CC6C1FCBC}"/>
    <cellStyle name="20% - Accent5 3 5 3 4" xfId="30506" xr:uid="{B6D5F5E6-4E19-4EF5-ACAD-1F227E565A2E}"/>
    <cellStyle name="20% - Accent5 3 5 4" xfId="11069" xr:uid="{00000000-0005-0000-0000-0000B01F0000}"/>
    <cellStyle name="20% - Accent5 3 5 4 2" xfId="34918" xr:uid="{DD3A1CA5-A476-462D-B860-07DE11ABDC9E}"/>
    <cellStyle name="20% - Accent5 3 5 5" xfId="19024" xr:uid="{00000000-0005-0000-0000-0000B11F0000}"/>
    <cellStyle name="20% - Accent5 3 5 5 2" xfId="42856" xr:uid="{F6C2D0F6-E623-49EA-973B-0DF15280CB54}"/>
    <cellStyle name="20% - Accent5 3 5 6" xfId="26976" xr:uid="{416FA9D5-C115-4575-B24D-43FA14BEB285}"/>
    <cellStyle name="20% - Accent5 3 5_Exh G" xfId="2493" xr:uid="{00000000-0005-0000-0000-0000B21F0000}"/>
    <cellStyle name="20% - Accent5 3 6" xfId="3923" xr:uid="{00000000-0005-0000-0000-0000B31F0000}"/>
    <cellStyle name="20% - Accent5 3 6 2" xfId="7515" xr:uid="{00000000-0005-0000-0000-0000B41F0000}"/>
    <cellStyle name="20% - Accent5 3 6 2 2" xfId="15485" xr:uid="{00000000-0005-0000-0000-0000B51F0000}"/>
    <cellStyle name="20% - Accent5 3 6 2 2 2" xfId="39327" xr:uid="{2AC13832-F0B1-478D-974D-796A346D51C7}"/>
    <cellStyle name="20% - Accent5 3 6 2 3" xfId="23431" xr:uid="{00000000-0005-0000-0000-0000B61F0000}"/>
    <cellStyle name="20% - Accent5 3 6 2 3 2" xfId="47263" xr:uid="{9AD9F0DF-42E8-4336-A6C5-2D2AC71EF82B}"/>
    <cellStyle name="20% - Accent5 3 6 2 4" xfId="31386" xr:uid="{F17838F2-4CB2-4098-A2C0-A9B74C6F9C12}"/>
    <cellStyle name="20% - Accent5 3 6 3" xfId="11947" xr:uid="{00000000-0005-0000-0000-0000B71F0000}"/>
    <cellStyle name="20% - Accent5 3 6 3 2" xfId="35796" xr:uid="{848889B0-F5B3-41FB-9FB8-DADB635C6B7E}"/>
    <cellStyle name="20% - Accent5 3 6 4" xfId="19902" xr:uid="{00000000-0005-0000-0000-0000B81F0000}"/>
    <cellStyle name="20% - Accent5 3 6 4 2" xfId="43734" xr:uid="{5D691C83-4863-4764-9A79-111B429EC2B4}"/>
    <cellStyle name="20% - Accent5 3 6 5" xfId="27855" xr:uid="{0ACDC08E-2A0E-4BE0-9221-41B7EAD00545}"/>
    <cellStyle name="20% - Accent5 3 7" xfId="5743" xr:uid="{00000000-0005-0000-0000-0000B91F0000}"/>
    <cellStyle name="20% - Accent5 3 7 2" xfId="13726" xr:uid="{00000000-0005-0000-0000-0000BA1F0000}"/>
    <cellStyle name="20% - Accent5 3 7 2 2" xfId="37569" xr:uid="{754E7ABF-BBBE-4163-AD2B-43985D668AE3}"/>
    <cellStyle name="20% - Accent5 3 7 3" xfId="21674" xr:uid="{00000000-0005-0000-0000-0000BB1F0000}"/>
    <cellStyle name="20% - Accent5 3 7 3 2" xfId="45506" xr:uid="{32F2A4A6-A473-48D9-B3B8-A48A47983F52}"/>
    <cellStyle name="20% - Accent5 3 7 4" xfId="29628" xr:uid="{E324CF62-BBBE-489A-AED0-A1482BAFC978}"/>
    <cellStyle name="20% - Accent5 3 8" xfId="9295" xr:uid="{00000000-0005-0000-0000-0000BC1F0000}"/>
    <cellStyle name="20% - Accent5 3 8 2" xfId="17253" xr:uid="{00000000-0005-0000-0000-0000BD1F0000}"/>
    <cellStyle name="20% - Accent5 3 8 2 2" xfId="41093" xr:uid="{37E7583D-8F72-49BF-8A25-42493EAB3928}"/>
    <cellStyle name="20% - Accent5 3 8 3" xfId="25197" xr:uid="{00000000-0005-0000-0000-0000BE1F0000}"/>
    <cellStyle name="20% - Accent5 3 8 3 2" xfId="49029" xr:uid="{5ACBB648-2901-4333-B7E3-2A3824871B73}"/>
    <cellStyle name="20% - Accent5 3 8 4" xfId="33152" xr:uid="{F7F2A141-8227-4532-8FAE-CDB5B148F959}"/>
    <cellStyle name="20% - Accent5 3 9" xfId="10191" xr:uid="{00000000-0005-0000-0000-0000BF1F0000}"/>
    <cellStyle name="20% - Accent5 3 9 2" xfId="34040" xr:uid="{8EEE242C-9AC4-4068-88E7-174CAC889C9E}"/>
    <cellStyle name="20% - Accent5 3_Exh G" xfId="2482" xr:uid="{00000000-0005-0000-0000-0000C01F0000}"/>
    <cellStyle name="20% - Accent5 4" xfId="253" xr:uid="{00000000-0005-0000-0000-0000C11F0000}"/>
    <cellStyle name="20% - Accent5 4 10" xfId="18150" xr:uid="{00000000-0005-0000-0000-0000C21F0000}"/>
    <cellStyle name="20% - Accent5 4 10 2" xfId="41982" xr:uid="{5CAB093D-F5AC-4338-84D8-FBD7B352ED06}"/>
    <cellStyle name="20% - Accent5 4 11" xfId="26102" xr:uid="{7FE13B60-CF95-4A62-8ED0-2D84B2497EFA}"/>
    <cellStyle name="20% - Accent5 4 2" xfId="254" xr:uid="{00000000-0005-0000-0000-0000C31F0000}"/>
    <cellStyle name="20% - Accent5 4 2 10" xfId="26103" xr:uid="{298011B7-A9EA-4B0B-88B5-4957F6D6B75D}"/>
    <cellStyle name="20% - Accent5 4 2 2" xfId="255" xr:uid="{00000000-0005-0000-0000-0000C41F0000}"/>
    <cellStyle name="20% - Accent5 4 2 2 2" xfId="1281" xr:uid="{00000000-0005-0000-0000-0000C51F0000}"/>
    <cellStyle name="20% - Accent5 4 2 2 2 2" xfId="4808" xr:uid="{00000000-0005-0000-0000-0000C61F0000}"/>
    <cellStyle name="20% - Accent5 4 2 2 2 2 2" xfId="8399" xr:uid="{00000000-0005-0000-0000-0000C71F0000}"/>
    <cellStyle name="20% - Accent5 4 2 2 2 2 2 2" xfId="16369" xr:uid="{00000000-0005-0000-0000-0000C81F0000}"/>
    <cellStyle name="20% - Accent5 4 2 2 2 2 2 2 2" xfId="40211" xr:uid="{0F20549F-3BBC-4986-855F-B8D790A36F2E}"/>
    <cellStyle name="20% - Accent5 4 2 2 2 2 2 3" xfId="24315" xr:uid="{00000000-0005-0000-0000-0000C91F0000}"/>
    <cellStyle name="20% - Accent5 4 2 2 2 2 2 3 2" xfId="48147" xr:uid="{FC63BE34-45BB-4D44-A752-78F6391462AD}"/>
    <cellStyle name="20% - Accent5 4 2 2 2 2 2 4" xfId="32270" xr:uid="{AA5A2D8F-E452-4CA6-AAB4-51C577F4929C}"/>
    <cellStyle name="20% - Accent5 4 2 2 2 2 3" xfId="12831" xr:uid="{00000000-0005-0000-0000-0000CA1F0000}"/>
    <cellStyle name="20% - Accent5 4 2 2 2 2 3 2" xfId="36680" xr:uid="{2563BFE6-EB2B-4A87-9679-AE7F328C015E}"/>
    <cellStyle name="20% - Accent5 4 2 2 2 2 4" xfId="20786" xr:uid="{00000000-0005-0000-0000-0000CB1F0000}"/>
    <cellStyle name="20% - Accent5 4 2 2 2 2 4 2" xfId="44618" xr:uid="{754BDB7A-6DF0-4F62-B4D3-CA093F5221FF}"/>
    <cellStyle name="20% - Accent5 4 2 2 2 2 5" xfId="28739" xr:uid="{1D28A4D0-F5BA-4F7B-A774-042C09FD1BB1}"/>
    <cellStyle name="20% - Accent5 4 2 2 2 3" xfId="6640" xr:uid="{00000000-0005-0000-0000-0000CC1F0000}"/>
    <cellStyle name="20% - Accent5 4 2 2 2 3 2" xfId="14611" xr:uid="{00000000-0005-0000-0000-0000CD1F0000}"/>
    <cellStyle name="20% - Accent5 4 2 2 2 3 2 2" xfId="38453" xr:uid="{7DDEF07F-D351-4267-863D-AC418700E55F}"/>
    <cellStyle name="20% - Accent5 4 2 2 2 3 3" xfId="22558" xr:uid="{00000000-0005-0000-0000-0000CE1F0000}"/>
    <cellStyle name="20% - Accent5 4 2 2 2 3 3 2" xfId="46390" xr:uid="{E26C4EEC-CDAC-46B6-9828-8072B0F38B69}"/>
    <cellStyle name="20% - Accent5 4 2 2 2 3 4" xfId="30512" xr:uid="{9D7F3B99-C984-4BFE-B970-A850B246C700}"/>
    <cellStyle name="20% - Accent5 4 2 2 2 4" xfId="11075" xr:uid="{00000000-0005-0000-0000-0000CF1F0000}"/>
    <cellStyle name="20% - Accent5 4 2 2 2 4 2" xfId="34924" xr:uid="{339417B0-044E-4187-899E-DA701CC8427B}"/>
    <cellStyle name="20% - Accent5 4 2 2 2 5" xfId="19030" xr:uid="{00000000-0005-0000-0000-0000D01F0000}"/>
    <cellStyle name="20% - Accent5 4 2 2 2 5 2" xfId="42862" xr:uid="{39967844-B5BE-4EDD-B50F-2A642A477484}"/>
    <cellStyle name="20% - Accent5 4 2 2 2 6" xfId="26982" xr:uid="{EF6E8CD6-C3EB-430B-A64B-28EE59F546FE}"/>
    <cellStyle name="20% - Accent5 4 2 2 2_Exh G" xfId="2497" xr:uid="{00000000-0005-0000-0000-0000D11F0000}"/>
    <cellStyle name="20% - Accent5 4 2 2 3" xfId="3929" xr:uid="{00000000-0005-0000-0000-0000D21F0000}"/>
    <cellStyle name="20% - Accent5 4 2 2 3 2" xfId="7521" xr:uid="{00000000-0005-0000-0000-0000D31F0000}"/>
    <cellStyle name="20% - Accent5 4 2 2 3 2 2" xfId="15491" xr:uid="{00000000-0005-0000-0000-0000D41F0000}"/>
    <cellStyle name="20% - Accent5 4 2 2 3 2 2 2" xfId="39333" xr:uid="{9EC18E63-64D3-4590-8B42-75F6BBC61811}"/>
    <cellStyle name="20% - Accent5 4 2 2 3 2 3" xfId="23437" xr:uid="{00000000-0005-0000-0000-0000D51F0000}"/>
    <cellStyle name="20% - Accent5 4 2 2 3 2 3 2" xfId="47269" xr:uid="{284BF122-45BF-4684-827A-AA154FEFB4C9}"/>
    <cellStyle name="20% - Accent5 4 2 2 3 2 4" xfId="31392" xr:uid="{D78B28D8-3D16-4415-AA84-C535909A8469}"/>
    <cellStyle name="20% - Accent5 4 2 2 3 3" xfId="11953" xr:uid="{00000000-0005-0000-0000-0000D61F0000}"/>
    <cellStyle name="20% - Accent5 4 2 2 3 3 2" xfId="35802" xr:uid="{F1EF4C97-9180-48CD-B988-1E669D0D6A7E}"/>
    <cellStyle name="20% - Accent5 4 2 2 3 4" xfId="19908" xr:uid="{00000000-0005-0000-0000-0000D71F0000}"/>
    <cellStyle name="20% - Accent5 4 2 2 3 4 2" xfId="43740" xr:uid="{6FA8C3EF-659D-4B4B-AD2D-1DF09DC92D3F}"/>
    <cellStyle name="20% - Accent5 4 2 2 3 5" xfId="27861" xr:uid="{4F094628-748D-4276-85E2-32F6CAD32462}"/>
    <cellStyle name="20% - Accent5 4 2 2 4" xfId="5749" xr:uid="{00000000-0005-0000-0000-0000D81F0000}"/>
    <cellStyle name="20% - Accent5 4 2 2 4 2" xfId="13732" xr:uid="{00000000-0005-0000-0000-0000D91F0000}"/>
    <cellStyle name="20% - Accent5 4 2 2 4 2 2" xfId="37575" xr:uid="{BC366603-BE27-405C-9B9E-6610FD60BAF9}"/>
    <cellStyle name="20% - Accent5 4 2 2 4 3" xfId="21680" xr:uid="{00000000-0005-0000-0000-0000DA1F0000}"/>
    <cellStyle name="20% - Accent5 4 2 2 4 3 2" xfId="45512" xr:uid="{66A8C5F1-A2D0-49B4-A5BE-38C850C7E6F4}"/>
    <cellStyle name="20% - Accent5 4 2 2 4 4" xfId="29634" xr:uid="{54AD9266-938B-49E8-8E3F-4B4573B5B0C1}"/>
    <cellStyle name="20% - Accent5 4 2 2 5" xfId="9301" xr:uid="{00000000-0005-0000-0000-0000DB1F0000}"/>
    <cellStyle name="20% - Accent5 4 2 2 5 2" xfId="17259" xr:uid="{00000000-0005-0000-0000-0000DC1F0000}"/>
    <cellStyle name="20% - Accent5 4 2 2 5 2 2" xfId="41099" xr:uid="{5A141B45-19B1-4CF7-A224-0D548B1DB9FB}"/>
    <cellStyle name="20% - Accent5 4 2 2 5 3" xfId="25203" xr:uid="{00000000-0005-0000-0000-0000DD1F0000}"/>
    <cellStyle name="20% - Accent5 4 2 2 5 3 2" xfId="49035" xr:uid="{CB5C3B7D-F97B-48BD-87E1-F527EBAE701F}"/>
    <cellStyle name="20% - Accent5 4 2 2 5 4" xfId="33158" xr:uid="{C1CC0414-8798-4CDB-AD2C-EBBF9EB45C0B}"/>
    <cellStyle name="20% - Accent5 4 2 2 6" xfId="10197" xr:uid="{00000000-0005-0000-0000-0000DE1F0000}"/>
    <cellStyle name="20% - Accent5 4 2 2 6 2" xfId="34046" xr:uid="{AFAE1F7E-DE92-4BAB-9B23-0FE730B67FFB}"/>
    <cellStyle name="20% - Accent5 4 2 2 7" xfId="18152" xr:uid="{00000000-0005-0000-0000-0000DF1F0000}"/>
    <cellStyle name="20% - Accent5 4 2 2 7 2" xfId="41984" xr:uid="{6D5B30F2-3CA5-4837-A2F4-8534649395A8}"/>
    <cellStyle name="20% - Accent5 4 2 2 8" xfId="26104" xr:uid="{885A7404-1111-4B12-AD44-AEB9602E8A4B}"/>
    <cellStyle name="20% - Accent5 4 2 2_Exh G" xfId="2496" xr:uid="{00000000-0005-0000-0000-0000E01F0000}"/>
    <cellStyle name="20% - Accent5 4 2 3" xfId="913" xr:uid="{00000000-0005-0000-0000-0000E11F0000}"/>
    <cellStyle name="20% - Accent5 4 2 3 2" xfId="1837" xr:uid="{00000000-0005-0000-0000-0000E21F0000}"/>
    <cellStyle name="20% - Accent5 4 2 3 2 2" xfId="5354" xr:uid="{00000000-0005-0000-0000-0000E31F0000}"/>
    <cellStyle name="20% - Accent5 4 2 3 2 2 2" xfId="8945" xr:uid="{00000000-0005-0000-0000-0000E41F0000}"/>
    <cellStyle name="20% - Accent5 4 2 3 2 2 2 2" xfId="16915" xr:uid="{00000000-0005-0000-0000-0000E51F0000}"/>
    <cellStyle name="20% - Accent5 4 2 3 2 2 2 2 2" xfId="40757" xr:uid="{473E64CE-C4AD-4680-AF64-A0253AC72A5E}"/>
    <cellStyle name="20% - Accent5 4 2 3 2 2 2 3" xfId="24861" xr:uid="{00000000-0005-0000-0000-0000E61F0000}"/>
    <cellStyle name="20% - Accent5 4 2 3 2 2 2 3 2" xfId="48693" xr:uid="{10C2C475-5D3A-4608-B2EC-ED72965BE2F5}"/>
    <cellStyle name="20% - Accent5 4 2 3 2 2 2 4" xfId="32816" xr:uid="{634BA2EE-4BE3-4259-9305-C2768E16A7C4}"/>
    <cellStyle name="20% - Accent5 4 2 3 2 2 3" xfId="13377" xr:uid="{00000000-0005-0000-0000-0000E71F0000}"/>
    <cellStyle name="20% - Accent5 4 2 3 2 2 3 2" xfId="37226" xr:uid="{7DF73472-4BF9-441E-B126-79EB9A0B54FB}"/>
    <cellStyle name="20% - Accent5 4 2 3 2 2 4" xfId="21332" xr:uid="{00000000-0005-0000-0000-0000E81F0000}"/>
    <cellStyle name="20% - Accent5 4 2 3 2 2 4 2" xfId="45164" xr:uid="{2EDD5879-E501-4507-B2BF-F0A622AC822D}"/>
    <cellStyle name="20% - Accent5 4 2 3 2 2 5" xfId="29285" xr:uid="{ED4D02E1-9154-4F48-BC77-747957B79A43}"/>
    <cellStyle name="20% - Accent5 4 2 3 2 3" xfId="7186" xr:uid="{00000000-0005-0000-0000-0000E91F0000}"/>
    <cellStyle name="20% - Accent5 4 2 3 2 3 2" xfId="15157" xr:uid="{00000000-0005-0000-0000-0000EA1F0000}"/>
    <cellStyle name="20% - Accent5 4 2 3 2 3 2 2" xfId="38999" xr:uid="{CA060927-BA8F-4EA4-850F-F00094444B23}"/>
    <cellStyle name="20% - Accent5 4 2 3 2 3 3" xfId="23104" xr:uid="{00000000-0005-0000-0000-0000EB1F0000}"/>
    <cellStyle name="20% - Accent5 4 2 3 2 3 3 2" xfId="46936" xr:uid="{D6496D08-F8E9-472F-9F7F-22A880B82FE3}"/>
    <cellStyle name="20% - Accent5 4 2 3 2 3 4" xfId="31058" xr:uid="{08914420-ECEA-4596-AD8D-065655A09F6B}"/>
    <cellStyle name="20% - Accent5 4 2 3 2 4" xfId="11621" xr:uid="{00000000-0005-0000-0000-0000EC1F0000}"/>
    <cellStyle name="20% - Accent5 4 2 3 2 4 2" xfId="35470" xr:uid="{2C0F6C66-FAD0-458E-BA0C-CA07BB36430A}"/>
    <cellStyle name="20% - Accent5 4 2 3 2 5" xfId="19576" xr:uid="{00000000-0005-0000-0000-0000ED1F0000}"/>
    <cellStyle name="20% - Accent5 4 2 3 2 5 2" xfId="43408" xr:uid="{7658E809-2742-4D3B-A041-2A278BCB1F58}"/>
    <cellStyle name="20% - Accent5 4 2 3 2 6" xfId="27528" xr:uid="{BDCFE229-EA65-4F4A-885F-EA90831CD811}"/>
    <cellStyle name="20% - Accent5 4 2 3 2_Exh G" xfId="2499" xr:uid="{00000000-0005-0000-0000-0000EE1F0000}"/>
    <cellStyle name="20% - Accent5 4 2 3 3" xfId="4475" xr:uid="{00000000-0005-0000-0000-0000EF1F0000}"/>
    <cellStyle name="20% - Accent5 4 2 3 3 2" xfId="8067" xr:uid="{00000000-0005-0000-0000-0000F01F0000}"/>
    <cellStyle name="20% - Accent5 4 2 3 3 2 2" xfId="16037" xr:uid="{00000000-0005-0000-0000-0000F11F0000}"/>
    <cellStyle name="20% - Accent5 4 2 3 3 2 2 2" xfId="39879" xr:uid="{4EE3A1DA-7789-4516-BEFF-9CDEAA5921E9}"/>
    <cellStyle name="20% - Accent5 4 2 3 3 2 3" xfId="23983" xr:uid="{00000000-0005-0000-0000-0000F21F0000}"/>
    <cellStyle name="20% - Accent5 4 2 3 3 2 3 2" xfId="47815" xr:uid="{87B9D81D-C611-411F-8F2A-3670D977161C}"/>
    <cellStyle name="20% - Accent5 4 2 3 3 2 4" xfId="31938" xr:uid="{C7ED851C-32A6-4FE1-BDC9-B2AF992A6251}"/>
    <cellStyle name="20% - Accent5 4 2 3 3 3" xfId="12499" xr:uid="{00000000-0005-0000-0000-0000F31F0000}"/>
    <cellStyle name="20% - Accent5 4 2 3 3 3 2" xfId="36348" xr:uid="{4B130D05-AD97-4A43-9B0F-411E525F483D}"/>
    <cellStyle name="20% - Accent5 4 2 3 3 4" xfId="20454" xr:uid="{00000000-0005-0000-0000-0000F41F0000}"/>
    <cellStyle name="20% - Accent5 4 2 3 3 4 2" xfId="44286" xr:uid="{3F1C5E35-E3C5-414D-BEA6-70A87DEEAB4C}"/>
    <cellStyle name="20% - Accent5 4 2 3 3 5" xfId="28407" xr:uid="{3C58B741-1DBA-4B05-957C-C6370AE719ED}"/>
    <cellStyle name="20% - Accent5 4 2 3 4" xfId="6305" xr:uid="{00000000-0005-0000-0000-0000F51F0000}"/>
    <cellStyle name="20% - Accent5 4 2 3 4 2" xfId="14279" xr:uid="{00000000-0005-0000-0000-0000F61F0000}"/>
    <cellStyle name="20% - Accent5 4 2 3 4 2 2" xfId="38121" xr:uid="{930656EE-277D-498C-A6FD-E34C26A675D8}"/>
    <cellStyle name="20% - Accent5 4 2 3 4 3" xfId="22226" xr:uid="{00000000-0005-0000-0000-0000F71F0000}"/>
    <cellStyle name="20% - Accent5 4 2 3 4 3 2" xfId="46058" xr:uid="{BF7B007C-C1DA-4DA0-AC34-9F10B4CBF324}"/>
    <cellStyle name="20% - Accent5 4 2 3 4 4" xfId="30180" xr:uid="{ED0E41ED-EC4B-4E1D-A194-89ABB61CCF71}"/>
    <cellStyle name="20% - Accent5 4 2 3 5" xfId="9847" xr:uid="{00000000-0005-0000-0000-0000F81F0000}"/>
    <cellStyle name="20% - Accent5 4 2 3 5 2" xfId="17805" xr:uid="{00000000-0005-0000-0000-0000F91F0000}"/>
    <cellStyle name="20% - Accent5 4 2 3 5 2 2" xfId="41645" xr:uid="{62A4CDF4-1C0E-4ABB-8047-825D4584CF95}"/>
    <cellStyle name="20% - Accent5 4 2 3 5 3" xfId="25749" xr:uid="{00000000-0005-0000-0000-0000FA1F0000}"/>
    <cellStyle name="20% - Accent5 4 2 3 5 3 2" xfId="49581" xr:uid="{123D9C89-E715-4188-ABF4-C65086BF0DB0}"/>
    <cellStyle name="20% - Accent5 4 2 3 5 4" xfId="33704" xr:uid="{BF7E0AF6-DEE5-4B71-8B9D-59940FD3B2A8}"/>
    <cellStyle name="20% - Accent5 4 2 3 6" xfId="10743" xr:uid="{00000000-0005-0000-0000-0000FB1F0000}"/>
    <cellStyle name="20% - Accent5 4 2 3 6 2" xfId="34592" xr:uid="{888813B9-C4A2-489D-96B4-2A25B690A483}"/>
    <cellStyle name="20% - Accent5 4 2 3 7" xfId="18698" xr:uid="{00000000-0005-0000-0000-0000FC1F0000}"/>
    <cellStyle name="20% - Accent5 4 2 3 7 2" xfId="42530" xr:uid="{A3EAA467-EBA2-4732-871B-CC7C24AE0AB8}"/>
    <cellStyle name="20% - Accent5 4 2 3 8" xfId="26650" xr:uid="{DB406A03-FED9-4D9A-B200-C7B796D5784D}"/>
    <cellStyle name="20% - Accent5 4 2 3_Exh G" xfId="2498" xr:uid="{00000000-0005-0000-0000-0000FD1F0000}"/>
    <cellStyle name="20% - Accent5 4 2 4" xfId="1280" xr:uid="{00000000-0005-0000-0000-0000FE1F0000}"/>
    <cellStyle name="20% - Accent5 4 2 4 2" xfId="4807" xr:uid="{00000000-0005-0000-0000-0000FF1F0000}"/>
    <cellStyle name="20% - Accent5 4 2 4 2 2" xfId="8398" xr:uid="{00000000-0005-0000-0000-000000200000}"/>
    <cellStyle name="20% - Accent5 4 2 4 2 2 2" xfId="16368" xr:uid="{00000000-0005-0000-0000-000001200000}"/>
    <cellStyle name="20% - Accent5 4 2 4 2 2 2 2" xfId="40210" xr:uid="{7FCA29BB-8869-40A9-B06F-CB04D4354723}"/>
    <cellStyle name="20% - Accent5 4 2 4 2 2 3" xfId="24314" xr:uid="{00000000-0005-0000-0000-000002200000}"/>
    <cellStyle name="20% - Accent5 4 2 4 2 2 3 2" xfId="48146" xr:uid="{66E2448C-9C13-4B0D-9366-68AD3178B01C}"/>
    <cellStyle name="20% - Accent5 4 2 4 2 2 4" xfId="32269" xr:uid="{8AC89A57-97F8-4780-951E-6531C16A6F94}"/>
    <cellStyle name="20% - Accent5 4 2 4 2 3" xfId="12830" xr:uid="{00000000-0005-0000-0000-000003200000}"/>
    <cellStyle name="20% - Accent5 4 2 4 2 3 2" xfId="36679" xr:uid="{A32C3692-C146-4DD5-BC06-EDCFDC33BA24}"/>
    <cellStyle name="20% - Accent5 4 2 4 2 4" xfId="20785" xr:uid="{00000000-0005-0000-0000-000004200000}"/>
    <cellStyle name="20% - Accent5 4 2 4 2 4 2" xfId="44617" xr:uid="{40AF3DBA-C407-4FE6-9E17-45F679E99432}"/>
    <cellStyle name="20% - Accent5 4 2 4 2 5" xfId="28738" xr:uid="{B8547C0B-5DBA-49E4-B94C-BF4AC3516D8A}"/>
    <cellStyle name="20% - Accent5 4 2 4 3" xfId="6639" xr:uid="{00000000-0005-0000-0000-000005200000}"/>
    <cellStyle name="20% - Accent5 4 2 4 3 2" xfId="14610" xr:uid="{00000000-0005-0000-0000-000006200000}"/>
    <cellStyle name="20% - Accent5 4 2 4 3 2 2" xfId="38452" xr:uid="{ECB529B7-4E86-4244-9C6E-B72F90C3409A}"/>
    <cellStyle name="20% - Accent5 4 2 4 3 3" xfId="22557" xr:uid="{00000000-0005-0000-0000-000007200000}"/>
    <cellStyle name="20% - Accent5 4 2 4 3 3 2" xfId="46389" xr:uid="{FBE4CF47-FC85-4C3B-87F3-A767217DE7E5}"/>
    <cellStyle name="20% - Accent5 4 2 4 3 4" xfId="30511" xr:uid="{3448B849-48F7-4E44-A949-D6076034DCF8}"/>
    <cellStyle name="20% - Accent5 4 2 4 4" xfId="11074" xr:uid="{00000000-0005-0000-0000-000008200000}"/>
    <cellStyle name="20% - Accent5 4 2 4 4 2" xfId="34923" xr:uid="{515A9648-018B-4AA3-87BB-FC295A8BB2C2}"/>
    <cellStyle name="20% - Accent5 4 2 4 5" xfId="19029" xr:uid="{00000000-0005-0000-0000-000009200000}"/>
    <cellStyle name="20% - Accent5 4 2 4 5 2" xfId="42861" xr:uid="{4E1330BF-A7D9-4259-B86A-5AB49D75A37F}"/>
    <cellStyle name="20% - Accent5 4 2 4 6" xfId="26981" xr:uid="{08CEED28-254D-47BD-B3D3-CC1BEB0F1C1F}"/>
    <cellStyle name="20% - Accent5 4 2 4_Exh G" xfId="2500" xr:uid="{00000000-0005-0000-0000-00000A200000}"/>
    <cellStyle name="20% - Accent5 4 2 5" xfId="3928" xr:uid="{00000000-0005-0000-0000-00000B200000}"/>
    <cellStyle name="20% - Accent5 4 2 5 2" xfId="7520" xr:uid="{00000000-0005-0000-0000-00000C200000}"/>
    <cellStyle name="20% - Accent5 4 2 5 2 2" xfId="15490" xr:uid="{00000000-0005-0000-0000-00000D200000}"/>
    <cellStyle name="20% - Accent5 4 2 5 2 2 2" xfId="39332" xr:uid="{0A679857-6AAE-4205-8E0E-098CC38748B4}"/>
    <cellStyle name="20% - Accent5 4 2 5 2 3" xfId="23436" xr:uid="{00000000-0005-0000-0000-00000E200000}"/>
    <cellStyle name="20% - Accent5 4 2 5 2 3 2" xfId="47268" xr:uid="{E129ADC4-78F3-492D-8D54-6EA63BF59978}"/>
    <cellStyle name="20% - Accent5 4 2 5 2 4" xfId="31391" xr:uid="{44D65158-8991-49BB-BB5A-A491EE3AE5DC}"/>
    <cellStyle name="20% - Accent5 4 2 5 3" xfId="11952" xr:uid="{00000000-0005-0000-0000-00000F200000}"/>
    <cellStyle name="20% - Accent5 4 2 5 3 2" xfId="35801" xr:uid="{25511A9B-315C-491E-AB71-4224323714F7}"/>
    <cellStyle name="20% - Accent5 4 2 5 4" xfId="19907" xr:uid="{00000000-0005-0000-0000-000010200000}"/>
    <cellStyle name="20% - Accent5 4 2 5 4 2" xfId="43739" xr:uid="{7A2BC43A-7DC5-41B0-A911-36E30131C7E0}"/>
    <cellStyle name="20% - Accent5 4 2 5 5" xfId="27860" xr:uid="{00BFD455-47A4-4B02-869D-F58FF6DBFE03}"/>
    <cellStyle name="20% - Accent5 4 2 6" xfId="5748" xr:uid="{00000000-0005-0000-0000-000011200000}"/>
    <cellStyle name="20% - Accent5 4 2 6 2" xfId="13731" xr:uid="{00000000-0005-0000-0000-000012200000}"/>
    <cellStyle name="20% - Accent5 4 2 6 2 2" xfId="37574" xr:uid="{72BF0741-A8B3-4CE9-81BC-83A3A50A332B}"/>
    <cellStyle name="20% - Accent5 4 2 6 3" xfId="21679" xr:uid="{00000000-0005-0000-0000-000013200000}"/>
    <cellStyle name="20% - Accent5 4 2 6 3 2" xfId="45511" xr:uid="{BB8DADA6-17EA-441E-9C91-63CD4C2F13BD}"/>
    <cellStyle name="20% - Accent5 4 2 6 4" xfId="29633" xr:uid="{B36F0BBC-5CDC-4F38-8E99-7415413432F6}"/>
    <cellStyle name="20% - Accent5 4 2 7" xfId="9300" xr:uid="{00000000-0005-0000-0000-000014200000}"/>
    <cellStyle name="20% - Accent5 4 2 7 2" xfId="17258" xr:uid="{00000000-0005-0000-0000-000015200000}"/>
    <cellStyle name="20% - Accent5 4 2 7 2 2" xfId="41098" xr:uid="{CB43DD91-68F9-40A1-8F4F-BE2E83EAF1FE}"/>
    <cellStyle name="20% - Accent5 4 2 7 3" xfId="25202" xr:uid="{00000000-0005-0000-0000-000016200000}"/>
    <cellStyle name="20% - Accent5 4 2 7 3 2" xfId="49034" xr:uid="{C870FBFD-D183-4BA8-B589-5A6573DA3460}"/>
    <cellStyle name="20% - Accent5 4 2 7 4" xfId="33157" xr:uid="{8AE77227-510F-480D-B04E-C49048A09D0B}"/>
    <cellStyle name="20% - Accent5 4 2 8" xfId="10196" xr:uid="{00000000-0005-0000-0000-000017200000}"/>
    <cellStyle name="20% - Accent5 4 2 8 2" xfId="34045" xr:uid="{F2091597-CD3D-40F0-B30F-E779DECC6D3B}"/>
    <cellStyle name="20% - Accent5 4 2 9" xfId="18151" xr:uid="{00000000-0005-0000-0000-000018200000}"/>
    <cellStyle name="20% - Accent5 4 2 9 2" xfId="41983" xr:uid="{6A11C2C6-E822-4300-9A99-5CE4FC637F6C}"/>
    <cellStyle name="20% - Accent5 4 2_Exh G" xfId="2495" xr:uid="{00000000-0005-0000-0000-000019200000}"/>
    <cellStyle name="20% - Accent5 4 3" xfId="256" xr:uid="{00000000-0005-0000-0000-00001A200000}"/>
    <cellStyle name="20% - Accent5 4 3 2" xfId="1282" xr:uid="{00000000-0005-0000-0000-00001B200000}"/>
    <cellStyle name="20% - Accent5 4 3 2 2" xfId="4809" xr:uid="{00000000-0005-0000-0000-00001C200000}"/>
    <cellStyle name="20% - Accent5 4 3 2 2 2" xfId="8400" xr:uid="{00000000-0005-0000-0000-00001D200000}"/>
    <cellStyle name="20% - Accent5 4 3 2 2 2 2" xfId="16370" xr:uid="{00000000-0005-0000-0000-00001E200000}"/>
    <cellStyle name="20% - Accent5 4 3 2 2 2 2 2" xfId="40212" xr:uid="{895368F1-C04C-4B38-9152-17151F67C131}"/>
    <cellStyle name="20% - Accent5 4 3 2 2 2 3" xfId="24316" xr:uid="{00000000-0005-0000-0000-00001F200000}"/>
    <cellStyle name="20% - Accent5 4 3 2 2 2 3 2" xfId="48148" xr:uid="{7A6A77F6-A6D5-4EE0-B302-EE2249BC229C}"/>
    <cellStyle name="20% - Accent5 4 3 2 2 2 4" xfId="32271" xr:uid="{211D9EDC-1921-4ACB-BABB-605B1950E068}"/>
    <cellStyle name="20% - Accent5 4 3 2 2 3" xfId="12832" xr:uid="{00000000-0005-0000-0000-000020200000}"/>
    <cellStyle name="20% - Accent5 4 3 2 2 3 2" xfId="36681" xr:uid="{721A5669-B9F6-4067-8DE5-E554B651F72F}"/>
    <cellStyle name="20% - Accent5 4 3 2 2 4" xfId="20787" xr:uid="{00000000-0005-0000-0000-000021200000}"/>
    <cellStyle name="20% - Accent5 4 3 2 2 4 2" xfId="44619" xr:uid="{0BF9B6E3-1971-4A6C-BF98-ED4B0B613758}"/>
    <cellStyle name="20% - Accent5 4 3 2 2 5" xfId="28740" xr:uid="{1022D8D3-FC52-41E1-B0DE-24AD9A6DBD57}"/>
    <cellStyle name="20% - Accent5 4 3 2 3" xfId="6641" xr:uid="{00000000-0005-0000-0000-000022200000}"/>
    <cellStyle name="20% - Accent5 4 3 2 3 2" xfId="14612" xr:uid="{00000000-0005-0000-0000-000023200000}"/>
    <cellStyle name="20% - Accent5 4 3 2 3 2 2" xfId="38454" xr:uid="{8210E4F6-F458-405F-AAFA-AD1AEBBF8F25}"/>
    <cellStyle name="20% - Accent5 4 3 2 3 3" xfId="22559" xr:uid="{00000000-0005-0000-0000-000024200000}"/>
    <cellStyle name="20% - Accent5 4 3 2 3 3 2" xfId="46391" xr:uid="{F7977537-A00F-4877-A7B6-A37EED0290D5}"/>
    <cellStyle name="20% - Accent5 4 3 2 3 4" xfId="30513" xr:uid="{C6CDA589-AAF8-453C-9A8E-3A7998E9A645}"/>
    <cellStyle name="20% - Accent5 4 3 2 4" xfId="11076" xr:uid="{00000000-0005-0000-0000-000025200000}"/>
    <cellStyle name="20% - Accent5 4 3 2 4 2" xfId="34925" xr:uid="{D7B2664F-C57F-4409-B185-FF260412D543}"/>
    <cellStyle name="20% - Accent5 4 3 2 5" xfId="19031" xr:uid="{00000000-0005-0000-0000-000026200000}"/>
    <cellStyle name="20% - Accent5 4 3 2 5 2" xfId="42863" xr:uid="{4D11728B-77AD-40BB-B31B-03C40A73DE08}"/>
    <cellStyle name="20% - Accent5 4 3 2 6" xfId="26983" xr:uid="{234A4D2B-C009-488F-A33C-4BDE5341A04F}"/>
    <cellStyle name="20% - Accent5 4 3 2_Exh G" xfId="2502" xr:uid="{00000000-0005-0000-0000-000027200000}"/>
    <cellStyle name="20% - Accent5 4 3 3" xfId="3930" xr:uid="{00000000-0005-0000-0000-000028200000}"/>
    <cellStyle name="20% - Accent5 4 3 3 2" xfId="7522" xr:uid="{00000000-0005-0000-0000-000029200000}"/>
    <cellStyle name="20% - Accent5 4 3 3 2 2" xfId="15492" xr:uid="{00000000-0005-0000-0000-00002A200000}"/>
    <cellStyle name="20% - Accent5 4 3 3 2 2 2" xfId="39334" xr:uid="{7B165257-A789-4575-A069-201B83FB5667}"/>
    <cellStyle name="20% - Accent5 4 3 3 2 3" xfId="23438" xr:uid="{00000000-0005-0000-0000-00002B200000}"/>
    <cellStyle name="20% - Accent5 4 3 3 2 3 2" xfId="47270" xr:uid="{FACE7364-E7BF-4F17-BE27-C1792D0F9EAD}"/>
    <cellStyle name="20% - Accent5 4 3 3 2 4" xfId="31393" xr:uid="{4D51AC3E-927C-4422-AF21-534AD664BBB1}"/>
    <cellStyle name="20% - Accent5 4 3 3 3" xfId="11954" xr:uid="{00000000-0005-0000-0000-00002C200000}"/>
    <cellStyle name="20% - Accent5 4 3 3 3 2" xfId="35803" xr:uid="{3F3418BF-DA9B-4D7A-84CA-79E26363CD31}"/>
    <cellStyle name="20% - Accent5 4 3 3 4" xfId="19909" xr:uid="{00000000-0005-0000-0000-00002D200000}"/>
    <cellStyle name="20% - Accent5 4 3 3 4 2" xfId="43741" xr:uid="{F20C1532-42EC-40A2-8C89-531638C1B207}"/>
    <cellStyle name="20% - Accent5 4 3 3 5" xfId="27862" xr:uid="{C2CDA451-F07F-49B9-9C0D-E485F8E52259}"/>
    <cellStyle name="20% - Accent5 4 3 4" xfId="5750" xr:uid="{00000000-0005-0000-0000-00002E200000}"/>
    <cellStyle name="20% - Accent5 4 3 4 2" xfId="13733" xr:uid="{00000000-0005-0000-0000-00002F200000}"/>
    <cellStyle name="20% - Accent5 4 3 4 2 2" xfId="37576" xr:uid="{43A6E380-B2A7-44E8-AE88-F7FD47E55F8F}"/>
    <cellStyle name="20% - Accent5 4 3 4 3" xfId="21681" xr:uid="{00000000-0005-0000-0000-000030200000}"/>
    <cellStyle name="20% - Accent5 4 3 4 3 2" xfId="45513" xr:uid="{1D0F4A25-5927-4B4C-B685-F93196926E04}"/>
    <cellStyle name="20% - Accent5 4 3 4 4" xfId="29635" xr:uid="{EC7B0646-2B63-4C8A-8272-540ACF214B70}"/>
    <cellStyle name="20% - Accent5 4 3 5" xfId="9302" xr:uid="{00000000-0005-0000-0000-000031200000}"/>
    <cellStyle name="20% - Accent5 4 3 5 2" xfId="17260" xr:uid="{00000000-0005-0000-0000-000032200000}"/>
    <cellStyle name="20% - Accent5 4 3 5 2 2" xfId="41100" xr:uid="{6665801E-D33C-4D5C-9EB1-7842AB3B91BE}"/>
    <cellStyle name="20% - Accent5 4 3 5 3" xfId="25204" xr:uid="{00000000-0005-0000-0000-000033200000}"/>
    <cellStyle name="20% - Accent5 4 3 5 3 2" xfId="49036" xr:uid="{1CA73AD8-FD29-4BC4-A1A8-4EEC5011BD84}"/>
    <cellStyle name="20% - Accent5 4 3 5 4" xfId="33159" xr:uid="{D93521FD-89DF-4BDE-8970-1685E1D30792}"/>
    <cellStyle name="20% - Accent5 4 3 6" xfId="10198" xr:uid="{00000000-0005-0000-0000-000034200000}"/>
    <cellStyle name="20% - Accent5 4 3 6 2" xfId="34047" xr:uid="{ED2A4FEE-8BF0-41DF-9323-3643D6943851}"/>
    <cellStyle name="20% - Accent5 4 3 7" xfId="18153" xr:uid="{00000000-0005-0000-0000-000035200000}"/>
    <cellStyle name="20% - Accent5 4 3 7 2" xfId="41985" xr:uid="{5BA23772-DAFB-438D-92A4-9649919545EB}"/>
    <cellStyle name="20% - Accent5 4 3 8" xfId="26105" xr:uid="{963C9BF5-84FF-4FAC-B97F-E7405A1049DC}"/>
    <cellStyle name="20% - Accent5 4 3_Exh G" xfId="2501" xr:uid="{00000000-0005-0000-0000-000036200000}"/>
    <cellStyle name="20% - Accent5 4 4" xfId="912" xr:uid="{00000000-0005-0000-0000-000037200000}"/>
    <cellStyle name="20% - Accent5 4 4 2" xfId="1836" xr:uid="{00000000-0005-0000-0000-000038200000}"/>
    <cellStyle name="20% - Accent5 4 4 2 2" xfId="5353" xr:uid="{00000000-0005-0000-0000-000039200000}"/>
    <cellStyle name="20% - Accent5 4 4 2 2 2" xfId="8944" xr:uid="{00000000-0005-0000-0000-00003A200000}"/>
    <cellStyle name="20% - Accent5 4 4 2 2 2 2" xfId="16914" xr:uid="{00000000-0005-0000-0000-00003B200000}"/>
    <cellStyle name="20% - Accent5 4 4 2 2 2 2 2" xfId="40756" xr:uid="{5E0E2430-25B9-4284-8C44-87FBCA3DCAB6}"/>
    <cellStyle name="20% - Accent5 4 4 2 2 2 3" xfId="24860" xr:uid="{00000000-0005-0000-0000-00003C200000}"/>
    <cellStyle name="20% - Accent5 4 4 2 2 2 3 2" xfId="48692" xr:uid="{9DB1E36F-A4CF-41AF-8408-F484C0647EE7}"/>
    <cellStyle name="20% - Accent5 4 4 2 2 2 4" xfId="32815" xr:uid="{1A2BEA5B-6FDD-45DC-AE63-2AEC67447156}"/>
    <cellStyle name="20% - Accent5 4 4 2 2 3" xfId="13376" xr:uid="{00000000-0005-0000-0000-00003D200000}"/>
    <cellStyle name="20% - Accent5 4 4 2 2 3 2" xfId="37225" xr:uid="{7ECF48AC-8EFD-4782-B47C-C53803F5BB09}"/>
    <cellStyle name="20% - Accent5 4 4 2 2 4" xfId="21331" xr:uid="{00000000-0005-0000-0000-00003E200000}"/>
    <cellStyle name="20% - Accent5 4 4 2 2 4 2" xfId="45163" xr:uid="{E9BE0CB0-B8F5-4EAB-ABF0-772D16D4898C}"/>
    <cellStyle name="20% - Accent5 4 4 2 2 5" xfId="29284" xr:uid="{E1649436-3841-4FC0-BF4A-C4EF2DB81854}"/>
    <cellStyle name="20% - Accent5 4 4 2 3" xfId="7185" xr:uid="{00000000-0005-0000-0000-00003F200000}"/>
    <cellStyle name="20% - Accent5 4 4 2 3 2" xfId="15156" xr:uid="{00000000-0005-0000-0000-000040200000}"/>
    <cellStyle name="20% - Accent5 4 4 2 3 2 2" xfId="38998" xr:uid="{15A6EAAF-68E0-4DFD-922B-F842D368206E}"/>
    <cellStyle name="20% - Accent5 4 4 2 3 3" xfId="23103" xr:uid="{00000000-0005-0000-0000-000041200000}"/>
    <cellStyle name="20% - Accent5 4 4 2 3 3 2" xfId="46935" xr:uid="{47F6A169-400D-4B40-8888-ACDB142E5911}"/>
    <cellStyle name="20% - Accent5 4 4 2 3 4" xfId="31057" xr:uid="{EE223E7E-99A3-445B-8451-0E8CCA578266}"/>
    <cellStyle name="20% - Accent5 4 4 2 4" xfId="11620" xr:uid="{00000000-0005-0000-0000-000042200000}"/>
    <cellStyle name="20% - Accent5 4 4 2 4 2" xfId="35469" xr:uid="{0239F87A-CB15-40AD-9A69-B6EFD07BE2AA}"/>
    <cellStyle name="20% - Accent5 4 4 2 5" xfId="19575" xr:uid="{00000000-0005-0000-0000-000043200000}"/>
    <cellStyle name="20% - Accent5 4 4 2 5 2" xfId="43407" xr:uid="{3740D823-9E92-4F91-AB7B-95232C19AC1F}"/>
    <cellStyle name="20% - Accent5 4 4 2 6" xfId="27527" xr:uid="{6EDDC7A3-FA58-4038-A2C6-194655B08C9A}"/>
    <cellStyle name="20% - Accent5 4 4 2_Exh G" xfId="2504" xr:uid="{00000000-0005-0000-0000-000044200000}"/>
    <cellStyle name="20% - Accent5 4 4 3" xfId="4474" xr:uid="{00000000-0005-0000-0000-000045200000}"/>
    <cellStyle name="20% - Accent5 4 4 3 2" xfId="8066" xr:uid="{00000000-0005-0000-0000-000046200000}"/>
    <cellStyle name="20% - Accent5 4 4 3 2 2" xfId="16036" xr:uid="{00000000-0005-0000-0000-000047200000}"/>
    <cellStyle name="20% - Accent5 4 4 3 2 2 2" xfId="39878" xr:uid="{1286F0B7-2029-4D7F-B94C-E1BBA50D9797}"/>
    <cellStyle name="20% - Accent5 4 4 3 2 3" xfId="23982" xr:uid="{00000000-0005-0000-0000-000048200000}"/>
    <cellStyle name="20% - Accent5 4 4 3 2 3 2" xfId="47814" xr:uid="{262EE927-FF2A-448A-B2B2-9A72384D71D7}"/>
    <cellStyle name="20% - Accent5 4 4 3 2 4" xfId="31937" xr:uid="{A186D45D-82E5-44C3-86AE-539961B1E926}"/>
    <cellStyle name="20% - Accent5 4 4 3 3" xfId="12498" xr:uid="{00000000-0005-0000-0000-000049200000}"/>
    <cellStyle name="20% - Accent5 4 4 3 3 2" xfId="36347" xr:uid="{36E145D4-3F90-4A1E-BFB5-4E24C55658EF}"/>
    <cellStyle name="20% - Accent5 4 4 3 4" xfId="20453" xr:uid="{00000000-0005-0000-0000-00004A200000}"/>
    <cellStyle name="20% - Accent5 4 4 3 4 2" xfId="44285" xr:uid="{B4229C38-68DF-439F-BEB3-F1AB94607F0F}"/>
    <cellStyle name="20% - Accent5 4 4 3 5" xfId="28406" xr:uid="{017909F5-49D5-43F4-BC57-633FE43DBE96}"/>
    <cellStyle name="20% - Accent5 4 4 4" xfId="6304" xr:uid="{00000000-0005-0000-0000-00004B200000}"/>
    <cellStyle name="20% - Accent5 4 4 4 2" xfId="14278" xr:uid="{00000000-0005-0000-0000-00004C200000}"/>
    <cellStyle name="20% - Accent5 4 4 4 2 2" xfId="38120" xr:uid="{B672C0BE-E219-4ED3-9445-8D0C2A09962F}"/>
    <cellStyle name="20% - Accent5 4 4 4 3" xfId="22225" xr:uid="{00000000-0005-0000-0000-00004D200000}"/>
    <cellStyle name="20% - Accent5 4 4 4 3 2" xfId="46057" xr:uid="{6547C0B9-3EAF-4E88-8B7C-A384B4EF7F54}"/>
    <cellStyle name="20% - Accent5 4 4 4 4" xfId="30179" xr:uid="{757B0675-8F6D-4E2E-8F8E-440DA1E4F114}"/>
    <cellStyle name="20% - Accent5 4 4 5" xfId="9846" xr:uid="{00000000-0005-0000-0000-00004E200000}"/>
    <cellStyle name="20% - Accent5 4 4 5 2" xfId="17804" xr:uid="{00000000-0005-0000-0000-00004F200000}"/>
    <cellStyle name="20% - Accent5 4 4 5 2 2" xfId="41644" xr:uid="{5BF720C8-2522-4286-B289-A3B034A74B70}"/>
    <cellStyle name="20% - Accent5 4 4 5 3" xfId="25748" xr:uid="{00000000-0005-0000-0000-000050200000}"/>
    <cellStyle name="20% - Accent5 4 4 5 3 2" xfId="49580" xr:uid="{EEFBF3AD-AB42-49AF-831D-097B250C0CD7}"/>
    <cellStyle name="20% - Accent5 4 4 5 4" xfId="33703" xr:uid="{5DF62074-BF46-488B-899E-332814CADCAC}"/>
    <cellStyle name="20% - Accent5 4 4 6" xfId="10742" xr:uid="{00000000-0005-0000-0000-000051200000}"/>
    <cellStyle name="20% - Accent5 4 4 6 2" xfId="34591" xr:uid="{C35B1D51-FE3B-4C78-BEA4-28EB2CB4F57E}"/>
    <cellStyle name="20% - Accent5 4 4 7" xfId="18697" xr:uid="{00000000-0005-0000-0000-000052200000}"/>
    <cellStyle name="20% - Accent5 4 4 7 2" xfId="42529" xr:uid="{5251C2E8-7C2E-4602-94EA-5346C346FD39}"/>
    <cellStyle name="20% - Accent5 4 4 8" xfId="26649" xr:uid="{ABF06B26-E1B1-4711-9F9D-74D3FF0DA0E2}"/>
    <cellStyle name="20% - Accent5 4 4_Exh G" xfId="2503" xr:uid="{00000000-0005-0000-0000-000053200000}"/>
    <cellStyle name="20% - Accent5 4 5" xfId="1279" xr:uid="{00000000-0005-0000-0000-000054200000}"/>
    <cellStyle name="20% - Accent5 4 5 2" xfId="4806" xr:uid="{00000000-0005-0000-0000-000055200000}"/>
    <cellStyle name="20% - Accent5 4 5 2 2" xfId="8397" xr:uid="{00000000-0005-0000-0000-000056200000}"/>
    <cellStyle name="20% - Accent5 4 5 2 2 2" xfId="16367" xr:uid="{00000000-0005-0000-0000-000057200000}"/>
    <cellStyle name="20% - Accent5 4 5 2 2 2 2" xfId="40209" xr:uid="{43A8BA15-8B69-4E59-A246-6B7D185B4CB3}"/>
    <cellStyle name="20% - Accent5 4 5 2 2 3" xfId="24313" xr:uid="{00000000-0005-0000-0000-000058200000}"/>
    <cellStyle name="20% - Accent5 4 5 2 2 3 2" xfId="48145" xr:uid="{723AF4C5-6515-42D9-9853-17BE40D9C16B}"/>
    <cellStyle name="20% - Accent5 4 5 2 2 4" xfId="32268" xr:uid="{31915D40-BA38-4603-A989-2B8C0037061B}"/>
    <cellStyle name="20% - Accent5 4 5 2 3" xfId="12829" xr:uid="{00000000-0005-0000-0000-000059200000}"/>
    <cellStyle name="20% - Accent5 4 5 2 3 2" xfId="36678" xr:uid="{264E7B32-B1EC-4C28-B867-96CB5F1F6125}"/>
    <cellStyle name="20% - Accent5 4 5 2 4" xfId="20784" xr:uid="{00000000-0005-0000-0000-00005A200000}"/>
    <cellStyle name="20% - Accent5 4 5 2 4 2" xfId="44616" xr:uid="{E2C04153-425B-42D2-A098-757223E4D7C7}"/>
    <cellStyle name="20% - Accent5 4 5 2 5" xfId="28737" xr:uid="{0D6D8CB1-42D7-4842-81B4-510E2459E5C3}"/>
    <cellStyle name="20% - Accent5 4 5 3" xfId="6638" xr:uid="{00000000-0005-0000-0000-00005B200000}"/>
    <cellStyle name="20% - Accent5 4 5 3 2" xfId="14609" xr:uid="{00000000-0005-0000-0000-00005C200000}"/>
    <cellStyle name="20% - Accent5 4 5 3 2 2" xfId="38451" xr:uid="{B8291D91-FEB8-486D-A089-6EE7C3BEC590}"/>
    <cellStyle name="20% - Accent5 4 5 3 3" xfId="22556" xr:uid="{00000000-0005-0000-0000-00005D200000}"/>
    <cellStyle name="20% - Accent5 4 5 3 3 2" xfId="46388" xr:uid="{ECCC9C95-022B-456A-B1C7-FCC63D764B18}"/>
    <cellStyle name="20% - Accent5 4 5 3 4" xfId="30510" xr:uid="{9041C327-6A2B-4592-8F0F-D2652CEA01CB}"/>
    <cellStyle name="20% - Accent5 4 5 4" xfId="11073" xr:uid="{00000000-0005-0000-0000-00005E200000}"/>
    <cellStyle name="20% - Accent5 4 5 4 2" xfId="34922" xr:uid="{49029897-5C1B-431F-9204-5BC7DC68D643}"/>
    <cellStyle name="20% - Accent5 4 5 5" xfId="19028" xr:uid="{00000000-0005-0000-0000-00005F200000}"/>
    <cellStyle name="20% - Accent5 4 5 5 2" xfId="42860" xr:uid="{AAB43B8F-10E5-4F4E-A628-3BC2AF5E9EA9}"/>
    <cellStyle name="20% - Accent5 4 5 6" xfId="26980" xr:uid="{C685572F-E74F-444D-973E-3239EE6A4DF3}"/>
    <cellStyle name="20% - Accent5 4 5_Exh G" xfId="2505" xr:uid="{00000000-0005-0000-0000-000060200000}"/>
    <cellStyle name="20% - Accent5 4 6" xfId="3927" xr:uid="{00000000-0005-0000-0000-000061200000}"/>
    <cellStyle name="20% - Accent5 4 6 2" xfId="7519" xr:uid="{00000000-0005-0000-0000-000062200000}"/>
    <cellStyle name="20% - Accent5 4 6 2 2" xfId="15489" xr:uid="{00000000-0005-0000-0000-000063200000}"/>
    <cellStyle name="20% - Accent5 4 6 2 2 2" xfId="39331" xr:uid="{B854EB7A-281F-4A4D-AE1A-B645CC22AD52}"/>
    <cellStyle name="20% - Accent5 4 6 2 3" xfId="23435" xr:uid="{00000000-0005-0000-0000-000064200000}"/>
    <cellStyle name="20% - Accent5 4 6 2 3 2" xfId="47267" xr:uid="{AAF46EBD-DB3D-4592-BC15-A582E70A0CEC}"/>
    <cellStyle name="20% - Accent5 4 6 2 4" xfId="31390" xr:uid="{BE682D37-BCB6-42D9-8062-C44C14BE1C10}"/>
    <cellStyle name="20% - Accent5 4 6 3" xfId="11951" xr:uid="{00000000-0005-0000-0000-000065200000}"/>
    <cellStyle name="20% - Accent5 4 6 3 2" xfId="35800" xr:uid="{16BC4DAC-62EA-4328-9782-DDCADFEF876C}"/>
    <cellStyle name="20% - Accent5 4 6 4" xfId="19906" xr:uid="{00000000-0005-0000-0000-000066200000}"/>
    <cellStyle name="20% - Accent5 4 6 4 2" xfId="43738" xr:uid="{74EBD2F4-9ABE-4D65-A9C2-87A510344C38}"/>
    <cellStyle name="20% - Accent5 4 6 5" xfId="27859" xr:uid="{6437BED7-5302-4613-9479-8751BD83578C}"/>
    <cellStyle name="20% - Accent5 4 7" xfId="5747" xr:uid="{00000000-0005-0000-0000-000067200000}"/>
    <cellStyle name="20% - Accent5 4 7 2" xfId="13730" xr:uid="{00000000-0005-0000-0000-000068200000}"/>
    <cellStyle name="20% - Accent5 4 7 2 2" xfId="37573" xr:uid="{B81691DB-273B-42D3-81A1-B17B4F6F3B2C}"/>
    <cellStyle name="20% - Accent5 4 7 3" xfId="21678" xr:uid="{00000000-0005-0000-0000-000069200000}"/>
    <cellStyle name="20% - Accent5 4 7 3 2" xfId="45510" xr:uid="{3D68496E-B1FE-4E8F-B5AE-4E2E6C859190}"/>
    <cellStyle name="20% - Accent5 4 7 4" xfId="29632" xr:uid="{CD35AD24-5353-47C1-86A4-6C1F5D6824A1}"/>
    <cellStyle name="20% - Accent5 4 8" xfId="9299" xr:uid="{00000000-0005-0000-0000-00006A200000}"/>
    <cellStyle name="20% - Accent5 4 8 2" xfId="17257" xr:uid="{00000000-0005-0000-0000-00006B200000}"/>
    <cellStyle name="20% - Accent5 4 8 2 2" xfId="41097" xr:uid="{BE541FD3-A131-49E1-B1FC-E0FF94691430}"/>
    <cellStyle name="20% - Accent5 4 8 3" xfId="25201" xr:uid="{00000000-0005-0000-0000-00006C200000}"/>
    <cellStyle name="20% - Accent5 4 8 3 2" xfId="49033" xr:uid="{B828C99B-F258-46EC-9599-FE6953E81B84}"/>
    <cellStyle name="20% - Accent5 4 8 4" xfId="33156" xr:uid="{415DBF4A-A8A6-4363-A790-EBE83723B034}"/>
    <cellStyle name="20% - Accent5 4 9" xfId="10195" xr:uid="{00000000-0005-0000-0000-00006D200000}"/>
    <cellStyle name="20% - Accent5 4 9 2" xfId="34044" xr:uid="{0A988DBC-BAA7-4564-9B62-E6A639A600F9}"/>
    <cellStyle name="20% - Accent5 4_Exh G" xfId="2494" xr:uid="{00000000-0005-0000-0000-00006E200000}"/>
    <cellStyle name="20% - Accent5 5" xfId="257" xr:uid="{00000000-0005-0000-0000-00006F200000}"/>
    <cellStyle name="20% - Accent5 5 10" xfId="18154" xr:uid="{00000000-0005-0000-0000-000070200000}"/>
    <cellStyle name="20% - Accent5 5 10 2" xfId="41986" xr:uid="{B139BC75-4F09-4E6D-8601-F0BE7FB9283E}"/>
    <cellStyle name="20% - Accent5 5 11" xfId="26106" xr:uid="{F647F6EE-9B61-46CC-A002-470B22CBDABD}"/>
    <cellStyle name="20% - Accent5 5 2" xfId="258" xr:uid="{00000000-0005-0000-0000-000071200000}"/>
    <cellStyle name="20% - Accent5 5 2 2" xfId="259" xr:uid="{00000000-0005-0000-0000-000072200000}"/>
    <cellStyle name="20% - Accent5 5 2 2 2" xfId="1285" xr:uid="{00000000-0005-0000-0000-000073200000}"/>
    <cellStyle name="20% - Accent5 5 2 2 2 2" xfId="4812" xr:uid="{00000000-0005-0000-0000-000074200000}"/>
    <cellStyle name="20% - Accent5 5 2 2 2 2 2" xfId="8403" xr:uid="{00000000-0005-0000-0000-000075200000}"/>
    <cellStyle name="20% - Accent5 5 2 2 2 2 2 2" xfId="16373" xr:uid="{00000000-0005-0000-0000-000076200000}"/>
    <cellStyle name="20% - Accent5 5 2 2 2 2 2 2 2" xfId="40215" xr:uid="{ACCBB967-3611-4557-A108-CDCC7D05D2EF}"/>
    <cellStyle name="20% - Accent5 5 2 2 2 2 2 3" xfId="24319" xr:uid="{00000000-0005-0000-0000-000077200000}"/>
    <cellStyle name="20% - Accent5 5 2 2 2 2 2 3 2" xfId="48151" xr:uid="{9B83A733-B533-474B-B443-35D6E18624E9}"/>
    <cellStyle name="20% - Accent5 5 2 2 2 2 2 4" xfId="32274" xr:uid="{8CB332F9-421E-41E4-BE76-95D9557C9F9F}"/>
    <cellStyle name="20% - Accent5 5 2 2 2 2 3" xfId="12835" xr:uid="{00000000-0005-0000-0000-000078200000}"/>
    <cellStyle name="20% - Accent5 5 2 2 2 2 3 2" xfId="36684" xr:uid="{C2303B8F-E88D-4BD9-9DC3-12C994A5A2DD}"/>
    <cellStyle name="20% - Accent5 5 2 2 2 2 4" xfId="20790" xr:uid="{00000000-0005-0000-0000-000079200000}"/>
    <cellStyle name="20% - Accent5 5 2 2 2 2 4 2" xfId="44622" xr:uid="{1F8468FA-6823-4178-913E-3E5EC0DD3371}"/>
    <cellStyle name="20% - Accent5 5 2 2 2 2 5" xfId="28743" xr:uid="{8E59A3C0-407E-4FD4-B06C-704E7D0E01F5}"/>
    <cellStyle name="20% - Accent5 5 2 2 2 3" xfId="6644" xr:uid="{00000000-0005-0000-0000-00007A200000}"/>
    <cellStyle name="20% - Accent5 5 2 2 2 3 2" xfId="14615" xr:uid="{00000000-0005-0000-0000-00007B200000}"/>
    <cellStyle name="20% - Accent5 5 2 2 2 3 2 2" xfId="38457" xr:uid="{327A7974-4A62-4D9E-8893-031D26583420}"/>
    <cellStyle name="20% - Accent5 5 2 2 2 3 3" xfId="22562" xr:uid="{00000000-0005-0000-0000-00007C200000}"/>
    <cellStyle name="20% - Accent5 5 2 2 2 3 3 2" xfId="46394" xr:uid="{79716659-5A20-4BEA-A137-6C3F4A8EF1F3}"/>
    <cellStyle name="20% - Accent5 5 2 2 2 3 4" xfId="30516" xr:uid="{122BF087-C5F8-4884-B079-32AEA0BDE75D}"/>
    <cellStyle name="20% - Accent5 5 2 2 2 4" xfId="11079" xr:uid="{00000000-0005-0000-0000-00007D200000}"/>
    <cellStyle name="20% - Accent5 5 2 2 2 4 2" xfId="34928" xr:uid="{4D40CBD5-8739-4DEA-862A-CDD1A65CEB56}"/>
    <cellStyle name="20% - Accent5 5 2 2 2 5" xfId="19034" xr:uid="{00000000-0005-0000-0000-00007E200000}"/>
    <cellStyle name="20% - Accent5 5 2 2 2 5 2" xfId="42866" xr:uid="{A298EC45-8562-4E39-AB5E-33A8B0BB57F3}"/>
    <cellStyle name="20% - Accent5 5 2 2 2 6" xfId="26986" xr:uid="{6A420048-53B4-44A6-A25E-ECB777C33CA0}"/>
    <cellStyle name="20% - Accent5 5 2 2 2_Exh G" xfId="2509" xr:uid="{00000000-0005-0000-0000-00007F200000}"/>
    <cellStyle name="20% - Accent5 5 2 2 3" xfId="3933" xr:uid="{00000000-0005-0000-0000-000080200000}"/>
    <cellStyle name="20% - Accent5 5 2 2 3 2" xfId="7525" xr:uid="{00000000-0005-0000-0000-000081200000}"/>
    <cellStyle name="20% - Accent5 5 2 2 3 2 2" xfId="15495" xr:uid="{00000000-0005-0000-0000-000082200000}"/>
    <cellStyle name="20% - Accent5 5 2 2 3 2 2 2" xfId="39337" xr:uid="{E5BA176C-0397-471F-8555-D016AA40E3BB}"/>
    <cellStyle name="20% - Accent5 5 2 2 3 2 3" xfId="23441" xr:uid="{00000000-0005-0000-0000-000083200000}"/>
    <cellStyle name="20% - Accent5 5 2 2 3 2 3 2" xfId="47273" xr:uid="{6B78A036-2F63-497A-95B6-B592F1CEC0BD}"/>
    <cellStyle name="20% - Accent5 5 2 2 3 2 4" xfId="31396" xr:uid="{91A38C3F-C71C-4457-B23D-0155C46750E1}"/>
    <cellStyle name="20% - Accent5 5 2 2 3 3" xfId="11957" xr:uid="{00000000-0005-0000-0000-000084200000}"/>
    <cellStyle name="20% - Accent5 5 2 2 3 3 2" xfId="35806" xr:uid="{B3967786-599F-432C-9547-0412E8552507}"/>
    <cellStyle name="20% - Accent5 5 2 2 3 4" xfId="19912" xr:uid="{00000000-0005-0000-0000-000085200000}"/>
    <cellStyle name="20% - Accent5 5 2 2 3 4 2" xfId="43744" xr:uid="{4AB1F24F-7982-4000-B7AF-6250A1A98F47}"/>
    <cellStyle name="20% - Accent5 5 2 2 3 5" xfId="27865" xr:uid="{FEC45B54-F6C9-4BA9-9360-7C9AA8DAE41E}"/>
    <cellStyle name="20% - Accent5 5 2 2 4" xfId="5753" xr:uid="{00000000-0005-0000-0000-000086200000}"/>
    <cellStyle name="20% - Accent5 5 2 2 4 2" xfId="13736" xr:uid="{00000000-0005-0000-0000-000087200000}"/>
    <cellStyle name="20% - Accent5 5 2 2 4 2 2" xfId="37579" xr:uid="{4E870773-6EEE-426A-B85D-7226A44AD637}"/>
    <cellStyle name="20% - Accent5 5 2 2 4 3" xfId="21684" xr:uid="{00000000-0005-0000-0000-000088200000}"/>
    <cellStyle name="20% - Accent5 5 2 2 4 3 2" xfId="45516" xr:uid="{04B6F5FC-3B6A-4984-A046-04F7C41A7D0D}"/>
    <cellStyle name="20% - Accent5 5 2 2 4 4" xfId="29638" xr:uid="{3D0003C1-ED92-44AB-8B96-B8BA2C7EC5DB}"/>
    <cellStyle name="20% - Accent5 5 2 2 5" xfId="9305" xr:uid="{00000000-0005-0000-0000-000089200000}"/>
    <cellStyle name="20% - Accent5 5 2 2 5 2" xfId="17263" xr:uid="{00000000-0005-0000-0000-00008A200000}"/>
    <cellStyle name="20% - Accent5 5 2 2 5 2 2" xfId="41103" xr:uid="{6EE81A89-FC7B-416F-A494-6789CA514670}"/>
    <cellStyle name="20% - Accent5 5 2 2 5 3" xfId="25207" xr:uid="{00000000-0005-0000-0000-00008B200000}"/>
    <cellStyle name="20% - Accent5 5 2 2 5 3 2" xfId="49039" xr:uid="{EF522BAB-B994-4DE3-9EF0-8DF6ABA1D94A}"/>
    <cellStyle name="20% - Accent5 5 2 2 5 4" xfId="33162" xr:uid="{9C931507-7785-4B89-B5C9-A60E57B10098}"/>
    <cellStyle name="20% - Accent5 5 2 2 6" xfId="10201" xr:uid="{00000000-0005-0000-0000-00008C200000}"/>
    <cellStyle name="20% - Accent5 5 2 2 6 2" xfId="34050" xr:uid="{C77458F1-EAD9-4918-9CFF-3F8AC6188ECF}"/>
    <cellStyle name="20% - Accent5 5 2 2 7" xfId="18156" xr:uid="{00000000-0005-0000-0000-00008D200000}"/>
    <cellStyle name="20% - Accent5 5 2 2 7 2" xfId="41988" xr:uid="{95D17CE5-4961-4EFF-AC7C-A27652BC4595}"/>
    <cellStyle name="20% - Accent5 5 2 2 8" xfId="26108" xr:uid="{E5EDB607-2F45-40DD-87FA-8CE7D237FE44}"/>
    <cellStyle name="20% - Accent5 5 2 2_Exh G" xfId="2508" xr:uid="{00000000-0005-0000-0000-00008E200000}"/>
    <cellStyle name="20% - Accent5 5 2 3" xfId="1284" xr:uid="{00000000-0005-0000-0000-00008F200000}"/>
    <cellStyle name="20% - Accent5 5 2 3 2" xfId="4811" xr:uid="{00000000-0005-0000-0000-000090200000}"/>
    <cellStyle name="20% - Accent5 5 2 3 2 2" xfId="8402" xr:uid="{00000000-0005-0000-0000-000091200000}"/>
    <cellStyle name="20% - Accent5 5 2 3 2 2 2" xfId="16372" xr:uid="{00000000-0005-0000-0000-000092200000}"/>
    <cellStyle name="20% - Accent5 5 2 3 2 2 2 2" xfId="40214" xr:uid="{734F4E97-99A6-4AEA-A7B2-F9E77F7AE4E4}"/>
    <cellStyle name="20% - Accent5 5 2 3 2 2 3" xfId="24318" xr:uid="{00000000-0005-0000-0000-000093200000}"/>
    <cellStyle name="20% - Accent5 5 2 3 2 2 3 2" xfId="48150" xr:uid="{0BF4DE5A-4DEA-46C0-929A-75FFA95E531F}"/>
    <cellStyle name="20% - Accent5 5 2 3 2 2 4" xfId="32273" xr:uid="{3202C69C-FA7A-481B-BAAA-CE2022CB47A3}"/>
    <cellStyle name="20% - Accent5 5 2 3 2 3" xfId="12834" xr:uid="{00000000-0005-0000-0000-000094200000}"/>
    <cellStyle name="20% - Accent5 5 2 3 2 3 2" xfId="36683" xr:uid="{6302B64E-2D49-4DD6-ADF9-78827D2F798D}"/>
    <cellStyle name="20% - Accent5 5 2 3 2 4" xfId="20789" xr:uid="{00000000-0005-0000-0000-000095200000}"/>
    <cellStyle name="20% - Accent5 5 2 3 2 4 2" xfId="44621" xr:uid="{229AF3A1-11F9-4FDE-B4E1-875E47CE9F7E}"/>
    <cellStyle name="20% - Accent5 5 2 3 2 5" xfId="28742" xr:uid="{1D126D56-E05E-4526-9697-A03DA25926E9}"/>
    <cellStyle name="20% - Accent5 5 2 3 3" xfId="6643" xr:uid="{00000000-0005-0000-0000-000096200000}"/>
    <cellStyle name="20% - Accent5 5 2 3 3 2" xfId="14614" xr:uid="{00000000-0005-0000-0000-000097200000}"/>
    <cellStyle name="20% - Accent5 5 2 3 3 2 2" xfId="38456" xr:uid="{E48CC96D-8511-468E-8DD8-B58D6B337BCA}"/>
    <cellStyle name="20% - Accent5 5 2 3 3 3" xfId="22561" xr:uid="{00000000-0005-0000-0000-000098200000}"/>
    <cellStyle name="20% - Accent5 5 2 3 3 3 2" xfId="46393" xr:uid="{C4A13650-ADF5-43FC-A9B6-AEA7981E7222}"/>
    <cellStyle name="20% - Accent5 5 2 3 3 4" xfId="30515" xr:uid="{033D17A8-BB6D-476D-A82C-B4CF8DACC405}"/>
    <cellStyle name="20% - Accent5 5 2 3 4" xfId="11078" xr:uid="{00000000-0005-0000-0000-000099200000}"/>
    <cellStyle name="20% - Accent5 5 2 3 4 2" xfId="34927" xr:uid="{34A7AA82-47D4-43B6-ABAA-7F44F0E6BF4A}"/>
    <cellStyle name="20% - Accent5 5 2 3 5" xfId="19033" xr:uid="{00000000-0005-0000-0000-00009A200000}"/>
    <cellStyle name="20% - Accent5 5 2 3 5 2" xfId="42865" xr:uid="{CF39D2CB-F076-4067-9A57-AF13910A8488}"/>
    <cellStyle name="20% - Accent5 5 2 3 6" xfId="26985" xr:uid="{9878AB13-00E3-4501-837D-87208103B224}"/>
    <cellStyle name="20% - Accent5 5 2 3_Exh G" xfId="2510" xr:uid="{00000000-0005-0000-0000-00009B200000}"/>
    <cellStyle name="20% - Accent5 5 2 4" xfId="3932" xr:uid="{00000000-0005-0000-0000-00009C200000}"/>
    <cellStyle name="20% - Accent5 5 2 4 2" xfId="7524" xr:uid="{00000000-0005-0000-0000-00009D200000}"/>
    <cellStyle name="20% - Accent5 5 2 4 2 2" xfId="15494" xr:uid="{00000000-0005-0000-0000-00009E200000}"/>
    <cellStyle name="20% - Accent5 5 2 4 2 2 2" xfId="39336" xr:uid="{14564047-9644-4ED5-ABCC-CD5C569390A5}"/>
    <cellStyle name="20% - Accent5 5 2 4 2 3" xfId="23440" xr:uid="{00000000-0005-0000-0000-00009F200000}"/>
    <cellStyle name="20% - Accent5 5 2 4 2 3 2" xfId="47272" xr:uid="{BA1810C5-F3E8-4EAA-8092-008DD4F90BCC}"/>
    <cellStyle name="20% - Accent5 5 2 4 2 4" xfId="31395" xr:uid="{89F3B7C6-5E4B-4D2C-A218-CF71A0BD7FF5}"/>
    <cellStyle name="20% - Accent5 5 2 4 3" xfId="11956" xr:uid="{00000000-0005-0000-0000-0000A0200000}"/>
    <cellStyle name="20% - Accent5 5 2 4 3 2" xfId="35805" xr:uid="{8C083370-2698-4798-8A40-73B8598398D8}"/>
    <cellStyle name="20% - Accent5 5 2 4 4" xfId="19911" xr:uid="{00000000-0005-0000-0000-0000A1200000}"/>
    <cellStyle name="20% - Accent5 5 2 4 4 2" xfId="43743" xr:uid="{58C3A66B-4BE7-4BA1-B5AE-0B06AA7174B0}"/>
    <cellStyle name="20% - Accent5 5 2 4 5" xfId="27864" xr:uid="{E9C2A95E-26FA-4E2C-9AAF-F8FCF678C44C}"/>
    <cellStyle name="20% - Accent5 5 2 5" xfId="5752" xr:uid="{00000000-0005-0000-0000-0000A2200000}"/>
    <cellStyle name="20% - Accent5 5 2 5 2" xfId="13735" xr:uid="{00000000-0005-0000-0000-0000A3200000}"/>
    <cellStyle name="20% - Accent5 5 2 5 2 2" xfId="37578" xr:uid="{3BC45725-BD2D-46CA-B14F-C22DE4FF4DD3}"/>
    <cellStyle name="20% - Accent5 5 2 5 3" xfId="21683" xr:uid="{00000000-0005-0000-0000-0000A4200000}"/>
    <cellStyle name="20% - Accent5 5 2 5 3 2" xfId="45515" xr:uid="{83AF8F55-9F85-488C-B124-68C111B969D1}"/>
    <cellStyle name="20% - Accent5 5 2 5 4" xfId="29637" xr:uid="{B0C24940-5190-4CCF-B887-00617D6DD7C8}"/>
    <cellStyle name="20% - Accent5 5 2 6" xfId="9304" xr:uid="{00000000-0005-0000-0000-0000A5200000}"/>
    <cellStyle name="20% - Accent5 5 2 6 2" xfId="17262" xr:uid="{00000000-0005-0000-0000-0000A6200000}"/>
    <cellStyle name="20% - Accent5 5 2 6 2 2" xfId="41102" xr:uid="{FFEF2511-59F6-4165-9C7C-235CDC9F5770}"/>
    <cellStyle name="20% - Accent5 5 2 6 3" xfId="25206" xr:uid="{00000000-0005-0000-0000-0000A7200000}"/>
    <cellStyle name="20% - Accent5 5 2 6 3 2" xfId="49038" xr:uid="{C5A404E4-FC68-49EA-8D77-E86985146915}"/>
    <cellStyle name="20% - Accent5 5 2 6 4" xfId="33161" xr:uid="{45C093F2-0AEE-4CD7-BECE-4BCA66E7BD1F}"/>
    <cellStyle name="20% - Accent5 5 2 7" xfId="10200" xr:uid="{00000000-0005-0000-0000-0000A8200000}"/>
    <cellStyle name="20% - Accent5 5 2 7 2" xfId="34049" xr:uid="{19F1B287-6ADA-49FB-9692-8CA280DCF41A}"/>
    <cellStyle name="20% - Accent5 5 2 8" xfId="18155" xr:uid="{00000000-0005-0000-0000-0000A9200000}"/>
    <cellStyle name="20% - Accent5 5 2 8 2" xfId="41987" xr:uid="{B95AD40F-35F5-417A-B10A-5E3E78284C00}"/>
    <cellStyle name="20% - Accent5 5 2 9" xfId="26107" xr:uid="{6F534E49-5503-4A78-8274-2C17473B5B22}"/>
    <cellStyle name="20% - Accent5 5 2_Exh G" xfId="2507" xr:uid="{00000000-0005-0000-0000-0000AA200000}"/>
    <cellStyle name="20% - Accent5 5 3" xfId="260" xr:uid="{00000000-0005-0000-0000-0000AB200000}"/>
    <cellStyle name="20% - Accent5 5 3 2" xfId="1286" xr:uid="{00000000-0005-0000-0000-0000AC200000}"/>
    <cellStyle name="20% - Accent5 5 3 2 2" xfId="4813" xr:uid="{00000000-0005-0000-0000-0000AD200000}"/>
    <cellStyle name="20% - Accent5 5 3 2 2 2" xfId="8404" xr:uid="{00000000-0005-0000-0000-0000AE200000}"/>
    <cellStyle name="20% - Accent5 5 3 2 2 2 2" xfId="16374" xr:uid="{00000000-0005-0000-0000-0000AF200000}"/>
    <cellStyle name="20% - Accent5 5 3 2 2 2 2 2" xfId="40216" xr:uid="{D34847BC-6947-4F95-B4B9-86C6A3F04C92}"/>
    <cellStyle name="20% - Accent5 5 3 2 2 2 3" xfId="24320" xr:uid="{00000000-0005-0000-0000-0000B0200000}"/>
    <cellStyle name="20% - Accent5 5 3 2 2 2 3 2" xfId="48152" xr:uid="{F9B1FE69-DDEF-4A3F-BB83-31726ADE0A1A}"/>
    <cellStyle name="20% - Accent5 5 3 2 2 2 4" xfId="32275" xr:uid="{32DDDC68-6382-4B78-9222-A394B767C2ED}"/>
    <cellStyle name="20% - Accent5 5 3 2 2 3" xfId="12836" xr:uid="{00000000-0005-0000-0000-0000B1200000}"/>
    <cellStyle name="20% - Accent5 5 3 2 2 3 2" xfId="36685" xr:uid="{4BCB8ABE-0F23-4E34-9443-D4E64323073C}"/>
    <cellStyle name="20% - Accent5 5 3 2 2 4" xfId="20791" xr:uid="{00000000-0005-0000-0000-0000B2200000}"/>
    <cellStyle name="20% - Accent5 5 3 2 2 4 2" xfId="44623" xr:uid="{9DB8836E-23E3-4624-8CA9-2A216864C05D}"/>
    <cellStyle name="20% - Accent5 5 3 2 2 5" xfId="28744" xr:uid="{324636E3-9086-47BA-A4FF-D045B7E05BE9}"/>
    <cellStyle name="20% - Accent5 5 3 2 3" xfId="6645" xr:uid="{00000000-0005-0000-0000-0000B3200000}"/>
    <cellStyle name="20% - Accent5 5 3 2 3 2" xfId="14616" xr:uid="{00000000-0005-0000-0000-0000B4200000}"/>
    <cellStyle name="20% - Accent5 5 3 2 3 2 2" xfId="38458" xr:uid="{A2063037-EB08-4347-BB9E-713385247E3C}"/>
    <cellStyle name="20% - Accent5 5 3 2 3 3" xfId="22563" xr:uid="{00000000-0005-0000-0000-0000B5200000}"/>
    <cellStyle name="20% - Accent5 5 3 2 3 3 2" xfId="46395" xr:uid="{7CCD8AD1-B5EB-490E-A4D4-DE829D717F4C}"/>
    <cellStyle name="20% - Accent5 5 3 2 3 4" xfId="30517" xr:uid="{88E16930-C548-49DA-8D55-F903C67DC8C9}"/>
    <cellStyle name="20% - Accent5 5 3 2 4" xfId="11080" xr:uid="{00000000-0005-0000-0000-0000B6200000}"/>
    <cellStyle name="20% - Accent5 5 3 2 4 2" xfId="34929" xr:uid="{17E71795-7A39-4FDF-B0FF-2ED9000D466B}"/>
    <cellStyle name="20% - Accent5 5 3 2 5" xfId="19035" xr:uid="{00000000-0005-0000-0000-0000B7200000}"/>
    <cellStyle name="20% - Accent5 5 3 2 5 2" xfId="42867" xr:uid="{4D361D4E-4BD7-460F-A74B-AA7B019C834D}"/>
    <cellStyle name="20% - Accent5 5 3 2 6" xfId="26987" xr:uid="{204E6021-6A6B-4195-814F-509306E794DC}"/>
    <cellStyle name="20% - Accent5 5 3 2_Exh G" xfId="2512" xr:uid="{00000000-0005-0000-0000-0000B8200000}"/>
    <cellStyle name="20% - Accent5 5 3 3" xfId="3934" xr:uid="{00000000-0005-0000-0000-0000B9200000}"/>
    <cellStyle name="20% - Accent5 5 3 3 2" xfId="7526" xr:uid="{00000000-0005-0000-0000-0000BA200000}"/>
    <cellStyle name="20% - Accent5 5 3 3 2 2" xfId="15496" xr:uid="{00000000-0005-0000-0000-0000BB200000}"/>
    <cellStyle name="20% - Accent5 5 3 3 2 2 2" xfId="39338" xr:uid="{334C6369-98D2-4DB4-B7A7-96119714F7C9}"/>
    <cellStyle name="20% - Accent5 5 3 3 2 3" xfId="23442" xr:uid="{00000000-0005-0000-0000-0000BC200000}"/>
    <cellStyle name="20% - Accent5 5 3 3 2 3 2" xfId="47274" xr:uid="{27255BE6-BAFB-4584-AAEC-8A2A0EB7977A}"/>
    <cellStyle name="20% - Accent5 5 3 3 2 4" xfId="31397" xr:uid="{6F633941-2CDC-470F-88C9-C26366F986B5}"/>
    <cellStyle name="20% - Accent5 5 3 3 3" xfId="11958" xr:uid="{00000000-0005-0000-0000-0000BD200000}"/>
    <cellStyle name="20% - Accent5 5 3 3 3 2" xfId="35807" xr:uid="{9E8FA58C-D3A6-4D7D-AD4D-355AA182EBE5}"/>
    <cellStyle name="20% - Accent5 5 3 3 4" xfId="19913" xr:uid="{00000000-0005-0000-0000-0000BE200000}"/>
    <cellStyle name="20% - Accent5 5 3 3 4 2" xfId="43745" xr:uid="{B375606D-2C59-48C3-BBC4-67DDD032FAF0}"/>
    <cellStyle name="20% - Accent5 5 3 3 5" xfId="27866" xr:uid="{DDF2D075-47F9-4FB7-8883-4F4B5569E56F}"/>
    <cellStyle name="20% - Accent5 5 3 4" xfId="5754" xr:uid="{00000000-0005-0000-0000-0000BF200000}"/>
    <cellStyle name="20% - Accent5 5 3 4 2" xfId="13737" xr:uid="{00000000-0005-0000-0000-0000C0200000}"/>
    <cellStyle name="20% - Accent5 5 3 4 2 2" xfId="37580" xr:uid="{998E74CB-11AA-4830-BD21-4F315A00B643}"/>
    <cellStyle name="20% - Accent5 5 3 4 3" xfId="21685" xr:uid="{00000000-0005-0000-0000-0000C1200000}"/>
    <cellStyle name="20% - Accent5 5 3 4 3 2" xfId="45517" xr:uid="{68DEE266-46B2-491A-9314-18D87BF99E8D}"/>
    <cellStyle name="20% - Accent5 5 3 4 4" xfId="29639" xr:uid="{CF571918-48A9-4212-974B-26F4E367ED7C}"/>
    <cellStyle name="20% - Accent5 5 3 5" xfId="9306" xr:uid="{00000000-0005-0000-0000-0000C2200000}"/>
    <cellStyle name="20% - Accent5 5 3 5 2" xfId="17264" xr:uid="{00000000-0005-0000-0000-0000C3200000}"/>
    <cellStyle name="20% - Accent5 5 3 5 2 2" xfId="41104" xr:uid="{8F75FB7D-EDCC-460A-B904-335866710440}"/>
    <cellStyle name="20% - Accent5 5 3 5 3" xfId="25208" xr:uid="{00000000-0005-0000-0000-0000C4200000}"/>
    <cellStyle name="20% - Accent5 5 3 5 3 2" xfId="49040" xr:uid="{732331E7-F98C-4C18-B6CA-EFC56665250C}"/>
    <cellStyle name="20% - Accent5 5 3 5 4" xfId="33163" xr:uid="{8C1E00B0-9C29-44A7-926C-FEC0D392F9F4}"/>
    <cellStyle name="20% - Accent5 5 3 6" xfId="10202" xr:uid="{00000000-0005-0000-0000-0000C5200000}"/>
    <cellStyle name="20% - Accent5 5 3 6 2" xfId="34051" xr:uid="{09258E78-DA13-4A97-B4B5-2E8CB363694D}"/>
    <cellStyle name="20% - Accent5 5 3 7" xfId="18157" xr:uid="{00000000-0005-0000-0000-0000C6200000}"/>
    <cellStyle name="20% - Accent5 5 3 7 2" xfId="41989" xr:uid="{7AE78F75-4C0E-4A18-9069-CE36FF604A7B}"/>
    <cellStyle name="20% - Accent5 5 3 8" xfId="26109" xr:uid="{42C96C6D-47AF-43F4-8D31-A17C7D40FA34}"/>
    <cellStyle name="20% - Accent5 5 3_Exh G" xfId="2511" xr:uid="{00000000-0005-0000-0000-0000C7200000}"/>
    <cellStyle name="20% - Accent5 5 4" xfId="914" xr:uid="{00000000-0005-0000-0000-0000C8200000}"/>
    <cellStyle name="20% - Accent5 5 5" xfId="1283" xr:uid="{00000000-0005-0000-0000-0000C9200000}"/>
    <cellStyle name="20% - Accent5 5 5 2" xfId="4810" xr:uid="{00000000-0005-0000-0000-0000CA200000}"/>
    <cellStyle name="20% - Accent5 5 5 2 2" xfId="8401" xr:uid="{00000000-0005-0000-0000-0000CB200000}"/>
    <cellStyle name="20% - Accent5 5 5 2 2 2" xfId="16371" xr:uid="{00000000-0005-0000-0000-0000CC200000}"/>
    <cellStyle name="20% - Accent5 5 5 2 2 2 2" xfId="40213" xr:uid="{9F6F1EB7-A6EB-48BF-A545-CF4F83D85101}"/>
    <cellStyle name="20% - Accent5 5 5 2 2 3" xfId="24317" xr:uid="{00000000-0005-0000-0000-0000CD200000}"/>
    <cellStyle name="20% - Accent5 5 5 2 2 3 2" xfId="48149" xr:uid="{F7A8C2B8-2FE1-4E95-81CA-1F1712D56837}"/>
    <cellStyle name="20% - Accent5 5 5 2 2 4" xfId="32272" xr:uid="{C2258E8C-208F-4315-B767-715E91A714C0}"/>
    <cellStyle name="20% - Accent5 5 5 2 3" xfId="12833" xr:uid="{00000000-0005-0000-0000-0000CE200000}"/>
    <cellStyle name="20% - Accent5 5 5 2 3 2" xfId="36682" xr:uid="{DB000C44-7C1A-4290-8020-2FA03AA001D0}"/>
    <cellStyle name="20% - Accent5 5 5 2 4" xfId="20788" xr:uid="{00000000-0005-0000-0000-0000CF200000}"/>
    <cellStyle name="20% - Accent5 5 5 2 4 2" xfId="44620" xr:uid="{1585373D-10B4-4918-AD1B-B5D4B31D110C}"/>
    <cellStyle name="20% - Accent5 5 5 2 5" xfId="28741" xr:uid="{C3BAD3B9-4A39-4D2B-BE7D-401D88D20A32}"/>
    <cellStyle name="20% - Accent5 5 5 3" xfId="6642" xr:uid="{00000000-0005-0000-0000-0000D0200000}"/>
    <cellStyle name="20% - Accent5 5 5 3 2" xfId="14613" xr:uid="{00000000-0005-0000-0000-0000D1200000}"/>
    <cellStyle name="20% - Accent5 5 5 3 2 2" xfId="38455" xr:uid="{F0C1CEB5-02A4-4BDC-81AF-492FF36CF71D}"/>
    <cellStyle name="20% - Accent5 5 5 3 3" xfId="22560" xr:uid="{00000000-0005-0000-0000-0000D2200000}"/>
    <cellStyle name="20% - Accent5 5 5 3 3 2" xfId="46392" xr:uid="{70F58A1C-A273-4150-8143-C5F32AFF3966}"/>
    <cellStyle name="20% - Accent5 5 5 3 4" xfId="30514" xr:uid="{6CA0CBDE-D600-45C4-A5E7-A4E06693CF8F}"/>
    <cellStyle name="20% - Accent5 5 5 4" xfId="11077" xr:uid="{00000000-0005-0000-0000-0000D3200000}"/>
    <cellStyle name="20% - Accent5 5 5 4 2" xfId="34926" xr:uid="{FC5109D1-ED86-4305-9CEC-FC53A91366B0}"/>
    <cellStyle name="20% - Accent5 5 5 5" xfId="19032" xr:uid="{00000000-0005-0000-0000-0000D4200000}"/>
    <cellStyle name="20% - Accent5 5 5 5 2" xfId="42864" xr:uid="{E0DF1038-0E7F-4794-8CF8-DA1E1723291E}"/>
    <cellStyle name="20% - Accent5 5 5 6" xfId="26984" xr:uid="{6340CAD5-BC5B-4550-83BF-891FC9A74D57}"/>
    <cellStyle name="20% - Accent5 5 5_Exh G" xfId="2513" xr:uid="{00000000-0005-0000-0000-0000D5200000}"/>
    <cellStyle name="20% - Accent5 5 6" xfId="3931" xr:uid="{00000000-0005-0000-0000-0000D6200000}"/>
    <cellStyle name="20% - Accent5 5 6 2" xfId="7523" xr:uid="{00000000-0005-0000-0000-0000D7200000}"/>
    <cellStyle name="20% - Accent5 5 6 2 2" xfId="15493" xr:uid="{00000000-0005-0000-0000-0000D8200000}"/>
    <cellStyle name="20% - Accent5 5 6 2 2 2" xfId="39335" xr:uid="{A2D9574E-4B8E-4E3D-9E56-A48B56101BE8}"/>
    <cellStyle name="20% - Accent5 5 6 2 3" xfId="23439" xr:uid="{00000000-0005-0000-0000-0000D9200000}"/>
    <cellStyle name="20% - Accent5 5 6 2 3 2" xfId="47271" xr:uid="{DCC3E615-25E3-4C9C-B20D-D856FA8E6E03}"/>
    <cellStyle name="20% - Accent5 5 6 2 4" xfId="31394" xr:uid="{5FAA740C-5353-428D-86F0-9BB68C9CF586}"/>
    <cellStyle name="20% - Accent5 5 6 3" xfId="11955" xr:uid="{00000000-0005-0000-0000-0000DA200000}"/>
    <cellStyle name="20% - Accent5 5 6 3 2" xfId="35804" xr:uid="{C2691A3F-1D89-4A4B-B7AD-AB2F38DBF56D}"/>
    <cellStyle name="20% - Accent5 5 6 4" xfId="19910" xr:uid="{00000000-0005-0000-0000-0000DB200000}"/>
    <cellStyle name="20% - Accent5 5 6 4 2" xfId="43742" xr:uid="{CA80DBEB-48D3-490E-9D81-15280D768488}"/>
    <cellStyle name="20% - Accent5 5 6 5" xfId="27863" xr:uid="{3FE83CC9-C1B1-4DFE-B319-A7B4A589FC36}"/>
    <cellStyle name="20% - Accent5 5 7" xfId="5751" xr:uid="{00000000-0005-0000-0000-0000DC200000}"/>
    <cellStyle name="20% - Accent5 5 7 2" xfId="13734" xr:uid="{00000000-0005-0000-0000-0000DD200000}"/>
    <cellStyle name="20% - Accent5 5 7 2 2" xfId="37577" xr:uid="{AF23B8A3-8A59-4158-A4B4-3F7CB639355C}"/>
    <cellStyle name="20% - Accent5 5 7 3" xfId="21682" xr:uid="{00000000-0005-0000-0000-0000DE200000}"/>
    <cellStyle name="20% - Accent5 5 7 3 2" xfId="45514" xr:uid="{798C2FCF-A205-47A0-83ED-66FF5F9BD9C6}"/>
    <cellStyle name="20% - Accent5 5 7 4" xfId="29636" xr:uid="{D19ECD34-5642-4355-9EC2-F712B99EFCF4}"/>
    <cellStyle name="20% - Accent5 5 8" xfId="9303" xr:uid="{00000000-0005-0000-0000-0000DF200000}"/>
    <cellStyle name="20% - Accent5 5 8 2" xfId="17261" xr:uid="{00000000-0005-0000-0000-0000E0200000}"/>
    <cellStyle name="20% - Accent5 5 8 2 2" xfId="41101" xr:uid="{F32993A6-D9BB-4698-986F-3AF8C94BFA9E}"/>
    <cellStyle name="20% - Accent5 5 8 3" xfId="25205" xr:uid="{00000000-0005-0000-0000-0000E1200000}"/>
    <cellStyle name="20% - Accent5 5 8 3 2" xfId="49037" xr:uid="{6E60E385-FC0B-4569-99A6-42E6ABA9C91A}"/>
    <cellStyle name="20% - Accent5 5 8 4" xfId="33160" xr:uid="{2712594D-68F7-4066-B3BB-96CAC5BFEBA9}"/>
    <cellStyle name="20% - Accent5 5 9" xfId="10199" xr:uid="{00000000-0005-0000-0000-0000E2200000}"/>
    <cellStyle name="20% - Accent5 5 9 2" xfId="34048" xr:uid="{5468E28D-9A83-4AD3-BA34-83D2C62518A5}"/>
    <cellStyle name="20% - Accent5 5_Exh G" xfId="2506" xr:uid="{00000000-0005-0000-0000-0000E3200000}"/>
    <cellStyle name="20% - Accent5 6" xfId="261" xr:uid="{00000000-0005-0000-0000-0000E4200000}"/>
    <cellStyle name="20% - Accent5 6 10" xfId="18158" xr:uid="{00000000-0005-0000-0000-0000E5200000}"/>
    <cellStyle name="20% - Accent5 6 10 2" xfId="41990" xr:uid="{E1F67FDB-4680-42FA-AD56-DA88722F2C76}"/>
    <cellStyle name="20% - Accent5 6 11" xfId="26110" xr:uid="{234D8714-A779-4462-AAE1-74D6FFE28358}"/>
    <cellStyle name="20% - Accent5 6 2" xfId="262" xr:uid="{00000000-0005-0000-0000-0000E6200000}"/>
    <cellStyle name="20% - Accent5 6 2 2" xfId="263" xr:uid="{00000000-0005-0000-0000-0000E7200000}"/>
    <cellStyle name="20% - Accent5 6 2 2 2" xfId="1289" xr:uid="{00000000-0005-0000-0000-0000E8200000}"/>
    <cellStyle name="20% - Accent5 6 2 2 2 2" xfId="4816" xr:uid="{00000000-0005-0000-0000-0000E9200000}"/>
    <cellStyle name="20% - Accent5 6 2 2 2 2 2" xfId="8407" xr:uid="{00000000-0005-0000-0000-0000EA200000}"/>
    <cellStyle name="20% - Accent5 6 2 2 2 2 2 2" xfId="16377" xr:uid="{00000000-0005-0000-0000-0000EB200000}"/>
    <cellStyle name="20% - Accent5 6 2 2 2 2 2 2 2" xfId="40219" xr:uid="{C50531EB-2F2F-4C46-9FEF-DB75CF4055A7}"/>
    <cellStyle name="20% - Accent5 6 2 2 2 2 2 3" xfId="24323" xr:uid="{00000000-0005-0000-0000-0000EC200000}"/>
    <cellStyle name="20% - Accent5 6 2 2 2 2 2 3 2" xfId="48155" xr:uid="{8CD91905-3E0E-488A-B7A3-79099B57459D}"/>
    <cellStyle name="20% - Accent5 6 2 2 2 2 2 4" xfId="32278" xr:uid="{2844DC13-6DDE-4FEC-B385-E82693B0DAA0}"/>
    <cellStyle name="20% - Accent5 6 2 2 2 2 3" xfId="12839" xr:uid="{00000000-0005-0000-0000-0000ED200000}"/>
    <cellStyle name="20% - Accent5 6 2 2 2 2 3 2" xfId="36688" xr:uid="{F7153050-597B-40A7-91A6-4BDDD3185706}"/>
    <cellStyle name="20% - Accent5 6 2 2 2 2 4" xfId="20794" xr:uid="{00000000-0005-0000-0000-0000EE200000}"/>
    <cellStyle name="20% - Accent5 6 2 2 2 2 4 2" xfId="44626" xr:uid="{807321D4-7E52-4964-8F34-7035975AC672}"/>
    <cellStyle name="20% - Accent5 6 2 2 2 2 5" xfId="28747" xr:uid="{D2C150C8-7E19-4870-A1F3-2A698D57599A}"/>
    <cellStyle name="20% - Accent5 6 2 2 2 3" xfId="6648" xr:uid="{00000000-0005-0000-0000-0000EF200000}"/>
    <cellStyle name="20% - Accent5 6 2 2 2 3 2" xfId="14619" xr:uid="{00000000-0005-0000-0000-0000F0200000}"/>
    <cellStyle name="20% - Accent5 6 2 2 2 3 2 2" xfId="38461" xr:uid="{57C6C7F8-A674-4F34-98AB-2CDB1062404B}"/>
    <cellStyle name="20% - Accent5 6 2 2 2 3 3" xfId="22566" xr:uid="{00000000-0005-0000-0000-0000F1200000}"/>
    <cellStyle name="20% - Accent5 6 2 2 2 3 3 2" xfId="46398" xr:uid="{D7C3ED92-CE56-4532-86AE-073BF8BF8DDB}"/>
    <cellStyle name="20% - Accent5 6 2 2 2 3 4" xfId="30520" xr:uid="{76136EEC-AE29-47BF-8104-BA4753866D11}"/>
    <cellStyle name="20% - Accent5 6 2 2 2 4" xfId="11083" xr:uid="{00000000-0005-0000-0000-0000F2200000}"/>
    <cellStyle name="20% - Accent5 6 2 2 2 4 2" xfId="34932" xr:uid="{F2839372-245A-4203-B14E-844AE799CD5C}"/>
    <cellStyle name="20% - Accent5 6 2 2 2 5" xfId="19038" xr:uid="{00000000-0005-0000-0000-0000F3200000}"/>
    <cellStyle name="20% - Accent5 6 2 2 2 5 2" xfId="42870" xr:uid="{0081BA15-143A-43EC-997D-7CE99CB9CDE8}"/>
    <cellStyle name="20% - Accent5 6 2 2 2 6" xfId="26990" xr:uid="{578012B7-6A5E-40BC-B44C-84C6FCCE6D48}"/>
    <cellStyle name="20% - Accent5 6 2 2 2_Exh G" xfId="2517" xr:uid="{00000000-0005-0000-0000-0000F4200000}"/>
    <cellStyle name="20% - Accent5 6 2 2 3" xfId="3937" xr:uid="{00000000-0005-0000-0000-0000F5200000}"/>
    <cellStyle name="20% - Accent5 6 2 2 3 2" xfId="7529" xr:uid="{00000000-0005-0000-0000-0000F6200000}"/>
    <cellStyle name="20% - Accent5 6 2 2 3 2 2" xfId="15499" xr:uid="{00000000-0005-0000-0000-0000F7200000}"/>
    <cellStyle name="20% - Accent5 6 2 2 3 2 2 2" xfId="39341" xr:uid="{C8766B7D-B03B-4158-BB59-BAEC8D8D1967}"/>
    <cellStyle name="20% - Accent5 6 2 2 3 2 3" xfId="23445" xr:uid="{00000000-0005-0000-0000-0000F8200000}"/>
    <cellStyle name="20% - Accent5 6 2 2 3 2 3 2" xfId="47277" xr:uid="{C78D89D0-5C39-4E8F-AD1D-C950E077C4EE}"/>
    <cellStyle name="20% - Accent5 6 2 2 3 2 4" xfId="31400" xr:uid="{FD23F13E-1720-45B6-98CD-4926A7A3DED5}"/>
    <cellStyle name="20% - Accent5 6 2 2 3 3" xfId="11961" xr:uid="{00000000-0005-0000-0000-0000F9200000}"/>
    <cellStyle name="20% - Accent5 6 2 2 3 3 2" xfId="35810" xr:uid="{806FDB63-3E5D-48C4-9C40-71D7C1B82411}"/>
    <cellStyle name="20% - Accent5 6 2 2 3 4" xfId="19916" xr:uid="{00000000-0005-0000-0000-0000FA200000}"/>
    <cellStyle name="20% - Accent5 6 2 2 3 4 2" xfId="43748" xr:uid="{8866A14C-ED48-457A-B0E0-4DDCF5B0330C}"/>
    <cellStyle name="20% - Accent5 6 2 2 3 5" xfId="27869" xr:uid="{669EA78B-67ED-46EF-A571-58E05D58F0A5}"/>
    <cellStyle name="20% - Accent5 6 2 2 4" xfId="5757" xr:uid="{00000000-0005-0000-0000-0000FB200000}"/>
    <cellStyle name="20% - Accent5 6 2 2 4 2" xfId="13740" xr:uid="{00000000-0005-0000-0000-0000FC200000}"/>
    <cellStyle name="20% - Accent5 6 2 2 4 2 2" xfId="37583" xr:uid="{DC0E7798-0A9D-42D2-BBDC-5165C3D77FAC}"/>
    <cellStyle name="20% - Accent5 6 2 2 4 3" xfId="21688" xr:uid="{00000000-0005-0000-0000-0000FD200000}"/>
    <cellStyle name="20% - Accent5 6 2 2 4 3 2" xfId="45520" xr:uid="{8351AEED-129B-406D-A45C-DCA5DF498FB3}"/>
    <cellStyle name="20% - Accent5 6 2 2 4 4" xfId="29642" xr:uid="{707E14C6-F631-4418-8650-250C92666460}"/>
    <cellStyle name="20% - Accent5 6 2 2 5" xfId="9309" xr:uid="{00000000-0005-0000-0000-0000FE200000}"/>
    <cellStyle name="20% - Accent5 6 2 2 5 2" xfId="17267" xr:uid="{00000000-0005-0000-0000-0000FF200000}"/>
    <cellStyle name="20% - Accent5 6 2 2 5 2 2" xfId="41107" xr:uid="{28301008-BEB6-4979-9F4D-DDC8D3F72915}"/>
    <cellStyle name="20% - Accent5 6 2 2 5 3" xfId="25211" xr:uid="{00000000-0005-0000-0000-000000210000}"/>
    <cellStyle name="20% - Accent5 6 2 2 5 3 2" xfId="49043" xr:uid="{B0BCD381-7ACF-40C6-97A7-CB6EF3891C37}"/>
    <cellStyle name="20% - Accent5 6 2 2 5 4" xfId="33166" xr:uid="{E49D2CDF-1E45-49B4-9C6C-6299F1C0D210}"/>
    <cellStyle name="20% - Accent5 6 2 2 6" xfId="10205" xr:uid="{00000000-0005-0000-0000-000001210000}"/>
    <cellStyle name="20% - Accent5 6 2 2 6 2" xfId="34054" xr:uid="{0506E64A-A3A8-461E-AABD-C1AC155C063A}"/>
    <cellStyle name="20% - Accent5 6 2 2 7" xfId="18160" xr:uid="{00000000-0005-0000-0000-000002210000}"/>
    <cellStyle name="20% - Accent5 6 2 2 7 2" xfId="41992" xr:uid="{6E823E11-C678-41FF-AA55-4B9570BD83D0}"/>
    <cellStyle name="20% - Accent5 6 2 2 8" xfId="26112" xr:uid="{61BBE158-1BBC-4C90-A2F4-37DEA2578AAD}"/>
    <cellStyle name="20% - Accent5 6 2 2_Exh G" xfId="2516" xr:uid="{00000000-0005-0000-0000-000003210000}"/>
    <cellStyle name="20% - Accent5 6 2 3" xfId="1288" xr:uid="{00000000-0005-0000-0000-000004210000}"/>
    <cellStyle name="20% - Accent5 6 2 3 2" xfId="4815" xr:uid="{00000000-0005-0000-0000-000005210000}"/>
    <cellStyle name="20% - Accent5 6 2 3 2 2" xfId="8406" xr:uid="{00000000-0005-0000-0000-000006210000}"/>
    <cellStyle name="20% - Accent5 6 2 3 2 2 2" xfId="16376" xr:uid="{00000000-0005-0000-0000-000007210000}"/>
    <cellStyle name="20% - Accent5 6 2 3 2 2 2 2" xfId="40218" xr:uid="{30F76D4F-55CD-43DE-B016-CB218DB1C7D7}"/>
    <cellStyle name="20% - Accent5 6 2 3 2 2 3" xfId="24322" xr:uid="{00000000-0005-0000-0000-000008210000}"/>
    <cellStyle name="20% - Accent5 6 2 3 2 2 3 2" xfId="48154" xr:uid="{FAA34B8A-FA48-470C-A2CC-D81662D435D4}"/>
    <cellStyle name="20% - Accent5 6 2 3 2 2 4" xfId="32277" xr:uid="{C9B750D2-FB30-482F-B131-1220BF6E4362}"/>
    <cellStyle name="20% - Accent5 6 2 3 2 3" xfId="12838" xr:uid="{00000000-0005-0000-0000-000009210000}"/>
    <cellStyle name="20% - Accent5 6 2 3 2 3 2" xfId="36687" xr:uid="{0FD6A5F1-9E01-4E57-9D03-62A24CA854EB}"/>
    <cellStyle name="20% - Accent5 6 2 3 2 4" xfId="20793" xr:uid="{00000000-0005-0000-0000-00000A210000}"/>
    <cellStyle name="20% - Accent5 6 2 3 2 4 2" xfId="44625" xr:uid="{8D39AA63-7347-4771-92C5-33615DA4D1D2}"/>
    <cellStyle name="20% - Accent5 6 2 3 2 5" xfId="28746" xr:uid="{868E8960-F192-4316-AA02-F82BA8F9DFEA}"/>
    <cellStyle name="20% - Accent5 6 2 3 3" xfId="6647" xr:uid="{00000000-0005-0000-0000-00000B210000}"/>
    <cellStyle name="20% - Accent5 6 2 3 3 2" xfId="14618" xr:uid="{00000000-0005-0000-0000-00000C210000}"/>
    <cellStyle name="20% - Accent5 6 2 3 3 2 2" xfId="38460" xr:uid="{5C80647A-8282-4429-B07D-3D3AF6A7029C}"/>
    <cellStyle name="20% - Accent5 6 2 3 3 3" xfId="22565" xr:uid="{00000000-0005-0000-0000-00000D210000}"/>
    <cellStyle name="20% - Accent5 6 2 3 3 3 2" xfId="46397" xr:uid="{90BCCB37-9F35-46F7-A681-BA3A59E4D666}"/>
    <cellStyle name="20% - Accent5 6 2 3 3 4" xfId="30519" xr:uid="{E17021F5-4DF9-4F51-8EEE-FB0F46D449A8}"/>
    <cellStyle name="20% - Accent5 6 2 3 4" xfId="11082" xr:uid="{00000000-0005-0000-0000-00000E210000}"/>
    <cellStyle name="20% - Accent5 6 2 3 4 2" xfId="34931" xr:uid="{5B7AB6F1-B28E-41DB-A0D8-245A3C3ABEC4}"/>
    <cellStyle name="20% - Accent5 6 2 3 5" xfId="19037" xr:uid="{00000000-0005-0000-0000-00000F210000}"/>
    <cellStyle name="20% - Accent5 6 2 3 5 2" xfId="42869" xr:uid="{D171D137-89B2-42CD-B4D0-5719B45CDFE7}"/>
    <cellStyle name="20% - Accent5 6 2 3 6" xfId="26989" xr:uid="{6EC48712-857C-4606-9837-B14055A23715}"/>
    <cellStyle name="20% - Accent5 6 2 3_Exh G" xfId="2518" xr:uid="{00000000-0005-0000-0000-000010210000}"/>
    <cellStyle name="20% - Accent5 6 2 4" xfId="3936" xr:uid="{00000000-0005-0000-0000-000011210000}"/>
    <cellStyle name="20% - Accent5 6 2 4 2" xfId="7528" xr:uid="{00000000-0005-0000-0000-000012210000}"/>
    <cellStyle name="20% - Accent5 6 2 4 2 2" xfId="15498" xr:uid="{00000000-0005-0000-0000-000013210000}"/>
    <cellStyle name="20% - Accent5 6 2 4 2 2 2" xfId="39340" xr:uid="{B59F0BE6-017F-40EB-BE89-1535B4205881}"/>
    <cellStyle name="20% - Accent5 6 2 4 2 3" xfId="23444" xr:uid="{00000000-0005-0000-0000-000014210000}"/>
    <cellStyle name="20% - Accent5 6 2 4 2 3 2" xfId="47276" xr:uid="{DA412E8F-FA57-434D-BC46-DAF40439327F}"/>
    <cellStyle name="20% - Accent5 6 2 4 2 4" xfId="31399" xr:uid="{C29919BF-3E5B-420D-ABA2-2F73BA7599ED}"/>
    <cellStyle name="20% - Accent5 6 2 4 3" xfId="11960" xr:uid="{00000000-0005-0000-0000-000015210000}"/>
    <cellStyle name="20% - Accent5 6 2 4 3 2" xfId="35809" xr:uid="{6C6BD6A2-3106-4891-BF2D-6819D670A1E8}"/>
    <cellStyle name="20% - Accent5 6 2 4 4" xfId="19915" xr:uid="{00000000-0005-0000-0000-000016210000}"/>
    <cellStyle name="20% - Accent5 6 2 4 4 2" xfId="43747" xr:uid="{48518C83-15F0-481E-8481-F3ED646C32C3}"/>
    <cellStyle name="20% - Accent5 6 2 4 5" xfId="27868" xr:uid="{6C070C71-447F-4569-9051-D9D1CEE44794}"/>
    <cellStyle name="20% - Accent5 6 2 5" xfId="5756" xr:uid="{00000000-0005-0000-0000-000017210000}"/>
    <cellStyle name="20% - Accent5 6 2 5 2" xfId="13739" xr:uid="{00000000-0005-0000-0000-000018210000}"/>
    <cellStyle name="20% - Accent5 6 2 5 2 2" xfId="37582" xr:uid="{D2AB670E-64AE-4994-A728-95C46E801376}"/>
    <cellStyle name="20% - Accent5 6 2 5 3" xfId="21687" xr:uid="{00000000-0005-0000-0000-000019210000}"/>
    <cellStyle name="20% - Accent5 6 2 5 3 2" xfId="45519" xr:uid="{11281CE5-FE90-4AC9-B2ED-F31B8F1ECD07}"/>
    <cellStyle name="20% - Accent5 6 2 5 4" xfId="29641" xr:uid="{3E5096C8-EB59-436B-8BC1-E7A83A123F4E}"/>
    <cellStyle name="20% - Accent5 6 2 6" xfId="9308" xr:uid="{00000000-0005-0000-0000-00001A210000}"/>
    <cellStyle name="20% - Accent5 6 2 6 2" xfId="17266" xr:uid="{00000000-0005-0000-0000-00001B210000}"/>
    <cellStyle name="20% - Accent5 6 2 6 2 2" xfId="41106" xr:uid="{EFBD5ECB-DA74-4664-9BCA-38C612FD91AB}"/>
    <cellStyle name="20% - Accent5 6 2 6 3" xfId="25210" xr:uid="{00000000-0005-0000-0000-00001C210000}"/>
    <cellStyle name="20% - Accent5 6 2 6 3 2" xfId="49042" xr:uid="{11464979-666D-4632-A591-F0901BE968E3}"/>
    <cellStyle name="20% - Accent5 6 2 6 4" xfId="33165" xr:uid="{DB171F40-2BAF-4949-A429-8204D0723460}"/>
    <cellStyle name="20% - Accent5 6 2 7" xfId="10204" xr:uid="{00000000-0005-0000-0000-00001D210000}"/>
    <cellStyle name="20% - Accent5 6 2 7 2" xfId="34053" xr:uid="{0730C491-D3B0-4DB1-A82D-DF4C4094E670}"/>
    <cellStyle name="20% - Accent5 6 2 8" xfId="18159" xr:uid="{00000000-0005-0000-0000-00001E210000}"/>
    <cellStyle name="20% - Accent5 6 2 8 2" xfId="41991" xr:uid="{F6424C8D-FF8D-453F-ACD8-7CBF96B6A51F}"/>
    <cellStyle name="20% - Accent5 6 2 9" xfId="26111" xr:uid="{C3564A83-726E-4807-A039-3CE83107EEE6}"/>
    <cellStyle name="20% - Accent5 6 2_Exh G" xfId="2515" xr:uid="{00000000-0005-0000-0000-00001F210000}"/>
    <cellStyle name="20% - Accent5 6 3" xfId="264" xr:uid="{00000000-0005-0000-0000-000020210000}"/>
    <cellStyle name="20% - Accent5 6 3 2" xfId="1290" xr:uid="{00000000-0005-0000-0000-000021210000}"/>
    <cellStyle name="20% - Accent5 6 3 2 2" xfId="4817" xr:uid="{00000000-0005-0000-0000-000022210000}"/>
    <cellStyle name="20% - Accent5 6 3 2 2 2" xfId="8408" xr:uid="{00000000-0005-0000-0000-000023210000}"/>
    <cellStyle name="20% - Accent5 6 3 2 2 2 2" xfId="16378" xr:uid="{00000000-0005-0000-0000-000024210000}"/>
    <cellStyle name="20% - Accent5 6 3 2 2 2 2 2" xfId="40220" xr:uid="{563BC9BF-3B55-4A17-A8FA-2F09630B821D}"/>
    <cellStyle name="20% - Accent5 6 3 2 2 2 3" xfId="24324" xr:uid="{00000000-0005-0000-0000-000025210000}"/>
    <cellStyle name="20% - Accent5 6 3 2 2 2 3 2" xfId="48156" xr:uid="{F141EAB6-C569-4F2F-969B-858B33D55205}"/>
    <cellStyle name="20% - Accent5 6 3 2 2 2 4" xfId="32279" xr:uid="{BF9FC4A5-E32B-42D3-B6FB-83AFD6BCD2A2}"/>
    <cellStyle name="20% - Accent5 6 3 2 2 3" xfId="12840" xr:uid="{00000000-0005-0000-0000-000026210000}"/>
    <cellStyle name="20% - Accent5 6 3 2 2 3 2" xfId="36689" xr:uid="{097B0477-E303-4350-ACCD-CE4698C919F2}"/>
    <cellStyle name="20% - Accent5 6 3 2 2 4" xfId="20795" xr:uid="{00000000-0005-0000-0000-000027210000}"/>
    <cellStyle name="20% - Accent5 6 3 2 2 4 2" xfId="44627" xr:uid="{EE64E1BB-8828-47D1-B706-EB0AEDC321C0}"/>
    <cellStyle name="20% - Accent5 6 3 2 2 5" xfId="28748" xr:uid="{362CB722-4E0D-4621-9DF2-AE970AF64B6F}"/>
    <cellStyle name="20% - Accent5 6 3 2 3" xfId="6649" xr:uid="{00000000-0005-0000-0000-000028210000}"/>
    <cellStyle name="20% - Accent5 6 3 2 3 2" xfId="14620" xr:uid="{00000000-0005-0000-0000-000029210000}"/>
    <cellStyle name="20% - Accent5 6 3 2 3 2 2" xfId="38462" xr:uid="{95C88FE1-FBFC-4097-A736-98BF0060C8EC}"/>
    <cellStyle name="20% - Accent5 6 3 2 3 3" xfId="22567" xr:uid="{00000000-0005-0000-0000-00002A210000}"/>
    <cellStyle name="20% - Accent5 6 3 2 3 3 2" xfId="46399" xr:uid="{19624230-4130-4FDE-8025-FA7E9E0EE51C}"/>
    <cellStyle name="20% - Accent5 6 3 2 3 4" xfId="30521" xr:uid="{A7DA2BC5-878A-4030-8FDF-5289C9F39A3D}"/>
    <cellStyle name="20% - Accent5 6 3 2 4" xfId="11084" xr:uid="{00000000-0005-0000-0000-00002B210000}"/>
    <cellStyle name="20% - Accent5 6 3 2 4 2" xfId="34933" xr:uid="{935A8777-4A62-4D8C-87E8-4ADBE6AB259F}"/>
    <cellStyle name="20% - Accent5 6 3 2 5" xfId="19039" xr:uid="{00000000-0005-0000-0000-00002C210000}"/>
    <cellStyle name="20% - Accent5 6 3 2 5 2" xfId="42871" xr:uid="{4FABE15D-5FDE-4338-9E60-D1B8147AFC9F}"/>
    <cellStyle name="20% - Accent5 6 3 2 6" xfId="26991" xr:uid="{C4EE07C5-CEED-42DA-BF2D-18E3A75070B8}"/>
    <cellStyle name="20% - Accent5 6 3 2_Exh G" xfId="2520" xr:uid="{00000000-0005-0000-0000-00002D210000}"/>
    <cellStyle name="20% - Accent5 6 3 3" xfId="3938" xr:uid="{00000000-0005-0000-0000-00002E210000}"/>
    <cellStyle name="20% - Accent5 6 3 3 2" xfId="7530" xr:uid="{00000000-0005-0000-0000-00002F210000}"/>
    <cellStyle name="20% - Accent5 6 3 3 2 2" xfId="15500" xr:uid="{00000000-0005-0000-0000-000030210000}"/>
    <cellStyle name="20% - Accent5 6 3 3 2 2 2" xfId="39342" xr:uid="{E0D12349-C682-464E-A490-393720FB8B0E}"/>
    <cellStyle name="20% - Accent5 6 3 3 2 3" xfId="23446" xr:uid="{00000000-0005-0000-0000-000031210000}"/>
    <cellStyle name="20% - Accent5 6 3 3 2 3 2" xfId="47278" xr:uid="{A9A021E8-7E93-4C07-B8EB-5C8902ECCA2A}"/>
    <cellStyle name="20% - Accent5 6 3 3 2 4" xfId="31401" xr:uid="{50BF3462-89D1-4846-A2A9-25B74A6FF5D7}"/>
    <cellStyle name="20% - Accent5 6 3 3 3" xfId="11962" xr:uid="{00000000-0005-0000-0000-000032210000}"/>
    <cellStyle name="20% - Accent5 6 3 3 3 2" xfId="35811" xr:uid="{93C602A4-FB4D-42E7-A3A2-9FE65941A825}"/>
    <cellStyle name="20% - Accent5 6 3 3 4" xfId="19917" xr:uid="{00000000-0005-0000-0000-000033210000}"/>
    <cellStyle name="20% - Accent5 6 3 3 4 2" xfId="43749" xr:uid="{93F73FD1-8BC8-438C-996F-66DD5C8DC09D}"/>
    <cellStyle name="20% - Accent5 6 3 3 5" xfId="27870" xr:uid="{1FDD264C-590C-498A-8F53-0F083CF4550D}"/>
    <cellStyle name="20% - Accent5 6 3 4" xfId="5758" xr:uid="{00000000-0005-0000-0000-000034210000}"/>
    <cellStyle name="20% - Accent5 6 3 4 2" xfId="13741" xr:uid="{00000000-0005-0000-0000-000035210000}"/>
    <cellStyle name="20% - Accent5 6 3 4 2 2" xfId="37584" xr:uid="{0DC5C54D-D7FD-4A6A-B259-5414D5399961}"/>
    <cellStyle name="20% - Accent5 6 3 4 3" xfId="21689" xr:uid="{00000000-0005-0000-0000-000036210000}"/>
    <cellStyle name="20% - Accent5 6 3 4 3 2" xfId="45521" xr:uid="{4013B3A7-3618-4D6D-987F-66F07AE8136E}"/>
    <cellStyle name="20% - Accent5 6 3 4 4" xfId="29643" xr:uid="{B056EC6C-1A6B-46EB-B6FB-E3CB9E67C998}"/>
    <cellStyle name="20% - Accent5 6 3 5" xfId="9310" xr:uid="{00000000-0005-0000-0000-000037210000}"/>
    <cellStyle name="20% - Accent5 6 3 5 2" xfId="17268" xr:uid="{00000000-0005-0000-0000-000038210000}"/>
    <cellStyle name="20% - Accent5 6 3 5 2 2" xfId="41108" xr:uid="{B53CEB91-8F32-4599-8CCA-56B41672F524}"/>
    <cellStyle name="20% - Accent5 6 3 5 3" xfId="25212" xr:uid="{00000000-0005-0000-0000-000039210000}"/>
    <cellStyle name="20% - Accent5 6 3 5 3 2" xfId="49044" xr:uid="{B7FD14A7-C4B2-4B6B-A3EC-EF4AFA827E6D}"/>
    <cellStyle name="20% - Accent5 6 3 5 4" xfId="33167" xr:uid="{65E29026-3649-4F39-A519-3D48B461B42A}"/>
    <cellStyle name="20% - Accent5 6 3 6" xfId="10206" xr:uid="{00000000-0005-0000-0000-00003A210000}"/>
    <cellStyle name="20% - Accent5 6 3 6 2" xfId="34055" xr:uid="{C1743AE3-B010-463A-A156-2A23D4E194B3}"/>
    <cellStyle name="20% - Accent5 6 3 7" xfId="18161" xr:uid="{00000000-0005-0000-0000-00003B210000}"/>
    <cellStyle name="20% - Accent5 6 3 7 2" xfId="41993" xr:uid="{9AF8E2A6-AB59-4E19-BB26-DC610DF77AAC}"/>
    <cellStyle name="20% - Accent5 6 3 8" xfId="26113" xr:uid="{4004002A-E69C-430A-BD37-6EDD4F26A86E}"/>
    <cellStyle name="20% - Accent5 6 3_Exh G" xfId="2519" xr:uid="{00000000-0005-0000-0000-00003C210000}"/>
    <cellStyle name="20% - Accent5 6 4" xfId="915" xr:uid="{00000000-0005-0000-0000-00003D210000}"/>
    <cellStyle name="20% - Accent5 6 4 2" xfId="1838" xr:uid="{00000000-0005-0000-0000-00003E210000}"/>
    <cellStyle name="20% - Accent5 6 4 2 2" xfId="5355" xr:uid="{00000000-0005-0000-0000-00003F210000}"/>
    <cellStyle name="20% - Accent5 6 4 2 2 2" xfId="8946" xr:uid="{00000000-0005-0000-0000-000040210000}"/>
    <cellStyle name="20% - Accent5 6 4 2 2 2 2" xfId="16916" xr:uid="{00000000-0005-0000-0000-000041210000}"/>
    <cellStyle name="20% - Accent5 6 4 2 2 2 2 2" xfId="40758" xr:uid="{D9C6DA18-050A-4364-A2E6-69940CDC8FA6}"/>
    <cellStyle name="20% - Accent5 6 4 2 2 2 3" xfId="24862" xr:uid="{00000000-0005-0000-0000-000042210000}"/>
    <cellStyle name="20% - Accent5 6 4 2 2 2 3 2" xfId="48694" xr:uid="{9A8F0C1C-45C0-426A-849D-68C0578428C8}"/>
    <cellStyle name="20% - Accent5 6 4 2 2 2 4" xfId="32817" xr:uid="{39B1B4E6-2E7D-464A-ADB5-83AE4D584C58}"/>
    <cellStyle name="20% - Accent5 6 4 2 2 3" xfId="13378" xr:uid="{00000000-0005-0000-0000-000043210000}"/>
    <cellStyle name="20% - Accent5 6 4 2 2 3 2" xfId="37227" xr:uid="{AA0EE12E-A292-42C9-B8DA-0333C6AA487F}"/>
    <cellStyle name="20% - Accent5 6 4 2 2 4" xfId="21333" xr:uid="{00000000-0005-0000-0000-000044210000}"/>
    <cellStyle name="20% - Accent5 6 4 2 2 4 2" xfId="45165" xr:uid="{34EFB3C2-1A91-426F-8F02-42E1EAA2960F}"/>
    <cellStyle name="20% - Accent5 6 4 2 2 5" xfId="29286" xr:uid="{9B0B9C58-362D-409E-A24E-356C429A70EC}"/>
    <cellStyle name="20% - Accent5 6 4 2 3" xfId="7187" xr:uid="{00000000-0005-0000-0000-000045210000}"/>
    <cellStyle name="20% - Accent5 6 4 2 3 2" xfId="15158" xr:uid="{00000000-0005-0000-0000-000046210000}"/>
    <cellStyle name="20% - Accent5 6 4 2 3 2 2" xfId="39000" xr:uid="{5F12E5BD-77BC-49D4-9CAD-82D9E5629729}"/>
    <cellStyle name="20% - Accent5 6 4 2 3 3" xfId="23105" xr:uid="{00000000-0005-0000-0000-000047210000}"/>
    <cellStyle name="20% - Accent5 6 4 2 3 3 2" xfId="46937" xr:uid="{C95159BA-F42B-42CE-8AD4-711485384FB3}"/>
    <cellStyle name="20% - Accent5 6 4 2 3 4" xfId="31059" xr:uid="{71E88E62-BAEE-46B7-87B8-92C2885D6C85}"/>
    <cellStyle name="20% - Accent5 6 4 2 4" xfId="11622" xr:uid="{00000000-0005-0000-0000-000048210000}"/>
    <cellStyle name="20% - Accent5 6 4 2 4 2" xfId="35471" xr:uid="{54ED8290-93B5-476C-A7AA-F9AF0D9502D8}"/>
    <cellStyle name="20% - Accent5 6 4 2 5" xfId="19577" xr:uid="{00000000-0005-0000-0000-000049210000}"/>
    <cellStyle name="20% - Accent5 6 4 2 5 2" xfId="43409" xr:uid="{95E3A3ED-D003-4F34-A9DA-310D7CED6C20}"/>
    <cellStyle name="20% - Accent5 6 4 2 6" xfId="27529" xr:uid="{81CAB153-AD75-4FF7-B769-2B0A24BC0E14}"/>
    <cellStyle name="20% - Accent5 6 4 2_Exh G" xfId="2522" xr:uid="{00000000-0005-0000-0000-00004A210000}"/>
    <cellStyle name="20% - Accent5 6 4 3" xfId="4476" xr:uid="{00000000-0005-0000-0000-00004B210000}"/>
    <cellStyle name="20% - Accent5 6 4 3 2" xfId="8068" xr:uid="{00000000-0005-0000-0000-00004C210000}"/>
    <cellStyle name="20% - Accent5 6 4 3 2 2" xfId="16038" xr:uid="{00000000-0005-0000-0000-00004D210000}"/>
    <cellStyle name="20% - Accent5 6 4 3 2 2 2" xfId="39880" xr:uid="{9163BF24-9C05-497E-BA5A-FFBB0C116C2F}"/>
    <cellStyle name="20% - Accent5 6 4 3 2 3" xfId="23984" xr:uid="{00000000-0005-0000-0000-00004E210000}"/>
    <cellStyle name="20% - Accent5 6 4 3 2 3 2" xfId="47816" xr:uid="{28320AF7-172B-4605-8740-46362F57644A}"/>
    <cellStyle name="20% - Accent5 6 4 3 2 4" xfId="31939" xr:uid="{51CB531E-CB1B-4C40-AB4C-2AA4DA7C4F36}"/>
    <cellStyle name="20% - Accent5 6 4 3 3" xfId="12500" xr:uid="{00000000-0005-0000-0000-00004F210000}"/>
    <cellStyle name="20% - Accent5 6 4 3 3 2" xfId="36349" xr:uid="{4F358885-5C78-4F39-8FA6-D247506E6E15}"/>
    <cellStyle name="20% - Accent5 6 4 3 4" xfId="20455" xr:uid="{00000000-0005-0000-0000-000050210000}"/>
    <cellStyle name="20% - Accent5 6 4 3 4 2" xfId="44287" xr:uid="{E2F5C24A-502C-41FF-A61B-08449FE1D305}"/>
    <cellStyle name="20% - Accent5 6 4 3 5" xfId="28408" xr:uid="{2F75A5A5-CA15-4C39-B450-768C2874D730}"/>
    <cellStyle name="20% - Accent5 6 4 4" xfId="6306" xr:uid="{00000000-0005-0000-0000-000051210000}"/>
    <cellStyle name="20% - Accent5 6 4 4 2" xfId="14280" xr:uid="{00000000-0005-0000-0000-000052210000}"/>
    <cellStyle name="20% - Accent5 6 4 4 2 2" xfId="38122" xr:uid="{D1E22575-A6A4-47B7-80A1-FAAF72F8C7E8}"/>
    <cellStyle name="20% - Accent5 6 4 4 3" xfId="22227" xr:uid="{00000000-0005-0000-0000-000053210000}"/>
    <cellStyle name="20% - Accent5 6 4 4 3 2" xfId="46059" xr:uid="{DBE71960-AE47-47D3-97F8-E70D0AE51907}"/>
    <cellStyle name="20% - Accent5 6 4 4 4" xfId="30181" xr:uid="{E673979B-038E-4D06-B1FE-FA6E51136D64}"/>
    <cellStyle name="20% - Accent5 6 4 5" xfId="9848" xr:uid="{00000000-0005-0000-0000-000054210000}"/>
    <cellStyle name="20% - Accent5 6 4 5 2" xfId="17806" xr:uid="{00000000-0005-0000-0000-000055210000}"/>
    <cellStyle name="20% - Accent5 6 4 5 2 2" xfId="41646" xr:uid="{94BC32AD-5517-4EEE-99DF-ED2C804A9B93}"/>
    <cellStyle name="20% - Accent5 6 4 5 3" xfId="25750" xr:uid="{00000000-0005-0000-0000-000056210000}"/>
    <cellStyle name="20% - Accent5 6 4 5 3 2" xfId="49582" xr:uid="{BC6E5780-D893-4D00-B1E9-E42B8CA33321}"/>
    <cellStyle name="20% - Accent5 6 4 5 4" xfId="33705" xr:uid="{8C62B5A5-BA31-442B-AAEB-0ACC361EE129}"/>
    <cellStyle name="20% - Accent5 6 4 6" xfId="10744" xr:uid="{00000000-0005-0000-0000-000057210000}"/>
    <cellStyle name="20% - Accent5 6 4 6 2" xfId="34593" xr:uid="{38FDB78A-1032-41E8-871B-778225DB9566}"/>
    <cellStyle name="20% - Accent5 6 4 7" xfId="18699" xr:uid="{00000000-0005-0000-0000-000058210000}"/>
    <cellStyle name="20% - Accent5 6 4 7 2" xfId="42531" xr:uid="{BD33AF91-6F6B-4A12-ABDB-E06D1ECA713D}"/>
    <cellStyle name="20% - Accent5 6 4 8" xfId="26651" xr:uid="{79600A10-22C3-44C9-AEB6-12BE8D9FA85B}"/>
    <cellStyle name="20% - Accent5 6 4_Exh G" xfId="2521" xr:uid="{00000000-0005-0000-0000-000059210000}"/>
    <cellStyle name="20% - Accent5 6 5" xfId="1287" xr:uid="{00000000-0005-0000-0000-00005A210000}"/>
    <cellStyle name="20% - Accent5 6 5 2" xfId="4814" xr:uid="{00000000-0005-0000-0000-00005B210000}"/>
    <cellStyle name="20% - Accent5 6 5 2 2" xfId="8405" xr:uid="{00000000-0005-0000-0000-00005C210000}"/>
    <cellStyle name="20% - Accent5 6 5 2 2 2" xfId="16375" xr:uid="{00000000-0005-0000-0000-00005D210000}"/>
    <cellStyle name="20% - Accent5 6 5 2 2 2 2" xfId="40217" xr:uid="{15C5F8F7-F960-4E64-98CE-AB07033E84C9}"/>
    <cellStyle name="20% - Accent5 6 5 2 2 3" xfId="24321" xr:uid="{00000000-0005-0000-0000-00005E210000}"/>
    <cellStyle name="20% - Accent5 6 5 2 2 3 2" xfId="48153" xr:uid="{3AA925FE-21CE-43CF-8750-FDE5B85A8B3B}"/>
    <cellStyle name="20% - Accent5 6 5 2 2 4" xfId="32276" xr:uid="{567A3DB3-F519-4FE3-A258-6EC6E7A5CC1D}"/>
    <cellStyle name="20% - Accent5 6 5 2 3" xfId="12837" xr:uid="{00000000-0005-0000-0000-00005F210000}"/>
    <cellStyle name="20% - Accent5 6 5 2 3 2" xfId="36686" xr:uid="{F6EF9C2C-303C-41A9-AE80-A235ADA3EEB5}"/>
    <cellStyle name="20% - Accent5 6 5 2 4" xfId="20792" xr:uid="{00000000-0005-0000-0000-000060210000}"/>
    <cellStyle name="20% - Accent5 6 5 2 4 2" xfId="44624" xr:uid="{1F64C233-8556-4C03-A0A4-D549CF85F564}"/>
    <cellStyle name="20% - Accent5 6 5 2 5" xfId="28745" xr:uid="{171A2231-15E6-404C-A07D-964459C3D3B4}"/>
    <cellStyle name="20% - Accent5 6 5 3" xfId="6646" xr:uid="{00000000-0005-0000-0000-000061210000}"/>
    <cellStyle name="20% - Accent5 6 5 3 2" xfId="14617" xr:uid="{00000000-0005-0000-0000-000062210000}"/>
    <cellStyle name="20% - Accent5 6 5 3 2 2" xfId="38459" xr:uid="{486BD08C-013D-44AA-BF20-6124BCAF683D}"/>
    <cellStyle name="20% - Accent5 6 5 3 3" xfId="22564" xr:uid="{00000000-0005-0000-0000-000063210000}"/>
    <cellStyle name="20% - Accent5 6 5 3 3 2" xfId="46396" xr:uid="{0DA436B4-ECAA-4305-952E-8B0E3B125E08}"/>
    <cellStyle name="20% - Accent5 6 5 3 4" xfId="30518" xr:uid="{9CCE49AF-A22F-4E13-B54D-1B4E069CEDFF}"/>
    <cellStyle name="20% - Accent5 6 5 4" xfId="11081" xr:uid="{00000000-0005-0000-0000-000064210000}"/>
    <cellStyle name="20% - Accent5 6 5 4 2" xfId="34930" xr:uid="{CC755830-6319-4AF6-815F-714E0B737ACF}"/>
    <cellStyle name="20% - Accent5 6 5 5" xfId="19036" xr:uid="{00000000-0005-0000-0000-000065210000}"/>
    <cellStyle name="20% - Accent5 6 5 5 2" xfId="42868" xr:uid="{9505FC64-C224-449F-B4C4-51236E5C026C}"/>
    <cellStyle name="20% - Accent5 6 5 6" xfId="26988" xr:uid="{27406B6F-A3E1-4B12-B737-CB1B49CE1174}"/>
    <cellStyle name="20% - Accent5 6 5_Exh G" xfId="2523" xr:uid="{00000000-0005-0000-0000-000066210000}"/>
    <cellStyle name="20% - Accent5 6 6" xfId="3935" xr:uid="{00000000-0005-0000-0000-000067210000}"/>
    <cellStyle name="20% - Accent5 6 6 2" xfId="7527" xr:uid="{00000000-0005-0000-0000-000068210000}"/>
    <cellStyle name="20% - Accent5 6 6 2 2" xfId="15497" xr:uid="{00000000-0005-0000-0000-000069210000}"/>
    <cellStyle name="20% - Accent5 6 6 2 2 2" xfId="39339" xr:uid="{A8EBB828-5195-4A3F-8F32-08CC06D08B52}"/>
    <cellStyle name="20% - Accent5 6 6 2 3" xfId="23443" xr:uid="{00000000-0005-0000-0000-00006A210000}"/>
    <cellStyle name="20% - Accent5 6 6 2 3 2" xfId="47275" xr:uid="{665B5859-5E2D-4DA6-88C4-13599AC081A2}"/>
    <cellStyle name="20% - Accent5 6 6 2 4" xfId="31398" xr:uid="{F6EE0D69-A53F-48DB-B51B-3EB566E1C422}"/>
    <cellStyle name="20% - Accent5 6 6 3" xfId="11959" xr:uid="{00000000-0005-0000-0000-00006B210000}"/>
    <cellStyle name="20% - Accent5 6 6 3 2" xfId="35808" xr:uid="{E61BB20D-5128-4D24-953E-615F60494F5F}"/>
    <cellStyle name="20% - Accent5 6 6 4" xfId="19914" xr:uid="{00000000-0005-0000-0000-00006C210000}"/>
    <cellStyle name="20% - Accent5 6 6 4 2" xfId="43746" xr:uid="{F4EDADF6-E9F2-4654-BE16-6DE81EBD6654}"/>
    <cellStyle name="20% - Accent5 6 6 5" xfId="27867" xr:uid="{2D8AE66D-0FAE-4663-93B4-776E988AD131}"/>
    <cellStyle name="20% - Accent5 6 7" xfId="5755" xr:uid="{00000000-0005-0000-0000-00006D210000}"/>
    <cellStyle name="20% - Accent5 6 7 2" xfId="13738" xr:uid="{00000000-0005-0000-0000-00006E210000}"/>
    <cellStyle name="20% - Accent5 6 7 2 2" xfId="37581" xr:uid="{B77A53B4-6080-4B10-9BE5-F4C6938713E6}"/>
    <cellStyle name="20% - Accent5 6 7 3" xfId="21686" xr:uid="{00000000-0005-0000-0000-00006F210000}"/>
    <cellStyle name="20% - Accent5 6 7 3 2" xfId="45518" xr:uid="{5A77C169-B444-4518-BC5E-1F133503F0F1}"/>
    <cellStyle name="20% - Accent5 6 7 4" xfId="29640" xr:uid="{0F3EBC81-A8E7-4ABD-B4EC-90F5524F7446}"/>
    <cellStyle name="20% - Accent5 6 8" xfId="9307" xr:uid="{00000000-0005-0000-0000-000070210000}"/>
    <cellStyle name="20% - Accent5 6 8 2" xfId="17265" xr:uid="{00000000-0005-0000-0000-000071210000}"/>
    <cellStyle name="20% - Accent5 6 8 2 2" xfId="41105" xr:uid="{C6F81F35-EFB2-4B26-9213-A6D1B0E0BEFD}"/>
    <cellStyle name="20% - Accent5 6 8 3" xfId="25209" xr:uid="{00000000-0005-0000-0000-000072210000}"/>
    <cellStyle name="20% - Accent5 6 8 3 2" xfId="49041" xr:uid="{68D43A82-4B1B-4BD4-9613-3F64DBB9D95F}"/>
    <cellStyle name="20% - Accent5 6 8 4" xfId="33164" xr:uid="{EA5EE787-A216-4E11-867C-7C2D4F663529}"/>
    <cellStyle name="20% - Accent5 6 9" xfId="10203" xr:uid="{00000000-0005-0000-0000-000073210000}"/>
    <cellStyle name="20% - Accent5 6 9 2" xfId="34052" xr:uid="{99514F0D-2E82-450F-879E-D97F7A5918A0}"/>
    <cellStyle name="20% - Accent5 6_Exh G" xfId="2514" xr:uid="{00000000-0005-0000-0000-000074210000}"/>
    <cellStyle name="20% - Accent5 7" xfId="265" xr:uid="{00000000-0005-0000-0000-000075210000}"/>
    <cellStyle name="20% - Accent5 7 10" xfId="18162" xr:uid="{00000000-0005-0000-0000-000076210000}"/>
    <cellStyle name="20% - Accent5 7 10 2" xfId="41994" xr:uid="{3D831311-8BA7-4DA8-B719-902ADE6B7CD4}"/>
    <cellStyle name="20% - Accent5 7 11" xfId="26114" xr:uid="{54433DA2-6599-4A7C-AFC5-EF27C0CE521F}"/>
    <cellStyle name="20% - Accent5 7 2" xfId="266" xr:uid="{00000000-0005-0000-0000-000077210000}"/>
    <cellStyle name="20% - Accent5 7 2 2" xfId="267" xr:uid="{00000000-0005-0000-0000-000078210000}"/>
    <cellStyle name="20% - Accent5 7 2 2 2" xfId="1293" xr:uid="{00000000-0005-0000-0000-000079210000}"/>
    <cellStyle name="20% - Accent5 7 2 2 2 2" xfId="4820" xr:uid="{00000000-0005-0000-0000-00007A210000}"/>
    <cellStyle name="20% - Accent5 7 2 2 2 2 2" xfId="8411" xr:uid="{00000000-0005-0000-0000-00007B210000}"/>
    <cellStyle name="20% - Accent5 7 2 2 2 2 2 2" xfId="16381" xr:uid="{00000000-0005-0000-0000-00007C210000}"/>
    <cellStyle name="20% - Accent5 7 2 2 2 2 2 2 2" xfId="40223" xr:uid="{81A60DB1-00D5-4614-BE34-6646965E03D7}"/>
    <cellStyle name="20% - Accent5 7 2 2 2 2 2 3" xfId="24327" xr:uid="{00000000-0005-0000-0000-00007D210000}"/>
    <cellStyle name="20% - Accent5 7 2 2 2 2 2 3 2" xfId="48159" xr:uid="{50F4EB30-AA0A-4783-83CA-96C6B3EF6982}"/>
    <cellStyle name="20% - Accent5 7 2 2 2 2 2 4" xfId="32282" xr:uid="{BEE170D4-3A23-405F-8EF2-3A1D5E9BD96B}"/>
    <cellStyle name="20% - Accent5 7 2 2 2 2 3" xfId="12843" xr:uid="{00000000-0005-0000-0000-00007E210000}"/>
    <cellStyle name="20% - Accent5 7 2 2 2 2 3 2" xfId="36692" xr:uid="{CCD96D6B-0268-4DF1-BD21-CCFAE98A9D7D}"/>
    <cellStyle name="20% - Accent5 7 2 2 2 2 4" xfId="20798" xr:uid="{00000000-0005-0000-0000-00007F210000}"/>
    <cellStyle name="20% - Accent5 7 2 2 2 2 4 2" xfId="44630" xr:uid="{087E1CFE-C258-45DA-A079-904FEDD034BA}"/>
    <cellStyle name="20% - Accent5 7 2 2 2 2 5" xfId="28751" xr:uid="{231567D9-C0C1-4E83-86C8-27F1F474C0B7}"/>
    <cellStyle name="20% - Accent5 7 2 2 2 3" xfId="6652" xr:uid="{00000000-0005-0000-0000-000080210000}"/>
    <cellStyle name="20% - Accent5 7 2 2 2 3 2" xfId="14623" xr:uid="{00000000-0005-0000-0000-000081210000}"/>
    <cellStyle name="20% - Accent5 7 2 2 2 3 2 2" xfId="38465" xr:uid="{FB700B06-A92A-40EF-8544-3F8B3A196B69}"/>
    <cellStyle name="20% - Accent5 7 2 2 2 3 3" xfId="22570" xr:uid="{00000000-0005-0000-0000-000082210000}"/>
    <cellStyle name="20% - Accent5 7 2 2 2 3 3 2" xfId="46402" xr:uid="{A1D5573D-18F3-46A0-BCB4-9FD8DDB3402F}"/>
    <cellStyle name="20% - Accent5 7 2 2 2 3 4" xfId="30524" xr:uid="{E347D21E-BAD5-4C1B-A0FF-B8726630A362}"/>
    <cellStyle name="20% - Accent5 7 2 2 2 4" xfId="11087" xr:uid="{00000000-0005-0000-0000-000083210000}"/>
    <cellStyle name="20% - Accent5 7 2 2 2 4 2" xfId="34936" xr:uid="{4CC5B6CD-A6F3-4C4C-AF09-DA96BD378765}"/>
    <cellStyle name="20% - Accent5 7 2 2 2 5" xfId="19042" xr:uid="{00000000-0005-0000-0000-000084210000}"/>
    <cellStyle name="20% - Accent5 7 2 2 2 5 2" xfId="42874" xr:uid="{A62F3ED5-9073-4126-8ABB-477B91C26361}"/>
    <cellStyle name="20% - Accent5 7 2 2 2 6" xfId="26994" xr:uid="{9810B203-3324-46FA-969C-B6E8E4CE8606}"/>
    <cellStyle name="20% - Accent5 7 2 2 2_Exh G" xfId="2527" xr:uid="{00000000-0005-0000-0000-000085210000}"/>
    <cellStyle name="20% - Accent5 7 2 2 3" xfId="3941" xr:uid="{00000000-0005-0000-0000-000086210000}"/>
    <cellStyle name="20% - Accent5 7 2 2 3 2" xfId="7533" xr:uid="{00000000-0005-0000-0000-000087210000}"/>
    <cellStyle name="20% - Accent5 7 2 2 3 2 2" xfId="15503" xr:uid="{00000000-0005-0000-0000-000088210000}"/>
    <cellStyle name="20% - Accent5 7 2 2 3 2 2 2" xfId="39345" xr:uid="{0BC76E65-CC52-4BB6-ADCC-20AB966D3584}"/>
    <cellStyle name="20% - Accent5 7 2 2 3 2 3" xfId="23449" xr:uid="{00000000-0005-0000-0000-000089210000}"/>
    <cellStyle name="20% - Accent5 7 2 2 3 2 3 2" xfId="47281" xr:uid="{304756F0-3E0B-4D48-9207-0623E6D2C878}"/>
    <cellStyle name="20% - Accent5 7 2 2 3 2 4" xfId="31404" xr:uid="{FD99252F-5C17-456E-BC84-4044C38637EE}"/>
    <cellStyle name="20% - Accent5 7 2 2 3 3" xfId="11965" xr:uid="{00000000-0005-0000-0000-00008A210000}"/>
    <cellStyle name="20% - Accent5 7 2 2 3 3 2" xfId="35814" xr:uid="{C0A5E614-AFE8-466F-8634-CCAD97B6E9A3}"/>
    <cellStyle name="20% - Accent5 7 2 2 3 4" xfId="19920" xr:uid="{00000000-0005-0000-0000-00008B210000}"/>
    <cellStyle name="20% - Accent5 7 2 2 3 4 2" xfId="43752" xr:uid="{E155297E-D580-4396-A021-AE24F1C35B04}"/>
    <cellStyle name="20% - Accent5 7 2 2 3 5" xfId="27873" xr:uid="{14BC9731-F179-4DCB-9F30-D9E7C52C75DB}"/>
    <cellStyle name="20% - Accent5 7 2 2 4" xfId="5761" xr:uid="{00000000-0005-0000-0000-00008C210000}"/>
    <cellStyle name="20% - Accent5 7 2 2 4 2" xfId="13744" xr:uid="{00000000-0005-0000-0000-00008D210000}"/>
    <cellStyle name="20% - Accent5 7 2 2 4 2 2" xfId="37587" xr:uid="{DCCDE2E4-3D1E-4685-A9FE-6F2BA8EA6B56}"/>
    <cellStyle name="20% - Accent5 7 2 2 4 3" xfId="21692" xr:uid="{00000000-0005-0000-0000-00008E210000}"/>
    <cellStyle name="20% - Accent5 7 2 2 4 3 2" xfId="45524" xr:uid="{19A9F290-6CFB-4A3C-84EE-E4AC03513089}"/>
    <cellStyle name="20% - Accent5 7 2 2 4 4" xfId="29646" xr:uid="{4AFF4531-57B2-4486-B640-9FD3EEC9FDF7}"/>
    <cellStyle name="20% - Accent5 7 2 2 5" xfId="9313" xr:uid="{00000000-0005-0000-0000-00008F210000}"/>
    <cellStyle name="20% - Accent5 7 2 2 5 2" xfId="17271" xr:uid="{00000000-0005-0000-0000-000090210000}"/>
    <cellStyle name="20% - Accent5 7 2 2 5 2 2" xfId="41111" xr:uid="{93CAC180-FF4D-41CF-B83C-2884C4FA01B1}"/>
    <cellStyle name="20% - Accent5 7 2 2 5 3" xfId="25215" xr:uid="{00000000-0005-0000-0000-000091210000}"/>
    <cellStyle name="20% - Accent5 7 2 2 5 3 2" xfId="49047" xr:uid="{0E20931D-38BE-423D-A0F2-46E201C4E7BF}"/>
    <cellStyle name="20% - Accent5 7 2 2 5 4" xfId="33170" xr:uid="{38E84821-B06F-4674-822E-4497803B0193}"/>
    <cellStyle name="20% - Accent5 7 2 2 6" xfId="10209" xr:uid="{00000000-0005-0000-0000-000092210000}"/>
    <cellStyle name="20% - Accent5 7 2 2 6 2" xfId="34058" xr:uid="{F537F183-52C1-487F-B591-3038CC77E2F5}"/>
    <cellStyle name="20% - Accent5 7 2 2 7" xfId="18164" xr:uid="{00000000-0005-0000-0000-000093210000}"/>
    <cellStyle name="20% - Accent5 7 2 2 7 2" xfId="41996" xr:uid="{8612CD7D-92A1-447F-9CEB-F56CD214775B}"/>
    <cellStyle name="20% - Accent5 7 2 2 8" xfId="26116" xr:uid="{326E1099-656C-4D2A-A8E5-70EEB3469FEB}"/>
    <cellStyle name="20% - Accent5 7 2 2_Exh G" xfId="2526" xr:uid="{00000000-0005-0000-0000-000094210000}"/>
    <cellStyle name="20% - Accent5 7 2 3" xfId="1292" xr:uid="{00000000-0005-0000-0000-000095210000}"/>
    <cellStyle name="20% - Accent5 7 2 3 2" xfId="4819" xr:uid="{00000000-0005-0000-0000-000096210000}"/>
    <cellStyle name="20% - Accent5 7 2 3 2 2" xfId="8410" xr:uid="{00000000-0005-0000-0000-000097210000}"/>
    <cellStyle name="20% - Accent5 7 2 3 2 2 2" xfId="16380" xr:uid="{00000000-0005-0000-0000-000098210000}"/>
    <cellStyle name="20% - Accent5 7 2 3 2 2 2 2" xfId="40222" xr:uid="{FA7E1944-C14C-42F7-84D1-6FC9DAD0006A}"/>
    <cellStyle name="20% - Accent5 7 2 3 2 2 3" xfId="24326" xr:uid="{00000000-0005-0000-0000-000099210000}"/>
    <cellStyle name="20% - Accent5 7 2 3 2 2 3 2" xfId="48158" xr:uid="{69E47BE7-7244-478A-970E-6951C2920594}"/>
    <cellStyle name="20% - Accent5 7 2 3 2 2 4" xfId="32281" xr:uid="{FBBEB3B0-9E13-4594-BA65-242AF423CA6E}"/>
    <cellStyle name="20% - Accent5 7 2 3 2 3" xfId="12842" xr:uid="{00000000-0005-0000-0000-00009A210000}"/>
    <cellStyle name="20% - Accent5 7 2 3 2 3 2" xfId="36691" xr:uid="{05E95D2E-A94F-4F45-8D97-D32E602BA26B}"/>
    <cellStyle name="20% - Accent5 7 2 3 2 4" xfId="20797" xr:uid="{00000000-0005-0000-0000-00009B210000}"/>
    <cellStyle name="20% - Accent5 7 2 3 2 4 2" xfId="44629" xr:uid="{90E33BAE-D62D-4FCD-A81D-D1C52EDA3EA4}"/>
    <cellStyle name="20% - Accent5 7 2 3 2 5" xfId="28750" xr:uid="{3397974B-29A3-489C-B42C-A65096AE766C}"/>
    <cellStyle name="20% - Accent5 7 2 3 3" xfId="6651" xr:uid="{00000000-0005-0000-0000-00009C210000}"/>
    <cellStyle name="20% - Accent5 7 2 3 3 2" xfId="14622" xr:uid="{00000000-0005-0000-0000-00009D210000}"/>
    <cellStyle name="20% - Accent5 7 2 3 3 2 2" xfId="38464" xr:uid="{45F015D1-E583-4BF5-A887-FBC96F4B94A8}"/>
    <cellStyle name="20% - Accent5 7 2 3 3 3" xfId="22569" xr:uid="{00000000-0005-0000-0000-00009E210000}"/>
    <cellStyle name="20% - Accent5 7 2 3 3 3 2" xfId="46401" xr:uid="{CB7F9F32-383F-4F57-976A-D5AA79BBC069}"/>
    <cellStyle name="20% - Accent5 7 2 3 3 4" xfId="30523" xr:uid="{B900865C-2C89-4FF9-8AAF-0F8F51AE0749}"/>
    <cellStyle name="20% - Accent5 7 2 3 4" xfId="11086" xr:uid="{00000000-0005-0000-0000-00009F210000}"/>
    <cellStyle name="20% - Accent5 7 2 3 4 2" xfId="34935" xr:uid="{D23420C1-1A11-423C-B0D3-2EF1AB25ADAB}"/>
    <cellStyle name="20% - Accent5 7 2 3 5" xfId="19041" xr:uid="{00000000-0005-0000-0000-0000A0210000}"/>
    <cellStyle name="20% - Accent5 7 2 3 5 2" xfId="42873" xr:uid="{5475771E-B7AA-4EFA-98A2-50E533428800}"/>
    <cellStyle name="20% - Accent5 7 2 3 6" xfId="26993" xr:uid="{A46CE553-5207-4111-A605-1C99C3320027}"/>
    <cellStyle name="20% - Accent5 7 2 3_Exh G" xfId="2528" xr:uid="{00000000-0005-0000-0000-0000A1210000}"/>
    <cellStyle name="20% - Accent5 7 2 4" xfId="3940" xr:uid="{00000000-0005-0000-0000-0000A2210000}"/>
    <cellStyle name="20% - Accent5 7 2 4 2" xfId="7532" xr:uid="{00000000-0005-0000-0000-0000A3210000}"/>
    <cellStyle name="20% - Accent5 7 2 4 2 2" xfId="15502" xr:uid="{00000000-0005-0000-0000-0000A4210000}"/>
    <cellStyle name="20% - Accent5 7 2 4 2 2 2" xfId="39344" xr:uid="{9448B5EA-3386-4118-AD8F-18981524155D}"/>
    <cellStyle name="20% - Accent5 7 2 4 2 3" xfId="23448" xr:uid="{00000000-0005-0000-0000-0000A5210000}"/>
    <cellStyle name="20% - Accent5 7 2 4 2 3 2" xfId="47280" xr:uid="{A8193D11-8DFF-4676-AE2E-D052A666B909}"/>
    <cellStyle name="20% - Accent5 7 2 4 2 4" xfId="31403" xr:uid="{CFEBEA20-DF7D-4926-817F-DBCDE7989E63}"/>
    <cellStyle name="20% - Accent5 7 2 4 3" xfId="11964" xr:uid="{00000000-0005-0000-0000-0000A6210000}"/>
    <cellStyle name="20% - Accent5 7 2 4 3 2" xfId="35813" xr:uid="{922F5352-E465-494C-837D-C748782F50A1}"/>
    <cellStyle name="20% - Accent5 7 2 4 4" xfId="19919" xr:uid="{00000000-0005-0000-0000-0000A7210000}"/>
    <cellStyle name="20% - Accent5 7 2 4 4 2" xfId="43751" xr:uid="{7D8B106C-B844-4995-B67E-85ADF81BCC85}"/>
    <cellStyle name="20% - Accent5 7 2 4 5" xfId="27872" xr:uid="{8C7E3606-B700-4EC9-981E-0C7F36A6F1A3}"/>
    <cellStyle name="20% - Accent5 7 2 5" xfId="5760" xr:uid="{00000000-0005-0000-0000-0000A8210000}"/>
    <cellStyle name="20% - Accent5 7 2 5 2" xfId="13743" xr:uid="{00000000-0005-0000-0000-0000A9210000}"/>
    <cellStyle name="20% - Accent5 7 2 5 2 2" xfId="37586" xr:uid="{6D37D221-7772-47DB-B360-78F89A01BA7B}"/>
    <cellStyle name="20% - Accent5 7 2 5 3" xfId="21691" xr:uid="{00000000-0005-0000-0000-0000AA210000}"/>
    <cellStyle name="20% - Accent5 7 2 5 3 2" xfId="45523" xr:uid="{AD474158-369A-4F38-8D73-ED819DD69681}"/>
    <cellStyle name="20% - Accent5 7 2 5 4" xfId="29645" xr:uid="{537D024D-C39F-492C-B22A-7EB0E67F1A7A}"/>
    <cellStyle name="20% - Accent5 7 2 6" xfId="9312" xr:uid="{00000000-0005-0000-0000-0000AB210000}"/>
    <cellStyle name="20% - Accent5 7 2 6 2" xfId="17270" xr:uid="{00000000-0005-0000-0000-0000AC210000}"/>
    <cellStyle name="20% - Accent5 7 2 6 2 2" xfId="41110" xr:uid="{EF50F8BB-DBD2-4B68-B04F-183B31FBE717}"/>
    <cellStyle name="20% - Accent5 7 2 6 3" xfId="25214" xr:uid="{00000000-0005-0000-0000-0000AD210000}"/>
    <cellStyle name="20% - Accent5 7 2 6 3 2" xfId="49046" xr:uid="{E7D0AED5-06BC-45FF-BCD2-67EAD0C3FE11}"/>
    <cellStyle name="20% - Accent5 7 2 6 4" xfId="33169" xr:uid="{E0999E3C-98DC-4BF1-85C3-A895F2E018C9}"/>
    <cellStyle name="20% - Accent5 7 2 7" xfId="10208" xr:uid="{00000000-0005-0000-0000-0000AE210000}"/>
    <cellStyle name="20% - Accent5 7 2 7 2" xfId="34057" xr:uid="{E2F90FB5-A902-4CFD-94FC-64EE6A3164D6}"/>
    <cellStyle name="20% - Accent5 7 2 8" xfId="18163" xr:uid="{00000000-0005-0000-0000-0000AF210000}"/>
    <cellStyle name="20% - Accent5 7 2 8 2" xfId="41995" xr:uid="{25DC9076-DE41-475D-B123-E81B223871B9}"/>
    <cellStyle name="20% - Accent5 7 2 9" xfId="26115" xr:uid="{5D094402-4B4E-4912-9580-1914570B942C}"/>
    <cellStyle name="20% - Accent5 7 2_Exh G" xfId="2525" xr:uid="{00000000-0005-0000-0000-0000B0210000}"/>
    <cellStyle name="20% - Accent5 7 3" xfId="268" xr:uid="{00000000-0005-0000-0000-0000B1210000}"/>
    <cellStyle name="20% - Accent5 7 3 2" xfId="1294" xr:uid="{00000000-0005-0000-0000-0000B2210000}"/>
    <cellStyle name="20% - Accent5 7 3 2 2" xfId="4821" xr:uid="{00000000-0005-0000-0000-0000B3210000}"/>
    <cellStyle name="20% - Accent5 7 3 2 2 2" xfId="8412" xr:uid="{00000000-0005-0000-0000-0000B4210000}"/>
    <cellStyle name="20% - Accent5 7 3 2 2 2 2" xfId="16382" xr:uid="{00000000-0005-0000-0000-0000B5210000}"/>
    <cellStyle name="20% - Accent5 7 3 2 2 2 2 2" xfId="40224" xr:uid="{2A31D934-2E52-4462-8A40-C87327566F67}"/>
    <cellStyle name="20% - Accent5 7 3 2 2 2 3" xfId="24328" xr:uid="{00000000-0005-0000-0000-0000B6210000}"/>
    <cellStyle name="20% - Accent5 7 3 2 2 2 3 2" xfId="48160" xr:uid="{3106D403-F265-42B3-93B4-5C47B04C0F7C}"/>
    <cellStyle name="20% - Accent5 7 3 2 2 2 4" xfId="32283" xr:uid="{6306324A-AC29-4141-A1B9-C4FCD34A7790}"/>
    <cellStyle name="20% - Accent5 7 3 2 2 3" xfId="12844" xr:uid="{00000000-0005-0000-0000-0000B7210000}"/>
    <cellStyle name="20% - Accent5 7 3 2 2 3 2" xfId="36693" xr:uid="{001DE1F9-4AAD-49DD-9BCF-6E11342344A5}"/>
    <cellStyle name="20% - Accent5 7 3 2 2 4" xfId="20799" xr:uid="{00000000-0005-0000-0000-0000B8210000}"/>
    <cellStyle name="20% - Accent5 7 3 2 2 4 2" xfId="44631" xr:uid="{B6587D28-B643-4821-A8D7-540F3F7D081C}"/>
    <cellStyle name="20% - Accent5 7 3 2 2 5" xfId="28752" xr:uid="{750F979F-54E6-4CB0-BD62-192278F438C8}"/>
    <cellStyle name="20% - Accent5 7 3 2 3" xfId="6653" xr:uid="{00000000-0005-0000-0000-0000B9210000}"/>
    <cellStyle name="20% - Accent5 7 3 2 3 2" xfId="14624" xr:uid="{00000000-0005-0000-0000-0000BA210000}"/>
    <cellStyle name="20% - Accent5 7 3 2 3 2 2" xfId="38466" xr:uid="{9D03761F-4D7C-4060-A8C7-EE53A2B54B8E}"/>
    <cellStyle name="20% - Accent5 7 3 2 3 3" xfId="22571" xr:uid="{00000000-0005-0000-0000-0000BB210000}"/>
    <cellStyle name="20% - Accent5 7 3 2 3 3 2" xfId="46403" xr:uid="{2E3DD49C-C22B-4924-BF31-F0D3B1029626}"/>
    <cellStyle name="20% - Accent5 7 3 2 3 4" xfId="30525" xr:uid="{5D23A0FA-652F-4D70-B367-BA5D0D2BAECC}"/>
    <cellStyle name="20% - Accent5 7 3 2 4" xfId="11088" xr:uid="{00000000-0005-0000-0000-0000BC210000}"/>
    <cellStyle name="20% - Accent5 7 3 2 4 2" xfId="34937" xr:uid="{9994062B-133C-4200-8269-FDFA30751376}"/>
    <cellStyle name="20% - Accent5 7 3 2 5" xfId="19043" xr:uid="{00000000-0005-0000-0000-0000BD210000}"/>
    <cellStyle name="20% - Accent5 7 3 2 5 2" xfId="42875" xr:uid="{8B26474D-6D15-4055-B535-77699EC205DC}"/>
    <cellStyle name="20% - Accent5 7 3 2 6" xfId="26995" xr:uid="{05CFC4D0-4ACF-4549-AC16-DEF12A4C4BA6}"/>
    <cellStyle name="20% - Accent5 7 3 2_Exh G" xfId="2530" xr:uid="{00000000-0005-0000-0000-0000BE210000}"/>
    <cellStyle name="20% - Accent5 7 3 3" xfId="3942" xr:uid="{00000000-0005-0000-0000-0000BF210000}"/>
    <cellStyle name="20% - Accent5 7 3 3 2" xfId="7534" xr:uid="{00000000-0005-0000-0000-0000C0210000}"/>
    <cellStyle name="20% - Accent5 7 3 3 2 2" xfId="15504" xr:uid="{00000000-0005-0000-0000-0000C1210000}"/>
    <cellStyle name="20% - Accent5 7 3 3 2 2 2" xfId="39346" xr:uid="{220CADF6-9072-446D-9560-31BA3653D7BA}"/>
    <cellStyle name="20% - Accent5 7 3 3 2 3" xfId="23450" xr:uid="{00000000-0005-0000-0000-0000C2210000}"/>
    <cellStyle name="20% - Accent5 7 3 3 2 3 2" xfId="47282" xr:uid="{3BD6CB44-8B48-4CBC-9132-4839E0A0D882}"/>
    <cellStyle name="20% - Accent5 7 3 3 2 4" xfId="31405" xr:uid="{16CCE4CD-CC12-43A2-B5E9-468CE65F8F51}"/>
    <cellStyle name="20% - Accent5 7 3 3 3" xfId="11966" xr:uid="{00000000-0005-0000-0000-0000C3210000}"/>
    <cellStyle name="20% - Accent5 7 3 3 3 2" xfId="35815" xr:uid="{5A6C2957-9C8F-4B0B-B877-6339B65977E5}"/>
    <cellStyle name="20% - Accent5 7 3 3 4" xfId="19921" xr:uid="{00000000-0005-0000-0000-0000C4210000}"/>
    <cellStyle name="20% - Accent5 7 3 3 4 2" xfId="43753" xr:uid="{897BD714-4227-4267-B7A2-382B9C676252}"/>
    <cellStyle name="20% - Accent5 7 3 3 5" xfId="27874" xr:uid="{54D7A381-F9A3-4943-92D5-A04D948A2275}"/>
    <cellStyle name="20% - Accent5 7 3 4" xfId="5762" xr:uid="{00000000-0005-0000-0000-0000C5210000}"/>
    <cellStyle name="20% - Accent5 7 3 4 2" xfId="13745" xr:uid="{00000000-0005-0000-0000-0000C6210000}"/>
    <cellStyle name="20% - Accent5 7 3 4 2 2" xfId="37588" xr:uid="{71502BC9-E3C3-45F7-B517-A4694396A877}"/>
    <cellStyle name="20% - Accent5 7 3 4 3" xfId="21693" xr:uid="{00000000-0005-0000-0000-0000C7210000}"/>
    <cellStyle name="20% - Accent5 7 3 4 3 2" xfId="45525" xr:uid="{EA19BEE1-D2C2-45F3-B0BD-0678A85E39A3}"/>
    <cellStyle name="20% - Accent5 7 3 4 4" xfId="29647" xr:uid="{06AF7229-5685-4EAE-946F-F252692CBB67}"/>
    <cellStyle name="20% - Accent5 7 3 5" xfId="9314" xr:uid="{00000000-0005-0000-0000-0000C8210000}"/>
    <cellStyle name="20% - Accent5 7 3 5 2" xfId="17272" xr:uid="{00000000-0005-0000-0000-0000C9210000}"/>
    <cellStyle name="20% - Accent5 7 3 5 2 2" xfId="41112" xr:uid="{159B8B44-552D-4E83-8133-511ADC997724}"/>
    <cellStyle name="20% - Accent5 7 3 5 3" xfId="25216" xr:uid="{00000000-0005-0000-0000-0000CA210000}"/>
    <cellStyle name="20% - Accent5 7 3 5 3 2" xfId="49048" xr:uid="{62B66780-FCF5-4221-A68E-6EA97C894FB5}"/>
    <cellStyle name="20% - Accent5 7 3 5 4" xfId="33171" xr:uid="{CF2B118B-B2F9-46B3-BB42-C9188E186B72}"/>
    <cellStyle name="20% - Accent5 7 3 6" xfId="10210" xr:uid="{00000000-0005-0000-0000-0000CB210000}"/>
    <cellStyle name="20% - Accent5 7 3 6 2" xfId="34059" xr:uid="{0CCD2BCB-2828-4FA6-88B8-F9459F16B630}"/>
    <cellStyle name="20% - Accent5 7 3 7" xfId="18165" xr:uid="{00000000-0005-0000-0000-0000CC210000}"/>
    <cellStyle name="20% - Accent5 7 3 7 2" xfId="41997" xr:uid="{11E78093-D540-4EF7-805E-21EF792559D1}"/>
    <cellStyle name="20% - Accent5 7 3 8" xfId="26117" xr:uid="{50DD67ED-30C6-489C-9DEC-926737B5C4F5}"/>
    <cellStyle name="20% - Accent5 7 3_Exh G" xfId="2529" xr:uid="{00000000-0005-0000-0000-0000CD210000}"/>
    <cellStyle name="20% - Accent5 7 4" xfId="916" xr:uid="{00000000-0005-0000-0000-0000CE210000}"/>
    <cellStyle name="20% - Accent5 7 4 2" xfId="1839" xr:uid="{00000000-0005-0000-0000-0000CF210000}"/>
    <cellStyle name="20% - Accent5 7 4 2 2" xfId="5356" xr:uid="{00000000-0005-0000-0000-0000D0210000}"/>
    <cellStyle name="20% - Accent5 7 4 2 2 2" xfId="8947" xr:uid="{00000000-0005-0000-0000-0000D1210000}"/>
    <cellStyle name="20% - Accent5 7 4 2 2 2 2" xfId="16917" xr:uid="{00000000-0005-0000-0000-0000D2210000}"/>
    <cellStyle name="20% - Accent5 7 4 2 2 2 2 2" xfId="40759" xr:uid="{30D3CA0E-6949-4DE1-A155-004ED04E18E0}"/>
    <cellStyle name="20% - Accent5 7 4 2 2 2 3" xfId="24863" xr:uid="{00000000-0005-0000-0000-0000D3210000}"/>
    <cellStyle name="20% - Accent5 7 4 2 2 2 3 2" xfId="48695" xr:uid="{3896291B-628E-44DF-82D1-756E8B7F0E1E}"/>
    <cellStyle name="20% - Accent5 7 4 2 2 2 4" xfId="32818" xr:uid="{C8D7B984-BD92-479F-AC3E-22ACBA95CCB5}"/>
    <cellStyle name="20% - Accent5 7 4 2 2 3" xfId="13379" xr:uid="{00000000-0005-0000-0000-0000D4210000}"/>
    <cellStyle name="20% - Accent5 7 4 2 2 3 2" xfId="37228" xr:uid="{469585AF-DA60-41F6-8514-833DA5B2F1EB}"/>
    <cellStyle name="20% - Accent5 7 4 2 2 4" xfId="21334" xr:uid="{00000000-0005-0000-0000-0000D5210000}"/>
    <cellStyle name="20% - Accent5 7 4 2 2 4 2" xfId="45166" xr:uid="{A0323CDA-BEE3-4156-B2DC-F85B6F113943}"/>
    <cellStyle name="20% - Accent5 7 4 2 2 5" xfId="29287" xr:uid="{158BC628-7023-4144-87DE-211E39BA0844}"/>
    <cellStyle name="20% - Accent5 7 4 2 3" xfId="7188" xr:uid="{00000000-0005-0000-0000-0000D6210000}"/>
    <cellStyle name="20% - Accent5 7 4 2 3 2" xfId="15159" xr:uid="{00000000-0005-0000-0000-0000D7210000}"/>
    <cellStyle name="20% - Accent5 7 4 2 3 2 2" xfId="39001" xr:uid="{C5E579BF-FA28-4652-9CE4-03AEECF61E98}"/>
    <cellStyle name="20% - Accent5 7 4 2 3 3" xfId="23106" xr:uid="{00000000-0005-0000-0000-0000D8210000}"/>
    <cellStyle name="20% - Accent5 7 4 2 3 3 2" xfId="46938" xr:uid="{5A4EC2C4-3FA8-4302-B97A-E7E134516921}"/>
    <cellStyle name="20% - Accent5 7 4 2 3 4" xfId="31060" xr:uid="{91155B51-10F7-44C9-BA94-61190947F411}"/>
    <cellStyle name="20% - Accent5 7 4 2 4" xfId="11623" xr:uid="{00000000-0005-0000-0000-0000D9210000}"/>
    <cellStyle name="20% - Accent5 7 4 2 4 2" xfId="35472" xr:uid="{A4C8DEE2-405C-4779-97D9-A1A710F371C7}"/>
    <cellStyle name="20% - Accent5 7 4 2 5" xfId="19578" xr:uid="{00000000-0005-0000-0000-0000DA210000}"/>
    <cellStyle name="20% - Accent5 7 4 2 5 2" xfId="43410" xr:uid="{6BFDF06B-7ED4-4747-8835-EBB36BFBB365}"/>
    <cellStyle name="20% - Accent5 7 4 2 6" xfId="27530" xr:uid="{121574A3-60D0-42CE-8CA3-C7DA5654A749}"/>
    <cellStyle name="20% - Accent5 7 4 2_Exh G" xfId="2532" xr:uid="{00000000-0005-0000-0000-0000DB210000}"/>
    <cellStyle name="20% - Accent5 7 4 3" xfId="4477" xr:uid="{00000000-0005-0000-0000-0000DC210000}"/>
    <cellStyle name="20% - Accent5 7 4 3 2" xfId="8069" xr:uid="{00000000-0005-0000-0000-0000DD210000}"/>
    <cellStyle name="20% - Accent5 7 4 3 2 2" xfId="16039" xr:uid="{00000000-0005-0000-0000-0000DE210000}"/>
    <cellStyle name="20% - Accent5 7 4 3 2 2 2" xfId="39881" xr:uid="{1F7CB607-91A1-4334-BF91-275AE1725258}"/>
    <cellStyle name="20% - Accent5 7 4 3 2 3" xfId="23985" xr:uid="{00000000-0005-0000-0000-0000DF210000}"/>
    <cellStyle name="20% - Accent5 7 4 3 2 3 2" xfId="47817" xr:uid="{01EAA549-F69F-4678-AD0C-7BDDD833AE96}"/>
    <cellStyle name="20% - Accent5 7 4 3 2 4" xfId="31940" xr:uid="{8E5CA590-214E-4BF0-AF1C-D08137E17FCF}"/>
    <cellStyle name="20% - Accent5 7 4 3 3" xfId="12501" xr:uid="{00000000-0005-0000-0000-0000E0210000}"/>
    <cellStyle name="20% - Accent5 7 4 3 3 2" xfId="36350" xr:uid="{769F5E44-0D74-4014-9C8C-65BA5BB92080}"/>
    <cellStyle name="20% - Accent5 7 4 3 4" xfId="20456" xr:uid="{00000000-0005-0000-0000-0000E1210000}"/>
    <cellStyle name="20% - Accent5 7 4 3 4 2" xfId="44288" xr:uid="{86D82E1A-3369-4359-8B07-0CD9843AF406}"/>
    <cellStyle name="20% - Accent5 7 4 3 5" xfId="28409" xr:uid="{B80817D2-6728-4268-8151-EE6B62D0BF55}"/>
    <cellStyle name="20% - Accent5 7 4 4" xfId="6307" xr:uid="{00000000-0005-0000-0000-0000E2210000}"/>
    <cellStyle name="20% - Accent5 7 4 4 2" xfId="14281" xr:uid="{00000000-0005-0000-0000-0000E3210000}"/>
    <cellStyle name="20% - Accent5 7 4 4 2 2" xfId="38123" xr:uid="{5AC4D4E2-2A5F-4C1E-85BC-96258585EA2D}"/>
    <cellStyle name="20% - Accent5 7 4 4 3" xfId="22228" xr:uid="{00000000-0005-0000-0000-0000E4210000}"/>
    <cellStyle name="20% - Accent5 7 4 4 3 2" xfId="46060" xr:uid="{5CCFA934-B670-443E-8568-82CA1E8C04E2}"/>
    <cellStyle name="20% - Accent5 7 4 4 4" xfId="30182" xr:uid="{B39F2AEB-2ACF-42E2-B61E-15A9291F8A3E}"/>
    <cellStyle name="20% - Accent5 7 4 5" xfId="9849" xr:uid="{00000000-0005-0000-0000-0000E5210000}"/>
    <cellStyle name="20% - Accent5 7 4 5 2" xfId="17807" xr:uid="{00000000-0005-0000-0000-0000E6210000}"/>
    <cellStyle name="20% - Accent5 7 4 5 2 2" xfId="41647" xr:uid="{14129B8E-5989-4D2B-A5E1-8DFA9A6572CA}"/>
    <cellStyle name="20% - Accent5 7 4 5 3" xfId="25751" xr:uid="{00000000-0005-0000-0000-0000E7210000}"/>
    <cellStyle name="20% - Accent5 7 4 5 3 2" xfId="49583" xr:uid="{F8BE88AB-AAE0-4E14-8230-5AE5FD5065AA}"/>
    <cellStyle name="20% - Accent5 7 4 5 4" xfId="33706" xr:uid="{DFA6DDBC-73B4-4DB7-8484-A70375CE4829}"/>
    <cellStyle name="20% - Accent5 7 4 6" xfId="10745" xr:uid="{00000000-0005-0000-0000-0000E8210000}"/>
    <cellStyle name="20% - Accent5 7 4 6 2" xfId="34594" xr:uid="{90D093E9-6731-4DE5-B1FD-B7D1815D38C1}"/>
    <cellStyle name="20% - Accent5 7 4 7" xfId="18700" xr:uid="{00000000-0005-0000-0000-0000E9210000}"/>
    <cellStyle name="20% - Accent5 7 4 7 2" xfId="42532" xr:uid="{825ADD41-4578-4C25-A861-44F823C2FA02}"/>
    <cellStyle name="20% - Accent5 7 4 8" xfId="26652" xr:uid="{495B9B0B-395B-4E8D-9F7C-08832164381E}"/>
    <cellStyle name="20% - Accent5 7 4_Exh G" xfId="2531" xr:uid="{00000000-0005-0000-0000-0000EA210000}"/>
    <cellStyle name="20% - Accent5 7 5" xfId="1291" xr:uid="{00000000-0005-0000-0000-0000EB210000}"/>
    <cellStyle name="20% - Accent5 7 5 2" xfId="4818" xr:uid="{00000000-0005-0000-0000-0000EC210000}"/>
    <cellStyle name="20% - Accent5 7 5 2 2" xfId="8409" xr:uid="{00000000-0005-0000-0000-0000ED210000}"/>
    <cellStyle name="20% - Accent5 7 5 2 2 2" xfId="16379" xr:uid="{00000000-0005-0000-0000-0000EE210000}"/>
    <cellStyle name="20% - Accent5 7 5 2 2 2 2" xfId="40221" xr:uid="{62FD9236-FADF-4E68-9502-2309B2BC8A6B}"/>
    <cellStyle name="20% - Accent5 7 5 2 2 3" xfId="24325" xr:uid="{00000000-0005-0000-0000-0000EF210000}"/>
    <cellStyle name="20% - Accent5 7 5 2 2 3 2" xfId="48157" xr:uid="{390A98DC-CE20-4002-A1E9-EF5D3D6D83A4}"/>
    <cellStyle name="20% - Accent5 7 5 2 2 4" xfId="32280" xr:uid="{94178483-2AD8-406B-BA00-6EF37C9B3AAC}"/>
    <cellStyle name="20% - Accent5 7 5 2 3" xfId="12841" xr:uid="{00000000-0005-0000-0000-0000F0210000}"/>
    <cellStyle name="20% - Accent5 7 5 2 3 2" xfId="36690" xr:uid="{80FD2FE8-E071-4757-BE57-BCFB52CB7238}"/>
    <cellStyle name="20% - Accent5 7 5 2 4" xfId="20796" xr:uid="{00000000-0005-0000-0000-0000F1210000}"/>
    <cellStyle name="20% - Accent5 7 5 2 4 2" xfId="44628" xr:uid="{2DB7AC0F-1001-4EE3-B56E-976EA9281C29}"/>
    <cellStyle name="20% - Accent5 7 5 2 5" xfId="28749" xr:uid="{358E0C20-D010-4B47-AD56-32427853FEA4}"/>
    <cellStyle name="20% - Accent5 7 5 3" xfId="6650" xr:uid="{00000000-0005-0000-0000-0000F2210000}"/>
    <cellStyle name="20% - Accent5 7 5 3 2" xfId="14621" xr:uid="{00000000-0005-0000-0000-0000F3210000}"/>
    <cellStyle name="20% - Accent5 7 5 3 2 2" xfId="38463" xr:uid="{FCA1DF59-FFAF-4BD5-AAEC-DB3111FE6F47}"/>
    <cellStyle name="20% - Accent5 7 5 3 3" xfId="22568" xr:uid="{00000000-0005-0000-0000-0000F4210000}"/>
    <cellStyle name="20% - Accent5 7 5 3 3 2" xfId="46400" xr:uid="{203AEEAB-B2B7-4884-83DC-37DA4B5624FB}"/>
    <cellStyle name="20% - Accent5 7 5 3 4" xfId="30522" xr:uid="{6A0299C7-4106-4EF0-A155-AA8313DFC191}"/>
    <cellStyle name="20% - Accent5 7 5 4" xfId="11085" xr:uid="{00000000-0005-0000-0000-0000F5210000}"/>
    <cellStyle name="20% - Accent5 7 5 4 2" xfId="34934" xr:uid="{E6FA2D95-5E8A-490F-AB0D-8FC55798688B}"/>
    <cellStyle name="20% - Accent5 7 5 5" xfId="19040" xr:uid="{00000000-0005-0000-0000-0000F6210000}"/>
    <cellStyle name="20% - Accent5 7 5 5 2" xfId="42872" xr:uid="{95BAA16C-E300-4839-8C2E-0552B4EAF322}"/>
    <cellStyle name="20% - Accent5 7 5 6" xfId="26992" xr:uid="{94BA9003-24BF-4A5A-9EB4-FC497082B3D1}"/>
    <cellStyle name="20% - Accent5 7 5_Exh G" xfId="2533" xr:uid="{00000000-0005-0000-0000-0000F7210000}"/>
    <cellStyle name="20% - Accent5 7 6" xfId="3939" xr:uid="{00000000-0005-0000-0000-0000F8210000}"/>
    <cellStyle name="20% - Accent5 7 6 2" xfId="7531" xr:uid="{00000000-0005-0000-0000-0000F9210000}"/>
    <cellStyle name="20% - Accent5 7 6 2 2" xfId="15501" xr:uid="{00000000-0005-0000-0000-0000FA210000}"/>
    <cellStyle name="20% - Accent5 7 6 2 2 2" xfId="39343" xr:uid="{4D8D70A8-4CCB-4B39-B6D3-1DBCA3AD9C7F}"/>
    <cellStyle name="20% - Accent5 7 6 2 3" xfId="23447" xr:uid="{00000000-0005-0000-0000-0000FB210000}"/>
    <cellStyle name="20% - Accent5 7 6 2 3 2" xfId="47279" xr:uid="{363A1822-2FB2-421A-B8B1-ACB4B811439D}"/>
    <cellStyle name="20% - Accent5 7 6 2 4" xfId="31402" xr:uid="{E67382F1-A6D3-4496-B0AA-4A180885FC98}"/>
    <cellStyle name="20% - Accent5 7 6 3" xfId="11963" xr:uid="{00000000-0005-0000-0000-0000FC210000}"/>
    <cellStyle name="20% - Accent5 7 6 3 2" xfId="35812" xr:uid="{9A5B494C-5A2D-4D94-8395-C40B8D51C168}"/>
    <cellStyle name="20% - Accent5 7 6 4" xfId="19918" xr:uid="{00000000-0005-0000-0000-0000FD210000}"/>
    <cellStyle name="20% - Accent5 7 6 4 2" xfId="43750" xr:uid="{9E513B30-21DC-4B6A-B91F-516B123EE73D}"/>
    <cellStyle name="20% - Accent5 7 6 5" xfId="27871" xr:uid="{3116F5F3-A19A-466D-A84D-6A07D7F8A2BF}"/>
    <cellStyle name="20% - Accent5 7 7" xfId="5759" xr:uid="{00000000-0005-0000-0000-0000FE210000}"/>
    <cellStyle name="20% - Accent5 7 7 2" xfId="13742" xr:uid="{00000000-0005-0000-0000-0000FF210000}"/>
    <cellStyle name="20% - Accent5 7 7 2 2" xfId="37585" xr:uid="{40428144-4914-401B-BFA6-EEBE56DD9334}"/>
    <cellStyle name="20% - Accent5 7 7 3" xfId="21690" xr:uid="{00000000-0005-0000-0000-000000220000}"/>
    <cellStyle name="20% - Accent5 7 7 3 2" xfId="45522" xr:uid="{D52410AC-E7BC-4F38-936E-C672D21E2A07}"/>
    <cellStyle name="20% - Accent5 7 7 4" xfId="29644" xr:uid="{8176D73E-D569-4D89-B291-C382F31D2EBD}"/>
    <cellStyle name="20% - Accent5 7 8" xfId="9311" xr:uid="{00000000-0005-0000-0000-000001220000}"/>
    <cellStyle name="20% - Accent5 7 8 2" xfId="17269" xr:uid="{00000000-0005-0000-0000-000002220000}"/>
    <cellStyle name="20% - Accent5 7 8 2 2" xfId="41109" xr:uid="{AFEA9C7B-E6BD-4D1D-8B88-DC3DAD8F7B63}"/>
    <cellStyle name="20% - Accent5 7 8 3" xfId="25213" xr:uid="{00000000-0005-0000-0000-000003220000}"/>
    <cellStyle name="20% - Accent5 7 8 3 2" xfId="49045" xr:uid="{982D73E6-58C2-4CDB-AE59-152715973399}"/>
    <cellStyle name="20% - Accent5 7 8 4" xfId="33168" xr:uid="{907A34D8-3EF2-41C0-B649-E9A95632D141}"/>
    <cellStyle name="20% - Accent5 7 9" xfId="10207" xr:uid="{00000000-0005-0000-0000-000004220000}"/>
    <cellStyle name="20% - Accent5 7 9 2" xfId="34056" xr:uid="{61A3330C-E8C8-42D4-A02D-D2A5F7A04412}"/>
    <cellStyle name="20% - Accent5 7_Exh G" xfId="2524" xr:uid="{00000000-0005-0000-0000-000005220000}"/>
    <cellStyle name="20% - Accent5 8" xfId="269" xr:uid="{00000000-0005-0000-0000-000006220000}"/>
    <cellStyle name="20% - Accent5 8 10" xfId="18166" xr:uid="{00000000-0005-0000-0000-000007220000}"/>
    <cellStyle name="20% - Accent5 8 10 2" xfId="41998" xr:uid="{253C5708-88EA-431B-8E7F-132A1BEFF592}"/>
    <cellStyle name="20% - Accent5 8 11" xfId="26118" xr:uid="{55997DD7-C049-4C76-98EF-6D4263C69047}"/>
    <cellStyle name="20% - Accent5 8 2" xfId="270" xr:uid="{00000000-0005-0000-0000-000008220000}"/>
    <cellStyle name="20% - Accent5 8 2 2" xfId="271" xr:uid="{00000000-0005-0000-0000-000009220000}"/>
    <cellStyle name="20% - Accent5 8 2 2 2" xfId="1297" xr:uid="{00000000-0005-0000-0000-00000A220000}"/>
    <cellStyle name="20% - Accent5 8 2 2 2 2" xfId="4824" xr:uid="{00000000-0005-0000-0000-00000B220000}"/>
    <cellStyle name="20% - Accent5 8 2 2 2 2 2" xfId="8415" xr:uid="{00000000-0005-0000-0000-00000C220000}"/>
    <cellStyle name="20% - Accent5 8 2 2 2 2 2 2" xfId="16385" xr:uid="{00000000-0005-0000-0000-00000D220000}"/>
    <cellStyle name="20% - Accent5 8 2 2 2 2 2 2 2" xfId="40227" xr:uid="{895F3518-782C-4285-A61D-00DD7633DA72}"/>
    <cellStyle name="20% - Accent5 8 2 2 2 2 2 3" xfId="24331" xr:uid="{00000000-0005-0000-0000-00000E220000}"/>
    <cellStyle name="20% - Accent5 8 2 2 2 2 2 3 2" xfId="48163" xr:uid="{A0438942-8A1A-49FD-BDA2-9330FD35AD52}"/>
    <cellStyle name="20% - Accent5 8 2 2 2 2 2 4" xfId="32286" xr:uid="{0E4EB623-F6AB-4E4D-AE86-BA85C6DB873C}"/>
    <cellStyle name="20% - Accent5 8 2 2 2 2 3" xfId="12847" xr:uid="{00000000-0005-0000-0000-00000F220000}"/>
    <cellStyle name="20% - Accent5 8 2 2 2 2 3 2" xfId="36696" xr:uid="{63C32027-CEB2-4EA7-8B18-5E7A8E61DDBA}"/>
    <cellStyle name="20% - Accent5 8 2 2 2 2 4" xfId="20802" xr:uid="{00000000-0005-0000-0000-000010220000}"/>
    <cellStyle name="20% - Accent5 8 2 2 2 2 4 2" xfId="44634" xr:uid="{71A8B3D1-3F71-4D3A-ABB1-13DAE12C2B22}"/>
    <cellStyle name="20% - Accent5 8 2 2 2 2 5" xfId="28755" xr:uid="{32131B81-3269-4BD0-BE1D-1E842262C6E3}"/>
    <cellStyle name="20% - Accent5 8 2 2 2 3" xfId="6656" xr:uid="{00000000-0005-0000-0000-000011220000}"/>
    <cellStyle name="20% - Accent5 8 2 2 2 3 2" xfId="14627" xr:uid="{00000000-0005-0000-0000-000012220000}"/>
    <cellStyle name="20% - Accent5 8 2 2 2 3 2 2" xfId="38469" xr:uid="{DE4AA83E-653B-4F75-80E0-B9821293DAE8}"/>
    <cellStyle name="20% - Accent5 8 2 2 2 3 3" xfId="22574" xr:uid="{00000000-0005-0000-0000-000013220000}"/>
    <cellStyle name="20% - Accent5 8 2 2 2 3 3 2" xfId="46406" xr:uid="{5446014D-EE56-40E9-A807-1D5D6705F3DA}"/>
    <cellStyle name="20% - Accent5 8 2 2 2 3 4" xfId="30528" xr:uid="{7F817295-5EDE-4A8B-B35B-2CDF81713EBE}"/>
    <cellStyle name="20% - Accent5 8 2 2 2 4" xfId="11091" xr:uid="{00000000-0005-0000-0000-000014220000}"/>
    <cellStyle name="20% - Accent5 8 2 2 2 4 2" xfId="34940" xr:uid="{8005A3FB-81C0-4DE8-B711-3A4CB88A7FF7}"/>
    <cellStyle name="20% - Accent5 8 2 2 2 5" xfId="19046" xr:uid="{00000000-0005-0000-0000-000015220000}"/>
    <cellStyle name="20% - Accent5 8 2 2 2 5 2" xfId="42878" xr:uid="{ED194A76-B359-421F-B1E1-13BAA3652FFE}"/>
    <cellStyle name="20% - Accent5 8 2 2 2 6" xfId="26998" xr:uid="{D48EBC11-9C2E-4D77-94D8-CA1ECAC46783}"/>
    <cellStyle name="20% - Accent5 8 2 2 2_Exh G" xfId="2537" xr:uid="{00000000-0005-0000-0000-000016220000}"/>
    <cellStyle name="20% - Accent5 8 2 2 3" xfId="3945" xr:uid="{00000000-0005-0000-0000-000017220000}"/>
    <cellStyle name="20% - Accent5 8 2 2 3 2" xfId="7537" xr:uid="{00000000-0005-0000-0000-000018220000}"/>
    <cellStyle name="20% - Accent5 8 2 2 3 2 2" xfId="15507" xr:uid="{00000000-0005-0000-0000-000019220000}"/>
    <cellStyle name="20% - Accent5 8 2 2 3 2 2 2" xfId="39349" xr:uid="{9FC90ECC-B8EE-4F8C-8034-E6A0E77D75E3}"/>
    <cellStyle name="20% - Accent5 8 2 2 3 2 3" xfId="23453" xr:uid="{00000000-0005-0000-0000-00001A220000}"/>
    <cellStyle name="20% - Accent5 8 2 2 3 2 3 2" xfId="47285" xr:uid="{0548BDC0-A5C6-44A8-88DC-8E7021AB6010}"/>
    <cellStyle name="20% - Accent5 8 2 2 3 2 4" xfId="31408" xr:uid="{1457E95D-D5C3-4399-9E12-7CF27C5C2613}"/>
    <cellStyle name="20% - Accent5 8 2 2 3 3" xfId="11969" xr:uid="{00000000-0005-0000-0000-00001B220000}"/>
    <cellStyle name="20% - Accent5 8 2 2 3 3 2" xfId="35818" xr:uid="{7476AA8E-8D45-498E-A96C-97F75AEE84CF}"/>
    <cellStyle name="20% - Accent5 8 2 2 3 4" xfId="19924" xr:uid="{00000000-0005-0000-0000-00001C220000}"/>
    <cellStyle name="20% - Accent5 8 2 2 3 4 2" xfId="43756" xr:uid="{291CAB15-A0BC-432D-B309-631AF6F7B6EF}"/>
    <cellStyle name="20% - Accent5 8 2 2 3 5" xfId="27877" xr:uid="{8C23C07E-9011-4500-AB4B-1A8EC8290525}"/>
    <cellStyle name="20% - Accent5 8 2 2 4" xfId="5765" xr:uid="{00000000-0005-0000-0000-00001D220000}"/>
    <cellStyle name="20% - Accent5 8 2 2 4 2" xfId="13748" xr:uid="{00000000-0005-0000-0000-00001E220000}"/>
    <cellStyle name="20% - Accent5 8 2 2 4 2 2" xfId="37591" xr:uid="{9E0CB392-8A56-4919-B014-033C72335F4D}"/>
    <cellStyle name="20% - Accent5 8 2 2 4 3" xfId="21696" xr:uid="{00000000-0005-0000-0000-00001F220000}"/>
    <cellStyle name="20% - Accent5 8 2 2 4 3 2" xfId="45528" xr:uid="{D467A1BD-A02C-4A59-A996-8BD064AFD76B}"/>
    <cellStyle name="20% - Accent5 8 2 2 4 4" xfId="29650" xr:uid="{26E8AB19-9BE0-454D-A56D-14775999ECC3}"/>
    <cellStyle name="20% - Accent5 8 2 2 5" xfId="9317" xr:uid="{00000000-0005-0000-0000-000020220000}"/>
    <cellStyle name="20% - Accent5 8 2 2 5 2" xfId="17275" xr:uid="{00000000-0005-0000-0000-000021220000}"/>
    <cellStyle name="20% - Accent5 8 2 2 5 2 2" xfId="41115" xr:uid="{4113B236-134C-4CA5-8B63-2598D3598199}"/>
    <cellStyle name="20% - Accent5 8 2 2 5 3" xfId="25219" xr:uid="{00000000-0005-0000-0000-000022220000}"/>
    <cellStyle name="20% - Accent5 8 2 2 5 3 2" xfId="49051" xr:uid="{89D64FA7-DA87-414D-A3C4-86DF6E13ECDC}"/>
    <cellStyle name="20% - Accent5 8 2 2 5 4" xfId="33174" xr:uid="{A2D7256F-7857-466D-81F2-2E2B1629BAC7}"/>
    <cellStyle name="20% - Accent5 8 2 2 6" xfId="10213" xr:uid="{00000000-0005-0000-0000-000023220000}"/>
    <cellStyle name="20% - Accent5 8 2 2 6 2" xfId="34062" xr:uid="{8F9CDA06-4138-476D-95D9-F0E89A57A4BF}"/>
    <cellStyle name="20% - Accent5 8 2 2 7" xfId="18168" xr:uid="{00000000-0005-0000-0000-000024220000}"/>
    <cellStyle name="20% - Accent5 8 2 2 7 2" xfId="42000" xr:uid="{A16C2EC4-941C-41F9-88E4-99DE4C8491E3}"/>
    <cellStyle name="20% - Accent5 8 2 2 8" xfId="26120" xr:uid="{4A54825D-B573-49B3-AA8A-85C7AF8DA9BE}"/>
    <cellStyle name="20% - Accent5 8 2 2_Exh G" xfId="2536" xr:uid="{00000000-0005-0000-0000-000025220000}"/>
    <cellStyle name="20% - Accent5 8 2 3" xfId="1296" xr:uid="{00000000-0005-0000-0000-000026220000}"/>
    <cellStyle name="20% - Accent5 8 2 3 2" xfId="4823" xr:uid="{00000000-0005-0000-0000-000027220000}"/>
    <cellStyle name="20% - Accent5 8 2 3 2 2" xfId="8414" xr:uid="{00000000-0005-0000-0000-000028220000}"/>
    <cellStyle name="20% - Accent5 8 2 3 2 2 2" xfId="16384" xr:uid="{00000000-0005-0000-0000-000029220000}"/>
    <cellStyle name="20% - Accent5 8 2 3 2 2 2 2" xfId="40226" xr:uid="{BB7489B5-DBCE-4DF8-8E3C-E7464E91047E}"/>
    <cellStyle name="20% - Accent5 8 2 3 2 2 3" xfId="24330" xr:uid="{00000000-0005-0000-0000-00002A220000}"/>
    <cellStyle name="20% - Accent5 8 2 3 2 2 3 2" xfId="48162" xr:uid="{997DB208-54FC-47CC-B891-7E288B7BADA6}"/>
    <cellStyle name="20% - Accent5 8 2 3 2 2 4" xfId="32285" xr:uid="{CA78C8F4-709B-4792-84D8-50FA2CC09364}"/>
    <cellStyle name="20% - Accent5 8 2 3 2 3" xfId="12846" xr:uid="{00000000-0005-0000-0000-00002B220000}"/>
    <cellStyle name="20% - Accent5 8 2 3 2 3 2" xfId="36695" xr:uid="{286C45E4-9B9A-48FD-B17C-4C6D4400DDD0}"/>
    <cellStyle name="20% - Accent5 8 2 3 2 4" xfId="20801" xr:uid="{00000000-0005-0000-0000-00002C220000}"/>
    <cellStyle name="20% - Accent5 8 2 3 2 4 2" xfId="44633" xr:uid="{6B143EB3-F996-4C0E-BC49-AF190C441AB4}"/>
    <cellStyle name="20% - Accent5 8 2 3 2 5" xfId="28754" xr:uid="{65630AE6-6BCB-44AF-822D-6F3A6E66BC90}"/>
    <cellStyle name="20% - Accent5 8 2 3 3" xfId="6655" xr:uid="{00000000-0005-0000-0000-00002D220000}"/>
    <cellStyle name="20% - Accent5 8 2 3 3 2" xfId="14626" xr:uid="{00000000-0005-0000-0000-00002E220000}"/>
    <cellStyle name="20% - Accent5 8 2 3 3 2 2" xfId="38468" xr:uid="{C130B7E6-50F3-4C1C-91B8-DCEF19AB3BF9}"/>
    <cellStyle name="20% - Accent5 8 2 3 3 3" xfId="22573" xr:uid="{00000000-0005-0000-0000-00002F220000}"/>
    <cellStyle name="20% - Accent5 8 2 3 3 3 2" xfId="46405" xr:uid="{D01E373F-F436-4250-9B0C-AE9AF3D40C0B}"/>
    <cellStyle name="20% - Accent5 8 2 3 3 4" xfId="30527" xr:uid="{68D67DB6-72CC-43ED-A09C-838786BE7BF2}"/>
    <cellStyle name="20% - Accent5 8 2 3 4" xfId="11090" xr:uid="{00000000-0005-0000-0000-000030220000}"/>
    <cellStyle name="20% - Accent5 8 2 3 4 2" xfId="34939" xr:uid="{CC92DB1C-C4BB-47A5-BE42-F39DCD2CBFE7}"/>
    <cellStyle name="20% - Accent5 8 2 3 5" xfId="19045" xr:uid="{00000000-0005-0000-0000-000031220000}"/>
    <cellStyle name="20% - Accent5 8 2 3 5 2" xfId="42877" xr:uid="{9FAC2BE2-CE80-46B4-AE07-8A17EA020212}"/>
    <cellStyle name="20% - Accent5 8 2 3 6" xfId="26997" xr:uid="{72CE80DC-28AC-443E-B4AB-DA893CEA2B11}"/>
    <cellStyle name="20% - Accent5 8 2 3_Exh G" xfId="2538" xr:uid="{00000000-0005-0000-0000-000032220000}"/>
    <cellStyle name="20% - Accent5 8 2 4" xfId="3944" xr:uid="{00000000-0005-0000-0000-000033220000}"/>
    <cellStyle name="20% - Accent5 8 2 4 2" xfId="7536" xr:uid="{00000000-0005-0000-0000-000034220000}"/>
    <cellStyle name="20% - Accent5 8 2 4 2 2" xfId="15506" xr:uid="{00000000-0005-0000-0000-000035220000}"/>
    <cellStyle name="20% - Accent5 8 2 4 2 2 2" xfId="39348" xr:uid="{0D84040D-82F8-452F-B53C-EE8DD04C4F0A}"/>
    <cellStyle name="20% - Accent5 8 2 4 2 3" xfId="23452" xr:uid="{00000000-0005-0000-0000-000036220000}"/>
    <cellStyle name="20% - Accent5 8 2 4 2 3 2" xfId="47284" xr:uid="{92244ACF-9747-45F4-B5F0-709080516362}"/>
    <cellStyle name="20% - Accent5 8 2 4 2 4" xfId="31407" xr:uid="{3C0CA1B0-3038-4334-B65C-6EF5F4F42140}"/>
    <cellStyle name="20% - Accent5 8 2 4 3" xfId="11968" xr:uid="{00000000-0005-0000-0000-000037220000}"/>
    <cellStyle name="20% - Accent5 8 2 4 3 2" xfId="35817" xr:uid="{01C4EB73-41D4-450F-91E7-8D932E880DF5}"/>
    <cellStyle name="20% - Accent5 8 2 4 4" xfId="19923" xr:uid="{00000000-0005-0000-0000-000038220000}"/>
    <cellStyle name="20% - Accent5 8 2 4 4 2" xfId="43755" xr:uid="{FD511594-04A7-476C-986E-27784B5C8140}"/>
    <cellStyle name="20% - Accent5 8 2 4 5" xfId="27876" xr:uid="{5DE665FA-E0D7-441B-9AE8-EAA6B95F0B40}"/>
    <cellStyle name="20% - Accent5 8 2 5" xfId="5764" xr:uid="{00000000-0005-0000-0000-000039220000}"/>
    <cellStyle name="20% - Accent5 8 2 5 2" xfId="13747" xr:uid="{00000000-0005-0000-0000-00003A220000}"/>
    <cellStyle name="20% - Accent5 8 2 5 2 2" xfId="37590" xr:uid="{FCE7F6D3-B487-4DDB-B3FA-B60177903D3F}"/>
    <cellStyle name="20% - Accent5 8 2 5 3" xfId="21695" xr:uid="{00000000-0005-0000-0000-00003B220000}"/>
    <cellStyle name="20% - Accent5 8 2 5 3 2" xfId="45527" xr:uid="{550FD1F3-F759-4EE4-A0C6-4BDE3897DA55}"/>
    <cellStyle name="20% - Accent5 8 2 5 4" xfId="29649" xr:uid="{9C3B1D5C-692C-4E43-B345-7699C6516333}"/>
    <cellStyle name="20% - Accent5 8 2 6" xfId="9316" xr:uid="{00000000-0005-0000-0000-00003C220000}"/>
    <cellStyle name="20% - Accent5 8 2 6 2" xfId="17274" xr:uid="{00000000-0005-0000-0000-00003D220000}"/>
    <cellStyle name="20% - Accent5 8 2 6 2 2" xfId="41114" xr:uid="{3601721A-A836-4589-9357-CBC1975D24C4}"/>
    <cellStyle name="20% - Accent5 8 2 6 3" xfId="25218" xr:uid="{00000000-0005-0000-0000-00003E220000}"/>
    <cellStyle name="20% - Accent5 8 2 6 3 2" xfId="49050" xr:uid="{C54DD34A-5D82-4B3B-858C-6D8F4ADDE54B}"/>
    <cellStyle name="20% - Accent5 8 2 6 4" xfId="33173" xr:uid="{667633C3-8659-4F84-B73C-271AA7FEFB3A}"/>
    <cellStyle name="20% - Accent5 8 2 7" xfId="10212" xr:uid="{00000000-0005-0000-0000-00003F220000}"/>
    <cellStyle name="20% - Accent5 8 2 7 2" xfId="34061" xr:uid="{F427A605-0957-42DD-BC65-D3A3CBB278B1}"/>
    <cellStyle name="20% - Accent5 8 2 8" xfId="18167" xr:uid="{00000000-0005-0000-0000-000040220000}"/>
    <cellStyle name="20% - Accent5 8 2 8 2" xfId="41999" xr:uid="{E8DDDA23-F40F-4565-A7E6-8C83017D578D}"/>
    <cellStyle name="20% - Accent5 8 2 9" xfId="26119" xr:uid="{ACEC0E3F-E771-4E58-9E7E-1BACCA2E78FB}"/>
    <cellStyle name="20% - Accent5 8 2_Exh G" xfId="2535" xr:uid="{00000000-0005-0000-0000-000041220000}"/>
    <cellStyle name="20% - Accent5 8 3" xfId="272" xr:uid="{00000000-0005-0000-0000-000042220000}"/>
    <cellStyle name="20% - Accent5 8 3 2" xfId="1298" xr:uid="{00000000-0005-0000-0000-000043220000}"/>
    <cellStyle name="20% - Accent5 8 3 2 2" xfId="4825" xr:uid="{00000000-0005-0000-0000-000044220000}"/>
    <cellStyle name="20% - Accent5 8 3 2 2 2" xfId="8416" xr:uid="{00000000-0005-0000-0000-000045220000}"/>
    <cellStyle name="20% - Accent5 8 3 2 2 2 2" xfId="16386" xr:uid="{00000000-0005-0000-0000-000046220000}"/>
    <cellStyle name="20% - Accent5 8 3 2 2 2 2 2" xfId="40228" xr:uid="{5D5DCD1E-2AF8-4641-8465-5EBCE4C19941}"/>
    <cellStyle name="20% - Accent5 8 3 2 2 2 3" xfId="24332" xr:uid="{00000000-0005-0000-0000-000047220000}"/>
    <cellStyle name="20% - Accent5 8 3 2 2 2 3 2" xfId="48164" xr:uid="{5FF10DA2-D151-4BC2-B182-51B2BDCE9B1B}"/>
    <cellStyle name="20% - Accent5 8 3 2 2 2 4" xfId="32287" xr:uid="{02AD6E79-D5A0-4ED1-B206-0F5BCB2315A2}"/>
    <cellStyle name="20% - Accent5 8 3 2 2 3" xfId="12848" xr:uid="{00000000-0005-0000-0000-000048220000}"/>
    <cellStyle name="20% - Accent5 8 3 2 2 3 2" xfId="36697" xr:uid="{E4F9409F-43E4-43A4-B8D4-6187D8C7F070}"/>
    <cellStyle name="20% - Accent5 8 3 2 2 4" xfId="20803" xr:uid="{00000000-0005-0000-0000-000049220000}"/>
    <cellStyle name="20% - Accent5 8 3 2 2 4 2" xfId="44635" xr:uid="{4A1289E8-7B8C-45E9-900F-6EBD1DD31E1B}"/>
    <cellStyle name="20% - Accent5 8 3 2 2 5" xfId="28756" xr:uid="{35C471C5-2CB5-402B-BEE7-C7436675A1F5}"/>
    <cellStyle name="20% - Accent5 8 3 2 3" xfId="6657" xr:uid="{00000000-0005-0000-0000-00004A220000}"/>
    <cellStyle name="20% - Accent5 8 3 2 3 2" xfId="14628" xr:uid="{00000000-0005-0000-0000-00004B220000}"/>
    <cellStyle name="20% - Accent5 8 3 2 3 2 2" xfId="38470" xr:uid="{4AAEB860-8BAD-4617-A3F4-0B3267B82081}"/>
    <cellStyle name="20% - Accent5 8 3 2 3 3" xfId="22575" xr:uid="{00000000-0005-0000-0000-00004C220000}"/>
    <cellStyle name="20% - Accent5 8 3 2 3 3 2" xfId="46407" xr:uid="{D35DEF8D-818F-442F-92A3-D2F4DD05538F}"/>
    <cellStyle name="20% - Accent5 8 3 2 3 4" xfId="30529" xr:uid="{F4094A99-6D41-4CF2-A42E-34A3F077B4E9}"/>
    <cellStyle name="20% - Accent5 8 3 2 4" xfId="11092" xr:uid="{00000000-0005-0000-0000-00004D220000}"/>
    <cellStyle name="20% - Accent5 8 3 2 4 2" xfId="34941" xr:uid="{7930120F-F69C-4C41-B0E3-EB6770D398D3}"/>
    <cellStyle name="20% - Accent5 8 3 2 5" xfId="19047" xr:uid="{00000000-0005-0000-0000-00004E220000}"/>
    <cellStyle name="20% - Accent5 8 3 2 5 2" xfId="42879" xr:uid="{D236091D-9737-4F6A-9F7F-057CB5CCA5DC}"/>
    <cellStyle name="20% - Accent5 8 3 2 6" xfId="26999" xr:uid="{98A436AD-6056-41EA-AC8F-F53F09B1483D}"/>
    <cellStyle name="20% - Accent5 8 3 2_Exh G" xfId="2540" xr:uid="{00000000-0005-0000-0000-00004F220000}"/>
    <cellStyle name="20% - Accent5 8 3 3" xfId="3946" xr:uid="{00000000-0005-0000-0000-000050220000}"/>
    <cellStyle name="20% - Accent5 8 3 3 2" xfId="7538" xr:uid="{00000000-0005-0000-0000-000051220000}"/>
    <cellStyle name="20% - Accent5 8 3 3 2 2" xfId="15508" xr:uid="{00000000-0005-0000-0000-000052220000}"/>
    <cellStyle name="20% - Accent5 8 3 3 2 2 2" xfId="39350" xr:uid="{2DD55995-1AA8-422C-A784-452F66B4F972}"/>
    <cellStyle name="20% - Accent5 8 3 3 2 3" xfId="23454" xr:uid="{00000000-0005-0000-0000-000053220000}"/>
    <cellStyle name="20% - Accent5 8 3 3 2 3 2" xfId="47286" xr:uid="{14A10D24-FC2F-48A6-88E1-BDC9B691FDF5}"/>
    <cellStyle name="20% - Accent5 8 3 3 2 4" xfId="31409" xr:uid="{C855FB0B-0E0C-46C9-9D08-D3CC23499F92}"/>
    <cellStyle name="20% - Accent5 8 3 3 3" xfId="11970" xr:uid="{00000000-0005-0000-0000-000054220000}"/>
    <cellStyle name="20% - Accent5 8 3 3 3 2" xfId="35819" xr:uid="{D300D2F2-5DEC-47E4-9754-77DD23CDC544}"/>
    <cellStyle name="20% - Accent5 8 3 3 4" xfId="19925" xr:uid="{00000000-0005-0000-0000-000055220000}"/>
    <cellStyle name="20% - Accent5 8 3 3 4 2" xfId="43757" xr:uid="{7899EDFD-44B0-40F1-95CF-92106CD2041C}"/>
    <cellStyle name="20% - Accent5 8 3 3 5" xfId="27878" xr:uid="{E8E434E7-9745-4619-9E2C-826BA3D14726}"/>
    <cellStyle name="20% - Accent5 8 3 4" xfId="5766" xr:uid="{00000000-0005-0000-0000-000056220000}"/>
    <cellStyle name="20% - Accent5 8 3 4 2" xfId="13749" xr:uid="{00000000-0005-0000-0000-000057220000}"/>
    <cellStyle name="20% - Accent5 8 3 4 2 2" xfId="37592" xr:uid="{FDF7547E-D54D-4C97-AFFA-C16F401C680E}"/>
    <cellStyle name="20% - Accent5 8 3 4 3" xfId="21697" xr:uid="{00000000-0005-0000-0000-000058220000}"/>
    <cellStyle name="20% - Accent5 8 3 4 3 2" xfId="45529" xr:uid="{F154EEA7-51F9-421E-A585-C9A699B10F8D}"/>
    <cellStyle name="20% - Accent5 8 3 4 4" xfId="29651" xr:uid="{7D7B1F12-C3F8-40DE-A374-5AEBE23BF299}"/>
    <cellStyle name="20% - Accent5 8 3 5" xfId="9318" xr:uid="{00000000-0005-0000-0000-000059220000}"/>
    <cellStyle name="20% - Accent5 8 3 5 2" xfId="17276" xr:uid="{00000000-0005-0000-0000-00005A220000}"/>
    <cellStyle name="20% - Accent5 8 3 5 2 2" xfId="41116" xr:uid="{35492D37-1882-4BCD-9741-815A0D78D18D}"/>
    <cellStyle name="20% - Accent5 8 3 5 3" xfId="25220" xr:uid="{00000000-0005-0000-0000-00005B220000}"/>
    <cellStyle name="20% - Accent5 8 3 5 3 2" xfId="49052" xr:uid="{15286BA8-F674-422E-B276-F3A2620C7481}"/>
    <cellStyle name="20% - Accent5 8 3 5 4" xfId="33175" xr:uid="{3D7F4566-7816-4943-904C-9DDC70AE6862}"/>
    <cellStyle name="20% - Accent5 8 3 6" xfId="10214" xr:uid="{00000000-0005-0000-0000-00005C220000}"/>
    <cellStyle name="20% - Accent5 8 3 6 2" xfId="34063" xr:uid="{A27CDFF5-68DB-4879-BA6E-556AE899ACA8}"/>
    <cellStyle name="20% - Accent5 8 3 7" xfId="18169" xr:uid="{00000000-0005-0000-0000-00005D220000}"/>
    <cellStyle name="20% - Accent5 8 3 7 2" xfId="42001" xr:uid="{A1EA433A-4C9A-42E4-B35F-E945CB70AA58}"/>
    <cellStyle name="20% - Accent5 8 3 8" xfId="26121" xr:uid="{376D9A50-5B18-452E-8F48-1890675926D4}"/>
    <cellStyle name="20% - Accent5 8 3_Exh G" xfId="2539" xr:uid="{00000000-0005-0000-0000-00005E220000}"/>
    <cellStyle name="20% - Accent5 8 4" xfId="917" xr:uid="{00000000-0005-0000-0000-00005F220000}"/>
    <cellStyle name="20% - Accent5 8 4 2" xfId="1840" xr:uid="{00000000-0005-0000-0000-000060220000}"/>
    <cellStyle name="20% - Accent5 8 4 2 2" xfId="5357" xr:uid="{00000000-0005-0000-0000-000061220000}"/>
    <cellStyle name="20% - Accent5 8 4 2 2 2" xfId="8948" xr:uid="{00000000-0005-0000-0000-000062220000}"/>
    <cellStyle name="20% - Accent5 8 4 2 2 2 2" xfId="16918" xr:uid="{00000000-0005-0000-0000-000063220000}"/>
    <cellStyle name="20% - Accent5 8 4 2 2 2 2 2" xfId="40760" xr:uid="{9F65D5E5-D18C-4AC4-A6FF-F3CE8A329A02}"/>
    <cellStyle name="20% - Accent5 8 4 2 2 2 3" xfId="24864" xr:uid="{00000000-0005-0000-0000-000064220000}"/>
    <cellStyle name="20% - Accent5 8 4 2 2 2 3 2" xfId="48696" xr:uid="{38AEE89D-3DC6-4CF1-8BFD-297373992D9A}"/>
    <cellStyle name="20% - Accent5 8 4 2 2 2 4" xfId="32819" xr:uid="{DFD4221E-0027-4134-9581-6664E88B9BCE}"/>
    <cellStyle name="20% - Accent5 8 4 2 2 3" xfId="13380" xr:uid="{00000000-0005-0000-0000-000065220000}"/>
    <cellStyle name="20% - Accent5 8 4 2 2 3 2" xfId="37229" xr:uid="{9EA936DC-2F70-44F2-80A7-1EE49EADA64D}"/>
    <cellStyle name="20% - Accent5 8 4 2 2 4" xfId="21335" xr:uid="{00000000-0005-0000-0000-000066220000}"/>
    <cellStyle name="20% - Accent5 8 4 2 2 4 2" xfId="45167" xr:uid="{E8614CA9-3F32-40C4-9BBD-31B7A4C4CA56}"/>
    <cellStyle name="20% - Accent5 8 4 2 2 5" xfId="29288" xr:uid="{59ED7A7C-6398-401C-A133-01B36F2A8EF8}"/>
    <cellStyle name="20% - Accent5 8 4 2 3" xfId="7189" xr:uid="{00000000-0005-0000-0000-000067220000}"/>
    <cellStyle name="20% - Accent5 8 4 2 3 2" xfId="15160" xr:uid="{00000000-0005-0000-0000-000068220000}"/>
    <cellStyle name="20% - Accent5 8 4 2 3 2 2" xfId="39002" xr:uid="{0B835287-CD27-454C-B27F-1C06D5EE795A}"/>
    <cellStyle name="20% - Accent5 8 4 2 3 3" xfId="23107" xr:uid="{00000000-0005-0000-0000-000069220000}"/>
    <cellStyle name="20% - Accent5 8 4 2 3 3 2" xfId="46939" xr:uid="{369DB548-5F7C-48D4-A268-9A450E40DC02}"/>
    <cellStyle name="20% - Accent5 8 4 2 3 4" xfId="31061" xr:uid="{980F2AFA-0195-4B0C-AA7E-70F1ECCF6B6A}"/>
    <cellStyle name="20% - Accent5 8 4 2 4" xfId="11624" xr:uid="{00000000-0005-0000-0000-00006A220000}"/>
    <cellStyle name="20% - Accent5 8 4 2 4 2" xfId="35473" xr:uid="{7D831F5B-3ED2-48F5-A0AE-3C938A70C01B}"/>
    <cellStyle name="20% - Accent5 8 4 2 5" xfId="19579" xr:uid="{00000000-0005-0000-0000-00006B220000}"/>
    <cellStyle name="20% - Accent5 8 4 2 5 2" xfId="43411" xr:uid="{894CB68E-1416-4A04-B13F-F04C856EAB30}"/>
    <cellStyle name="20% - Accent5 8 4 2 6" xfId="27531" xr:uid="{884199B6-DFF1-4B7E-BD16-3A02351CC67F}"/>
    <cellStyle name="20% - Accent5 8 4 2_Exh G" xfId="2542" xr:uid="{00000000-0005-0000-0000-00006C220000}"/>
    <cellStyle name="20% - Accent5 8 4 3" xfId="4478" xr:uid="{00000000-0005-0000-0000-00006D220000}"/>
    <cellStyle name="20% - Accent5 8 4 3 2" xfId="8070" xr:uid="{00000000-0005-0000-0000-00006E220000}"/>
    <cellStyle name="20% - Accent5 8 4 3 2 2" xfId="16040" xr:uid="{00000000-0005-0000-0000-00006F220000}"/>
    <cellStyle name="20% - Accent5 8 4 3 2 2 2" xfId="39882" xr:uid="{D5EA8939-CB40-4593-B66B-0F688C06D851}"/>
    <cellStyle name="20% - Accent5 8 4 3 2 3" xfId="23986" xr:uid="{00000000-0005-0000-0000-000070220000}"/>
    <cellStyle name="20% - Accent5 8 4 3 2 3 2" xfId="47818" xr:uid="{5C0018DC-0509-4CAE-B2D7-8B594020D257}"/>
    <cellStyle name="20% - Accent5 8 4 3 2 4" xfId="31941" xr:uid="{D6E3ACE9-F5FE-43C0-B3AA-147F6803C6BD}"/>
    <cellStyle name="20% - Accent5 8 4 3 3" xfId="12502" xr:uid="{00000000-0005-0000-0000-000071220000}"/>
    <cellStyle name="20% - Accent5 8 4 3 3 2" xfId="36351" xr:uid="{5DCE5E57-F9D1-453F-867F-F8041CBA67A7}"/>
    <cellStyle name="20% - Accent5 8 4 3 4" xfId="20457" xr:uid="{00000000-0005-0000-0000-000072220000}"/>
    <cellStyle name="20% - Accent5 8 4 3 4 2" xfId="44289" xr:uid="{BE128D19-21FE-43DC-B935-1BE959AC9F10}"/>
    <cellStyle name="20% - Accent5 8 4 3 5" xfId="28410" xr:uid="{4E232CD9-09D5-4854-8534-2A5B78A39F4D}"/>
    <cellStyle name="20% - Accent5 8 4 4" xfId="6308" xr:uid="{00000000-0005-0000-0000-000073220000}"/>
    <cellStyle name="20% - Accent5 8 4 4 2" xfId="14282" xr:uid="{00000000-0005-0000-0000-000074220000}"/>
    <cellStyle name="20% - Accent5 8 4 4 2 2" xfId="38124" xr:uid="{D3925FA9-4F35-4A7F-96A8-EF5BC75BAF7B}"/>
    <cellStyle name="20% - Accent5 8 4 4 3" xfId="22229" xr:uid="{00000000-0005-0000-0000-000075220000}"/>
    <cellStyle name="20% - Accent5 8 4 4 3 2" xfId="46061" xr:uid="{A8EEEB21-BD97-41B5-9E35-4091E0BF3DBB}"/>
    <cellStyle name="20% - Accent5 8 4 4 4" xfId="30183" xr:uid="{809B1A88-D331-403A-A414-9C4026AA6DBB}"/>
    <cellStyle name="20% - Accent5 8 4 5" xfId="9850" xr:uid="{00000000-0005-0000-0000-000076220000}"/>
    <cellStyle name="20% - Accent5 8 4 5 2" xfId="17808" xr:uid="{00000000-0005-0000-0000-000077220000}"/>
    <cellStyle name="20% - Accent5 8 4 5 2 2" xfId="41648" xr:uid="{8B754BCA-7B3A-4323-9600-B33C6EE5F447}"/>
    <cellStyle name="20% - Accent5 8 4 5 3" xfId="25752" xr:uid="{00000000-0005-0000-0000-000078220000}"/>
    <cellStyle name="20% - Accent5 8 4 5 3 2" xfId="49584" xr:uid="{69AB5C4B-020C-467F-B843-898A7F557D62}"/>
    <cellStyle name="20% - Accent5 8 4 5 4" xfId="33707" xr:uid="{AD47A51C-6174-4DB6-B482-11B06BEE99B1}"/>
    <cellStyle name="20% - Accent5 8 4 6" xfId="10746" xr:uid="{00000000-0005-0000-0000-000079220000}"/>
    <cellStyle name="20% - Accent5 8 4 6 2" xfId="34595" xr:uid="{097ACADD-ECC6-4644-843F-1E86C6EAF4E3}"/>
    <cellStyle name="20% - Accent5 8 4 7" xfId="18701" xr:uid="{00000000-0005-0000-0000-00007A220000}"/>
    <cellStyle name="20% - Accent5 8 4 7 2" xfId="42533" xr:uid="{EA720097-5159-4429-A67D-A85CCE23F089}"/>
    <cellStyle name="20% - Accent5 8 4 8" xfId="26653" xr:uid="{CC6DC358-5775-48B4-8A49-3D83BC4834D2}"/>
    <cellStyle name="20% - Accent5 8 4_Exh G" xfId="2541" xr:uid="{00000000-0005-0000-0000-00007B220000}"/>
    <cellStyle name="20% - Accent5 8 5" xfId="1295" xr:uid="{00000000-0005-0000-0000-00007C220000}"/>
    <cellStyle name="20% - Accent5 8 5 2" xfId="4822" xr:uid="{00000000-0005-0000-0000-00007D220000}"/>
    <cellStyle name="20% - Accent5 8 5 2 2" xfId="8413" xr:uid="{00000000-0005-0000-0000-00007E220000}"/>
    <cellStyle name="20% - Accent5 8 5 2 2 2" xfId="16383" xr:uid="{00000000-0005-0000-0000-00007F220000}"/>
    <cellStyle name="20% - Accent5 8 5 2 2 2 2" xfId="40225" xr:uid="{3A0ACE9F-CA5A-4793-9E43-B3EC7928CA01}"/>
    <cellStyle name="20% - Accent5 8 5 2 2 3" xfId="24329" xr:uid="{00000000-0005-0000-0000-000080220000}"/>
    <cellStyle name="20% - Accent5 8 5 2 2 3 2" xfId="48161" xr:uid="{1D914BA4-A6C8-4481-BB54-6FD6D05A7F9E}"/>
    <cellStyle name="20% - Accent5 8 5 2 2 4" xfId="32284" xr:uid="{AD4A05BA-6AE2-40D1-B11E-F7FD5CCAA3CF}"/>
    <cellStyle name="20% - Accent5 8 5 2 3" xfId="12845" xr:uid="{00000000-0005-0000-0000-000081220000}"/>
    <cellStyle name="20% - Accent5 8 5 2 3 2" xfId="36694" xr:uid="{3908EAC3-07A2-4E94-9B5C-CFCFB8523DB6}"/>
    <cellStyle name="20% - Accent5 8 5 2 4" xfId="20800" xr:uid="{00000000-0005-0000-0000-000082220000}"/>
    <cellStyle name="20% - Accent5 8 5 2 4 2" xfId="44632" xr:uid="{511F3EC0-C12A-42E3-A6F6-F1424BA38348}"/>
    <cellStyle name="20% - Accent5 8 5 2 5" xfId="28753" xr:uid="{1A17CA89-6109-488E-BF20-6EBCC157813A}"/>
    <cellStyle name="20% - Accent5 8 5 3" xfId="6654" xr:uid="{00000000-0005-0000-0000-000083220000}"/>
    <cellStyle name="20% - Accent5 8 5 3 2" xfId="14625" xr:uid="{00000000-0005-0000-0000-000084220000}"/>
    <cellStyle name="20% - Accent5 8 5 3 2 2" xfId="38467" xr:uid="{A99A7B5C-48D5-4454-A842-E856DEFE2455}"/>
    <cellStyle name="20% - Accent5 8 5 3 3" xfId="22572" xr:uid="{00000000-0005-0000-0000-000085220000}"/>
    <cellStyle name="20% - Accent5 8 5 3 3 2" xfId="46404" xr:uid="{D506478A-9F75-4FA0-92E6-2EF81153728F}"/>
    <cellStyle name="20% - Accent5 8 5 3 4" xfId="30526" xr:uid="{43A92EA4-1697-4DA3-99DD-F677E2EB16BB}"/>
    <cellStyle name="20% - Accent5 8 5 4" xfId="11089" xr:uid="{00000000-0005-0000-0000-000086220000}"/>
    <cellStyle name="20% - Accent5 8 5 4 2" xfId="34938" xr:uid="{6A356AAA-8725-41CD-9E22-A8E680CA4C0B}"/>
    <cellStyle name="20% - Accent5 8 5 5" xfId="19044" xr:uid="{00000000-0005-0000-0000-000087220000}"/>
    <cellStyle name="20% - Accent5 8 5 5 2" xfId="42876" xr:uid="{37EED30A-C6EB-4D5F-9B76-4C79714B5D7A}"/>
    <cellStyle name="20% - Accent5 8 5 6" xfId="26996" xr:uid="{5850F554-95CC-4FDA-93CB-7A79F150AE70}"/>
    <cellStyle name="20% - Accent5 8 5_Exh G" xfId="2543" xr:uid="{00000000-0005-0000-0000-000088220000}"/>
    <cellStyle name="20% - Accent5 8 6" xfId="3943" xr:uid="{00000000-0005-0000-0000-000089220000}"/>
    <cellStyle name="20% - Accent5 8 6 2" xfId="7535" xr:uid="{00000000-0005-0000-0000-00008A220000}"/>
    <cellStyle name="20% - Accent5 8 6 2 2" xfId="15505" xr:uid="{00000000-0005-0000-0000-00008B220000}"/>
    <cellStyle name="20% - Accent5 8 6 2 2 2" xfId="39347" xr:uid="{23316631-FE71-42F7-9E7F-F7B580304442}"/>
    <cellStyle name="20% - Accent5 8 6 2 3" xfId="23451" xr:uid="{00000000-0005-0000-0000-00008C220000}"/>
    <cellStyle name="20% - Accent5 8 6 2 3 2" xfId="47283" xr:uid="{3CA10832-B27E-40A7-BE6B-E71F216F7B21}"/>
    <cellStyle name="20% - Accent5 8 6 2 4" xfId="31406" xr:uid="{CC361ED6-A53B-404C-BA45-1B0ACE7B9920}"/>
    <cellStyle name="20% - Accent5 8 6 3" xfId="11967" xr:uid="{00000000-0005-0000-0000-00008D220000}"/>
    <cellStyle name="20% - Accent5 8 6 3 2" xfId="35816" xr:uid="{10B212CB-8456-47C7-9682-3A8BACC607C2}"/>
    <cellStyle name="20% - Accent5 8 6 4" xfId="19922" xr:uid="{00000000-0005-0000-0000-00008E220000}"/>
    <cellStyle name="20% - Accent5 8 6 4 2" xfId="43754" xr:uid="{A8F9AEC2-DB34-48FD-B708-8D9960C7A3FC}"/>
    <cellStyle name="20% - Accent5 8 6 5" xfId="27875" xr:uid="{960EA93A-150E-4DFE-9D0D-8DDC9952BFDE}"/>
    <cellStyle name="20% - Accent5 8 7" xfId="5763" xr:uid="{00000000-0005-0000-0000-00008F220000}"/>
    <cellStyle name="20% - Accent5 8 7 2" xfId="13746" xr:uid="{00000000-0005-0000-0000-000090220000}"/>
    <cellStyle name="20% - Accent5 8 7 2 2" xfId="37589" xr:uid="{30738EAD-99C7-4DBB-9298-879F73594F69}"/>
    <cellStyle name="20% - Accent5 8 7 3" xfId="21694" xr:uid="{00000000-0005-0000-0000-000091220000}"/>
    <cellStyle name="20% - Accent5 8 7 3 2" xfId="45526" xr:uid="{FE0947BE-11CC-4A1C-9424-31745C08B914}"/>
    <cellStyle name="20% - Accent5 8 7 4" xfId="29648" xr:uid="{AADA467A-241D-41E7-8395-7659B15473D1}"/>
    <cellStyle name="20% - Accent5 8 8" xfId="9315" xr:uid="{00000000-0005-0000-0000-000092220000}"/>
    <cellStyle name="20% - Accent5 8 8 2" xfId="17273" xr:uid="{00000000-0005-0000-0000-000093220000}"/>
    <cellStyle name="20% - Accent5 8 8 2 2" xfId="41113" xr:uid="{40C9C35C-5E6D-41F1-B71B-B02B9C608886}"/>
    <cellStyle name="20% - Accent5 8 8 3" xfId="25217" xr:uid="{00000000-0005-0000-0000-000094220000}"/>
    <cellStyle name="20% - Accent5 8 8 3 2" xfId="49049" xr:uid="{83AB1AAF-94DB-4C73-AA1C-2A3A842ECBD0}"/>
    <cellStyle name="20% - Accent5 8 8 4" xfId="33172" xr:uid="{4C275948-2577-4281-9B00-FE17879DDD70}"/>
    <cellStyle name="20% - Accent5 8 9" xfId="10211" xr:uid="{00000000-0005-0000-0000-000095220000}"/>
    <cellStyle name="20% - Accent5 8 9 2" xfId="34060" xr:uid="{DB417B7F-4783-49A9-B0E1-0E81F402BC24}"/>
    <cellStyle name="20% - Accent5 8_Exh G" xfId="2534" xr:uid="{00000000-0005-0000-0000-000096220000}"/>
    <cellStyle name="20% - Accent5 9" xfId="273" xr:uid="{00000000-0005-0000-0000-000097220000}"/>
    <cellStyle name="20% - Accent5 9 10" xfId="18170" xr:uid="{00000000-0005-0000-0000-000098220000}"/>
    <cellStyle name="20% - Accent5 9 10 2" xfId="42002" xr:uid="{98FBA05F-B290-4A3B-A798-491955AFDAE3}"/>
    <cellStyle name="20% - Accent5 9 11" xfId="26122" xr:uid="{9AC2321D-1879-4258-B3A5-65BBAAFE7DE8}"/>
    <cellStyle name="20% - Accent5 9 2" xfId="274" xr:uid="{00000000-0005-0000-0000-000099220000}"/>
    <cellStyle name="20% - Accent5 9 2 2" xfId="275" xr:uid="{00000000-0005-0000-0000-00009A220000}"/>
    <cellStyle name="20% - Accent5 9 2 2 2" xfId="1301" xr:uid="{00000000-0005-0000-0000-00009B220000}"/>
    <cellStyle name="20% - Accent5 9 2 2 2 2" xfId="4828" xr:uid="{00000000-0005-0000-0000-00009C220000}"/>
    <cellStyle name="20% - Accent5 9 2 2 2 2 2" xfId="8419" xr:uid="{00000000-0005-0000-0000-00009D220000}"/>
    <cellStyle name="20% - Accent5 9 2 2 2 2 2 2" xfId="16389" xr:uid="{00000000-0005-0000-0000-00009E220000}"/>
    <cellStyle name="20% - Accent5 9 2 2 2 2 2 2 2" xfId="40231" xr:uid="{2307BFFD-D258-4A87-82C5-7E1D293627E9}"/>
    <cellStyle name="20% - Accent5 9 2 2 2 2 2 3" xfId="24335" xr:uid="{00000000-0005-0000-0000-00009F220000}"/>
    <cellStyle name="20% - Accent5 9 2 2 2 2 2 3 2" xfId="48167" xr:uid="{17B0FDDE-6377-4938-9A1E-702111EE094D}"/>
    <cellStyle name="20% - Accent5 9 2 2 2 2 2 4" xfId="32290" xr:uid="{8DB9EB2F-8A89-418F-99C1-A66555B99468}"/>
    <cellStyle name="20% - Accent5 9 2 2 2 2 3" xfId="12851" xr:uid="{00000000-0005-0000-0000-0000A0220000}"/>
    <cellStyle name="20% - Accent5 9 2 2 2 2 3 2" xfId="36700" xr:uid="{2A2C4E47-1D1E-472C-88E0-D21036D565E9}"/>
    <cellStyle name="20% - Accent5 9 2 2 2 2 4" xfId="20806" xr:uid="{00000000-0005-0000-0000-0000A1220000}"/>
    <cellStyle name="20% - Accent5 9 2 2 2 2 4 2" xfId="44638" xr:uid="{7C8BA33E-0C6A-4A6A-8E59-2A713C2B82A8}"/>
    <cellStyle name="20% - Accent5 9 2 2 2 2 5" xfId="28759" xr:uid="{BD858F86-C536-4234-8841-FA3DD0A5994E}"/>
    <cellStyle name="20% - Accent5 9 2 2 2 3" xfId="6660" xr:uid="{00000000-0005-0000-0000-0000A2220000}"/>
    <cellStyle name="20% - Accent5 9 2 2 2 3 2" xfId="14631" xr:uid="{00000000-0005-0000-0000-0000A3220000}"/>
    <cellStyle name="20% - Accent5 9 2 2 2 3 2 2" xfId="38473" xr:uid="{D74CEBBD-423C-4C29-8020-FE7EB55849C1}"/>
    <cellStyle name="20% - Accent5 9 2 2 2 3 3" xfId="22578" xr:uid="{00000000-0005-0000-0000-0000A4220000}"/>
    <cellStyle name="20% - Accent5 9 2 2 2 3 3 2" xfId="46410" xr:uid="{F10A96BB-256C-4903-A85D-F6678C7EA04D}"/>
    <cellStyle name="20% - Accent5 9 2 2 2 3 4" xfId="30532" xr:uid="{2E264A4D-4D90-463B-AAA1-CC428DC962B8}"/>
    <cellStyle name="20% - Accent5 9 2 2 2 4" xfId="11095" xr:uid="{00000000-0005-0000-0000-0000A5220000}"/>
    <cellStyle name="20% - Accent5 9 2 2 2 4 2" xfId="34944" xr:uid="{CB485CCE-6B2F-4AEC-9EDA-CA0B3BD4CDA6}"/>
    <cellStyle name="20% - Accent5 9 2 2 2 5" xfId="19050" xr:uid="{00000000-0005-0000-0000-0000A6220000}"/>
    <cellStyle name="20% - Accent5 9 2 2 2 5 2" xfId="42882" xr:uid="{45967D9A-1045-4F2A-99EB-1C89D704912A}"/>
    <cellStyle name="20% - Accent5 9 2 2 2 6" xfId="27002" xr:uid="{D4429CB0-5CEF-4FA2-BC16-FB1E6ED14673}"/>
    <cellStyle name="20% - Accent5 9 2 2 2_Exh G" xfId="2547" xr:uid="{00000000-0005-0000-0000-0000A7220000}"/>
    <cellStyle name="20% - Accent5 9 2 2 3" xfId="3949" xr:uid="{00000000-0005-0000-0000-0000A8220000}"/>
    <cellStyle name="20% - Accent5 9 2 2 3 2" xfId="7541" xr:uid="{00000000-0005-0000-0000-0000A9220000}"/>
    <cellStyle name="20% - Accent5 9 2 2 3 2 2" xfId="15511" xr:uid="{00000000-0005-0000-0000-0000AA220000}"/>
    <cellStyle name="20% - Accent5 9 2 2 3 2 2 2" xfId="39353" xr:uid="{010A7E68-0684-4875-8107-A32150A0F693}"/>
    <cellStyle name="20% - Accent5 9 2 2 3 2 3" xfId="23457" xr:uid="{00000000-0005-0000-0000-0000AB220000}"/>
    <cellStyle name="20% - Accent5 9 2 2 3 2 3 2" xfId="47289" xr:uid="{30906A37-73CF-495C-8134-07AF56815584}"/>
    <cellStyle name="20% - Accent5 9 2 2 3 2 4" xfId="31412" xr:uid="{53355D2B-86F3-4896-AF3A-686752B8570F}"/>
    <cellStyle name="20% - Accent5 9 2 2 3 3" xfId="11973" xr:uid="{00000000-0005-0000-0000-0000AC220000}"/>
    <cellStyle name="20% - Accent5 9 2 2 3 3 2" xfId="35822" xr:uid="{705C193B-478B-4DB4-82B0-D1C4FA369E25}"/>
    <cellStyle name="20% - Accent5 9 2 2 3 4" xfId="19928" xr:uid="{00000000-0005-0000-0000-0000AD220000}"/>
    <cellStyle name="20% - Accent5 9 2 2 3 4 2" xfId="43760" xr:uid="{08EAED64-70BD-4E95-8A51-2AED633C0705}"/>
    <cellStyle name="20% - Accent5 9 2 2 3 5" xfId="27881" xr:uid="{D392E094-3EBD-49B5-A9B5-A1B46357C290}"/>
    <cellStyle name="20% - Accent5 9 2 2 4" xfId="5769" xr:uid="{00000000-0005-0000-0000-0000AE220000}"/>
    <cellStyle name="20% - Accent5 9 2 2 4 2" xfId="13752" xr:uid="{00000000-0005-0000-0000-0000AF220000}"/>
    <cellStyle name="20% - Accent5 9 2 2 4 2 2" xfId="37595" xr:uid="{7E268909-2333-4A90-955A-E7F73D23775D}"/>
    <cellStyle name="20% - Accent5 9 2 2 4 3" xfId="21700" xr:uid="{00000000-0005-0000-0000-0000B0220000}"/>
    <cellStyle name="20% - Accent5 9 2 2 4 3 2" xfId="45532" xr:uid="{F337D1C5-541E-4198-A14E-5E7A4A1E5D18}"/>
    <cellStyle name="20% - Accent5 9 2 2 4 4" xfId="29654" xr:uid="{DD5AB24A-B0AA-45AC-9218-0370B73C1711}"/>
    <cellStyle name="20% - Accent5 9 2 2 5" xfId="9321" xr:uid="{00000000-0005-0000-0000-0000B1220000}"/>
    <cellStyle name="20% - Accent5 9 2 2 5 2" xfId="17279" xr:uid="{00000000-0005-0000-0000-0000B2220000}"/>
    <cellStyle name="20% - Accent5 9 2 2 5 2 2" xfId="41119" xr:uid="{1B379ADC-E77D-4E0A-884C-705EF75E1202}"/>
    <cellStyle name="20% - Accent5 9 2 2 5 3" xfId="25223" xr:uid="{00000000-0005-0000-0000-0000B3220000}"/>
    <cellStyle name="20% - Accent5 9 2 2 5 3 2" xfId="49055" xr:uid="{77A7538D-94A6-41AB-94DD-DB32D02CAFD8}"/>
    <cellStyle name="20% - Accent5 9 2 2 5 4" xfId="33178" xr:uid="{AE8AB90C-A9A5-47DB-9342-9AD2434D1E92}"/>
    <cellStyle name="20% - Accent5 9 2 2 6" xfId="10217" xr:uid="{00000000-0005-0000-0000-0000B4220000}"/>
    <cellStyle name="20% - Accent5 9 2 2 6 2" xfId="34066" xr:uid="{980C365F-BCDD-4D18-B0F7-C14F7702FD64}"/>
    <cellStyle name="20% - Accent5 9 2 2 7" xfId="18172" xr:uid="{00000000-0005-0000-0000-0000B5220000}"/>
    <cellStyle name="20% - Accent5 9 2 2 7 2" xfId="42004" xr:uid="{B9841ED5-E9DA-4188-AD0C-EA99961F4479}"/>
    <cellStyle name="20% - Accent5 9 2 2 8" xfId="26124" xr:uid="{69224C78-5275-4A8E-BE23-878FF853C8DF}"/>
    <cellStyle name="20% - Accent5 9 2 2_Exh G" xfId="2546" xr:uid="{00000000-0005-0000-0000-0000B6220000}"/>
    <cellStyle name="20% - Accent5 9 2 3" xfId="1300" xr:uid="{00000000-0005-0000-0000-0000B7220000}"/>
    <cellStyle name="20% - Accent5 9 2 3 2" xfId="4827" xr:uid="{00000000-0005-0000-0000-0000B8220000}"/>
    <cellStyle name="20% - Accent5 9 2 3 2 2" xfId="8418" xr:uid="{00000000-0005-0000-0000-0000B9220000}"/>
    <cellStyle name="20% - Accent5 9 2 3 2 2 2" xfId="16388" xr:uid="{00000000-0005-0000-0000-0000BA220000}"/>
    <cellStyle name="20% - Accent5 9 2 3 2 2 2 2" xfId="40230" xr:uid="{16934F37-5A3F-4965-AA09-8AAC48E6721D}"/>
    <cellStyle name="20% - Accent5 9 2 3 2 2 3" xfId="24334" xr:uid="{00000000-0005-0000-0000-0000BB220000}"/>
    <cellStyle name="20% - Accent5 9 2 3 2 2 3 2" xfId="48166" xr:uid="{7FC19EE1-B367-4C30-B00A-BEFD64B65D0D}"/>
    <cellStyle name="20% - Accent5 9 2 3 2 2 4" xfId="32289" xr:uid="{2A984F25-2FBC-4B08-8914-A3B1F973BDA6}"/>
    <cellStyle name="20% - Accent5 9 2 3 2 3" xfId="12850" xr:uid="{00000000-0005-0000-0000-0000BC220000}"/>
    <cellStyle name="20% - Accent5 9 2 3 2 3 2" xfId="36699" xr:uid="{2BFBD82C-0C08-433B-9291-BA2E71FD0ADB}"/>
    <cellStyle name="20% - Accent5 9 2 3 2 4" xfId="20805" xr:uid="{00000000-0005-0000-0000-0000BD220000}"/>
    <cellStyle name="20% - Accent5 9 2 3 2 4 2" xfId="44637" xr:uid="{7A5509F6-9B08-49BA-8940-4AA7024AA427}"/>
    <cellStyle name="20% - Accent5 9 2 3 2 5" xfId="28758" xr:uid="{81D33AD7-9296-4C44-965E-61A366E67890}"/>
    <cellStyle name="20% - Accent5 9 2 3 3" xfId="6659" xr:uid="{00000000-0005-0000-0000-0000BE220000}"/>
    <cellStyle name="20% - Accent5 9 2 3 3 2" xfId="14630" xr:uid="{00000000-0005-0000-0000-0000BF220000}"/>
    <cellStyle name="20% - Accent5 9 2 3 3 2 2" xfId="38472" xr:uid="{C9CFAD95-773A-462E-BB60-E5CE3B7C6740}"/>
    <cellStyle name="20% - Accent5 9 2 3 3 3" xfId="22577" xr:uid="{00000000-0005-0000-0000-0000C0220000}"/>
    <cellStyle name="20% - Accent5 9 2 3 3 3 2" xfId="46409" xr:uid="{0471CF12-B439-4C6F-A927-93D62A510AD5}"/>
    <cellStyle name="20% - Accent5 9 2 3 3 4" xfId="30531" xr:uid="{6E4AC495-11B0-48DD-88C5-BCC7FC9B9C53}"/>
    <cellStyle name="20% - Accent5 9 2 3 4" xfId="11094" xr:uid="{00000000-0005-0000-0000-0000C1220000}"/>
    <cellStyle name="20% - Accent5 9 2 3 4 2" xfId="34943" xr:uid="{2846CC58-4E62-4DBF-923A-70F185983C89}"/>
    <cellStyle name="20% - Accent5 9 2 3 5" xfId="19049" xr:uid="{00000000-0005-0000-0000-0000C2220000}"/>
    <cellStyle name="20% - Accent5 9 2 3 5 2" xfId="42881" xr:uid="{D83B3AAC-C324-46AD-ABDE-FD7FE51E12F2}"/>
    <cellStyle name="20% - Accent5 9 2 3 6" xfId="27001" xr:uid="{BD2DAA01-A682-424B-8754-F39EB92D701A}"/>
    <cellStyle name="20% - Accent5 9 2 3_Exh G" xfId="2548" xr:uid="{00000000-0005-0000-0000-0000C3220000}"/>
    <cellStyle name="20% - Accent5 9 2 4" xfId="3948" xr:uid="{00000000-0005-0000-0000-0000C4220000}"/>
    <cellStyle name="20% - Accent5 9 2 4 2" xfId="7540" xr:uid="{00000000-0005-0000-0000-0000C5220000}"/>
    <cellStyle name="20% - Accent5 9 2 4 2 2" xfId="15510" xr:uid="{00000000-0005-0000-0000-0000C6220000}"/>
    <cellStyle name="20% - Accent5 9 2 4 2 2 2" xfId="39352" xr:uid="{63DD07CF-4615-4731-947B-9838F452AC33}"/>
    <cellStyle name="20% - Accent5 9 2 4 2 3" xfId="23456" xr:uid="{00000000-0005-0000-0000-0000C7220000}"/>
    <cellStyle name="20% - Accent5 9 2 4 2 3 2" xfId="47288" xr:uid="{DF7B2AF0-254B-4A7A-A641-6092238F16AA}"/>
    <cellStyle name="20% - Accent5 9 2 4 2 4" xfId="31411" xr:uid="{907162BD-EC95-429B-927D-154D988D28A9}"/>
    <cellStyle name="20% - Accent5 9 2 4 3" xfId="11972" xr:uid="{00000000-0005-0000-0000-0000C8220000}"/>
    <cellStyle name="20% - Accent5 9 2 4 3 2" xfId="35821" xr:uid="{0AD652A1-EE9E-47DA-A43E-F6B525ED700E}"/>
    <cellStyle name="20% - Accent5 9 2 4 4" xfId="19927" xr:uid="{00000000-0005-0000-0000-0000C9220000}"/>
    <cellStyle name="20% - Accent5 9 2 4 4 2" xfId="43759" xr:uid="{A050FAC5-A535-436B-A209-5A7CBDEB2829}"/>
    <cellStyle name="20% - Accent5 9 2 4 5" xfId="27880" xr:uid="{178A3946-0CD9-41D2-8F0C-1D594F818991}"/>
    <cellStyle name="20% - Accent5 9 2 5" xfId="5768" xr:uid="{00000000-0005-0000-0000-0000CA220000}"/>
    <cellStyle name="20% - Accent5 9 2 5 2" xfId="13751" xr:uid="{00000000-0005-0000-0000-0000CB220000}"/>
    <cellStyle name="20% - Accent5 9 2 5 2 2" xfId="37594" xr:uid="{25A9C7EC-CA85-49B6-8082-2E4E11D48AF8}"/>
    <cellStyle name="20% - Accent5 9 2 5 3" xfId="21699" xr:uid="{00000000-0005-0000-0000-0000CC220000}"/>
    <cellStyle name="20% - Accent5 9 2 5 3 2" xfId="45531" xr:uid="{ADB3C452-529F-42DA-B7EE-C1BA2C088703}"/>
    <cellStyle name="20% - Accent5 9 2 5 4" xfId="29653" xr:uid="{197354D8-2F06-4C61-A809-AF7EC48606EB}"/>
    <cellStyle name="20% - Accent5 9 2 6" xfId="9320" xr:uid="{00000000-0005-0000-0000-0000CD220000}"/>
    <cellStyle name="20% - Accent5 9 2 6 2" xfId="17278" xr:uid="{00000000-0005-0000-0000-0000CE220000}"/>
    <cellStyle name="20% - Accent5 9 2 6 2 2" xfId="41118" xr:uid="{3C19BD57-C468-442D-9568-B23B0D7136EB}"/>
    <cellStyle name="20% - Accent5 9 2 6 3" xfId="25222" xr:uid="{00000000-0005-0000-0000-0000CF220000}"/>
    <cellStyle name="20% - Accent5 9 2 6 3 2" xfId="49054" xr:uid="{25EC6E05-B85C-47A5-8CC4-121BF018242E}"/>
    <cellStyle name="20% - Accent5 9 2 6 4" xfId="33177" xr:uid="{A08EA3CF-D889-4981-AA55-48B2A522C315}"/>
    <cellStyle name="20% - Accent5 9 2 7" xfId="10216" xr:uid="{00000000-0005-0000-0000-0000D0220000}"/>
    <cellStyle name="20% - Accent5 9 2 7 2" xfId="34065" xr:uid="{EF7C2667-9176-4690-A391-CDCF59F5D296}"/>
    <cellStyle name="20% - Accent5 9 2 8" xfId="18171" xr:uid="{00000000-0005-0000-0000-0000D1220000}"/>
    <cellStyle name="20% - Accent5 9 2 8 2" xfId="42003" xr:uid="{D018ABC1-522B-4D65-B0F1-44AE98C23241}"/>
    <cellStyle name="20% - Accent5 9 2 9" xfId="26123" xr:uid="{D5DE4921-76C3-45C0-9489-9E3DF48AB553}"/>
    <cellStyle name="20% - Accent5 9 2_Exh G" xfId="2545" xr:uid="{00000000-0005-0000-0000-0000D2220000}"/>
    <cellStyle name="20% - Accent5 9 3" xfId="276" xr:uid="{00000000-0005-0000-0000-0000D3220000}"/>
    <cellStyle name="20% - Accent5 9 3 2" xfId="1302" xr:uid="{00000000-0005-0000-0000-0000D4220000}"/>
    <cellStyle name="20% - Accent5 9 3 2 2" xfId="4829" xr:uid="{00000000-0005-0000-0000-0000D5220000}"/>
    <cellStyle name="20% - Accent5 9 3 2 2 2" xfId="8420" xr:uid="{00000000-0005-0000-0000-0000D6220000}"/>
    <cellStyle name="20% - Accent5 9 3 2 2 2 2" xfId="16390" xr:uid="{00000000-0005-0000-0000-0000D7220000}"/>
    <cellStyle name="20% - Accent5 9 3 2 2 2 2 2" xfId="40232" xr:uid="{0E68C135-C4A0-4A2A-A30E-92377A712D1C}"/>
    <cellStyle name="20% - Accent5 9 3 2 2 2 3" xfId="24336" xr:uid="{00000000-0005-0000-0000-0000D8220000}"/>
    <cellStyle name="20% - Accent5 9 3 2 2 2 3 2" xfId="48168" xr:uid="{C0C68FEE-747B-4DC6-A7E3-990EA20E5ACB}"/>
    <cellStyle name="20% - Accent5 9 3 2 2 2 4" xfId="32291" xr:uid="{CC81962B-C6C6-4883-8538-C57B4613C362}"/>
    <cellStyle name="20% - Accent5 9 3 2 2 3" xfId="12852" xr:uid="{00000000-0005-0000-0000-0000D9220000}"/>
    <cellStyle name="20% - Accent5 9 3 2 2 3 2" xfId="36701" xr:uid="{26E998CE-F70F-4C8D-A9EA-087AFAC3C347}"/>
    <cellStyle name="20% - Accent5 9 3 2 2 4" xfId="20807" xr:uid="{00000000-0005-0000-0000-0000DA220000}"/>
    <cellStyle name="20% - Accent5 9 3 2 2 4 2" xfId="44639" xr:uid="{9D447A08-0CC8-4279-BF76-A099CF1CEE7F}"/>
    <cellStyle name="20% - Accent5 9 3 2 2 5" xfId="28760" xr:uid="{32DC1524-ED6A-4F8E-960B-F08719D4ACC4}"/>
    <cellStyle name="20% - Accent5 9 3 2 3" xfId="6661" xr:uid="{00000000-0005-0000-0000-0000DB220000}"/>
    <cellStyle name="20% - Accent5 9 3 2 3 2" xfId="14632" xr:uid="{00000000-0005-0000-0000-0000DC220000}"/>
    <cellStyle name="20% - Accent5 9 3 2 3 2 2" xfId="38474" xr:uid="{A95E24A4-BE86-4F0A-A163-A3DCED01656F}"/>
    <cellStyle name="20% - Accent5 9 3 2 3 3" xfId="22579" xr:uid="{00000000-0005-0000-0000-0000DD220000}"/>
    <cellStyle name="20% - Accent5 9 3 2 3 3 2" xfId="46411" xr:uid="{C066E0F6-6C3F-4EFA-AE65-8530A8759320}"/>
    <cellStyle name="20% - Accent5 9 3 2 3 4" xfId="30533" xr:uid="{AFDB811E-A11C-400D-B726-8CDDFC4721FB}"/>
    <cellStyle name="20% - Accent5 9 3 2 4" xfId="11096" xr:uid="{00000000-0005-0000-0000-0000DE220000}"/>
    <cellStyle name="20% - Accent5 9 3 2 4 2" xfId="34945" xr:uid="{76E2C77B-7878-4F6E-82BD-F502C53B930A}"/>
    <cellStyle name="20% - Accent5 9 3 2 5" xfId="19051" xr:uid="{00000000-0005-0000-0000-0000DF220000}"/>
    <cellStyle name="20% - Accent5 9 3 2 5 2" xfId="42883" xr:uid="{A8757FA2-C7EB-433C-A346-2020CA36C661}"/>
    <cellStyle name="20% - Accent5 9 3 2 6" xfId="27003" xr:uid="{DE04C215-5A6C-47D3-B21F-CAF409D21A3E}"/>
    <cellStyle name="20% - Accent5 9 3 2_Exh G" xfId="2550" xr:uid="{00000000-0005-0000-0000-0000E0220000}"/>
    <cellStyle name="20% - Accent5 9 3 3" xfId="3950" xr:uid="{00000000-0005-0000-0000-0000E1220000}"/>
    <cellStyle name="20% - Accent5 9 3 3 2" xfId="7542" xr:uid="{00000000-0005-0000-0000-0000E2220000}"/>
    <cellStyle name="20% - Accent5 9 3 3 2 2" xfId="15512" xr:uid="{00000000-0005-0000-0000-0000E3220000}"/>
    <cellStyle name="20% - Accent5 9 3 3 2 2 2" xfId="39354" xr:uid="{5AF12A76-A8E2-42EB-91ED-014AF53A673A}"/>
    <cellStyle name="20% - Accent5 9 3 3 2 3" xfId="23458" xr:uid="{00000000-0005-0000-0000-0000E4220000}"/>
    <cellStyle name="20% - Accent5 9 3 3 2 3 2" xfId="47290" xr:uid="{28A44C97-AA36-4C32-9B4E-17E2F694EE94}"/>
    <cellStyle name="20% - Accent5 9 3 3 2 4" xfId="31413" xr:uid="{280F9DDC-8EA9-44A0-9B37-104F7AA2D757}"/>
    <cellStyle name="20% - Accent5 9 3 3 3" xfId="11974" xr:uid="{00000000-0005-0000-0000-0000E5220000}"/>
    <cellStyle name="20% - Accent5 9 3 3 3 2" xfId="35823" xr:uid="{38BD2511-2CE6-44F5-B502-0DBE6BB337CD}"/>
    <cellStyle name="20% - Accent5 9 3 3 4" xfId="19929" xr:uid="{00000000-0005-0000-0000-0000E6220000}"/>
    <cellStyle name="20% - Accent5 9 3 3 4 2" xfId="43761" xr:uid="{5B1309FA-7938-4906-B865-E90AF2FA3DF8}"/>
    <cellStyle name="20% - Accent5 9 3 3 5" xfId="27882" xr:uid="{21228421-4C61-4358-A456-620E1DEB77C4}"/>
    <cellStyle name="20% - Accent5 9 3 4" xfId="5770" xr:uid="{00000000-0005-0000-0000-0000E7220000}"/>
    <cellStyle name="20% - Accent5 9 3 4 2" xfId="13753" xr:uid="{00000000-0005-0000-0000-0000E8220000}"/>
    <cellStyle name="20% - Accent5 9 3 4 2 2" xfId="37596" xr:uid="{D000D49A-9774-463B-AE3F-DB711E3FF2A0}"/>
    <cellStyle name="20% - Accent5 9 3 4 3" xfId="21701" xr:uid="{00000000-0005-0000-0000-0000E9220000}"/>
    <cellStyle name="20% - Accent5 9 3 4 3 2" xfId="45533" xr:uid="{0A10D04B-6EAE-463C-BBF0-00C84CE7E801}"/>
    <cellStyle name="20% - Accent5 9 3 4 4" xfId="29655" xr:uid="{44B2376A-6C9F-445F-8A5A-68E3005BEEFB}"/>
    <cellStyle name="20% - Accent5 9 3 5" xfId="9322" xr:uid="{00000000-0005-0000-0000-0000EA220000}"/>
    <cellStyle name="20% - Accent5 9 3 5 2" xfId="17280" xr:uid="{00000000-0005-0000-0000-0000EB220000}"/>
    <cellStyle name="20% - Accent5 9 3 5 2 2" xfId="41120" xr:uid="{DE5D69EF-3A98-4C27-8D33-8C6D8AF897D1}"/>
    <cellStyle name="20% - Accent5 9 3 5 3" xfId="25224" xr:uid="{00000000-0005-0000-0000-0000EC220000}"/>
    <cellStyle name="20% - Accent5 9 3 5 3 2" xfId="49056" xr:uid="{F5E7A6E4-45E8-4B1B-99F4-08DB9A51EBC0}"/>
    <cellStyle name="20% - Accent5 9 3 5 4" xfId="33179" xr:uid="{D04872BA-A0C8-4F0F-8F34-4AE4F132C431}"/>
    <cellStyle name="20% - Accent5 9 3 6" xfId="10218" xr:uid="{00000000-0005-0000-0000-0000ED220000}"/>
    <cellStyle name="20% - Accent5 9 3 6 2" xfId="34067" xr:uid="{99E7509B-349E-43E7-A638-2389BF35A9CE}"/>
    <cellStyle name="20% - Accent5 9 3 7" xfId="18173" xr:uid="{00000000-0005-0000-0000-0000EE220000}"/>
    <cellStyle name="20% - Accent5 9 3 7 2" xfId="42005" xr:uid="{04ACC226-9D6E-4DED-B0E9-C817705214AC}"/>
    <cellStyle name="20% - Accent5 9 3 8" xfId="26125" xr:uid="{4F49805A-A0AD-4F1F-8C5E-668BF7B745A9}"/>
    <cellStyle name="20% - Accent5 9 3_Exh G" xfId="2549" xr:uid="{00000000-0005-0000-0000-0000EF220000}"/>
    <cellStyle name="20% - Accent5 9 4" xfId="918" xr:uid="{00000000-0005-0000-0000-0000F0220000}"/>
    <cellStyle name="20% - Accent5 9 4 2" xfId="1841" xr:uid="{00000000-0005-0000-0000-0000F1220000}"/>
    <cellStyle name="20% - Accent5 9 4 2 2" xfId="5358" xr:uid="{00000000-0005-0000-0000-0000F2220000}"/>
    <cellStyle name="20% - Accent5 9 4 2 2 2" xfId="8949" xr:uid="{00000000-0005-0000-0000-0000F3220000}"/>
    <cellStyle name="20% - Accent5 9 4 2 2 2 2" xfId="16919" xr:uid="{00000000-0005-0000-0000-0000F4220000}"/>
    <cellStyle name="20% - Accent5 9 4 2 2 2 2 2" xfId="40761" xr:uid="{C7478482-B21A-4FB7-82E7-0DE45ED4102E}"/>
    <cellStyle name="20% - Accent5 9 4 2 2 2 3" xfId="24865" xr:uid="{00000000-0005-0000-0000-0000F5220000}"/>
    <cellStyle name="20% - Accent5 9 4 2 2 2 3 2" xfId="48697" xr:uid="{00A71566-A126-4385-AA7B-1C84FA9D279F}"/>
    <cellStyle name="20% - Accent5 9 4 2 2 2 4" xfId="32820" xr:uid="{7F3B076B-71AD-48B0-B774-9402A0B18F0E}"/>
    <cellStyle name="20% - Accent5 9 4 2 2 3" xfId="13381" xr:uid="{00000000-0005-0000-0000-0000F6220000}"/>
    <cellStyle name="20% - Accent5 9 4 2 2 3 2" xfId="37230" xr:uid="{C2CF800B-A5C5-4711-B6C7-513644A73C9F}"/>
    <cellStyle name="20% - Accent5 9 4 2 2 4" xfId="21336" xr:uid="{00000000-0005-0000-0000-0000F7220000}"/>
    <cellStyle name="20% - Accent5 9 4 2 2 4 2" xfId="45168" xr:uid="{7DC0E1F8-E89F-4567-8F15-A33201116581}"/>
    <cellStyle name="20% - Accent5 9 4 2 2 5" xfId="29289" xr:uid="{FD90A527-A0F8-4E26-A461-A151AF586B6A}"/>
    <cellStyle name="20% - Accent5 9 4 2 3" xfId="7190" xr:uid="{00000000-0005-0000-0000-0000F8220000}"/>
    <cellStyle name="20% - Accent5 9 4 2 3 2" xfId="15161" xr:uid="{00000000-0005-0000-0000-0000F9220000}"/>
    <cellStyle name="20% - Accent5 9 4 2 3 2 2" xfId="39003" xr:uid="{68F4FE0B-0177-416E-8E94-9E09BFF78849}"/>
    <cellStyle name="20% - Accent5 9 4 2 3 3" xfId="23108" xr:uid="{00000000-0005-0000-0000-0000FA220000}"/>
    <cellStyle name="20% - Accent5 9 4 2 3 3 2" xfId="46940" xr:uid="{843912C8-E3D5-4715-9C4C-10F2733BBAF7}"/>
    <cellStyle name="20% - Accent5 9 4 2 3 4" xfId="31062" xr:uid="{7218A352-EA21-45A6-BF88-DB614B7A28B9}"/>
    <cellStyle name="20% - Accent5 9 4 2 4" xfId="11625" xr:uid="{00000000-0005-0000-0000-0000FB220000}"/>
    <cellStyle name="20% - Accent5 9 4 2 4 2" xfId="35474" xr:uid="{D4CDF124-9FBD-4F9E-A5D8-B7FEA3CF6353}"/>
    <cellStyle name="20% - Accent5 9 4 2 5" xfId="19580" xr:uid="{00000000-0005-0000-0000-0000FC220000}"/>
    <cellStyle name="20% - Accent5 9 4 2 5 2" xfId="43412" xr:uid="{75732D31-DE50-4854-A627-38E7F34DFC1F}"/>
    <cellStyle name="20% - Accent5 9 4 2 6" xfId="27532" xr:uid="{6508D2AE-9C96-4328-BB15-D796A6B249E5}"/>
    <cellStyle name="20% - Accent5 9 4 2_Exh G" xfId="2552" xr:uid="{00000000-0005-0000-0000-0000FD220000}"/>
    <cellStyle name="20% - Accent5 9 4 3" xfId="4479" xr:uid="{00000000-0005-0000-0000-0000FE220000}"/>
    <cellStyle name="20% - Accent5 9 4 3 2" xfId="8071" xr:uid="{00000000-0005-0000-0000-0000FF220000}"/>
    <cellStyle name="20% - Accent5 9 4 3 2 2" xfId="16041" xr:uid="{00000000-0005-0000-0000-000000230000}"/>
    <cellStyle name="20% - Accent5 9 4 3 2 2 2" xfId="39883" xr:uid="{EB60D08F-87C7-4028-9A53-2B3A34914411}"/>
    <cellStyle name="20% - Accent5 9 4 3 2 3" xfId="23987" xr:uid="{00000000-0005-0000-0000-000001230000}"/>
    <cellStyle name="20% - Accent5 9 4 3 2 3 2" xfId="47819" xr:uid="{3226992E-073D-4FF7-9FB5-C76BF12351F2}"/>
    <cellStyle name="20% - Accent5 9 4 3 2 4" xfId="31942" xr:uid="{D988C668-0EDC-4FD0-9B1E-CF362A780255}"/>
    <cellStyle name="20% - Accent5 9 4 3 3" xfId="12503" xr:uid="{00000000-0005-0000-0000-000002230000}"/>
    <cellStyle name="20% - Accent5 9 4 3 3 2" xfId="36352" xr:uid="{02759ECC-69AA-4520-AE9F-CE5041A1A077}"/>
    <cellStyle name="20% - Accent5 9 4 3 4" xfId="20458" xr:uid="{00000000-0005-0000-0000-000003230000}"/>
    <cellStyle name="20% - Accent5 9 4 3 4 2" xfId="44290" xr:uid="{3D1994B9-3C45-49AA-AC93-DEEB9C4B1765}"/>
    <cellStyle name="20% - Accent5 9 4 3 5" xfId="28411" xr:uid="{61413BD1-78E4-458E-BC92-8BA74F8382C7}"/>
    <cellStyle name="20% - Accent5 9 4 4" xfId="6309" xr:uid="{00000000-0005-0000-0000-000004230000}"/>
    <cellStyle name="20% - Accent5 9 4 4 2" xfId="14283" xr:uid="{00000000-0005-0000-0000-000005230000}"/>
    <cellStyle name="20% - Accent5 9 4 4 2 2" xfId="38125" xr:uid="{D5D1EFAF-3BD1-4395-84B8-DE0CE2692ED1}"/>
    <cellStyle name="20% - Accent5 9 4 4 3" xfId="22230" xr:uid="{00000000-0005-0000-0000-000006230000}"/>
    <cellStyle name="20% - Accent5 9 4 4 3 2" xfId="46062" xr:uid="{8750230A-7D88-4DCF-984F-54D37D72A417}"/>
    <cellStyle name="20% - Accent5 9 4 4 4" xfId="30184" xr:uid="{CF36CE6C-97C5-46C1-A26D-1F54CD78A299}"/>
    <cellStyle name="20% - Accent5 9 4 5" xfId="9851" xr:uid="{00000000-0005-0000-0000-000007230000}"/>
    <cellStyle name="20% - Accent5 9 4 5 2" xfId="17809" xr:uid="{00000000-0005-0000-0000-000008230000}"/>
    <cellStyle name="20% - Accent5 9 4 5 2 2" xfId="41649" xr:uid="{43FC0EA8-302B-4052-B447-42B2C7A91661}"/>
    <cellStyle name="20% - Accent5 9 4 5 3" xfId="25753" xr:uid="{00000000-0005-0000-0000-000009230000}"/>
    <cellStyle name="20% - Accent5 9 4 5 3 2" xfId="49585" xr:uid="{3139FBD3-9A8B-4ED0-ACA9-5AF8C3FB6E65}"/>
    <cellStyle name="20% - Accent5 9 4 5 4" xfId="33708" xr:uid="{254CD19F-9452-4583-BFFA-51D03D6AC8BC}"/>
    <cellStyle name="20% - Accent5 9 4 6" xfId="10747" xr:uid="{00000000-0005-0000-0000-00000A230000}"/>
    <cellStyle name="20% - Accent5 9 4 6 2" xfId="34596" xr:uid="{40A06AE9-E5B6-4FA5-95D8-E84C90180EA0}"/>
    <cellStyle name="20% - Accent5 9 4 7" xfId="18702" xr:uid="{00000000-0005-0000-0000-00000B230000}"/>
    <cellStyle name="20% - Accent5 9 4 7 2" xfId="42534" xr:uid="{120CB8E0-7772-42A2-BFC2-2AC4CB6461E4}"/>
    <cellStyle name="20% - Accent5 9 4 8" xfId="26654" xr:uid="{A087975C-E47D-4880-9E7D-F81CC79AC8A4}"/>
    <cellStyle name="20% - Accent5 9 4_Exh G" xfId="2551" xr:uid="{00000000-0005-0000-0000-00000C230000}"/>
    <cellStyle name="20% - Accent5 9 5" xfId="1299" xr:uid="{00000000-0005-0000-0000-00000D230000}"/>
    <cellStyle name="20% - Accent5 9 5 2" xfId="4826" xr:uid="{00000000-0005-0000-0000-00000E230000}"/>
    <cellStyle name="20% - Accent5 9 5 2 2" xfId="8417" xr:uid="{00000000-0005-0000-0000-00000F230000}"/>
    <cellStyle name="20% - Accent5 9 5 2 2 2" xfId="16387" xr:uid="{00000000-0005-0000-0000-000010230000}"/>
    <cellStyle name="20% - Accent5 9 5 2 2 2 2" xfId="40229" xr:uid="{62360ECD-133E-45F2-97FC-D845B8B39351}"/>
    <cellStyle name="20% - Accent5 9 5 2 2 3" xfId="24333" xr:uid="{00000000-0005-0000-0000-000011230000}"/>
    <cellStyle name="20% - Accent5 9 5 2 2 3 2" xfId="48165" xr:uid="{4241F24B-5D30-4E1F-9F88-0D97CE6D472A}"/>
    <cellStyle name="20% - Accent5 9 5 2 2 4" xfId="32288" xr:uid="{FF3F7220-C1B7-4FD1-9242-8F6D2B93C2D0}"/>
    <cellStyle name="20% - Accent5 9 5 2 3" xfId="12849" xr:uid="{00000000-0005-0000-0000-000012230000}"/>
    <cellStyle name="20% - Accent5 9 5 2 3 2" xfId="36698" xr:uid="{E89BB603-E766-4A47-974A-58BFDCE2EB83}"/>
    <cellStyle name="20% - Accent5 9 5 2 4" xfId="20804" xr:uid="{00000000-0005-0000-0000-000013230000}"/>
    <cellStyle name="20% - Accent5 9 5 2 4 2" xfId="44636" xr:uid="{D7883CA2-B346-423D-8FE3-1B9EAE1BD151}"/>
    <cellStyle name="20% - Accent5 9 5 2 5" xfId="28757" xr:uid="{3086B9D9-723C-4021-A7F0-8606853A97EA}"/>
    <cellStyle name="20% - Accent5 9 5 3" xfId="6658" xr:uid="{00000000-0005-0000-0000-000014230000}"/>
    <cellStyle name="20% - Accent5 9 5 3 2" xfId="14629" xr:uid="{00000000-0005-0000-0000-000015230000}"/>
    <cellStyle name="20% - Accent5 9 5 3 2 2" xfId="38471" xr:uid="{124B769A-60B5-411C-B56D-6D51F42A58A1}"/>
    <cellStyle name="20% - Accent5 9 5 3 3" xfId="22576" xr:uid="{00000000-0005-0000-0000-000016230000}"/>
    <cellStyle name="20% - Accent5 9 5 3 3 2" xfId="46408" xr:uid="{39F0FF75-B046-4612-AA54-FEE3E505EF10}"/>
    <cellStyle name="20% - Accent5 9 5 3 4" xfId="30530" xr:uid="{AB84C3A6-B0BF-406A-B9BC-F40C1915B169}"/>
    <cellStyle name="20% - Accent5 9 5 4" xfId="11093" xr:uid="{00000000-0005-0000-0000-000017230000}"/>
    <cellStyle name="20% - Accent5 9 5 4 2" xfId="34942" xr:uid="{289C6866-1E06-4F2A-BE8F-5BB20800F141}"/>
    <cellStyle name="20% - Accent5 9 5 5" xfId="19048" xr:uid="{00000000-0005-0000-0000-000018230000}"/>
    <cellStyle name="20% - Accent5 9 5 5 2" xfId="42880" xr:uid="{F7B8E422-3EC0-45A4-B0E9-61C5786B5E5A}"/>
    <cellStyle name="20% - Accent5 9 5 6" xfId="27000" xr:uid="{7F8CA333-920D-4C42-8590-5416C6D12C55}"/>
    <cellStyle name="20% - Accent5 9 5_Exh G" xfId="2553" xr:uid="{00000000-0005-0000-0000-000019230000}"/>
    <cellStyle name="20% - Accent5 9 6" xfId="3947" xr:uid="{00000000-0005-0000-0000-00001A230000}"/>
    <cellStyle name="20% - Accent5 9 6 2" xfId="7539" xr:uid="{00000000-0005-0000-0000-00001B230000}"/>
    <cellStyle name="20% - Accent5 9 6 2 2" xfId="15509" xr:uid="{00000000-0005-0000-0000-00001C230000}"/>
    <cellStyle name="20% - Accent5 9 6 2 2 2" xfId="39351" xr:uid="{C9BF4BE6-65BF-4FEA-9ED5-0A54A86AD6A0}"/>
    <cellStyle name="20% - Accent5 9 6 2 3" xfId="23455" xr:uid="{00000000-0005-0000-0000-00001D230000}"/>
    <cellStyle name="20% - Accent5 9 6 2 3 2" xfId="47287" xr:uid="{5BEB78F0-A732-4098-8F7D-7E3CE89181D0}"/>
    <cellStyle name="20% - Accent5 9 6 2 4" xfId="31410" xr:uid="{E5F35E77-E5BD-4CF4-87D2-88353D770DDE}"/>
    <cellStyle name="20% - Accent5 9 6 3" xfId="11971" xr:uid="{00000000-0005-0000-0000-00001E230000}"/>
    <cellStyle name="20% - Accent5 9 6 3 2" xfId="35820" xr:uid="{8585A7B2-C6FB-4EFF-A078-89B11D758C5B}"/>
    <cellStyle name="20% - Accent5 9 6 4" xfId="19926" xr:uid="{00000000-0005-0000-0000-00001F230000}"/>
    <cellStyle name="20% - Accent5 9 6 4 2" xfId="43758" xr:uid="{13057AF1-81C4-413D-8B87-7C843B998DA6}"/>
    <cellStyle name="20% - Accent5 9 6 5" xfId="27879" xr:uid="{831E2F64-C4FB-4504-910B-8085FC13C6F9}"/>
    <cellStyle name="20% - Accent5 9 7" xfId="5767" xr:uid="{00000000-0005-0000-0000-000020230000}"/>
    <cellStyle name="20% - Accent5 9 7 2" xfId="13750" xr:uid="{00000000-0005-0000-0000-000021230000}"/>
    <cellStyle name="20% - Accent5 9 7 2 2" xfId="37593" xr:uid="{E503BC5D-4F80-42CC-8D39-15C11E260514}"/>
    <cellStyle name="20% - Accent5 9 7 3" xfId="21698" xr:uid="{00000000-0005-0000-0000-000022230000}"/>
    <cellStyle name="20% - Accent5 9 7 3 2" xfId="45530" xr:uid="{0590283C-CFF5-4BCF-A6BF-6AFF39C3EAA0}"/>
    <cellStyle name="20% - Accent5 9 7 4" xfId="29652" xr:uid="{4E6CECF1-68F4-4A2C-A2AC-AF97A9AC3827}"/>
    <cellStyle name="20% - Accent5 9 8" xfId="9319" xr:uid="{00000000-0005-0000-0000-000023230000}"/>
    <cellStyle name="20% - Accent5 9 8 2" xfId="17277" xr:uid="{00000000-0005-0000-0000-000024230000}"/>
    <cellStyle name="20% - Accent5 9 8 2 2" xfId="41117" xr:uid="{11CB5479-8DAC-4FA5-BA80-F2761FA04F46}"/>
    <cellStyle name="20% - Accent5 9 8 3" xfId="25221" xr:uid="{00000000-0005-0000-0000-000025230000}"/>
    <cellStyle name="20% - Accent5 9 8 3 2" xfId="49053" xr:uid="{97EA5E93-C548-4AC4-845A-B2A346E2B4B8}"/>
    <cellStyle name="20% - Accent5 9 8 4" xfId="33176" xr:uid="{0DDF44E7-F717-494F-9875-7B3BCDDB99C7}"/>
    <cellStyle name="20% - Accent5 9 9" xfId="10215" xr:uid="{00000000-0005-0000-0000-000026230000}"/>
    <cellStyle name="20% - Accent5 9 9 2" xfId="34064" xr:uid="{CC40BB96-1B2B-4895-8A46-B7BD69BAE238}"/>
    <cellStyle name="20% - Accent5 9_Exh G" xfId="2544" xr:uid="{00000000-0005-0000-0000-000027230000}"/>
    <cellStyle name="20% - Accent6" xfId="49695" builtinId="50" customBuiltin="1"/>
    <cellStyle name="20% - Accent6 10" xfId="277" xr:uid="{00000000-0005-0000-0000-000028230000}"/>
    <cellStyle name="20% - Accent6 10 10" xfId="18174" xr:uid="{00000000-0005-0000-0000-000029230000}"/>
    <cellStyle name="20% - Accent6 10 10 2" xfId="42006" xr:uid="{0915E317-8710-4E97-A460-DB7048DABB30}"/>
    <cellStyle name="20% - Accent6 10 11" xfId="26126" xr:uid="{82873D75-37B7-471B-B3CC-6F7C00C19315}"/>
    <cellStyle name="20% - Accent6 10 2" xfId="278" xr:uid="{00000000-0005-0000-0000-00002A230000}"/>
    <cellStyle name="20% - Accent6 10 2 2" xfId="279" xr:uid="{00000000-0005-0000-0000-00002B230000}"/>
    <cellStyle name="20% - Accent6 10 2 2 2" xfId="1305" xr:uid="{00000000-0005-0000-0000-00002C230000}"/>
    <cellStyle name="20% - Accent6 10 2 2 2 2" xfId="4832" xr:uid="{00000000-0005-0000-0000-00002D230000}"/>
    <cellStyle name="20% - Accent6 10 2 2 2 2 2" xfId="8423" xr:uid="{00000000-0005-0000-0000-00002E230000}"/>
    <cellStyle name="20% - Accent6 10 2 2 2 2 2 2" xfId="16393" xr:uid="{00000000-0005-0000-0000-00002F230000}"/>
    <cellStyle name="20% - Accent6 10 2 2 2 2 2 2 2" xfId="40235" xr:uid="{B64CE5BE-6798-4035-9F1D-7DA614EB9A1B}"/>
    <cellStyle name="20% - Accent6 10 2 2 2 2 2 3" xfId="24339" xr:uid="{00000000-0005-0000-0000-000030230000}"/>
    <cellStyle name="20% - Accent6 10 2 2 2 2 2 3 2" xfId="48171" xr:uid="{A946765E-7C52-437D-B1BF-7077B5B69C67}"/>
    <cellStyle name="20% - Accent6 10 2 2 2 2 2 4" xfId="32294" xr:uid="{A755B1DD-9BF4-4E4D-818E-061D6630CC2C}"/>
    <cellStyle name="20% - Accent6 10 2 2 2 2 3" xfId="12855" xr:uid="{00000000-0005-0000-0000-000031230000}"/>
    <cellStyle name="20% - Accent6 10 2 2 2 2 3 2" xfId="36704" xr:uid="{077CD47D-3159-4FFA-B761-678EE431A979}"/>
    <cellStyle name="20% - Accent6 10 2 2 2 2 4" xfId="20810" xr:uid="{00000000-0005-0000-0000-000032230000}"/>
    <cellStyle name="20% - Accent6 10 2 2 2 2 4 2" xfId="44642" xr:uid="{FCA1AE93-2163-4238-9F7D-FACF4B03E8C8}"/>
    <cellStyle name="20% - Accent6 10 2 2 2 2 5" xfId="28763" xr:uid="{ABC9CB60-1C3F-4502-8274-4EBF4E48DAA8}"/>
    <cellStyle name="20% - Accent6 10 2 2 2 3" xfId="6664" xr:uid="{00000000-0005-0000-0000-000033230000}"/>
    <cellStyle name="20% - Accent6 10 2 2 2 3 2" xfId="14635" xr:uid="{00000000-0005-0000-0000-000034230000}"/>
    <cellStyle name="20% - Accent6 10 2 2 2 3 2 2" xfId="38477" xr:uid="{684306A9-5987-4699-97A0-E458623FF1AA}"/>
    <cellStyle name="20% - Accent6 10 2 2 2 3 3" xfId="22582" xr:uid="{00000000-0005-0000-0000-000035230000}"/>
    <cellStyle name="20% - Accent6 10 2 2 2 3 3 2" xfId="46414" xr:uid="{B7CD0C2B-2CAD-45A2-9F50-B4A29F0E8CD1}"/>
    <cellStyle name="20% - Accent6 10 2 2 2 3 4" xfId="30536" xr:uid="{5886E00A-1ABC-45E7-92AB-F991263FA1A0}"/>
    <cellStyle name="20% - Accent6 10 2 2 2 4" xfId="11099" xr:uid="{00000000-0005-0000-0000-000036230000}"/>
    <cellStyle name="20% - Accent6 10 2 2 2 4 2" xfId="34948" xr:uid="{F5ED78DF-7452-4D9A-9050-C1EE43BBFDCC}"/>
    <cellStyle name="20% - Accent6 10 2 2 2 5" xfId="19054" xr:uid="{00000000-0005-0000-0000-000037230000}"/>
    <cellStyle name="20% - Accent6 10 2 2 2 5 2" xfId="42886" xr:uid="{0A3AFF94-1B6D-422B-BF48-312C085C90FB}"/>
    <cellStyle name="20% - Accent6 10 2 2 2 6" xfId="27006" xr:uid="{972974FD-C496-4F4C-A926-45CCF20FEEF7}"/>
    <cellStyle name="20% - Accent6 10 2 2 2_Exh G" xfId="2557" xr:uid="{00000000-0005-0000-0000-000038230000}"/>
    <cellStyle name="20% - Accent6 10 2 2 3" xfId="3953" xr:uid="{00000000-0005-0000-0000-000039230000}"/>
    <cellStyle name="20% - Accent6 10 2 2 3 2" xfId="7545" xr:uid="{00000000-0005-0000-0000-00003A230000}"/>
    <cellStyle name="20% - Accent6 10 2 2 3 2 2" xfId="15515" xr:uid="{00000000-0005-0000-0000-00003B230000}"/>
    <cellStyle name="20% - Accent6 10 2 2 3 2 2 2" xfId="39357" xr:uid="{CFED0CDD-0B67-4EDA-9419-8A4B88BD2F9C}"/>
    <cellStyle name="20% - Accent6 10 2 2 3 2 3" xfId="23461" xr:uid="{00000000-0005-0000-0000-00003C230000}"/>
    <cellStyle name="20% - Accent6 10 2 2 3 2 3 2" xfId="47293" xr:uid="{49F3F1CC-F442-4213-AD81-6E2AB5699D49}"/>
    <cellStyle name="20% - Accent6 10 2 2 3 2 4" xfId="31416" xr:uid="{96D9EF8C-8367-4984-89F1-3D2EDE15DDB8}"/>
    <cellStyle name="20% - Accent6 10 2 2 3 3" xfId="11977" xr:uid="{00000000-0005-0000-0000-00003D230000}"/>
    <cellStyle name="20% - Accent6 10 2 2 3 3 2" xfId="35826" xr:uid="{9C1513C9-E158-4D38-8647-576797CE7EDA}"/>
    <cellStyle name="20% - Accent6 10 2 2 3 4" xfId="19932" xr:uid="{00000000-0005-0000-0000-00003E230000}"/>
    <cellStyle name="20% - Accent6 10 2 2 3 4 2" xfId="43764" xr:uid="{8C142EAA-DA9D-43A3-92A5-D6BDC12F5845}"/>
    <cellStyle name="20% - Accent6 10 2 2 3 5" xfId="27885" xr:uid="{742FC227-33EE-4FE6-A567-9A9F72CFA79E}"/>
    <cellStyle name="20% - Accent6 10 2 2 4" xfId="5773" xr:uid="{00000000-0005-0000-0000-00003F230000}"/>
    <cellStyle name="20% - Accent6 10 2 2 4 2" xfId="13756" xr:uid="{00000000-0005-0000-0000-000040230000}"/>
    <cellStyle name="20% - Accent6 10 2 2 4 2 2" xfId="37599" xr:uid="{0FB96AD9-52B3-420A-A5BA-826D0D52C8E5}"/>
    <cellStyle name="20% - Accent6 10 2 2 4 3" xfId="21704" xr:uid="{00000000-0005-0000-0000-000041230000}"/>
    <cellStyle name="20% - Accent6 10 2 2 4 3 2" xfId="45536" xr:uid="{0D511A9C-B467-400E-831C-3E1A9996EC35}"/>
    <cellStyle name="20% - Accent6 10 2 2 4 4" xfId="29658" xr:uid="{804577CF-BC7F-43A1-9CBD-C84776C11855}"/>
    <cellStyle name="20% - Accent6 10 2 2 5" xfId="9325" xr:uid="{00000000-0005-0000-0000-000042230000}"/>
    <cellStyle name="20% - Accent6 10 2 2 5 2" xfId="17283" xr:uid="{00000000-0005-0000-0000-000043230000}"/>
    <cellStyle name="20% - Accent6 10 2 2 5 2 2" xfId="41123" xr:uid="{C2F7F253-FDC3-4893-8C04-71686ADAAF53}"/>
    <cellStyle name="20% - Accent6 10 2 2 5 3" xfId="25227" xr:uid="{00000000-0005-0000-0000-000044230000}"/>
    <cellStyle name="20% - Accent6 10 2 2 5 3 2" xfId="49059" xr:uid="{FCB1489F-5CB4-4339-AC10-EDF8C769B29F}"/>
    <cellStyle name="20% - Accent6 10 2 2 5 4" xfId="33182" xr:uid="{61DF236A-EF67-4005-B1DA-DE546988DFA5}"/>
    <cellStyle name="20% - Accent6 10 2 2 6" xfId="10221" xr:uid="{00000000-0005-0000-0000-000045230000}"/>
    <cellStyle name="20% - Accent6 10 2 2 6 2" xfId="34070" xr:uid="{7FE9ECF2-6C7E-42CA-B2E6-0592B6FB1538}"/>
    <cellStyle name="20% - Accent6 10 2 2 7" xfId="18176" xr:uid="{00000000-0005-0000-0000-000046230000}"/>
    <cellStyle name="20% - Accent6 10 2 2 7 2" xfId="42008" xr:uid="{85AEF670-D9CA-485A-8273-86FB322AEBAC}"/>
    <cellStyle name="20% - Accent6 10 2 2 8" xfId="26128" xr:uid="{E0605D09-A31B-4656-8051-E4BD08DF3736}"/>
    <cellStyle name="20% - Accent6 10 2 2_Exh G" xfId="2556" xr:uid="{00000000-0005-0000-0000-000047230000}"/>
    <cellStyle name="20% - Accent6 10 2 3" xfId="1304" xr:uid="{00000000-0005-0000-0000-000048230000}"/>
    <cellStyle name="20% - Accent6 10 2 3 2" xfId="4831" xr:uid="{00000000-0005-0000-0000-000049230000}"/>
    <cellStyle name="20% - Accent6 10 2 3 2 2" xfId="8422" xr:uid="{00000000-0005-0000-0000-00004A230000}"/>
    <cellStyle name="20% - Accent6 10 2 3 2 2 2" xfId="16392" xr:uid="{00000000-0005-0000-0000-00004B230000}"/>
    <cellStyle name="20% - Accent6 10 2 3 2 2 2 2" xfId="40234" xr:uid="{7AB0E97D-FE4F-4BEA-912A-93D0D0043F4F}"/>
    <cellStyle name="20% - Accent6 10 2 3 2 2 3" xfId="24338" xr:uid="{00000000-0005-0000-0000-00004C230000}"/>
    <cellStyle name="20% - Accent6 10 2 3 2 2 3 2" xfId="48170" xr:uid="{EC9D04E9-1067-41B4-8B1E-C806DC2FE2DC}"/>
    <cellStyle name="20% - Accent6 10 2 3 2 2 4" xfId="32293" xr:uid="{15631D7E-D3AA-46F9-B127-F0B4139EB6AE}"/>
    <cellStyle name="20% - Accent6 10 2 3 2 3" xfId="12854" xr:uid="{00000000-0005-0000-0000-00004D230000}"/>
    <cellStyle name="20% - Accent6 10 2 3 2 3 2" xfId="36703" xr:uid="{40B8B933-8525-498E-867D-C6C15DE674BA}"/>
    <cellStyle name="20% - Accent6 10 2 3 2 4" xfId="20809" xr:uid="{00000000-0005-0000-0000-00004E230000}"/>
    <cellStyle name="20% - Accent6 10 2 3 2 4 2" xfId="44641" xr:uid="{464A4F4B-3331-4F0A-957A-D107CC89D6EE}"/>
    <cellStyle name="20% - Accent6 10 2 3 2 5" xfId="28762" xr:uid="{3A8DA7CC-C7D7-42CB-BCFF-7CED0BB13829}"/>
    <cellStyle name="20% - Accent6 10 2 3 3" xfId="6663" xr:uid="{00000000-0005-0000-0000-00004F230000}"/>
    <cellStyle name="20% - Accent6 10 2 3 3 2" xfId="14634" xr:uid="{00000000-0005-0000-0000-000050230000}"/>
    <cellStyle name="20% - Accent6 10 2 3 3 2 2" xfId="38476" xr:uid="{6274EC91-03E5-4576-B040-666EF4511201}"/>
    <cellStyle name="20% - Accent6 10 2 3 3 3" xfId="22581" xr:uid="{00000000-0005-0000-0000-000051230000}"/>
    <cellStyle name="20% - Accent6 10 2 3 3 3 2" xfId="46413" xr:uid="{6A139CFF-6586-4768-A6F0-ECFA49FE0D59}"/>
    <cellStyle name="20% - Accent6 10 2 3 3 4" xfId="30535" xr:uid="{EFC4AFB2-23EC-43B7-B130-94373B384E50}"/>
    <cellStyle name="20% - Accent6 10 2 3 4" xfId="11098" xr:uid="{00000000-0005-0000-0000-000052230000}"/>
    <cellStyle name="20% - Accent6 10 2 3 4 2" xfId="34947" xr:uid="{2F3024A3-15D1-4106-AA8A-EC639C9DD9AF}"/>
    <cellStyle name="20% - Accent6 10 2 3 5" xfId="19053" xr:uid="{00000000-0005-0000-0000-000053230000}"/>
    <cellStyle name="20% - Accent6 10 2 3 5 2" xfId="42885" xr:uid="{8542E6E9-2836-48D9-9145-283D9AF239B5}"/>
    <cellStyle name="20% - Accent6 10 2 3 6" xfId="27005" xr:uid="{BC797465-EBE5-41EF-8BBF-4C7488421C24}"/>
    <cellStyle name="20% - Accent6 10 2 3_Exh G" xfId="2558" xr:uid="{00000000-0005-0000-0000-000054230000}"/>
    <cellStyle name="20% - Accent6 10 2 4" xfId="3952" xr:uid="{00000000-0005-0000-0000-000055230000}"/>
    <cellStyle name="20% - Accent6 10 2 4 2" xfId="7544" xr:uid="{00000000-0005-0000-0000-000056230000}"/>
    <cellStyle name="20% - Accent6 10 2 4 2 2" xfId="15514" xr:uid="{00000000-0005-0000-0000-000057230000}"/>
    <cellStyle name="20% - Accent6 10 2 4 2 2 2" xfId="39356" xr:uid="{DF4F9112-839F-4326-8F71-2407A247B0AB}"/>
    <cellStyle name="20% - Accent6 10 2 4 2 3" xfId="23460" xr:uid="{00000000-0005-0000-0000-000058230000}"/>
    <cellStyle name="20% - Accent6 10 2 4 2 3 2" xfId="47292" xr:uid="{70CF2AF5-681C-4171-9F21-F3FD8AEC249E}"/>
    <cellStyle name="20% - Accent6 10 2 4 2 4" xfId="31415" xr:uid="{4EC0A9B7-7E05-41EB-B4A2-7A6CE24CCB81}"/>
    <cellStyle name="20% - Accent6 10 2 4 3" xfId="11976" xr:uid="{00000000-0005-0000-0000-000059230000}"/>
    <cellStyle name="20% - Accent6 10 2 4 3 2" xfId="35825" xr:uid="{0616C0A3-68BA-4CEE-9C57-2BE9DDD0CD27}"/>
    <cellStyle name="20% - Accent6 10 2 4 4" xfId="19931" xr:uid="{00000000-0005-0000-0000-00005A230000}"/>
    <cellStyle name="20% - Accent6 10 2 4 4 2" xfId="43763" xr:uid="{C357BA99-186E-44E9-AACD-C2DD2504B8B3}"/>
    <cellStyle name="20% - Accent6 10 2 4 5" xfId="27884" xr:uid="{47487C26-058E-4B66-8B42-783E3F29B3AE}"/>
    <cellStyle name="20% - Accent6 10 2 5" xfId="5772" xr:uid="{00000000-0005-0000-0000-00005B230000}"/>
    <cellStyle name="20% - Accent6 10 2 5 2" xfId="13755" xr:uid="{00000000-0005-0000-0000-00005C230000}"/>
    <cellStyle name="20% - Accent6 10 2 5 2 2" xfId="37598" xr:uid="{D5655E10-67F3-47E0-8AFD-8DF69E3E4C7C}"/>
    <cellStyle name="20% - Accent6 10 2 5 3" xfId="21703" xr:uid="{00000000-0005-0000-0000-00005D230000}"/>
    <cellStyle name="20% - Accent6 10 2 5 3 2" xfId="45535" xr:uid="{B822AB94-3997-4257-828C-BBC2BD22778C}"/>
    <cellStyle name="20% - Accent6 10 2 5 4" xfId="29657" xr:uid="{E8C97751-12C7-4470-9891-E98B88F6712F}"/>
    <cellStyle name="20% - Accent6 10 2 6" xfId="9324" xr:uid="{00000000-0005-0000-0000-00005E230000}"/>
    <cellStyle name="20% - Accent6 10 2 6 2" xfId="17282" xr:uid="{00000000-0005-0000-0000-00005F230000}"/>
    <cellStyle name="20% - Accent6 10 2 6 2 2" xfId="41122" xr:uid="{A98738E6-E87E-4888-9054-49129CE2D14A}"/>
    <cellStyle name="20% - Accent6 10 2 6 3" xfId="25226" xr:uid="{00000000-0005-0000-0000-000060230000}"/>
    <cellStyle name="20% - Accent6 10 2 6 3 2" xfId="49058" xr:uid="{319FCE9C-55FF-4EF1-AFFA-BD857272D4CC}"/>
    <cellStyle name="20% - Accent6 10 2 6 4" xfId="33181" xr:uid="{99A54E09-0ED0-447C-8EBD-157DC4D459B4}"/>
    <cellStyle name="20% - Accent6 10 2 7" xfId="10220" xr:uid="{00000000-0005-0000-0000-000061230000}"/>
    <cellStyle name="20% - Accent6 10 2 7 2" xfId="34069" xr:uid="{0CFA27EA-F0B5-4213-896C-B526F425F9A4}"/>
    <cellStyle name="20% - Accent6 10 2 8" xfId="18175" xr:uid="{00000000-0005-0000-0000-000062230000}"/>
    <cellStyle name="20% - Accent6 10 2 8 2" xfId="42007" xr:uid="{8EA350C5-8D93-4844-BD2B-F086D7889E29}"/>
    <cellStyle name="20% - Accent6 10 2 9" xfId="26127" xr:uid="{D08312A6-AE47-47C5-A3C0-6992DACD45D2}"/>
    <cellStyle name="20% - Accent6 10 2_Exh G" xfId="2555" xr:uid="{00000000-0005-0000-0000-000063230000}"/>
    <cellStyle name="20% - Accent6 10 3" xfId="280" xr:uid="{00000000-0005-0000-0000-000064230000}"/>
    <cellStyle name="20% - Accent6 10 3 2" xfId="1306" xr:uid="{00000000-0005-0000-0000-000065230000}"/>
    <cellStyle name="20% - Accent6 10 3 2 2" xfId="4833" xr:uid="{00000000-0005-0000-0000-000066230000}"/>
    <cellStyle name="20% - Accent6 10 3 2 2 2" xfId="8424" xr:uid="{00000000-0005-0000-0000-000067230000}"/>
    <cellStyle name="20% - Accent6 10 3 2 2 2 2" xfId="16394" xr:uid="{00000000-0005-0000-0000-000068230000}"/>
    <cellStyle name="20% - Accent6 10 3 2 2 2 2 2" xfId="40236" xr:uid="{37A7B57C-AB5D-4EF9-BBB4-277889BD3031}"/>
    <cellStyle name="20% - Accent6 10 3 2 2 2 3" xfId="24340" xr:uid="{00000000-0005-0000-0000-000069230000}"/>
    <cellStyle name="20% - Accent6 10 3 2 2 2 3 2" xfId="48172" xr:uid="{3A9314DF-0AA6-4BF5-AC16-E9808AD82853}"/>
    <cellStyle name="20% - Accent6 10 3 2 2 2 4" xfId="32295" xr:uid="{CDE0F255-0864-4E98-BC52-B6C8B241C10D}"/>
    <cellStyle name="20% - Accent6 10 3 2 2 3" xfId="12856" xr:uid="{00000000-0005-0000-0000-00006A230000}"/>
    <cellStyle name="20% - Accent6 10 3 2 2 3 2" xfId="36705" xr:uid="{B3FEF05C-BFAD-4E89-B66D-0CDC9A2A628E}"/>
    <cellStyle name="20% - Accent6 10 3 2 2 4" xfId="20811" xr:uid="{00000000-0005-0000-0000-00006B230000}"/>
    <cellStyle name="20% - Accent6 10 3 2 2 4 2" xfId="44643" xr:uid="{E179FB02-CA1B-4360-A354-4FADA99FB49B}"/>
    <cellStyle name="20% - Accent6 10 3 2 2 5" xfId="28764" xr:uid="{DB32282B-FEDE-4720-815C-47D467894343}"/>
    <cellStyle name="20% - Accent6 10 3 2 3" xfId="6665" xr:uid="{00000000-0005-0000-0000-00006C230000}"/>
    <cellStyle name="20% - Accent6 10 3 2 3 2" xfId="14636" xr:uid="{00000000-0005-0000-0000-00006D230000}"/>
    <cellStyle name="20% - Accent6 10 3 2 3 2 2" xfId="38478" xr:uid="{D464229D-1DC5-4B94-9A02-45DCF04B3000}"/>
    <cellStyle name="20% - Accent6 10 3 2 3 3" xfId="22583" xr:uid="{00000000-0005-0000-0000-00006E230000}"/>
    <cellStyle name="20% - Accent6 10 3 2 3 3 2" xfId="46415" xr:uid="{07886144-ED0F-4F85-9108-7E8DEE02B4C0}"/>
    <cellStyle name="20% - Accent6 10 3 2 3 4" xfId="30537" xr:uid="{F5CC4192-1BEE-4F97-9195-B2D1423A4B8A}"/>
    <cellStyle name="20% - Accent6 10 3 2 4" xfId="11100" xr:uid="{00000000-0005-0000-0000-00006F230000}"/>
    <cellStyle name="20% - Accent6 10 3 2 4 2" xfId="34949" xr:uid="{A188D8F8-A918-4BEA-9C9A-C866CFC01B3F}"/>
    <cellStyle name="20% - Accent6 10 3 2 5" xfId="19055" xr:uid="{00000000-0005-0000-0000-000070230000}"/>
    <cellStyle name="20% - Accent6 10 3 2 5 2" xfId="42887" xr:uid="{DCD1E525-DFA3-4594-93E0-6C4B7E699CB4}"/>
    <cellStyle name="20% - Accent6 10 3 2 6" xfId="27007" xr:uid="{2CB411C1-E134-4902-A9F9-127B3AB50C72}"/>
    <cellStyle name="20% - Accent6 10 3 2_Exh G" xfId="2560" xr:uid="{00000000-0005-0000-0000-000071230000}"/>
    <cellStyle name="20% - Accent6 10 3 3" xfId="3954" xr:uid="{00000000-0005-0000-0000-000072230000}"/>
    <cellStyle name="20% - Accent6 10 3 3 2" xfId="7546" xr:uid="{00000000-0005-0000-0000-000073230000}"/>
    <cellStyle name="20% - Accent6 10 3 3 2 2" xfId="15516" xr:uid="{00000000-0005-0000-0000-000074230000}"/>
    <cellStyle name="20% - Accent6 10 3 3 2 2 2" xfId="39358" xr:uid="{A40E730E-1EDB-4B5B-94D6-3AE158E92D05}"/>
    <cellStyle name="20% - Accent6 10 3 3 2 3" xfId="23462" xr:uid="{00000000-0005-0000-0000-000075230000}"/>
    <cellStyle name="20% - Accent6 10 3 3 2 3 2" xfId="47294" xr:uid="{68B70453-E745-47EC-9D20-9D8104FBB8D8}"/>
    <cellStyle name="20% - Accent6 10 3 3 2 4" xfId="31417" xr:uid="{0A3F745B-1B5D-417B-868C-B8D573BDDEE9}"/>
    <cellStyle name="20% - Accent6 10 3 3 3" xfId="11978" xr:uid="{00000000-0005-0000-0000-000076230000}"/>
    <cellStyle name="20% - Accent6 10 3 3 3 2" xfId="35827" xr:uid="{690D74D4-90F8-443B-8A95-6C2135D01BFE}"/>
    <cellStyle name="20% - Accent6 10 3 3 4" xfId="19933" xr:uid="{00000000-0005-0000-0000-000077230000}"/>
    <cellStyle name="20% - Accent6 10 3 3 4 2" xfId="43765" xr:uid="{D682069B-7FAF-495C-A14A-33D8206DA184}"/>
    <cellStyle name="20% - Accent6 10 3 3 5" xfId="27886" xr:uid="{02C1ABDC-5A9D-4654-88E7-55B04E9F36ED}"/>
    <cellStyle name="20% - Accent6 10 3 4" xfId="5774" xr:uid="{00000000-0005-0000-0000-000078230000}"/>
    <cellStyle name="20% - Accent6 10 3 4 2" xfId="13757" xr:uid="{00000000-0005-0000-0000-000079230000}"/>
    <cellStyle name="20% - Accent6 10 3 4 2 2" xfId="37600" xr:uid="{33729036-1DFE-44D5-A55F-02B5C2AA35AD}"/>
    <cellStyle name="20% - Accent6 10 3 4 3" xfId="21705" xr:uid="{00000000-0005-0000-0000-00007A230000}"/>
    <cellStyle name="20% - Accent6 10 3 4 3 2" xfId="45537" xr:uid="{F1E972C1-D616-494F-B36B-0E9B7FAE0ABC}"/>
    <cellStyle name="20% - Accent6 10 3 4 4" xfId="29659" xr:uid="{0BF66711-2EC1-4BBC-B366-88C28C6FCC65}"/>
    <cellStyle name="20% - Accent6 10 3 5" xfId="9326" xr:uid="{00000000-0005-0000-0000-00007B230000}"/>
    <cellStyle name="20% - Accent6 10 3 5 2" xfId="17284" xr:uid="{00000000-0005-0000-0000-00007C230000}"/>
    <cellStyle name="20% - Accent6 10 3 5 2 2" xfId="41124" xr:uid="{48A06585-DFE1-4D19-98BD-A6066A3020FA}"/>
    <cellStyle name="20% - Accent6 10 3 5 3" xfId="25228" xr:uid="{00000000-0005-0000-0000-00007D230000}"/>
    <cellStyle name="20% - Accent6 10 3 5 3 2" xfId="49060" xr:uid="{7D097631-43BF-49A4-A932-33F261DB856A}"/>
    <cellStyle name="20% - Accent6 10 3 5 4" xfId="33183" xr:uid="{899CB8B6-9E3D-4106-A0D5-18425CCA9803}"/>
    <cellStyle name="20% - Accent6 10 3 6" xfId="10222" xr:uid="{00000000-0005-0000-0000-00007E230000}"/>
    <cellStyle name="20% - Accent6 10 3 6 2" xfId="34071" xr:uid="{E3169D0E-E677-4A8D-897F-591A39BC1D4C}"/>
    <cellStyle name="20% - Accent6 10 3 7" xfId="18177" xr:uid="{00000000-0005-0000-0000-00007F230000}"/>
    <cellStyle name="20% - Accent6 10 3 7 2" xfId="42009" xr:uid="{C3A8941F-272A-40D9-A305-0A52C7CE0BC8}"/>
    <cellStyle name="20% - Accent6 10 3 8" xfId="26129" xr:uid="{7D25D10A-BEEC-4B64-A3A0-68E6852E9A5A}"/>
    <cellStyle name="20% - Accent6 10 3_Exh G" xfId="2559" xr:uid="{00000000-0005-0000-0000-000080230000}"/>
    <cellStyle name="20% - Accent6 10 4" xfId="919" xr:uid="{00000000-0005-0000-0000-000081230000}"/>
    <cellStyle name="20% - Accent6 10 5" xfId="1303" xr:uid="{00000000-0005-0000-0000-000082230000}"/>
    <cellStyle name="20% - Accent6 10 5 2" xfId="4830" xr:uid="{00000000-0005-0000-0000-000083230000}"/>
    <cellStyle name="20% - Accent6 10 5 2 2" xfId="8421" xr:uid="{00000000-0005-0000-0000-000084230000}"/>
    <cellStyle name="20% - Accent6 10 5 2 2 2" xfId="16391" xr:uid="{00000000-0005-0000-0000-000085230000}"/>
    <cellStyle name="20% - Accent6 10 5 2 2 2 2" xfId="40233" xr:uid="{6E1148D3-C14B-4AC2-878D-8B1413B35026}"/>
    <cellStyle name="20% - Accent6 10 5 2 2 3" xfId="24337" xr:uid="{00000000-0005-0000-0000-000086230000}"/>
    <cellStyle name="20% - Accent6 10 5 2 2 3 2" xfId="48169" xr:uid="{4DCDE5F1-8047-40AC-80D7-784EAF7703D3}"/>
    <cellStyle name="20% - Accent6 10 5 2 2 4" xfId="32292" xr:uid="{65F6111A-AAEA-4C54-B704-768741BE264B}"/>
    <cellStyle name="20% - Accent6 10 5 2 3" xfId="12853" xr:uid="{00000000-0005-0000-0000-000087230000}"/>
    <cellStyle name="20% - Accent6 10 5 2 3 2" xfId="36702" xr:uid="{E98236EE-D5C0-4BFA-8F65-B8CDD97D65A4}"/>
    <cellStyle name="20% - Accent6 10 5 2 4" xfId="20808" xr:uid="{00000000-0005-0000-0000-000088230000}"/>
    <cellStyle name="20% - Accent6 10 5 2 4 2" xfId="44640" xr:uid="{54413366-8521-42D3-AB52-CF9E65DD509A}"/>
    <cellStyle name="20% - Accent6 10 5 2 5" xfId="28761" xr:uid="{2F772D13-6F7A-4113-AFA0-C8B85DC89F9F}"/>
    <cellStyle name="20% - Accent6 10 5 3" xfId="6662" xr:uid="{00000000-0005-0000-0000-000089230000}"/>
    <cellStyle name="20% - Accent6 10 5 3 2" xfId="14633" xr:uid="{00000000-0005-0000-0000-00008A230000}"/>
    <cellStyle name="20% - Accent6 10 5 3 2 2" xfId="38475" xr:uid="{044EE1BE-0FCA-4803-A817-CB93B1E9FE46}"/>
    <cellStyle name="20% - Accent6 10 5 3 3" xfId="22580" xr:uid="{00000000-0005-0000-0000-00008B230000}"/>
    <cellStyle name="20% - Accent6 10 5 3 3 2" xfId="46412" xr:uid="{C6DE88F3-1E7F-45D4-BAEF-7C4714A9CF14}"/>
    <cellStyle name="20% - Accent6 10 5 3 4" xfId="30534" xr:uid="{9C0B2EAD-2273-4E2C-917B-63A004D396D7}"/>
    <cellStyle name="20% - Accent6 10 5 4" xfId="11097" xr:uid="{00000000-0005-0000-0000-00008C230000}"/>
    <cellStyle name="20% - Accent6 10 5 4 2" xfId="34946" xr:uid="{4026AE94-3778-40B6-84B9-56B8325F33AC}"/>
    <cellStyle name="20% - Accent6 10 5 5" xfId="19052" xr:uid="{00000000-0005-0000-0000-00008D230000}"/>
    <cellStyle name="20% - Accent6 10 5 5 2" xfId="42884" xr:uid="{8AA0271A-470E-497C-B240-26FB42ED1AFF}"/>
    <cellStyle name="20% - Accent6 10 5 6" xfId="27004" xr:uid="{98E80C14-70F2-4979-A7D5-98904FDA1BC7}"/>
    <cellStyle name="20% - Accent6 10 5_Exh G" xfId="2561" xr:uid="{00000000-0005-0000-0000-00008E230000}"/>
    <cellStyle name="20% - Accent6 10 6" xfId="3951" xr:uid="{00000000-0005-0000-0000-00008F230000}"/>
    <cellStyle name="20% - Accent6 10 6 2" xfId="7543" xr:uid="{00000000-0005-0000-0000-000090230000}"/>
    <cellStyle name="20% - Accent6 10 6 2 2" xfId="15513" xr:uid="{00000000-0005-0000-0000-000091230000}"/>
    <cellStyle name="20% - Accent6 10 6 2 2 2" xfId="39355" xr:uid="{31CC2243-1733-4C44-AF9E-33986793B512}"/>
    <cellStyle name="20% - Accent6 10 6 2 3" xfId="23459" xr:uid="{00000000-0005-0000-0000-000092230000}"/>
    <cellStyle name="20% - Accent6 10 6 2 3 2" xfId="47291" xr:uid="{674D292B-1FD3-4970-97C0-7390DD675868}"/>
    <cellStyle name="20% - Accent6 10 6 2 4" xfId="31414" xr:uid="{1DF085C1-1A86-49A3-A69B-0F3B83A1030C}"/>
    <cellStyle name="20% - Accent6 10 6 3" xfId="11975" xr:uid="{00000000-0005-0000-0000-000093230000}"/>
    <cellStyle name="20% - Accent6 10 6 3 2" xfId="35824" xr:uid="{6248A2DA-439A-4A86-AEC7-535B7A3B8750}"/>
    <cellStyle name="20% - Accent6 10 6 4" xfId="19930" xr:uid="{00000000-0005-0000-0000-000094230000}"/>
    <cellStyle name="20% - Accent6 10 6 4 2" xfId="43762" xr:uid="{1956117D-6784-4F08-B61E-6C87A6AE2BA7}"/>
    <cellStyle name="20% - Accent6 10 6 5" xfId="27883" xr:uid="{3EC76C43-4325-4352-B79D-067079EFF169}"/>
    <cellStyle name="20% - Accent6 10 7" xfId="5771" xr:uid="{00000000-0005-0000-0000-000095230000}"/>
    <cellStyle name="20% - Accent6 10 7 2" xfId="13754" xr:uid="{00000000-0005-0000-0000-000096230000}"/>
    <cellStyle name="20% - Accent6 10 7 2 2" xfId="37597" xr:uid="{B3D2E588-C7D5-417A-BB0F-B854803D3734}"/>
    <cellStyle name="20% - Accent6 10 7 3" xfId="21702" xr:uid="{00000000-0005-0000-0000-000097230000}"/>
    <cellStyle name="20% - Accent6 10 7 3 2" xfId="45534" xr:uid="{541F662F-BBF6-4401-A35A-382C5F8AC348}"/>
    <cellStyle name="20% - Accent6 10 7 4" xfId="29656" xr:uid="{4F2D7DFE-3332-4EA4-B4A7-B779751C1CA1}"/>
    <cellStyle name="20% - Accent6 10 8" xfId="9323" xr:uid="{00000000-0005-0000-0000-000098230000}"/>
    <cellStyle name="20% - Accent6 10 8 2" xfId="17281" xr:uid="{00000000-0005-0000-0000-000099230000}"/>
    <cellStyle name="20% - Accent6 10 8 2 2" xfId="41121" xr:uid="{34AECF19-1BA8-44D7-AF8F-C59C4FFF02C4}"/>
    <cellStyle name="20% - Accent6 10 8 3" xfId="25225" xr:uid="{00000000-0005-0000-0000-00009A230000}"/>
    <cellStyle name="20% - Accent6 10 8 3 2" xfId="49057" xr:uid="{EDE07AA3-84E8-440C-80DE-20A06882A5E9}"/>
    <cellStyle name="20% - Accent6 10 8 4" xfId="33180" xr:uid="{F7EAFA8D-2233-451D-9F50-70233D3B674A}"/>
    <cellStyle name="20% - Accent6 10 9" xfId="10219" xr:uid="{00000000-0005-0000-0000-00009B230000}"/>
    <cellStyle name="20% - Accent6 10 9 2" xfId="34068" xr:uid="{DAA42B10-4CC6-41E6-B168-7C162BB7AE33}"/>
    <cellStyle name="20% - Accent6 10_Exh G" xfId="2554" xr:uid="{00000000-0005-0000-0000-00009C230000}"/>
    <cellStyle name="20% - Accent6 11" xfId="281" xr:uid="{00000000-0005-0000-0000-00009D230000}"/>
    <cellStyle name="20% - Accent6 11 10" xfId="26130" xr:uid="{0989A706-ED46-4887-A451-312322E63DBD}"/>
    <cellStyle name="20% - Accent6 11 2" xfId="282" xr:uid="{00000000-0005-0000-0000-00009E230000}"/>
    <cellStyle name="20% - Accent6 11 2 2" xfId="283" xr:uid="{00000000-0005-0000-0000-00009F230000}"/>
    <cellStyle name="20% - Accent6 11 2 2 2" xfId="1309" xr:uid="{00000000-0005-0000-0000-0000A0230000}"/>
    <cellStyle name="20% - Accent6 11 2 2 2 2" xfId="4836" xr:uid="{00000000-0005-0000-0000-0000A1230000}"/>
    <cellStyle name="20% - Accent6 11 2 2 2 2 2" xfId="8427" xr:uid="{00000000-0005-0000-0000-0000A2230000}"/>
    <cellStyle name="20% - Accent6 11 2 2 2 2 2 2" xfId="16397" xr:uid="{00000000-0005-0000-0000-0000A3230000}"/>
    <cellStyle name="20% - Accent6 11 2 2 2 2 2 2 2" xfId="40239" xr:uid="{EC8709CA-9081-4FEC-A0D8-DA4EF0E4BD5D}"/>
    <cellStyle name="20% - Accent6 11 2 2 2 2 2 3" xfId="24343" xr:uid="{00000000-0005-0000-0000-0000A4230000}"/>
    <cellStyle name="20% - Accent6 11 2 2 2 2 2 3 2" xfId="48175" xr:uid="{5E992D7A-BF77-470D-96EA-1E62279076EF}"/>
    <cellStyle name="20% - Accent6 11 2 2 2 2 2 4" xfId="32298" xr:uid="{2E33F2FF-D971-412C-AB3F-F9A2A6D5F611}"/>
    <cellStyle name="20% - Accent6 11 2 2 2 2 3" xfId="12859" xr:uid="{00000000-0005-0000-0000-0000A5230000}"/>
    <cellStyle name="20% - Accent6 11 2 2 2 2 3 2" xfId="36708" xr:uid="{F46D8099-B591-4609-891A-BBDD1B664E1B}"/>
    <cellStyle name="20% - Accent6 11 2 2 2 2 4" xfId="20814" xr:uid="{00000000-0005-0000-0000-0000A6230000}"/>
    <cellStyle name="20% - Accent6 11 2 2 2 2 4 2" xfId="44646" xr:uid="{107D6B6A-4925-42E0-942B-C9999A5F0863}"/>
    <cellStyle name="20% - Accent6 11 2 2 2 2 5" xfId="28767" xr:uid="{BE486266-B090-490C-99FD-453E9E77C01D}"/>
    <cellStyle name="20% - Accent6 11 2 2 2 3" xfId="6668" xr:uid="{00000000-0005-0000-0000-0000A7230000}"/>
    <cellStyle name="20% - Accent6 11 2 2 2 3 2" xfId="14639" xr:uid="{00000000-0005-0000-0000-0000A8230000}"/>
    <cellStyle name="20% - Accent6 11 2 2 2 3 2 2" xfId="38481" xr:uid="{89B2D091-65AD-461E-9896-A60D5C3DF482}"/>
    <cellStyle name="20% - Accent6 11 2 2 2 3 3" xfId="22586" xr:uid="{00000000-0005-0000-0000-0000A9230000}"/>
    <cellStyle name="20% - Accent6 11 2 2 2 3 3 2" xfId="46418" xr:uid="{DD7FAF16-636B-49A6-8011-28E08F496389}"/>
    <cellStyle name="20% - Accent6 11 2 2 2 3 4" xfId="30540" xr:uid="{B638B63F-49F5-497E-93D3-4BB62CEB756F}"/>
    <cellStyle name="20% - Accent6 11 2 2 2 4" xfId="11103" xr:uid="{00000000-0005-0000-0000-0000AA230000}"/>
    <cellStyle name="20% - Accent6 11 2 2 2 4 2" xfId="34952" xr:uid="{CC3C3031-09CC-4784-8252-946DD6605978}"/>
    <cellStyle name="20% - Accent6 11 2 2 2 5" xfId="19058" xr:uid="{00000000-0005-0000-0000-0000AB230000}"/>
    <cellStyle name="20% - Accent6 11 2 2 2 5 2" xfId="42890" xr:uid="{7411CE61-BB5F-466A-9C72-12AAEB3D458B}"/>
    <cellStyle name="20% - Accent6 11 2 2 2 6" xfId="27010" xr:uid="{ABF8FC62-08D7-451D-9642-B2808AA91AAE}"/>
    <cellStyle name="20% - Accent6 11 2 2 2_Exh G" xfId="2565" xr:uid="{00000000-0005-0000-0000-0000AC230000}"/>
    <cellStyle name="20% - Accent6 11 2 2 3" xfId="3957" xr:uid="{00000000-0005-0000-0000-0000AD230000}"/>
    <cellStyle name="20% - Accent6 11 2 2 3 2" xfId="7549" xr:uid="{00000000-0005-0000-0000-0000AE230000}"/>
    <cellStyle name="20% - Accent6 11 2 2 3 2 2" xfId="15519" xr:uid="{00000000-0005-0000-0000-0000AF230000}"/>
    <cellStyle name="20% - Accent6 11 2 2 3 2 2 2" xfId="39361" xr:uid="{E0A4BD4F-B404-467C-AEB2-E59ABDC82070}"/>
    <cellStyle name="20% - Accent6 11 2 2 3 2 3" xfId="23465" xr:uid="{00000000-0005-0000-0000-0000B0230000}"/>
    <cellStyle name="20% - Accent6 11 2 2 3 2 3 2" xfId="47297" xr:uid="{F6348EE5-3870-4CE8-9910-04B0B4F79F03}"/>
    <cellStyle name="20% - Accent6 11 2 2 3 2 4" xfId="31420" xr:uid="{6C9471D4-A2FC-4CA3-906D-BE16A72FDD78}"/>
    <cellStyle name="20% - Accent6 11 2 2 3 3" xfId="11981" xr:uid="{00000000-0005-0000-0000-0000B1230000}"/>
    <cellStyle name="20% - Accent6 11 2 2 3 3 2" xfId="35830" xr:uid="{448A5F65-B1FA-45A4-BFDD-DC449AAB7AF2}"/>
    <cellStyle name="20% - Accent6 11 2 2 3 4" xfId="19936" xr:uid="{00000000-0005-0000-0000-0000B2230000}"/>
    <cellStyle name="20% - Accent6 11 2 2 3 4 2" xfId="43768" xr:uid="{A026143F-0265-4E3B-BF35-A331FA961E0F}"/>
    <cellStyle name="20% - Accent6 11 2 2 3 5" xfId="27889" xr:uid="{45193EE5-2E26-426B-96DC-759E17150788}"/>
    <cellStyle name="20% - Accent6 11 2 2 4" xfId="5777" xr:uid="{00000000-0005-0000-0000-0000B3230000}"/>
    <cellStyle name="20% - Accent6 11 2 2 4 2" xfId="13760" xr:uid="{00000000-0005-0000-0000-0000B4230000}"/>
    <cellStyle name="20% - Accent6 11 2 2 4 2 2" xfId="37603" xr:uid="{422C4166-FEED-494D-A131-D3273BCE4A3D}"/>
    <cellStyle name="20% - Accent6 11 2 2 4 3" xfId="21708" xr:uid="{00000000-0005-0000-0000-0000B5230000}"/>
    <cellStyle name="20% - Accent6 11 2 2 4 3 2" xfId="45540" xr:uid="{890B0A02-E22E-4A53-9839-B230FBC0E8CC}"/>
    <cellStyle name="20% - Accent6 11 2 2 4 4" xfId="29662" xr:uid="{76286059-5172-43D2-98AE-E7F2F05E86B0}"/>
    <cellStyle name="20% - Accent6 11 2 2 5" xfId="9329" xr:uid="{00000000-0005-0000-0000-0000B6230000}"/>
    <cellStyle name="20% - Accent6 11 2 2 5 2" xfId="17287" xr:uid="{00000000-0005-0000-0000-0000B7230000}"/>
    <cellStyle name="20% - Accent6 11 2 2 5 2 2" xfId="41127" xr:uid="{DBA3CFB2-4D12-4711-9D41-30CC726E6371}"/>
    <cellStyle name="20% - Accent6 11 2 2 5 3" xfId="25231" xr:uid="{00000000-0005-0000-0000-0000B8230000}"/>
    <cellStyle name="20% - Accent6 11 2 2 5 3 2" xfId="49063" xr:uid="{5A765D35-E7D5-424A-B544-5605521CC80F}"/>
    <cellStyle name="20% - Accent6 11 2 2 5 4" xfId="33186" xr:uid="{17D57FE7-D8D4-4FCB-9BAE-1EB12BE9BABA}"/>
    <cellStyle name="20% - Accent6 11 2 2 6" xfId="10225" xr:uid="{00000000-0005-0000-0000-0000B9230000}"/>
    <cellStyle name="20% - Accent6 11 2 2 6 2" xfId="34074" xr:uid="{7FAF01CB-CDA4-4194-8AF8-14B4C98DBB91}"/>
    <cellStyle name="20% - Accent6 11 2 2 7" xfId="18180" xr:uid="{00000000-0005-0000-0000-0000BA230000}"/>
    <cellStyle name="20% - Accent6 11 2 2 7 2" xfId="42012" xr:uid="{7BAE5CF3-1F52-4FC4-8472-21349635DE4C}"/>
    <cellStyle name="20% - Accent6 11 2 2 8" xfId="26132" xr:uid="{6EF2EBF6-ED97-4E5A-9D8A-9E56BBF4BC84}"/>
    <cellStyle name="20% - Accent6 11 2 2_Exh G" xfId="2564" xr:uid="{00000000-0005-0000-0000-0000BB230000}"/>
    <cellStyle name="20% - Accent6 11 2 3" xfId="1308" xr:uid="{00000000-0005-0000-0000-0000BC230000}"/>
    <cellStyle name="20% - Accent6 11 2 3 2" xfId="4835" xr:uid="{00000000-0005-0000-0000-0000BD230000}"/>
    <cellStyle name="20% - Accent6 11 2 3 2 2" xfId="8426" xr:uid="{00000000-0005-0000-0000-0000BE230000}"/>
    <cellStyle name="20% - Accent6 11 2 3 2 2 2" xfId="16396" xr:uid="{00000000-0005-0000-0000-0000BF230000}"/>
    <cellStyle name="20% - Accent6 11 2 3 2 2 2 2" xfId="40238" xr:uid="{D28274E9-6A78-4E07-A3E0-29780A91211B}"/>
    <cellStyle name="20% - Accent6 11 2 3 2 2 3" xfId="24342" xr:uid="{00000000-0005-0000-0000-0000C0230000}"/>
    <cellStyle name="20% - Accent6 11 2 3 2 2 3 2" xfId="48174" xr:uid="{8212EE10-80CC-4B1B-8D5F-B72BA8806747}"/>
    <cellStyle name="20% - Accent6 11 2 3 2 2 4" xfId="32297" xr:uid="{57373FA7-1A47-42E7-97ED-281C7BB3CEF1}"/>
    <cellStyle name="20% - Accent6 11 2 3 2 3" xfId="12858" xr:uid="{00000000-0005-0000-0000-0000C1230000}"/>
    <cellStyle name="20% - Accent6 11 2 3 2 3 2" xfId="36707" xr:uid="{14009359-0BE5-4CBB-A5AB-51022E23D37E}"/>
    <cellStyle name="20% - Accent6 11 2 3 2 4" xfId="20813" xr:uid="{00000000-0005-0000-0000-0000C2230000}"/>
    <cellStyle name="20% - Accent6 11 2 3 2 4 2" xfId="44645" xr:uid="{B4E934C2-D9E0-4CAB-BC22-B66553F1B992}"/>
    <cellStyle name="20% - Accent6 11 2 3 2 5" xfId="28766" xr:uid="{D3A9C455-16DD-4756-A24B-93C99EA49088}"/>
    <cellStyle name="20% - Accent6 11 2 3 3" xfId="6667" xr:uid="{00000000-0005-0000-0000-0000C3230000}"/>
    <cellStyle name="20% - Accent6 11 2 3 3 2" xfId="14638" xr:uid="{00000000-0005-0000-0000-0000C4230000}"/>
    <cellStyle name="20% - Accent6 11 2 3 3 2 2" xfId="38480" xr:uid="{036DFA04-1191-4A99-9D44-44AD16141FD0}"/>
    <cellStyle name="20% - Accent6 11 2 3 3 3" xfId="22585" xr:uid="{00000000-0005-0000-0000-0000C5230000}"/>
    <cellStyle name="20% - Accent6 11 2 3 3 3 2" xfId="46417" xr:uid="{C0A6B8A1-C4FD-4D4D-B2D4-28C819F9E808}"/>
    <cellStyle name="20% - Accent6 11 2 3 3 4" xfId="30539" xr:uid="{4306D045-FDF9-4D31-B6E3-DCEA6B2DCBE9}"/>
    <cellStyle name="20% - Accent6 11 2 3 4" xfId="11102" xr:uid="{00000000-0005-0000-0000-0000C6230000}"/>
    <cellStyle name="20% - Accent6 11 2 3 4 2" xfId="34951" xr:uid="{F0B02716-D091-43C5-9E04-2AB9435CD77A}"/>
    <cellStyle name="20% - Accent6 11 2 3 5" xfId="19057" xr:uid="{00000000-0005-0000-0000-0000C7230000}"/>
    <cellStyle name="20% - Accent6 11 2 3 5 2" xfId="42889" xr:uid="{8D3D68B3-3AC8-4202-9EA8-AAD11355346A}"/>
    <cellStyle name="20% - Accent6 11 2 3 6" xfId="27009" xr:uid="{2483CAA9-883D-474D-93AA-8BACF22364B6}"/>
    <cellStyle name="20% - Accent6 11 2 3_Exh G" xfId="2566" xr:uid="{00000000-0005-0000-0000-0000C8230000}"/>
    <cellStyle name="20% - Accent6 11 2 4" xfId="3956" xr:uid="{00000000-0005-0000-0000-0000C9230000}"/>
    <cellStyle name="20% - Accent6 11 2 4 2" xfId="7548" xr:uid="{00000000-0005-0000-0000-0000CA230000}"/>
    <cellStyle name="20% - Accent6 11 2 4 2 2" xfId="15518" xr:uid="{00000000-0005-0000-0000-0000CB230000}"/>
    <cellStyle name="20% - Accent6 11 2 4 2 2 2" xfId="39360" xr:uid="{5D82AE3F-8057-464F-8F8B-D369CED71DA9}"/>
    <cellStyle name="20% - Accent6 11 2 4 2 3" xfId="23464" xr:uid="{00000000-0005-0000-0000-0000CC230000}"/>
    <cellStyle name="20% - Accent6 11 2 4 2 3 2" xfId="47296" xr:uid="{0821623D-A580-4A66-A57A-03A8C289CCAA}"/>
    <cellStyle name="20% - Accent6 11 2 4 2 4" xfId="31419" xr:uid="{AA084A2F-1A81-477C-A573-810C78098B1F}"/>
    <cellStyle name="20% - Accent6 11 2 4 3" xfId="11980" xr:uid="{00000000-0005-0000-0000-0000CD230000}"/>
    <cellStyle name="20% - Accent6 11 2 4 3 2" xfId="35829" xr:uid="{AC47710F-DD9C-4E23-AA18-1D0FB1A78B75}"/>
    <cellStyle name="20% - Accent6 11 2 4 4" xfId="19935" xr:uid="{00000000-0005-0000-0000-0000CE230000}"/>
    <cellStyle name="20% - Accent6 11 2 4 4 2" xfId="43767" xr:uid="{7FE7CD02-C354-48EA-A82A-2007FEB00AF0}"/>
    <cellStyle name="20% - Accent6 11 2 4 5" xfId="27888" xr:uid="{6FCF9AE1-65A3-4C47-A46E-8044E3BC3E16}"/>
    <cellStyle name="20% - Accent6 11 2 5" xfId="5776" xr:uid="{00000000-0005-0000-0000-0000CF230000}"/>
    <cellStyle name="20% - Accent6 11 2 5 2" xfId="13759" xr:uid="{00000000-0005-0000-0000-0000D0230000}"/>
    <cellStyle name="20% - Accent6 11 2 5 2 2" xfId="37602" xr:uid="{E21B129D-08EB-4163-8FDA-434EC3CBCBA8}"/>
    <cellStyle name="20% - Accent6 11 2 5 3" xfId="21707" xr:uid="{00000000-0005-0000-0000-0000D1230000}"/>
    <cellStyle name="20% - Accent6 11 2 5 3 2" xfId="45539" xr:uid="{E8ED4E51-8C90-40FF-BC83-A069E0C6CF31}"/>
    <cellStyle name="20% - Accent6 11 2 5 4" xfId="29661" xr:uid="{C2CA3204-03D5-4E41-8B9F-9C94A2A721F0}"/>
    <cellStyle name="20% - Accent6 11 2 6" xfId="9328" xr:uid="{00000000-0005-0000-0000-0000D2230000}"/>
    <cellStyle name="20% - Accent6 11 2 6 2" xfId="17286" xr:uid="{00000000-0005-0000-0000-0000D3230000}"/>
    <cellStyle name="20% - Accent6 11 2 6 2 2" xfId="41126" xr:uid="{40916A0C-324F-4D89-BD99-95509FA7E2B1}"/>
    <cellStyle name="20% - Accent6 11 2 6 3" xfId="25230" xr:uid="{00000000-0005-0000-0000-0000D4230000}"/>
    <cellStyle name="20% - Accent6 11 2 6 3 2" xfId="49062" xr:uid="{3EC941A1-B709-41E9-81F3-5101B8BA1D5D}"/>
    <cellStyle name="20% - Accent6 11 2 6 4" xfId="33185" xr:uid="{88A5004C-982A-41C6-BAF6-5B8C086A2CF4}"/>
    <cellStyle name="20% - Accent6 11 2 7" xfId="10224" xr:uid="{00000000-0005-0000-0000-0000D5230000}"/>
    <cellStyle name="20% - Accent6 11 2 7 2" xfId="34073" xr:uid="{26ADB891-4F27-41F8-ABEF-B12473DF60AA}"/>
    <cellStyle name="20% - Accent6 11 2 8" xfId="18179" xr:uid="{00000000-0005-0000-0000-0000D6230000}"/>
    <cellStyle name="20% - Accent6 11 2 8 2" xfId="42011" xr:uid="{5B5E43F7-C075-4870-8CF3-FE444426E8EA}"/>
    <cellStyle name="20% - Accent6 11 2 9" xfId="26131" xr:uid="{F2902DC4-853E-49B7-92CC-2B4AD0987794}"/>
    <cellStyle name="20% - Accent6 11 2_Exh G" xfId="2563" xr:uid="{00000000-0005-0000-0000-0000D7230000}"/>
    <cellStyle name="20% - Accent6 11 3" xfId="284" xr:uid="{00000000-0005-0000-0000-0000D8230000}"/>
    <cellStyle name="20% - Accent6 11 3 2" xfId="1310" xr:uid="{00000000-0005-0000-0000-0000D9230000}"/>
    <cellStyle name="20% - Accent6 11 3 2 2" xfId="4837" xr:uid="{00000000-0005-0000-0000-0000DA230000}"/>
    <cellStyle name="20% - Accent6 11 3 2 2 2" xfId="8428" xr:uid="{00000000-0005-0000-0000-0000DB230000}"/>
    <cellStyle name="20% - Accent6 11 3 2 2 2 2" xfId="16398" xr:uid="{00000000-0005-0000-0000-0000DC230000}"/>
    <cellStyle name="20% - Accent6 11 3 2 2 2 2 2" xfId="40240" xr:uid="{EEA3E15D-B8F0-4FA9-A25B-E03445D2BF2E}"/>
    <cellStyle name="20% - Accent6 11 3 2 2 2 3" xfId="24344" xr:uid="{00000000-0005-0000-0000-0000DD230000}"/>
    <cellStyle name="20% - Accent6 11 3 2 2 2 3 2" xfId="48176" xr:uid="{EEC54D76-5935-4934-A644-BC231CE6A52C}"/>
    <cellStyle name="20% - Accent6 11 3 2 2 2 4" xfId="32299" xr:uid="{6920C98A-50FA-4683-9D60-48A5812D0F24}"/>
    <cellStyle name="20% - Accent6 11 3 2 2 3" xfId="12860" xr:uid="{00000000-0005-0000-0000-0000DE230000}"/>
    <cellStyle name="20% - Accent6 11 3 2 2 3 2" xfId="36709" xr:uid="{125E500D-D2AE-4901-A59A-37F8C2D5FFA7}"/>
    <cellStyle name="20% - Accent6 11 3 2 2 4" xfId="20815" xr:uid="{00000000-0005-0000-0000-0000DF230000}"/>
    <cellStyle name="20% - Accent6 11 3 2 2 4 2" xfId="44647" xr:uid="{6D35AB9F-CFF6-467C-8128-8922D95D6350}"/>
    <cellStyle name="20% - Accent6 11 3 2 2 5" xfId="28768" xr:uid="{65C8FE91-36D8-422B-9280-7894EA8FC7F8}"/>
    <cellStyle name="20% - Accent6 11 3 2 3" xfId="6669" xr:uid="{00000000-0005-0000-0000-0000E0230000}"/>
    <cellStyle name="20% - Accent6 11 3 2 3 2" xfId="14640" xr:uid="{00000000-0005-0000-0000-0000E1230000}"/>
    <cellStyle name="20% - Accent6 11 3 2 3 2 2" xfId="38482" xr:uid="{0B08DC44-CD2A-4A60-A2B8-65A8BB27EB30}"/>
    <cellStyle name="20% - Accent6 11 3 2 3 3" xfId="22587" xr:uid="{00000000-0005-0000-0000-0000E2230000}"/>
    <cellStyle name="20% - Accent6 11 3 2 3 3 2" xfId="46419" xr:uid="{567CA810-FAA2-4E7F-9998-E34EA10D1DBA}"/>
    <cellStyle name="20% - Accent6 11 3 2 3 4" xfId="30541" xr:uid="{3FFB7542-127E-4799-8141-7094037C1B02}"/>
    <cellStyle name="20% - Accent6 11 3 2 4" xfId="11104" xr:uid="{00000000-0005-0000-0000-0000E3230000}"/>
    <cellStyle name="20% - Accent6 11 3 2 4 2" xfId="34953" xr:uid="{F6B6C910-FD72-4006-9903-A6770A390673}"/>
    <cellStyle name="20% - Accent6 11 3 2 5" xfId="19059" xr:uid="{00000000-0005-0000-0000-0000E4230000}"/>
    <cellStyle name="20% - Accent6 11 3 2 5 2" xfId="42891" xr:uid="{B53EF410-85EA-4B98-BCDB-E81480768639}"/>
    <cellStyle name="20% - Accent6 11 3 2 6" xfId="27011" xr:uid="{5FD35411-5400-476E-9ADA-89873F33A074}"/>
    <cellStyle name="20% - Accent6 11 3 2_Exh G" xfId="2568" xr:uid="{00000000-0005-0000-0000-0000E5230000}"/>
    <cellStyle name="20% - Accent6 11 3 3" xfId="3958" xr:uid="{00000000-0005-0000-0000-0000E6230000}"/>
    <cellStyle name="20% - Accent6 11 3 3 2" xfId="7550" xr:uid="{00000000-0005-0000-0000-0000E7230000}"/>
    <cellStyle name="20% - Accent6 11 3 3 2 2" xfId="15520" xr:uid="{00000000-0005-0000-0000-0000E8230000}"/>
    <cellStyle name="20% - Accent6 11 3 3 2 2 2" xfId="39362" xr:uid="{7B9B2268-0299-4860-A409-B548A62319AB}"/>
    <cellStyle name="20% - Accent6 11 3 3 2 3" xfId="23466" xr:uid="{00000000-0005-0000-0000-0000E9230000}"/>
    <cellStyle name="20% - Accent6 11 3 3 2 3 2" xfId="47298" xr:uid="{05DBF7D4-853C-470A-B76C-C298ED1F99E4}"/>
    <cellStyle name="20% - Accent6 11 3 3 2 4" xfId="31421" xr:uid="{A68DB827-BBD9-4FE3-BEC8-0612728D7A2A}"/>
    <cellStyle name="20% - Accent6 11 3 3 3" xfId="11982" xr:uid="{00000000-0005-0000-0000-0000EA230000}"/>
    <cellStyle name="20% - Accent6 11 3 3 3 2" xfId="35831" xr:uid="{3BE07746-0BA4-4715-AD76-D7482C692A17}"/>
    <cellStyle name="20% - Accent6 11 3 3 4" xfId="19937" xr:uid="{00000000-0005-0000-0000-0000EB230000}"/>
    <cellStyle name="20% - Accent6 11 3 3 4 2" xfId="43769" xr:uid="{0ED70531-7F3D-4635-96C5-DE0C79905228}"/>
    <cellStyle name="20% - Accent6 11 3 3 5" xfId="27890" xr:uid="{E6DDBD09-16E9-4312-9B60-6CAD087C6EB1}"/>
    <cellStyle name="20% - Accent6 11 3 4" xfId="5778" xr:uid="{00000000-0005-0000-0000-0000EC230000}"/>
    <cellStyle name="20% - Accent6 11 3 4 2" xfId="13761" xr:uid="{00000000-0005-0000-0000-0000ED230000}"/>
    <cellStyle name="20% - Accent6 11 3 4 2 2" xfId="37604" xr:uid="{06ACFE93-86E3-47A8-9A52-62F87887A8AD}"/>
    <cellStyle name="20% - Accent6 11 3 4 3" xfId="21709" xr:uid="{00000000-0005-0000-0000-0000EE230000}"/>
    <cellStyle name="20% - Accent6 11 3 4 3 2" xfId="45541" xr:uid="{B87D5E1D-BC9D-4B97-8DBB-5559D6595797}"/>
    <cellStyle name="20% - Accent6 11 3 4 4" xfId="29663" xr:uid="{1FCED29C-19A6-4FBB-AC59-3E7114302E6F}"/>
    <cellStyle name="20% - Accent6 11 3 5" xfId="9330" xr:uid="{00000000-0005-0000-0000-0000EF230000}"/>
    <cellStyle name="20% - Accent6 11 3 5 2" xfId="17288" xr:uid="{00000000-0005-0000-0000-0000F0230000}"/>
    <cellStyle name="20% - Accent6 11 3 5 2 2" xfId="41128" xr:uid="{A2130A1F-B204-4F69-A44C-15A4F64FD83F}"/>
    <cellStyle name="20% - Accent6 11 3 5 3" xfId="25232" xr:uid="{00000000-0005-0000-0000-0000F1230000}"/>
    <cellStyle name="20% - Accent6 11 3 5 3 2" xfId="49064" xr:uid="{CDA4E298-CA7B-4680-9C8F-95C1A3584308}"/>
    <cellStyle name="20% - Accent6 11 3 5 4" xfId="33187" xr:uid="{F6D4595E-075A-435E-8271-18BDAA7C5C20}"/>
    <cellStyle name="20% - Accent6 11 3 6" xfId="10226" xr:uid="{00000000-0005-0000-0000-0000F2230000}"/>
    <cellStyle name="20% - Accent6 11 3 6 2" xfId="34075" xr:uid="{A8B574D1-23A1-4184-9983-33605B33788A}"/>
    <cellStyle name="20% - Accent6 11 3 7" xfId="18181" xr:uid="{00000000-0005-0000-0000-0000F3230000}"/>
    <cellStyle name="20% - Accent6 11 3 7 2" xfId="42013" xr:uid="{7B4E3ED0-9F48-4A9C-86BB-DD78698F387F}"/>
    <cellStyle name="20% - Accent6 11 3 8" xfId="26133" xr:uid="{14F5699B-CE3F-4493-A4A9-49ECA2440E9B}"/>
    <cellStyle name="20% - Accent6 11 3_Exh G" xfId="2567" xr:uid="{00000000-0005-0000-0000-0000F4230000}"/>
    <cellStyle name="20% - Accent6 11 4" xfId="1307" xr:uid="{00000000-0005-0000-0000-0000F5230000}"/>
    <cellStyle name="20% - Accent6 11 4 2" xfId="4834" xr:uid="{00000000-0005-0000-0000-0000F6230000}"/>
    <cellStyle name="20% - Accent6 11 4 2 2" xfId="8425" xr:uid="{00000000-0005-0000-0000-0000F7230000}"/>
    <cellStyle name="20% - Accent6 11 4 2 2 2" xfId="16395" xr:uid="{00000000-0005-0000-0000-0000F8230000}"/>
    <cellStyle name="20% - Accent6 11 4 2 2 2 2" xfId="40237" xr:uid="{2B8F1A70-D4B3-4166-951E-751EECC4153C}"/>
    <cellStyle name="20% - Accent6 11 4 2 2 3" xfId="24341" xr:uid="{00000000-0005-0000-0000-0000F9230000}"/>
    <cellStyle name="20% - Accent6 11 4 2 2 3 2" xfId="48173" xr:uid="{706FAB24-9ED1-4093-98C6-1FBAACC42E71}"/>
    <cellStyle name="20% - Accent6 11 4 2 2 4" xfId="32296" xr:uid="{E95B45B8-B91A-43FA-B2D2-3A5BF112827B}"/>
    <cellStyle name="20% - Accent6 11 4 2 3" xfId="12857" xr:uid="{00000000-0005-0000-0000-0000FA230000}"/>
    <cellStyle name="20% - Accent6 11 4 2 3 2" xfId="36706" xr:uid="{CAF7BA9F-2AA1-479A-AE7C-DBCAD9BAA584}"/>
    <cellStyle name="20% - Accent6 11 4 2 4" xfId="20812" xr:uid="{00000000-0005-0000-0000-0000FB230000}"/>
    <cellStyle name="20% - Accent6 11 4 2 4 2" xfId="44644" xr:uid="{3A2F3A77-637A-4FFF-8A01-4C2CEA985D8D}"/>
    <cellStyle name="20% - Accent6 11 4 2 5" xfId="28765" xr:uid="{2CA3F443-C351-4C07-81D4-4B20C797AD8B}"/>
    <cellStyle name="20% - Accent6 11 4 3" xfId="6666" xr:uid="{00000000-0005-0000-0000-0000FC230000}"/>
    <cellStyle name="20% - Accent6 11 4 3 2" xfId="14637" xr:uid="{00000000-0005-0000-0000-0000FD230000}"/>
    <cellStyle name="20% - Accent6 11 4 3 2 2" xfId="38479" xr:uid="{C20B514C-9E7D-4D83-B4F4-81CEF90EEB53}"/>
    <cellStyle name="20% - Accent6 11 4 3 3" xfId="22584" xr:uid="{00000000-0005-0000-0000-0000FE230000}"/>
    <cellStyle name="20% - Accent6 11 4 3 3 2" xfId="46416" xr:uid="{EAB7FD3B-0536-4981-824C-2CFBE5386852}"/>
    <cellStyle name="20% - Accent6 11 4 3 4" xfId="30538" xr:uid="{026CA74C-FAC0-428C-9992-E33EA7EC30A1}"/>
    <cellStyle name="20% - Accent6 11 4 4" xfId="11101" xr:uid="{00000000-0005-0000-0000-0000FF230000}"/>
    <cellStyle name="20% - Accent6 11 4 4 2" xfId="34950" xr:uid="{B7E53629-8422-49CB-9AAD-9978378D23B7}"/>
    <cellStyle name="20% - Accent6 11 4 5" xfId="19056" xr:uid="{00000000-0005-0000-0000-000000240000}"/>
    <cellStyle name="20% - Accent6 11 4 5 2" xfId="42888" xr:uid="{68F99852-F159-468C-A451-47A379A7A7BD}"/>
    <cellStyle name="20% - Accent6 11 4 6" xfId="27008" xr:uid="{F39E79BA-C598-4BD2-9B80-3C915D9866C8}"/>
    <cellStyle name="20% - Accent6 11 4_Exh G" xfId="2569" xr:uid="{00000000-0005-0000-0000-000001240000}"/>
    <cellStyle name="20% - Accent6 11 5" xfId="3955" xr:uid="{00000000-0005-0000-0000-000002240000}"/>
    <cellStyle name="20% - Accent6 11 5 2" xfId="7547" xr:uid="{00000000-0005-0000-0000-000003240000}"/>
    <cellStyle name="20% - Accent6 11 5 2 2" xfId="15517" xr:uid="{00000000-0005-0000-0000-000004240000}"/>
    <cellStyle name="20% - Accent6 11 5 2 2 2" xfId="39359" xr:uid="{48AC5E8E-B7B7-4C09-AD92-7E0F37F45CE0}"/>
    <cellStyle name="20% - Accent6 11 5 2 3" xfId="23463" xr:uid="{00000000-0005-0000-0000-000005240000}"/>
    <cellStyle name="20% - Accent6 11 5 2 3 2" xfId="47295" xr:uid="{4D6A32A8-0751-4B59-A04C-53CD309717C7}"/>
    <cellStyle name="20% - Accent6 11 5 2 4" xfId="31418" xr:uid="{50943648-1FDC-4C07-989D-4BE969BAC6CF}"/>
    <cellStyle name="20% - Accent6 11 5 3" xfId="11979" xr:uid="{00000000-0005-0000-0000-000006240000}"/>
    <cellStyle name="20% - Accent6 11 5 3 2" xfId="35828" xr:uid="{05D7F561-3504-4756-810A-5CF27A9F8DB3}"/>
    <cellStyle name="20% - Accent6 11 5 4" xfId="19934" xr:uid="{00000000-0005-0000-0000-000007240000}"/>
    <cellStyle name="20% - Accent6 11 5 4 2" xfId="43766" xr:uid="{107C10E1-7FE6-4993-B07D-D94C19BD85D7}"/>
    <cellStyle name="20% - Accent6 11 5 5" xfId="27887" xr:uid="{2DDE16EF-DEB2-4D6E-9E18-C72A5E8E04E7}"/>
    <cellStyle name="20% - Accent6 11 6" xfId="5775" xr:uid="{00000000-0005-0000-0000-000008240000}"/>
    <cellStyle name="20% - Accent6 11 6 2" xfId="13758" xr:uid="{00000000-0005-0000-0000-000009240000}"/>
    <cellStyle name="20% - Accent6 11 6 2 2" xfId="37601" xr:uid="{A54DD65F-CCE9-4D3B-99FC-DF065D680D9E}"/>
    <cellStyle name="20% - Accent6 11 6 3" xfId="21706" xr:uid="{00000000-0005-0000-0000-00000A240000}"/>
    <cellStyle name="20% - Accent6 11 6 3 2" xfId="45538" xr:uid="{54E8C2E2-EF27-45A5-8238-572EE793F759}"/>
    <cellStyle name="20% - Accent6 11 6 4" xfId="29660" xr:uid="{C40FC6C2-576D-40AA-9EF0-423A7939576D}"/>
    <cellStyle name="20% - Accent6 11 7" xfId="9327" xr:uid="{00000000-0005-0000-0000-00000B240000}"/>
    <cellStyle name="20% - Accent6 11 7 2" xfId="17285" xr:uid="{00000000-0005-0000-0000-00000C240000}"/>
    <cellStyle name="20% - Accent6 11 7 2 2" xfId="41125" xr:uid="{41D368A5-5B58-40D5-9381-532B0B554AFC}"/>
    <cellStyle name="20% - Accent6 11 7 3" xfId="25229" xr:uid="{00000000-0005-0000-0000-00000D240000}"/>
    <cellStyle name="20% - Accent6 11 7 3 2" xfId="49061" xr:uid="{72A53DB3-92EB-47A0-AB91-BFDBC3B6C55C}"/>
    <cellStyle name="20% - Accent6 11 7 4" xfId="33184" xr:uid="{1D20A7E9-B653-4FD9-8640-B949EB1EFF84}"/>
    <cellStyle name="20% - Accent6 11 8" xfId="10223" xr:uid="{00000000-0005-0000-0000-00000E240000}"/>
    <cellStyle name="20% - Accent6 11 8 2" xfId="34072" xr:uid="{98570424-21E2-405C-B496-81ECCF87B0A7}"/>
    <cellStyle name="20% - Accent6 11 9" xfId="18178" xr:uid="{00000000-0005-0000-0000-00000F240000}"/>
    <cellStyle name="20% - Accent6 11 9 2" xfId="42010" xr:uid="{ADB677FE-8184-4066-96B8-2901B1787DB3}"/>
    <cellStyle name="20% - Accent6 11_Exh G" xfId="2562" xr:uid="{00000000-0005-0000-0000-000010240000}"/>
    <cellStyle name="20% - Accent6 12" xfId="285" xr:uid="{00000000-0005-0000-0000-000011240000}"/>
    <cellStyle name="20% - Accent6 12 10" xfId="26134" xr:uid="{8EC87A3A-1FCF-4146-932F-B895CF42C8E9}"/>
    <cellStyle name="20% - Accent6 12 2" xfId="286" xr:uid="{00000000-0005-0000-0000-000012240000}"/>
    <cellStyle name="20% - Accent6 12 2 2" xfId="287" xr:uid="{00000000-0005-0000-0000-000013240000}"/>
    <cellStyle name="20% - Accent6 12 2 2 2" xfId="1313" xr:uid="{00000000-0005-0000-0000-000014240000}"/>
    <cellStyle name="20% - Accent6 12 2 2 2 2" xfId="4840" xr:uid="{00000000-0005-0000-0000-000015240000}"/>
    <cellStyle name="20% - Accent6 12 2 2 2 2 2" xfId="8431" xr:uid="{00000000-0005-0000-0000-000016240000}"/>
    <cellStyle name="20% - Accent6 12 2 2 2 2 2 2" xfId="16401" xr:uid="{00000000-0005-0000-0000-000017240000}"/>
    <cellStyle name="20% - Accent6 12 2 2 2 2 2 2 2" xfId="40243" xr:uid="{50495562-6257-498B-9D3B-79E960D3C8EF}"/>
    <cellStyle name="20% - Accent6 12 2 2 2 2 2 3" xfId="24347" xr:uid="{00000000-0005-0000-0000-000018240000}"/>
    <cellStyle name="20% - Accent6 12 2 2 2 2 2 3 2" xfId="48179" xr:uid="{B972F7DD-2DC6-4905-BB8F-2B342A9044E7}"/>
    <cellStyle name="20% - Accent6 12 2 2 2 2 2 4" xfId="32302" xr:uid="{12AD059D-D522-4A70-AFD9-D0380615F205}"/>
    <cellStyle name="20% - Accent6 12 2 2 2 2 3" xfId="12863" xr:uid="{00000000-0005-0000-0000-000019240000}"/>
    <cellStyle name="20% - Accent6 12 2 2 2 2 3 2" xfId="36712" xr:uid="{7C5821D5-9A0C-45E2-9263-EBC305B2A0A1}"/>
    <cellStyle name="20% - Accent6 12 2 2 2 2 4" xfId="20818" xr:uid="{00000000-0005-0000-0000-00001A240000}"/>
    <cellStyle name="20% - Accent6 12 2 2 2 2 4 2" xfId="44650" xr:uid="{1EFFC95A-BF1C-4545-8CEC-39073089C0F3}"/>
    <cellStyle name="20% - Accent6 12 2 2 2 2 5" xfId="28771" xr:uid="{9F4B9C9D-BF85-4A24-B5B2-7E6CCADFC5F2}"/>
    <cellStyle name="20% - Accent6 12 2 2 2 3" xfId="6672" xr:uid="{00000000-0005-0000-0000-00001B240000}"/>
    <cellStyle name="20% - Accent6 12 2 2 2 3 2" xfId="14643" xr:uid="{00000000-0005-0000-0000-00001C240000}"/>
    <cellStyle name="20% - Accent6 12 2 2 2 3 2 2" xfId="38485" xr:uid="{2EE1418F-DDA3-4203-AF35-5B74D3960F47}"/>
    <cellStyle name="20% - Accent6 12 2 2 2 3 3" xfId="22590" xr:uid="{00000000-0005-0000-0000-00001D240000}"/>
    <cellStyle name="20% - Accent6 12 2 2 2 3 3 2" xfId="46422" xr:uid="{8693E007-110F-4AF1-94CC-EBBA2EC04460}"/>
    <cellStyle name="20% - Accent6 12 2 2 2 3 4" xfId="30544" xr:uid="{A96AF53C-8781-4EE7-B6A7-F23DBFC2E037}"/>
    <cellStyle name="20% - Accent6 12 2 2 2 4" xfId="11107" xr:uid="{00000000-0005-0000-0000-00001E240000}"/>
    <cellStyle name="20% - Accent6 12 2 2 2 4 2" xfId="34956" xr:uid="{0837299D-EF0D-43B1-A436-BFFB0F2CD870}"/>
    <cellStyle name="20% - Accent6 12 2 2 2 5" xfId="19062" xr:uid="{00000000-0005-0000-0000-00001F240000}"/>
    <cellStyle name="20% - Accent6 12 2 2 2 5 2" xfId="42894" xr:uid="{46FA62D4-C5CD-45C8-BC56-2A9B19EBF18C}"/>
    <cellStyle name="20% - Accent6 12 2 2 2 6" xfId="27014" xr:uid="{0AE0C34C-CE9C-495C-8A64-DCDF3E578CEA}"/>
    <cellStyle name="20% - Accent6 12 2 2 2_Exh G" xfId="2573" xr:uid="{00000000-0005-0000-0000-000020240000}"/>
    <cellStyle name="20% - Accent6 12 2 2 3" xfId="3961" xr:uid="{00000000-0005-0000-0000-000021240000}"/>
    <cellStyle name="20% - Accent6 12 2 2 3 2" xfId="7553" xr:uid="{00000000-0005-0000-0000-000022240000}"/>
    <cellStyle name="20% - Accent6 12 2 2 3 2 2" xfId="15523" xr:uid="{00000000-0005-0000-0000-000023240000}"/>
    <cellStyle name="20% - Accent6 12 2 2 3 2 2 2" xfId="39365" xr:uid="{3D808422-1103-477D-B5CE-F5BCF6EE585C}"/>
    <cellStyle name="20% - Accent6 12 2 2 3 2 3" xfId="23469" xr:uid="{00000000-0005-0000-0000-000024240000}"/>
    <cellStyle name="20% - Accent6 12 2 2 3 2 3 2" xfId="47301" xr:uid="{58D4B570-99C2-427F-B337-297A16FDDB22}"/>
    <cellStyle name="20% - Accent6 12 2 2 3 2 4" xfId="31424" xr:uid="{134BFF77-8EFA-400A-B11E-47277D5579AC}"/>
    <cellStyle name="20% - Accent6 12 2 2 3 3" xfId="11985" xr:uid="{00000000-0005-0000-0000-000025240000}"/>
    <cellStyle name="20% - Accent6 12 2 2 3 3 2" xfId="35834" xr:uid="{329A60C3-C2E7-407B-91B1-89FC5BD4E635}"/>
    <cellStyle name="20% - Accent6 12 2 2 3 4" xfId="19940" xr:uid="{00000000-0005-0000-0000-000026240000}"/>
    <cellStyle name="20% - Accent6 12 2 2 3 4 2" xfId="43772" xr:uid="{B3F8E908-EF49-406F-AFFC-848A012AB4E8}"/>
    <cellStyle name="20% - Accent6 12 2 2 3 5" xfId="27893" xr:uid="{ABA60406-17E5-45B5-8A43-2FF86C5C57B7}"/>
    <cellStyle name="20% - Accent6 12 2 2 4" xfId="5781" xr:uid="{00000000-0005-0000-0000-000027240000}"/>
    <cellStyle name="20% - Accent6 12 2 2 4 2" xfId="13764" xr:uid="{00000000-0005-0000-0000-000028240000}"/>
    <cellStyle name="20% - Accent6 12 2 2 4 2 2" xfId="37607" xr:uid="{C75B88C3-AA5D-4169-B9AF-0C7910DDDFEF}"/>
    <cellStyle name="20% - Accent6 12 2 2 4 3" xfId="21712" xr:uid="{00000000-0005-0000-0000-000029240000}"/>
    <cellStyle name="20% - Accent6 12 2 2 4 3 2" xfId="45544" xr:uid="{19733C38-A06F-4731-95E2-FA4E38D6C23B}"/>
    <cellStyle name="20% - Accent6 12 2 2 4 4" xfId="29666" xr:uid="{6B70B35B-AA1B-4F72-8F34-FA3DFB456656}"/>
    <cellStyle name="20% - Accent6 12 2 2 5" xfId="9333" xr:uid="{00000000-0005-0000-0000-00002A240000}"/>
    <cellStyle name="20% - Accent6 12 2 2 5 2" xfId="17291" xr:uid="{00000000-0005-0000-0000-00002B240000}"/>
    <cellStyle name="20% - Accent6 12 2 2 5 2 2" xfId="41131" xr:uid="{D3582E01-C490-450A-A3CE-52B86E3041CC}"/>
    <cellStyle name="20% - Accent6 12 2 2 5 3" xfId="25235" xr:uid="{00000000-0005-0000-0000-00002C240000}"/>
    <cellStyle name="20% - Accent6 12 2 2 5 3 2" xfId="49067" xr:uid="{78D0CFCC-0B98-45D4-8F81-1C9AC9370071}"/>
    <cellStyle name="20% - Accent6 12 2 2 5 4" xfId="33190" xr:uid="{58978295-D493-4F06-84AB-6C6A17ADDFEA}"/>
    <cellStyle name="20% - Accent6 12 2 2 6" xfId="10229" xr:uid="{00000000-0005-0000-0000-00002D240000}"/>
    <cellStyle name="20% - Accent6 12 2 2 6 2" xfId="34078" xr:uid="{6F9DD69F-8CF5-4BCA-AF02-FE2BAA91F0F1}"/>
    <cellStyle name="20% - Accent6 12 2 2 7" xfId="18184" xr:uid="{00000000-0005-0000-0000-00002E240000}"/>
    <cellStyle name="20% - Accent6 12 2 2 7 2" xfId="42016" xr:uid="{8990B59F-CEFA-4912-AC97-4F0FD1AF356E}"/>
    <cellStyle name="20% - Accent6 12 2 2 8" xfId="26136" xr:uid="{B637B9FE-E3AB-47C5-96E1-3C86782382FB}"/>
    <cellStyle name="20% - Accent6 12 2 2_Exh G" xfId="2572" xr:uid="{00000000-0005-0000-0000-00002F240000}"/>
    <cellStyle name="20% - Accent6 12 2 3" xfId="1312" xr:uid="{00000000-0005-0000-0000-000030240000}"/>
    <cellStyle name="20% - Accent6 12 2 3 2" xfId="4839" xr:uid="{00000000-0005-0000-0000-000031240000}"/>
    <cellStyle name="20% - Accent6 12 2 3 2 2" xfId="8430" xr:uid="{00000000-0005-0000-0000-000032240000}"/>
    <cellStyle name="20% - Accent6 12 2 3 2 2 2" xfId="16400" xr:uid="{00000000-0005-0000-0000-000033240000}"/>
    <cellStyle name="20% - Accent6 12 2 3 2 2 2 2" xfId="40242" xr:uid="{3F9F7EE9-7418-408B-9FDF-10976C7FC4BC}"/>
    <cellStyle name="20% - Accent6 12 2 3 2 2 3" xfId="24346" xr:uid="{00000000-0005-0000-0000-000034240000}"/>
    <cellStyle name="20% - Accent6 12 2 3 2 2 3 2" xfId="48178" xr:uid="{02A91B94-98B6-4DB3-95B0-B554AB9AE2E6}"/>
    <cellStyle name="20% - Accent6 12 2 3 2 2 4" xfId="32301" xr:uid="{2EBC8CEA-7724-4236-A36B-5EB430446718}"/>
    <cellStyle name="20% - Accent6 12 2 3 2 3" xfId="12862" xr:uid="{00000000-0005-0000-0000-000035240000}"/>
    <cellStyle name="20% - Accent6 12 2 3 2 3 2" xfId="36711" xr:uid="{10264039-A20B-4EA6-9DBA-C8F35244F39B}"/>
    <cellStyle name="20% - Accent6 12 2 3 2 4" xfId="20817" xr:uid="{00000000-0005-0000-0000-000036240000}"/>
    <cellStyle name="20% - Accent6 12 2 3 2 4 2" xfId="44649" xr:uid="{C9F1FF3F-24FE-4DD7-9E51-99373096E6AC}"/>
    <cellStyle name="20% - Accent6 12 2 3 2 5" xfId="28770" xr:uid="{63B6D284-6FD6-453F-9A6D-2407F11E1CD5}"/>
    <cellStyle name="20% - Accent6 12 2 3 3" xfId="6671" xr:uid="{00000000-0005-0000-0000-000037240000}"/>
    <cellStyle name="20% - Accent6 12 2 3 3 2" xfId="14642" xr:uid="{00000000-0005-0000-0000-000038240000}"/>
    <cellStyle name="20% - Accent6 12 2 3 3 2 2" xfId="38484" xr:uid="{4F76A80A-004B-4FF0-AD63-03168DFAE1D3}"/>
    <cellStyle name="20% - Accent6 12 2 3 3 3" xfId="22589" xr:uid="{00000000-0005-0000-0000-000039240000}"/>
    <cellStyle name="20% - Accent6 12 2 3 3 3 2" xfId="46421" xr:uid="{8EF525BF-DF81-49E0-A0B1-08F310501172}"/>
    <cellStyle name="20% - Accent6 12 2 3 3 4" xfId="30543" xr:uid="{F02EF114-2EBB-4476-A105-F2628E95FE3D}"/>
    <cellStyle name="20% - Accent6 12 2 3 4" xfId="11106" xr:uid="{00000000-0005-0000-0000-00003A240000}"/>
    <cellStyle name="20% - Accent6 12 2 3 4 2" xfId="34955" xr:uid="{62405DE2-E9BA-436D-9658-B85C0BBD26BF}"/>
    <cellStyle name="20% - Accent6 12 2 3 5" xfId="19061" xr:uid="{00000000-0005-0000-0000-00003B240000}"/>
    <cellStyle name="20% - Accent6 12 2 3 5 2" xfId="42893" xr:uid="{DA9D5451-3E83-4C66-ACA5-D50A1193CF16}"/>
    <cellStyle name="20% - Accent6 12 2 3 6" xfId="27013" xr:uid="{F4FC350F-8444-48FF-BD4E-4814716DFE24}"/>
    <cellStyle name="20% - Accent6 12 2 3_Exh G" xfId="2574" xr:uid="{00000000-0005-0000-0000-00003C240000}"/>
    <cellStyle name="20% - Accent6 12 2 4" xfId="3960" xr:uid="{00000000-0005-0000-0000-00003D240000}"/>
    <cellStyle name="20% - Accent6 12 2 4 2" xfId="7552" xr:uid="{00000000-0005-0000-0000-00003E240000}"/>
    <cellStyle name="20% - Accent6 12 2 4 2 2" xfId="15522" xr:uid="{00000000-0005-0000-0000-00003F240000}"/>
    <cellStyle name="20% - Accent6 12 2 4 2 2 2" xfId="39364" xr:uid="{6941C9AA-FFC9-476B-BF1A-2A78C7C99C18}"/>
    <cellStyle name="20% - Accent6 12 2 4 2 3" xfId="23468" xr:uid="{00000000-0005-0000-0000-000040240000}"/>
    <cellStyle name="20% - Accent6 12 2 4 2 3 2" xfId="47300" xr:uid="{187335CE-50CD-4B9D-8DA3-9E22287D3072}"/>
    <cellStyle name="20% - Accent6 12 2 4 2 4" xfId="31423" xr:uid="{3FB2A466-4610-4864-8E5E-3234B6F79401}"/>
    <cellStyle name="20% - Accent6 12 2 4 3" xfId="11984" xr:uid="{00000000-0005-0000-0000-000041240000}"/>
    <cellStyle name="20% - Accent6 12 2 4 3 2" xfId="35833" xr:uid="{4653E0D9-034D-42CC-9A16-8B829E657F48}"/>
    <cellStyle name="20% - Accent6 12 2 4 4" xfId="19939" xr:uid="{00000000-0005-0000-0000-000042240000}"/>
    <cellStyle name="20% - Accent6 12 2 4 4 2" xfId="43771" xr:uid="{FA48C67A-A0B0-48DF-BE9F-DF314C23CF13}"/>
    <cellStyle name="20% - Accent6 12 2 4 5" xfId="27892" xr:uid="{BF3B15E6-B6FA-42D4-AED3-9293889B2E61}"/>
    <cellStyle name="20% - Accent6 12 2 5" xfId="5780" xr:uid="{00000000-0005-0000-0000-000043240000}"/>
    <cellStyle name="20% - Accent6 12 2 5 2" xfId="13763" xr:uid="{00000000-0005-0000-0000-000044240000}"/>
    <cellStyle name="20% - Accent6 12 2 5 2 2" xfId="37606" xr:uid="{37849CF2-BCD1-4963-951D-FD74400C3155}"/>
    <cellStyle name="20% - Accent6 12 2 5 3" xfId="21711" xr:uid="{00000000-0005-0000-0000-000045240000}"/>
    <cellStyle name="20% - Accent6 12 2 5 3 2" xfId="45543" xr:uid="{1F8A98EF-1DD9-4323-8013-E086AC2A8764}"/>
    <cellStyle name="20% - Accent6 12 2 5 4" xfId="29665" xr:uid="{4B565F72-5D26-45AB-8ADD-BD3D91A7AC45}"/>
    <cellStyle name="20% - Accent6 12 2 6" xfId="9332" xr:uid="{00000000-0005-0000-0000-000046240000}"/>
    <cellStyle name="20% - Accent6 12 2 6 2" xfId="17290" xr:uid="{00000000-0005-0000-0000-000047240000}"/>
    <cellStyle name="20% - Accent6 12 2 6 2 2" xfId="41130" xr:uid="{343FDA53-23A6-4E48-B2D3-C9989B186568}"/>
    <cellStyle name="20% - Accent6 12 2 6 3" xfId="25234" xr:uid="{00000000-0005-0000-0000-000048240000}"/>
    <cellStyle name="20% - Accent6 12 2 6 3 2" xfId="49066" xr:uid="{236E0295-0961-4C00-B0E1-E0BC7D7D1E94}"/>
    <cellStyle name="20% - Accent6 12 2 6 4" xfId="33189" xr:uid="{2D18F12B-0198-4A91-B85A-969149E6E972}"/>
    <cellStyle name="20% - Accent6 12 2 7" xfId="10228" xr:uid="{00000000-0005-0000-0000-000049240000}"/>
    <cellStyle name="20% - Accent6 12 2 7 2" xfId="34077" xr:uid="{6ED8DED6-6E7B-4384-ADD5-6473EE515D07}"/>
    <cellStyle name="20% - Accent6 12 2 8" xfId="18183" xr:uid="{00000000-0005-0000-0000-00004A240000}"/>
    <cellStyle name="20% - Accent6 12 2 8 2" xfId="42015" xr:uid="{6703A4E0-3E9B-4EB3-A0DC-FF38F5E7451D}"/>
    <cellStyle name="20% - Accent6 12 2 9" xfId="26135" xr:uid="{26C27A84-FD7E-4BF5-9FA6-DB5DD20CD6DF}"/>
    <cellStyle name="20% - Accent6 12 2_Exh G" xfId="2571" xr:uid="{00000000-0005-0000-0000-00004B240000}"/>
    <cellStyle name="20% - Accent6 12 3" xfId="288" xr:uid="{00000000-0005-0000-0000-00004C240000}"/>
    <cellStyle name="20% - Accent6 12 3 2" xfId="1314" xr:uid="{00000000-0005-0000-0000-00004D240000}"/>
    <cellStyle name="20% - Accent6 12 3 2 2" xfId="4841" xr:uid="{00000000-0005-0000-0000-00004E240000}"/>
    <cellStyle name="20% - Accent6 12 3 2 2 2" xfId="8432" xr:uid="{00000000-0005-0000-0000-00004F240000}"/>
    <cellStyle name="20% - Accent6 12 3 2 2 2 2" xfId="16402" xr:uid="{00000000-0005-0000-0000-000050240000}"/>
    <cellStyle name="20% - Accent6 12 3 2 2 2 2 2" xfId="40244" xr:uid="{3620597C-E37D-481A-884B-FD0CC32E95C9}"/>
    <cellStyle name="20% - Accent6 12 3 2 2 2 3" xfId="24348" xr:uid="{00000000-0005-0000-0000-000051240000}"/>
    <cellStyle name="20% - Accent6 12 3 2 2 2 3 2" xfId="48180" xr:uid="{CB4E2CDE-4CBB-49FF-ACBD-4DD9D40E3F10}"/>
    <cellStyle name="20% - Accent6 12 3 2 2 2 4" xfId="32303" xr:uid="{72822256-F80B-4B67-82C6-E1369CCA65A9}"/>
    <cellStyle name="20% - Accent6 12 3 2 2 3" xfId="12864" xr:uid="{00000000-0005-0000-0000-000052240000}"/>
    <cellStyle name="20% - Accent6 12 3 2 2 3 2" xfId="36713" xr:uid="{CE380C1C-56CD-4001-BBDF-46FE528DCB62}"/>
    <cellStyle name="20% - Accent6 12 3 2 2 4" xfId="20819" xr:uid="{00000000-0005-0000-0000-000053240000}"/>
    <cellStyle name="20% - Accent6 12 3 2 2 4 2" xfId="44651" xr:uid="{D1B26870-3E08-406B-9F01-30AF5DD10CB9}"/>
    <cellStyle name="20% - Accent6 12 3 2 2 5" xfId="28772" xr:uid="{43E5F2A4-2DD9-4C9B-A126-6BF1C8DB48ED}"/>
    <cellStyle name="20% - Accent6 12 3 2 3" xfId="6673" xr:uid="{00000000-0005-0000-0000-000054240000}"/>
    <cellStyle name="20% - Accent6 12 3 2 3 2" xfId="14644" xr:uid="{00000000-0005-0000-0000-000055240000}"/>
    <cellStyle name="20% - Accent6 12 3 2 3 2 2" xfId="38486" xr:uid="{CAF435A0-A4CD-45A2-8E72-C58E4325521A}"/>
    <cellStyle name="20% - Accent6 12 3 2 3 3" xfId="22591" xr:uid="{00000000-0005-0000-0000-000056240000}"/>
    <cellStyle name="20% - Accent6 12 3 2 3 3 2" xfId="46423" xr:uid="{160BC98B-D49E-43A8-AEA4-C389AB98146C}"/>
    <cellStyle name="20% - Accent6 12 3 2 3 4" xfId="30545" xr:uid="{F9FD2BA8-B33B-4E3C-B310-D1AE7988524D}"/>
    <cellStyle name="20% - Accent6 12 3 2 4" xfId="11108" xr:uid="{00000000-0005-0000-0000-000057240000}"/>
    <cellStyle name="20% - Accent6 12 3 2 4 2" xfId="34957" xr:uid="{BFE97085-C1A4-494C-98B5-9130007D07DF}"/>
    <cellStyle name="20% - Accent6 12 3 2 5" xfId="19063" xr:uid="{00000000-0005-0000-0000-000058240000}"/>
    <cellStyle name="20% - Accent6 12 3 2 5 2" xfId="42895" xr:uid="{0D7E26DB-9BE3-4DFC-B7C4-8B548A87F5C9}"/>
    <cellStyle name="20% - Accent6 12 3 2 6" xfId="27015" xr:uid="{D3EC8E3D-4C55-44A2-9FD8-E1C12F6E5666}"/>
    <cellStyle name="20% - Accent6 12 3 2_Exh G" xfId="2576" xr:uid="{00000000-0005-0000-0000-000059240000}"/>
    <cellStyle name="20% - Accent6 12 3 3" xfId="3962" xr:uid="{00000000-0005-0000-0000-00005A240000}"/>
    <cellStyle name="20% - Accent6 12 3 3 2" xfId="7554" xr:uid="{00000000-0005-0000-0000-00005B240000}"/>
    <cellStyle name="20% - Accent6 12 3 3 2 2" xfId="15524" xr:uid="{00000000-0005-0000-0000-00005C240000}"/>
    <cellStyle name="20% - Accent6 12 3 3 2 2 2" xfId="39366" xr:uid="{1BF5C542-7D1C-41E5-A0DA-A7BA83525AF7}"/>
    <cellStyle name="20% - Accent6 12 3 3 2 3" xfId="23470" xr:uid="{00000000-0005-0000-0000-00005D240000}"/>
    <cellStyle name="20% - Accent6 12 3 3 2 3 2" xfId="47302" xr:uid="{2C67DF63-D853-4F62-ACB4-CF6FE00F0418}"/>
    <cellStyle name="20% - Accent6 12 3 3 2 4" xfId="31425" xr:uid="{73480544-7E42-421D-B986-91FB67A0110D}"/>
    <cellStyle name="20% - Accent6 12 3 3 3" xfId="11986" xr:uid="{00000000-0005-0000-0000-00005E240000}"/>
    <cellStyle name="20% - Accent6 12 3 3 3 2" xfId="35835" xr:uid="{1A223AF8-48F8-47D9-9AE9-F570AE9B8018}"/>
    <cellStyle name="20% - Accent6 12 3 3 4" xfId="19941" xr:uid="{00000000-0005-0000-0000-00005F240000}"/>
    <cellStyle name="20% - Accent6 12 3 3 4 2" xfId="43773" xr:uid="{2B7513BD-F10F-4FE5-86BA-BBC21782E279}"/>
    <cellStyle name="20% - Accent6 12 3 3 5" xfId="27894" xr:uid="{D61B5585-0035-4C2C-97B4-9E8CEB433762}"/>
    <cellStyle name="20% - Accent6 12 3 4" xfId="5782" xr:uid="{00000000-0005-0000-0000-000060240000}"/>
    <cellStyle name="20% - Accent6 12 3 4 2" xfId="13765" xr:uid="{00000000-0005-0000-0000-000061240000}"/>
    <cellStyle name="20% - Accent6 12 3 4 2 2" xfId="37608" xr:uid="{F458C058-AB13-4D9E-BBCD-CF94D770F319}"/>
    <cellStyle name="20% - Accent6 12 3 4 3" xfId="21713" xr:uid="{00000000-0005-0000-0000-000062240000}"/>
    <cellStyle name="20% - Accent6 12 3 4 3 2" xfId="45545" xr:uid="{C86F7A35-7DA6-481A-9227-3B4B5BA838C0}"/>
    <cellStyle name="20% - Accent6 12 3 4 4" xfId="29667" xr:uid="{7ECD867A-77EE-46FA-BF8A-EAE0D574B117}"/>
    <cellStyle name="20% - Accent6 12 3 5" xfId="9334" xr:uid="{00000000-0005-0000-0000-000063240000}"/>
    <cellStyle name="20% - Accent6 12 3 5 2" xfId="17292" xr:uid="{00000000-0005-0000-0000-000064240000}"/>
    <cellStyle name="20% - Accent6 12 3 5 2 2" xfId="41132" xr:uid="{698E9505-59E6-4C4E-81D7-E93DD4C043E9}"/>
    <cellStyle name="20% - Accent6 12 3 5 3" xfId="25236" xr:uid="{00000000-0005-0000-0000-000065240000}"/>
    <cellStyle name="20% - Accent6 12 3 5 3 2" xfId="49068" xr:uid="{D71EC025-3979-4640-9DC4-D1A50E5B4C48}"/>
    <cellStyle name="20% - Accent6 12 3 5 4" xfId="33191" xr:uid="{8059B9DD-BDB7-4CF6-8D61-3116E4FED597}"/>
    <cellStyle name="20% - Accent6 12 3 6" xfId="10230" xr:uid="{00000000-0005-0000-0000-000066240000}"/>
    <cellStyle name="20% - Accent6 12 3 6 2" xfId="34079" xr:uid="{14751C5C-A1F5-4750-BD17-DE7FFEF26E66}"/>
    <cellStyle name="20% - Accent6 12 3 7" xfId="18185" xr:uid="{00000000-0005-0000-0000-000067240000}"/>
    <cellStyle name="20% - Accent6 12 3 7 2" xfId="42017" xr:uid="{2B3FCCCB-8823-414E-BD60-F8CAAD9A9CA6}"/>
    <cellStyle name="20% - Accent6 12 3 8" xfId="26137" xr:uid="{787381E6-87F6-46C6-AED6-8C0C099D28AA}"/>
    <cellStyle name="20% - Accent6 12 3_Exh G" xfId="2575" xr:uid="{00000000-0005-0000-0000-000068240000}"/>
    <cellStyle name="20% - Accent6 12 4" xfId="1311" xr:uid="{00000000-0005-0000-0000-000069240000}"/>
    <cellStyle name="20% - Accent6 12 4 2" xfId="4838" xr:uid="{00000000-0005-0000-0000-00006A240000}"/>
    <cellStyle name="20% - Accent6 12 4 2 2" xfId="8429" xr:uid="{00000000-0005-0000-0000-00006B240000}"/>
    <cellStyle name="20% - Accent6 12 4 2 2 2" xfId="16399" xr:uid="{00000000-0005-0000-0000-00006C240000}"/>
    <cellStyle name="20% - Accent6 12 4 2 2 2 2" xfId="40241" xr:uid="{663651A8-D8E1-4DE9-AAA1-AD068A368832}"/>
    <cellStyle name="20% - Accent6 12 4 2 2 3" xfId="24345" xr:uid="{00000000-0005-0000-0000-00006D240000}"/>
    <cellStyle name="20% - Accent6 12 4 2 2 3 2" xfId="48177" xr:uid="{E8158A24-B5E1-403D-ACFF-B676E592C1B9}"/>
    <cellStyle name="20% - Accent6 12 4 2 2 4" xfId="32300" xr:uid="{1E144CC8-11B3-4135-B383-7B516A798CEB}"/>
    <cellStyle name="20% - Accent6 12 4 2 3" xfId="12861" xr:uid="{00000000-0005-0000-0000-00006E240000}"/>
    <cellStyle name="20% - Accent6 12 4 2 3 2" xfId="36710" xr:uid="{7D553BFF-EE32-4F3A-915E-7AB281D00983}"/>
    <cellStyle name="20% - Accent6 12 4 2 4" xfId="20816" xr:uid="{00000000-0005-0000-0000-00006F240000}"/>
    <cellStyle name="20% - Accent6 12 4 2 4 2" xfId="44648" xr:uid="{57639075-1878-4B36-B734-37268A5EDF89}"/>
    <cellStyle name="20% - Accent6 12 4 2 5" xfId="28769" xr:uid="{EB26C705-17FB-4FEE-9B55-736899A61414}"/>
    <cellStyle name="20% - Accent6 12 4 3" xfId="6670" xr:uid="{00000000-0005-0000-0000-000070240000}"/>
    <cellStyle name="20% - Accent6 12 4 3 2" xfId="14641" xr:uid="{00000000-0005-0000-0000-000071240000}"/>
    <cellStyle name="20% - Accent6 12 4 3 2 2" xfId="38483" xr:uid="{BA6AD2C5-D49A-4D57-935D-E4D745EE70E8}"/>
    <cellStyle name="20% - Accent6 12 4 3 3" xfId="22588" xr:uid="{00000000-0005-0000-0000-000072240000}"/>
    <cellStyle name="20% - Accent6 12 4 3 3 2" xfId="46420" xr:uid="{DB0992B9-A8A1-4F5B-8FF5-078F470444E6}"/>
    <cellStyle name="20% - Accent6 12 4 3 4" xfId="30542" xr:uid="{683E5479-4253-4926-8772-E3FD118EF1D8}"/>
    <cellStyle name="20% - Accent6 12 4 4" xfId="11105" xr:uid="{00000000-0005-0000-0000-000073240000}"/>
    <cellStyle name="20% - Accent6 12 4 4 2" xfId="34954" xr:uid="{6CD39D42-0C21-45C5-B3B8-511887E90F79}"/>
    <cellStyle name="20% - Accent6 12 4 5" xfId="19060" xr:uid="{00000000-0005-0000-0000-000074240000}"/>
    <cellStyle name="20% - Accent6 12 4 5 2" xfId="42892" xr:uid="{20CD884C-B2FD-4D1B-A476-86CAD6492ED1}"/>
    <cellStyle name="20% - Accent6 12 4 6" xfId="27012" xr:uid="{CDEA221C-37D2-4F65-9558-D5C1CAF1F08B}"/>
    <cellStyle name="20% - Accent6 12 4_Exh G" xfId="2577" xr:uid="{00000000-0005-0000-0000-000075240000}"/>
    <cellStyle name="20% - Accent6 12 5" xfId="3959" xr:uid="{00000000-0005-0000-0000-000076240000}"/>
    <cellStyle name="20% - Accent6 12 5 2" xfId="7551" xr:uid="{00000000-0005-0000-0000-000077240000}"/>
    <cellStyle name="20% - Accent6 12 5 2 2" xfId="15521" xr:uid="{00000000-0005-0000-0000-000078240000}"/>
    <cellStyle name="20% - Accent6 12 5 2 2 2" xfId="39363" xr:uid="{D7F41DF7-CF57-4F97-AD03-F7D0156A1CEE}"/>
    <cellStyle name="20% - Accent6 12 5 2 3" xfId="23467" xr:uid="{00000000-0005-0000-0000-000079240000}"/>
    <cellStyle name="20% - Accent6 12 5 2 3 2" xfId="47299" xr:uid="{AF6B6C44-011D-4AD8-9CC0-EFE44BDFF515}"/>
    <cellStyle name="20% - Accent6 12 5 2 4" xfId="31422" xr:uid="{BF8402CD-11EA-475E-94B7-5F5CA9F58D8A}"/>
    <cellStyle name="20% - Accent6 12 5 3" xfId="11983" xr:uid="{00000000-0005-0000-0000-00007A240000}"/>
    <cellStyle name="20% - Accent6 12 5 3 2" xfId="35832" xr:uid="{BDC1BF99-E5E6-4030-A81D-96F1010F5B31}"/>
    <cellStyle name="20% - Accent6 12 5 4" xfId="19938" xr:uid="{00000000-0005-0000-0000-00007B240000}"/>
    <cellStyle name="20% - Accent6 12 5 4 2" xfId="43770" xr:uid="{FBE7A0BD-BABA-45C3-8A12-03E947781030}"/>
    <cellStyle name="20% - Accent6 12 5 5" xfId="27891" xr:uid="{C308FABB-7709-4939-A64D-4E22AEC318C6}"/>
    <cellStyle name="20% - Accent6 12 6" xfId="5779" xr:uid="{00000000-0005-0000-0000-00007C240000}"/>
    <cellStyle name="20% - Accent6 12 6 2" xfId="13762" xr:uid="{00000000-0005-0000-0000-00007D240000}"/>
    <cellStyle name="20% - Accent6 12 6 2 2" xfId="37605" xr:uid="{BAC22811-1644-45D9-A52A-17EA3DCA1055}"/>
    <cellStyle name="20% - Accent6 12 6 3" xfId="21710" xr:uid="{00000000-0005-0000-0000-00007E240000}"/>
    <cellStyle name="20% - Accent6 12 6 3 2" xfId="45542" xr:uid="{4575A05B-C013-4457-A219-E521279ED16C}"/>
    <cellStyle name="20% - Accent6 12 6 4" xfId="29664" xr:uid="{6BEEAAAE-77C6-44D8-A9A1-0BCC9C6BEE68}"/>
    <cellStyle name="20% - Accent6 12 7" xfId="9331" xr:uid="{00000000-0005-0000-0000-00007F240000}"/>
    <cellStyle name="20% - Accent6 12 7 2" xfId="17289" xr:uid="{00000000-0005-0000-0000-000080240000}"/>
    <cellStyle name="20% - Accent6 12 7 2 2" xfId="41129" xr:uid="{AD962693-3F1D-442E-938B-61A973FE6C8E}"/>
    <cellStyle name="20% - Accent6 12 7 3" xfId="25233" xr:uid="{00000000-0005-0000-0000-000081240000}"/>
    <cellStyle name="20% - Accent6 12 7 3 2" xfId="49065" xr:uid="{D0A6B0CE-7736-4634-9B12-D23532876E1A}"/>
    <cellStyle name="20% - Accent6 12 7 4" xfId="33188" xr:uid="{A44FD793-0EBA-4D6F-8C3E-085FC512D1A2}"/>
    <cellStyle name="20% - Accent6 12 8" xfId="10227" xr:uid="{00000000-0005-0000-0000-000082240000}"/>
    <cellStyle name="20% - Accent6 12 8 2" xfId="34076" xr:uid="{C54ECBCA-36FA-4614-847F-A5D30D3D8686}"/>
    <cellStyle name="20% - Accent6 12 9" xfId="18182" xr:uid="{00000000-0005-0000-0000-000083240000}"/>
    <cellStyle name="20% - Accent6 12 9 2" xfId="42014" xr:uid="{6177B55A-97D8-47BB-A769-637FF419AF2A}"/>
    <cellStyle name="20% - Accent6 12_Exh G" xfId="2570" xr:uid="{00000000-0005-0000-0000-000084240000}"/>
    <cellStyle name="20% - Accent6 13" xfId="289" xr:uid="{00000000-0005-0000-0000-000085240000}"/>
    <cellStyle name="20% - Accent6 13 10" xfId="26138" xr:uid="{E284F063-9E28-48E1-9D69-A67E956E9A9D}"/>
    <cellStyle name="20% - Accent6 13 2" xfId="290" xr:uid="{00000000-0005-0000-0000-000086240000}"/>
    <cellStyle name="20% - Accent6 13 2 2" xfId="291" xr:uid="{00000000-0005-0000-0000-000087240000}"/>
    <cellStyle name="20% - Accent6 13 2 2 2" xfId="1317" xr:uid="{00000000-0005-0000-0000-000088240000}"/>
    <cellStyle name="20% - Accent6 13 2 2 2 2" xfId="4844" xr:uid="{00000000-0005-0000-0000-000089240000}"/>
    <cellStyle name="20% - Accent6 13 2 2 2 2 2" xfId="8435" xr:uid="{00000000-0005-0000-0000-00008A240000}"/>
    <cellStyle name="20% - Accent6 13 2 2 2 2 2 2" xfId="16405" xr:uid="{00000000-0005-0000-0000-00008B240000}"/>
    <cellStyle name="20% - Accent6 13 2 2 2 2 2 2 2" xfId="40247" xr:uid="{6B8869CE-9A04-43A3-BF34-A8E1EFA119E0}"/>
    <cellStyle name="20% - Accent6 13 2 2 2 2 2 3" xfId="24351" xr:uid="{00000000-0005-0000-0000-00008C240000}"/>
    <cellStyle name="20% - Accent6 13 2 2 2 2 2 3 2" xfId="48183" xr:uid="{98861071-37B9-4081-BB95-74B76FAA606A}"/>
    <cellStyle name="20% - Accent6 13 2 2 2 2 2 4" xfId="32306" xr:uid="{D22D2B9A-8C3C-4700-BEE5-3A1CE5DF1068}"/>
    <cellStyle name="20% - Accent6 13 2 2 2 2 3" xfId="12867" xr:uid="{00000000-0005-0000-0000-00008D240000}"/>
    <cellStyle name="20% - Accent6 13 2 2 2 2 3 2" xfId="36716" xr:uid="{DFD6D218-41CD-47BC-9457-A2BC8404DC9E}"/>
    <cellStyle name="20% - Accent6 13 2 2 2 2 4" xfId="20822" xr:uid="{00000000-0005-0000-0000-00008E240000}"/>
    <cellStyle name="20% - Accent6 13 2 2 2 2 4 2" xfId="44654" xr:uid="{69750877-3C73-4596-8134-240700802B3E}"/>
    <cellStyle name="20% - Accent6 13 2 2 2 2 5" xfId="28775" xr:uid="{1594D99A-17E6-410C-8D8E-59CB09006124}"/>
    <cellStyle name="20% - Accent6 13 2 2 2 3" xfId="6676" xr:uid="{00000000-0005-0000-0000-00008F240000}"/>
    <cellStyle name="20% - Accent6 13 2 2 2 3 2" xfId="14647" xr:uid="{00000000-0005-0000-0000-000090240000}"/>
    <cellStyle name="20% - Accent6 13 2 2 2 3 2 2" xfId="38489" xr:uid="{EE8278C6-1A50-465D-A758-C0A62AA6BCF8}"/>
    <cellStyle name="20% - Accent6 13 2 2 2 3 3" xfId="22594" xr:uid="{00000000-0005-0000-0000-000091240000}"/>
    <cellStyle name="20% - Accent6 13 2 2 2 3 3 2" xfId="46426" xr:uid="{92F8EEDE-5206-4033-B559-AC1C4145B82F}"/>
    <cellStyle name="20% - Accent6 13 2 2 2 3 4" xfId="30548" xr:uid="{4A439D9F-2B63-420F-B7CA-A6C83F226276}"/>
    <cellStyle name="20% - Accent6 13 2 2 2 4" xfId="11111" xr:uid="{00000000-0005-0000-0000-000092240000}"/>
    <cellStyle name="20% - Accent6 13 2 2 2 4 2" xfId="34960" xr:uid="{E34F5BD0-ADC3-418A-BDC9-6ADE8925F61B}"/>
    <cellStyle name="20% - Accent6 13 2 2 2 5" xfId="19066" xr:uid="{00000000-0005-0000-0000-000093240000}"/>
    <cellStyle name="20% - Accent6 13 2 2 2 5 2" xfId="42898" xr:uid="{9406748A-CEF9-4232-B9AA-F03C7DC98309}"/>
    <cellStyle name="20% - Accent6 13 2 2 2 6" xfId="27018" xr:uid="{A82CACE1-7F14-45B5-80A5-FA7DE56C532A}"/>
    <cellStyle name="20% - Accent6 13 2 2 2_Exh G" xfId="2581" xr:uid="{00000000-0005-0000-0000-000094240000}"/>
    <cellStyle name="20% - Accent6 13 2 2 3" xfId="3965" xr:uid="{00000000-0005-0000-0000-000095240000}"/>
    <cellStyle name="20% - Accent6 13 2 2 3 2" xfId="7557" xr:uid="{00000000-0005-0000-0000-000096240000}"/>
    <cellStyle name="20% - Accent6 13 2 2 3 2 2" xfId="15527" xr:uid="{00000000-0005-0000-0000-000097240000}"/>
    <cellStyle name="20% - Accent6 13 2 2 3 2 2 2" xfId="39369" xr:uid="{B7F10F42-17FB-425B-800F-211476541CAC}"/>
    <cellStyle name="20% - Accent6 13 2 2 3 2 3" xfId="23473" xr:uid="{00000000-0005-0000-0000-000098240000}"/>
    <cellStyle name="20% - Accent6 13 2 2 3 2 3 2" xfId="47305" xr:uid="{6D11E204-0E8B-47F5-AC31-36644324CD88}"/>
    <cellStyle name="20% - Accent6 13 2 2 3 2 4" xfId="31428" xr:uid="{61F953CE-1256-445C-92E5-F3DDD4F16190}"/>
    <cellStyle name="20% - Accent6 13 2 2 3 3" xfId="11989" xr:uid="{00000000-0005-0000-0000-000099240000}"/>
    <cellStyle name="20% - Accent6 13 2 2 3 3 2" xfId="35838" xr:uid="{019848D4-E31F-4EA3-9A4D-BA70B60F54F6}"/>
    <cellStyle name="20% - Accent6 13 2 2 3 4" xfId="19944" xr:uid="{00000000-0005-0000-0000-00009A240000}"/>
    <cellStyle name="20% - Accent6 13 2 2 3 4 2" xfId="43776" xr:uid="{4D52B501-6841-4344-8FC6-A9BCBD6D6F66}"/>
    <cellStyle name="20% - Accent6 13 2 2 3 5" xfId="27897" xr:uid="{4FBF34DF-2647-40F4-89B4-532FA662C1DC}"/>
    <cellStyle name="20% - Accent6 13 2 2 4" xfId="5785" xr:uid="{00000000-0005-0000-0000-00009B240000}"/>
    <cellStyle name="20% - Accent6 13 2 2 4 2" xfId="13768" xr:uid="{00000000-0005-0000-0000-00009C240000}"/>
    <cellStyle name="20% - Accent6 13 2 2 4 2 2" xfId="37611" xr:uid="{202C4FFF-EC22-4B9B-8B8F-4539BC10DA4A}"/>
    <cellStyle name="20% - Accent6 13 2 2 4 3" xfId="21716" xr:uid="{00000000-0005-0000-0000-00009D240000}"/>
    <cellStyle name="20% - Accent6 13 2 2 4 3 2" xfId="45548" xr:uid="{A91B710D-C639-4937-ABC4-168CCC5FB4C4}"/>
    <cellStyle name="20% - Accent6 13 2 2 4 4" xfId="29670" xr:uid="{161318BC-610F-4B7E-9CDE-51A47EC88F98}"/>
    <cellStyle name="20% - Accent6 13 2 2 5" xfId="9337" xr:uid="{00000000-0005-0000-0000-00009E240000}"/>
    <cellStyle name="20% - Accent6 13 2 2 5 2" xfId="17295" xr:uid="{00000000-0005-0000-0000-00009F240000}"/>
    <cellStyle name="20% - Accent6 13 2 2 5 2 2" xfId="41135" xr:uid="{EA758921-7E95-44F8-8C4E-E6561114E75A}"/>
    <cellStyle name="20% - Accent6 13 2 2 5 3" xfId="25239" xr:uid="{00000000-0005-0000-0000-0000A0240000}"/>
    <cellStyle name="20% - Accent6 13 2 2 5 3 2" xfId="49071" xr:uid="{37C7F1E1-E439-4F96-A868-715D46F5AD31}"/>
    <cellStyle name="20% - Accent6 13 2 2 5 4" xfId="33194" xr:uid="{71AD6CEE-469F-4686-A0FE-66D9506C9029}"/>
    <cellStyle name="20% - Accent6 13 2 2 6" xfId="10233" xr:uid="{00000000-0005-0000-0000-0000A1240000}"/>
    <cellStyle name="20% - Accent6 13 2 2 6 2" xfId="34082" xr:uid="{0B79D10D-24E2-4C75-BAE5-6C3DA1584B79}"/>
    <cellStyle name="20% - Accent6 13 2 2 7" xfId="18188" xr:uid="{00000000-0005-0000-0000-0000A2240000}"/>
    <cellStyle name="20% - Accent6 13 2 2 7 2" xfId="42020" xr:uid="{4D5FB7E8-C753-4B68-AA02-D31069BCFD0F}"/>
    <cellStyle name="20% - Accent6 13 2 2 8" xfId="26140" xr:uid="{D00A7E4E-D7A2-4FF0-B82D-5972CE25267F}"/>
    <cellStyle name="20% - Accent6 13 2 2_Exh G" xfId="2580" xr:uid="{00000000-0005-0000-0000-0000A3240000}"/>
    <cellStyle name="20% - Accent6 13 2 3" xfId="1316" xr:uid="{00000000-0005-0000-0000-0000A4240000}"/>
    <cellStyle name="20% - Accent6 13 2 3 2" xfId="4843" xr:uid="{00000000-0005-0000-0000-0000A5240000}"/>
    <cellStyle name="20% - Accent6 13 2 3 2 2" xfId="8434" xr:uid="{00000000-0005-0000-0000-0000A6240000}"/>
    <cellStyle name="20% - Accent6 13 2 3 2 2 2" xfId="16404" xr:uid="{00000000-0005-0000-0000-0000A7240000}"/>
    <cellStyle name="20% - Accent6 13 2 3 2 2 2 2" xfId="40246" xr:uid="{828D0F61-7A66-4812-B62A-C865E3984324}"/>
    <cellStyle name="20% - Accent6 13 2 3 2 2 3" xfId="24350" xr:uid="{00000000-0005-0000-0000-0000A8240000}"/>
    <cellStyle name="20% - Accent6 13 2 3 2 2 3 2" xfId="48182" xr:uid="{FEC39210-9BB3-48B4-91C1-668C07C251DB}"/>
    <cellStyle name="20% - Accent6 13 2 3 2 2 4" xfId="32305" xr:uid="{F058BEAB-55BE-49D2-975E-9566F110C0FB}"/>
    <cellStyle name="20% - Accent6 13 2 3 2 3" xfId="12866" xr:uid="{00000000-0005-0000-0000-0000A9240000}"/>
    <cellStyle name="20% - Accent6 13 2 3 2 3 2" xfId="36715" xr:uid="{29BE2245-639B-4881-9E1D-36DD6939270A}"/>
    <cellStyle name="20% - Accent6 13 2 3 2 4" xfId="20821" xr:uid="{00000000-0005-0000-0000-0000AA240000}"/>
    <cellStyle name="20% - Accent6 13 2 3 2 4 2" xfId="44653" xr:uid="{E81A2FB2-E835-478E-9F99-8BB41FDD6A82}"/>
    <cellStyle name="20% - Accent6 13 2 3 2 5" xfId="28774" xr:uid="{CF3B0B04-6460-4766-BFFE-21314F984607}"/>
    <cellStyle name="20% - Accent6 13 2 3 3" xfId="6675" xr:uid="{00000000-0005-0000-0000-0000AB240000}"/>
    <cellStyle name="20% - Accent6 13 2 3 3 2" xfId="14646" xr:uid="{00000000-0005-0000-0000-0000AC240000}"/>
    <cellStyle name="20% - Accent6 13 2 3 3 2 2" xfId="38488" xr:uid="{B10A399C-3888-4DB8-95C8-5BE2D143318A}"/>
    <cellStyle name="20% - Accent6 13 2 3 3 3" xfId="22593" xr:uid="{00000000-0005-0000-0000-0000AD240000}"/>
    <cellStyle name="20% - Accent6 13 2 3 3 3 2" xfId="46425" xr:uid="{03690EC3-FF5F-441D-AB4F-787C663CAB47}"/>
    <cellStyle name="20% - Accent6 13 2 3 3 4" xfId="30547" xr:uid="{DF73CF77-B33C-4FA0-92CE-D03AC8139163}"/>
    <cellStyle name="20% - Accent6 13 2 3 4" xfId="11110" xr:uid="{00000000-0005-0000-0000-0000AE240000}"/>
    <cellStyle name="20% - Accent6 13 2 3 4 2" xfId="34959" xr:uid="{2182AED5-004F-47D4-A11C-37370D40BFAB}"/>
    <cellStyle name="20% - Accent6 13 2 3 5" xfId="19065" xr:uid="{00000000-0005-0000-0000-0000AF240000}"/>
    <cellStyle name="20% - Accent6 13 2 3 5 2" xfId="42897" xr:uid="{900DC0DE-E65A-4852-9C7A-067DE54E1E3E}"/>
    <cellStyle name="20% - Accent6 13 2 3 6" xfId="27017" xr:uid="{38730742-5006-4DC7-BF3F-793743B7785D}"/>
    <cellStyle name="20% - Accent6 13 2 3_Exh G" xfId="2582" xr:uid="{00000000-0005-0000-0000-0000B0240000}"/>
    <cellStyle name="20% - Accent6 13 2 4" xfId="3964" xr:uid="{00000000-0005-0000-0000-0000B1240000}"/>
    <cellStyle name="20% - Accent6 13 2 4 2" xfId="7556" xr:uid="{00000000-0005-0000-0000-0000B2240000}"/>
    <cellStyle name="20% - Accent6 13 2 4 2 2" xfId="15526" xr:uid="{00000000-0005-0000-0000-0000B3240000}"/>
    <cellStyle name="20% - Accent6 13 2 4 2 2 2" xfId="39368" xr:uid="{21B199A1-87A9-4870-B058-88D49531F9B3}"/>
    <cellStyle name="20% - Accent6 13 2 4 2 3" xfId="23472" xr:uid="{00000000-0005-0000-0000-0000B4240000}"/>
    <cellStyle name="20% - Accent6 13 2 4 2 3 2" xfId="47304" xr:uid="{A3F257FE-DF9F-4A6C-8D39-1A6E179161CD}"/>
    <cellStyle name="20% - Accent6 13 2 4 2 4" xfId="31427" xr:uid="{D2386EFD-67FA-466B-95B9-0CF7C691CCF2}"/>
    <cellStyle name="20% - Accent6 13 2 4 3" xfId="11988" xr:uid="{00000000-0005-0000-0000-0000B5240000}"/>
    <cellStyle name="20% - Accent6 13 2 4 3 2" xfId="35837" xr:uid="{9BAC0A18-B3E2-44CB-8AA4-064CBB39586B}"/>
    <cellStyle name="20% - Accent6 13 2 4 4" xfId="19943" xr:uid="{00000000-0005-0000-0000-0000B6240000}"/>
    <cellStyle name="20% - Accent6 13 2 4 4 2" xfId="43775" xr:uid="{41806270-AD1C-4C1B-A435-51BBA8E1E6C8}"/>
    <cellStyle name="20% - Accent6 13 2 4 5" xfId="27896" xr:uid="{2DD61CA0-396E-4DAB-A650-6A937B891ACD}"/>
    <cellStyle name="20% - Accent6 13 2 5" xfId="5784" xr:uid="{00000000-0005-0000-0000-0000B7240000}"/>
    <cellStyle name="20% - Accent6 13 2 5 2" xfId="13767" xr:uid="{00000000-0005-0000-0000-0000B8240000}"/>
    <cellStyle name="20% - Accent6 13 2 5 2 2" xfId="37610" xr:uid="{DE2BB7B0-A309-4C99-9674-812181FFE705}"/>
    <cellStyle name="20% - Accent6 13 2 5 3" xfId="21715" xr:uid="{00000000-0005-0000-0000-0000B9240000}"/>
    <cellStyle name="20% - Accent6 13 2 5 3 2" xfId="45547" xr:uid="{207E64C7-EC15-4865-82B2-6A77EA784A25}"/>
    <cellStyle name="20% - Accent6 13 2 5 4" xfId="29669" xr:uid="{45331C80-36F5-4F13-B874-9DDF87EFFEC2}"/>
    <cellStyle name="20% - Accent6 13 2 6" xfId="9336" xr:uid="{00000000-0005-0000-0000-0000BA240000}"/>
    <cellStyle name="20% - Accent6 13 2 6 2" xfId="17294" xr:uid="{00000000-0005-0000-0000-0000BB240000}"/>
    <cellStyle name="20% - Accent6 13 2 6 2 2" xfId="41134" xr:uid="{FF32E576-8CE0-4848-AA38-3BA89CFCA5D6}"/>
    <cellStyle name="20% - Accent6 13 2 6 3" xfId="25238" xr:uid="{00000000-0005-0000-0000-0000BC240000}"/>
    <cellStyle name="20% - Accent6 13 2 6 3 2" xfId="49070" xr:uid="{CA8DCABC-3D9B-4D0D-9D33-FCFB70DA8DCE}"/>
    <cellStyle name="20% - Accent6 13 2 6 4" xfId="33193" xr:uid="{9A1E9A6C-CE88-4135-B276-D6831CA91E10}"/>
    <cellStyle name="20% - Accent6 13 2 7" xfId="10232" xr:uid="{00000000-0005-0000-0000-0000BD240000}"/>
    <cellStyle name="20% - Accent6 13 2 7 2" xfId="34081" xr:uid="{7FDBB7A0-F19F-4710-9761-A7E1E512FC64}"/>
    <cellStyle name="20% - Accent6 13 2 8" xfId="18187" xr:uid="{00000000-0005-0000-0000-0000BE240000}"/>
    <cellStyle name="20% - Accent6 13 2 8 2" xfId="42019" xr:uid="{55F9BBD1-5BDA-4F30-BDC3-35E1309EAA5D}"/>
    <cellStyle name="20% - Accent6 13 2 9" xfId="26139" xr:uid="{67275329-8064-4039-805D-F182C16342BE}"/>
    <cellStyle name="20% - Accent6 13 2_Exh G" xfId="2579" xr:uid="{00000000-0005-0000-0000-0000BF240000}"/>
    <cellStyle name="20% - Accent6 13 3" xfId="292" xr:uid="{00000000-0005-0000-0000-0000C0240000}"/>
    <cellStyle name="20% - Accent6 13 3 2" xfId="1318" xr:uid="{00000000-0005-0000-0000-0000C1240000}"/>
    <cellStyle name="20% - Accent6 13 3 2 2" xfId="4845" xr:uid="{00000000-0005-0000-0000-0000C2240000}"/>
    <cellStyle name="20% - Accent6 13 3 2 2 2" xfId="8436" xr:uid="{00000000-0005-0000-0000-0000C3240000}"/>
    <cellStyle name="20% - Accent6 13 3 2 2 2 2" xfId="16406" xr:uid="{00000000-0005-0000-0000-0000C4240000}"/>
    <cellStyle name="20% - Accent6 13 3 2 2 2 2 2" xfId="40248" xr:uid="{6469CBC4-73B0-4C03-964B-62702A52B842}"/>
    <cellStyle name="20% - Accent6 13 3 2 2 2 3" xfId="24352" xr:uid="{00000000-0005-0000-0000-0000C5240000}"/>
    <cellStyle name="20% - Accent6 13 3 2 2 2 3 2" xfId="48184" xr:uid="{36C170E6-7AC1-4575-A734-249FC743F702}"/>
    <cellStyle name="20% - Accent6 13 3 2 2 2 4" xfId="32307" xr:uid="{CCC17C12-2C74-442D-ADAE-3FB1440EFE17}"/>
    <cellStyle name="20% - Accent6 13 3 2 2 3" xfId="12868" xr:uid="{00000000-0005-0000-0000-0000C6240000}"/>
    <cellStyle name="20% - Accent6 13 3 2 2 3 2" xfId="36717" xr:uid="{6E9DA230-8BAD-415D-B3C3-53D94ECB2221}"/>
    <cellStyle name="20% - Accent6 13 3 2 2 4" xfId="20823" xr:uid="{00000000-0005-0000-0000-0000C7240000}"/>
    <cellStyle name="20% - Accent6 13 3 2 2 4 2" xfId="44655" xr:uid="{2A5B729C-C9AE-4EFF-8BD5-E8242A4AE91D}"/>
    <cellStyle name="20% - Accent6 13 3 2 2 5" xfId="28776" xr:uid="{24F29100-A5C8-47B8-8BB7-066895CB6008}"/>
    <cellStyle name="20% - Accent6 13 3 2 3" xfId="6677" xr:uid="{00000000-0005-0000-0000-0000C8240000}"/>
    <cellStyle name="20% - Accent6 13 3 2 3 2" xfId="14648" xr:uid="{00000000-0005-0000-0000-0000C9240000}"/>
    <cellStyle name="20% - Accent6 13 3 2 3 2 2" xfId="38490" xr:uid="{0CF112B1-E120-444F-8961-DB08D938B471}"/>
    <cellStyle name="20% - Accent6 13 3 2 3 3" xfId="22595" xr:uid="{00000000-0005-0000-0000-0000CA240000}"/>
    <cellStyle name="20% - Accent6 13 3 2 3 3 2" xfId="46427" xr:uid="{93E90A76-7F48-490C-97B7-8E5989E4BA9F}"/>
    <cellStyle name="20% - Accent6 13 3 2 3 4" xfId="30549" xr:uid="{DD131F14-6E44-4084-9EC3-DF1C1DE4C15A}"/>
    <cellStyle name="20% - Accent6 13 3 2 4" xfId="11112" xr:uid="{00000000-0005-0000-0000-0000CB240000}"/>
    <cellStyle name="20% - Accent6 13 3 2 4 2" xfId="34961" xr:uid="{756D888A-9B25-47C3-B023-F9DBC250C8A0}"/>
    <cellStyle name="20% - Accent6 13 3 2 5" xfId="19067" xr:uid="{00000000-0005-0000-0000-0000CC240000}"/>
    <cellStyle name="20% - Accent6 13 3 2 5 2" xfId="42899" xr:uid="{40DA9E4E-8E16-4EAD-A44E-784E964BB62A}"/>
    <cellStyle name="20% - Accent6 13 3 2 6" xfId="27019" xr:uid="{27B1D224-BAD8-44F7-9A5C-72D0C41F7B9F}"/>
    <cellStyle name="20% - Accent6 13 3 2_Exh G" xfId="2584" xr:uid="{00000000-0005-0000-0000-0000CD240000}"/>
    <cellStyle name="20% - Accent6 13 3 3" xfId="3966" xr:uid="{00000000-0005-0000-0000-0000CE240000}"/>
    <cellStyle name="20% - Accent6 13 3 3 2" xfId="7558" xr:uid="{00000000-0005-0000-0000-0000CF240000}"/>
    <cellStyle name="20% - Accent6 13 3 3 2 2" xfId="15528" xr:uid="{00000000-0005-0000-0000-0000D0240000}"/>
    <cellStyle name="20% - Accent6 13 3 3 2 2 2" xfId="39370" xr:uid="{0666F10E-88DB-41B1-B9D2-B56108A1910E}"/>
    <cellStyle name="20% - Accent6 13 3 3 2 3" xfId="23474" xr:uid="{00000000-0005-0000-0000-0000D1240000}"/>
    <cellStyle name="20% - Accent6 13 3 3 2 3 2" xfId="47306" xr:uid="{BDFA5533-83BD-455A-B58F-EB6B642F1FD4}"/>
    <cellStyle name="20% - Accent6 13 3 3 2 4" xfId="31429" xr:uid="{20FA7BAA-CB49-4728-ACC3-D8C66AC04A7F}"/>
    <cellStyle name="20% - Accent6 13 3 3 3" xfId="11990" xr:uid="{00000000-0005-0000-0000-0000D2240000}"/>
    <cellStyle name="20% - Accent6 13 3 3 3 2" xfId="35839" xr:uid="{6054712C-7D9A-4DE8-ACCB-3544D3968E34}"/>
    <cellStyle name="20% - Accent6 13 3 3 4" xfId="19945" xr:uid="{00000000-0005-0000-0000-0000D3240000}"/>
    <cellStyle name="20% - Accent6 13 3 3 4 2" xfId="43777" xr:uid="{092E1F7F-3C2C-40BD-83DA-FC708826B0CA}"/>
    <cellStyle name="20% - Accent6 13 3 3 5" xfId="27898" xr:uid="{88C09DEC-3106-4E9A-BFA9-8E22383824CC}"/>
    <cellStyle name="20% - Accent6 13 3 4" xfId="5786" xr:uid="{00000000-0005-0000-0000-0000D4240000}"/>
    <cellStyle name="20% - Accent6 13 3 4 2" xfId="13769" xr:uid="{00000000-0005-0000-0000-0000D5240000}"/>
    <cellStyle name="20% - Accent6 13 3 4 2 2" xfId="37612" xr:uid="{D22664DB-4CC3-4689-B2E8-A8424C3478B8}"/>
    <cellStyle name="20% - Accent6 13 3 4 3" xfId="21717" xr:uid="{00000000-0005-0000-0000-0000D6240000}"/>
    <cellStyle name="20% - Accent6 13 3 4 3 2" xfId="45549" xr:uid="{A544FCDC-FB05-43B0-B8BA-74B024892E35}"/>
    <cellStyle name="20% - Accent6 13 3 4 4" xfId="29671" xr:uid="{8F0B6C4D-D894-4C2A-8BEB-ECAA4DACEE4D}"/>
    <cellStyle name="20% - Accent6 13 3 5" xfId="9338" xr:uid="{00000000-0005-0000-0000-0000D7240000}"/>
    <cellStyle name="20% - Accent6 13 3 5 2" xfId="17296" xr:uid="{00000000-0005-0000-0000-0000D8240000}"/>
    <cellStyle name="20% - Accent6 13 3 5 2 2" xfId="41136" xr:uid="{6891D507-62A9-4E9C-84C0-9AF209FA0B3A}"/>
    <cellStyle name="20% - Accent6 13 3 5 3" xfId="25240" xr:uid="{00000000-0005-0000-0000-0000D9240000}"/>
    <cellStyle name="20% - Accent6 13 3 5 3 2" xfId="49072" xr:uid="{EA0C00CC-EE71-40F8-89D0-392D3CF081FF}"/>
    <cellStyle name="20% - Accent6 13 3 5 4" xfId="33195" xr:uid="{C9A6FB0A-8016-4BE9-81F1-693928D231DA}"/>
    <cellStyle name="20% - Accent6 13 3 6" xfId="10234" xr:uid="{00000000-0005-0000-0000-0000DA240000}"/>
    <cellStyle name="20% - Accent6 13 3 6 2" xfId="34083" xr:uid="{D511B8AD-7B62-4061-A5ED-2DE69B9A1BAE}"/>
    <cellStyle name="20% - Accent6 13 3 7" xfId="18189" xr:uid="{00000000-0005-0000-0000-0000DB240000}"/>
    <cellStyle name="20% - Accent6 13 3 7 2" xfId="42021" xr:uid="{5E40985E-B3B5-4315-B0F6-C798DDF16205}"/>
    <cellStyle name="20% - Accent6 13 3 8" xfId="26141" xr:uid="{E31DF8FB-3234-49D6-8546-2AA3B5DE92B8}"/>
    <cellStyle name="20% - Accent6 13 3_Exh G" xfId="2583" xr:uid="{00000000-0005-0000-0000-0000DC240000}"/>
    <cellStyle name="20% - Accent6 13 4" xfId="1315" xr:uid="{00000000-0005-0000-0000-0000DD240000}"/>
    <cellStyle name="20% - Accent6 13 4 2" xfId="4842" xr:uid="{00000000-0005-0000-0000-0000DE240000}"/>
    <cellStyle name="20% - Accent6 13 4 2 2" xfId="8433" xr:uid="{00000000-0005-0000-0000-0000DF240000}"/>
    <cellStyle name="20% - Accent6 13 4 2 2 2" xfId="16403" xr:uid="{00000000-0005-0000-0000-0000E0240000}"/>
    <cellStyle name="20% - Accent6 13 4 2 2 2 2" xfId="40245" xr:uid="{A9C908EC-537D-431C-A480-D7BFEA9A1303}"/>
    <cellStyle name="20% - Accent6 13 4 2 2 3" xfId="24349" xr:uid="{00000000-0005-0000-0000-0000E1240000}"/>
    <cellStyle name="20% - Accent6 13 4 2 2 3 2" xfId="48181" xr:uid="{779BE740-A72D-4F43-B4B3-F8052E0A6E01}"/>
    <cellStyle name="20% - Accent6 13 4 2 2 4" xfId="32304" xr:uid="{0DCB3BBC-7027-46D0-ACEC-56C6687E8CF2}"/>
    <cellStyle name="20% - Accent6 13 4 2 3" xfId="12865" xr:uid="{00000000-0005-0000-0000-0000E2240000}"/>
    <cellStyle name="20% - Accent6 13 4 2 3 2" xfId="36714" xr:uid="{E2381AB3-4BBC-482B-AB8F-5EC2347D06AA}"/>
    <cellStyle name="20% - Accent6 13 4 2 4" xfId="20820" xr:uid="{00000000-0005-0000-0000-0000E3240000}"/>
    <cellStyle name="20% - Accent6 13 4 2 4 2" xfId="44652" xr:uid="{87D5E12A-FC6E-4AD8-AE35-F4376622D58C}"/>
    <cellStyle name="20% - Accent6 13 4 2 5" xfId="28773" xr:uid="{77C1A8AB-77F9-4EA3-83F4-4EEF6AF616B2}"/>
    <cellStyle name="20% - Accent6 13 4 3" xfId="6674" xr:uid="{00000000-0005-0000-0000-0000E4240000}"/>
    <cellStyle name="20% - Accent6 13 4 3 2" xfId="14645" xr:uid="{00000000-0005-0000-0000-0000E5240000}"/>
    <cellStyle name="20% - Accent6 13 4 3 2 2" xfId="38487" xr:uid="{740C1741-C57B-46C8-B57C-90BC69083298}"/>
    <cellStyle name="20% - Accent6 13 4 3 3" xfId="22592" xr:uid="{00000000-0005-0000-0000-0000E6240000}"/>
    <cellStyle name="20% - Accent6 13 4 3 3 2" xfId="46424" xr:uid="{9AEE7D37-A02F-467F-B400-10E3A08612D0}"/>
    <cellStyle name="20% - Accent6 13 4 3 4" xfId="30546" xr:uid="{4DF3C12A-7166-4FAE-9F6D-30FC7D3C9FDB}"/>
    <cellStyle name="20% - Accent6 13 4 4" xfId="11109" xr:uid="{00000000-0005-0000-0000-0000E7240000}"/>
    <cellStyle name="20% - Accent6 13 4 4 2" xfId="34958" xr:uid="{376A4E6F-A930-412A-AD1C-0550233F175B}"/>
    <cellStyle name="20% - Accent6 13 4 5" xfId="19064" xr:uid="{00000000-0005-0000-0000-0000E8240000}"/>
    <cellStyle name="20% - Accent6 13 4 5 2" xfId="42896" xr:uid="{A377A245-D1F7-41EA-BC99-103BD8031DA2}"/>
    <cellStyle name="20% - Accent6 13 4 6" xfId="27016" xr:uid="{37C999C9-603C-4772-A806-4CCD942B1477}"/>
    <cellStyle name="20% - Accent6 13 4_Exh G" xfId="2585" xr:uid="{00000000-0005-0000-0000-0000E9240000}"/>
    <cellStyle name="20% - Accent6 13 5" xfId="3963" xr:uid="{00000000-0005-0000-0000-0000EA240000}"/>
    <cellStyle name="20% - Accent6 13 5 2" xfId="7555" xr:uid="{00000000-0005-0000-0000-0000EB240000}"/>
    <cellStyle name="20% - Accent6 13 5 2 2" xfId="15525" xr:uid="{00000000-0005-0000-0000-0000EC240000}"/>
    <cellStyle name="20% - Accent6 13 5 2 2 2" xfId="39367" xr:uid="{B1BF67EC-AA74-4909-B8BB-C0A697CE2051}"/>
    <cellStyle name="20% - Accent6 13 5 2 3" xfId="23471" xr:uid="{00000000-0005-0000-0000-0000ED240000}"/>
    <cellStyle name="20% - Accent6 13 5 2 3 2" xfId="47303" xr:uid="{97E3D74F-EC3D-4187-A659-43C864F39125}"/>
    <cellStyle name="20% - Accent6 13 5 2 4" xfId="31426" xr:uid="{CA3371A1-3D77-4DA0-911E-20FBAC442D94}"/>
    <cellStyle name="20% - Accent6 13 5 3" xfId="11987" xr:uid="{00000000-0005-0000-0000-0000EE240000}"/>
    <cellStyle name="20% - Accent6 13 5 3 2" xfId="35836" xr:uid="{CC0CECFC-F2F0-42BF-A0BA-86011A1A17B9}"/>
    <cellStyle name="20% - Accent6 13 5 4" xfId="19942" xr:uid="{00000000-0005-0000-0000-0000EF240000}"/>
    <cellStyle name="20% - Accent6 13 5 4 2" xfId="43774" xr:uid="{D07CDB82-3FEB-4114-8EBB-92934B78AE98}"/>
    <cellStyle name="20% - Accent6 13 5 5" xfId="27895" xr:uid="{E50E9A39-76B3-44C9-9E6F-3B78978B66A3}"/>
    <cellStyle name="20% - Accent6 13 6" xfId="5783" xr:uid="{00000000-0005-0000-0000-0000F0240000}"/>
    <cellStyle name="20% - Accent6 13 6 2" xfId="13766" xr:uid="{00000000-0005-0000-0000-0000F1240000}"/>
    <cellStyle name="20% - Accent6 13 6 2 2" xfId="37609" xr:uid="{B5C60940-670C-4C4A-BFA2-47F803205C5A}"/>
    <cellStyle name="20% - Accent6 13 6 3" xfId="21714" xr:uid="{00000000-0005-0000-0000-0000F2240000}"/>
    <cellStyle name="20% - Accent6 13 6 3 2" xfId="45546" xr:uid="{E79ADB7D-F64F-4092-B66B-70CA2F53D354}"/>
    <cellStyle name="20% - Accent6 13 6 4" xfId="29668" xr:uid="{7F11F064-F632-4D8D-B01D-B0D8D29FA60A}"/>
    <cellStyle name="20% - Accent6 13 7" xfId="9335" xr:uid="{00000000-0005-0000-0000-0000F3240000}"/>
    <cellStyle name="20% - Accent6 13 7 2" xfId="17293" xr:uid="{00000000-0005-0000-0000-0000F4240000}"/>
    <cellStyle name="20% - Accent6 13 7 2 2" xfId="41133" xr:uid="{DD85A1ED-91C7-4AA9-A92E-8490D75714D0}"/>
    <cellStyle name="20% - Accent6 13 7 3" xfId="25237" xr:uid="{00000000-0005-0000-0000-0000F5240000}"/>
    <cellStyle name="20% - Accent6 13 7 3 2" xfId="49069" xr:uid="{145D206E-A455-4840-9C6B-B8493EA9DC04}"/>
    <cellStyle name="20% - Accent6 13 7 4" xfId="33192" xr:uid="{085A0004-4FF5-4786-8D86-92DD36D7CCAF}"/>
    <cellStyle name="20% - Accent6 13 8" xfId="10231" xr:uid="{00000000-0005-0000-0000-0000F6240000}"/>
    <cellStyle name="20% - Accent6 13 8 2" xfId="34080" xr:uid="{D63B029A-A644-48A1-92AF-85EED10F4DB3}"/>
    <cellStyle name="20% - Accent6 13 9" xfId="18186" xr:uid="{00000000-0005-0000-0000-0000F7240000}"/>
    <cellStyle name="20% - Accent6 13 9 2" xfId="42018" xr:uid="{C6F9DE20-EFF0-414D-A62A-5DBB3E7BFD82}"/>
    <cellStyle name="20% - Accent6 13_Exh G" xfId="2578" xr:uid="{00000000-0005-0000-0000-0000F8240000}"/>
    <cellStyle name="20% - Accent6 14" xfId="293" xr:uid="{00000000-0005-0000-0000-0000F9240000}"/>
    <cellStyle name="20% - Accent6 14 2" xfId="294" xr:uid="{00000000-0005-0000-0000-0000FA240000}"/>
    <cellStyle name="20% - Accent6 14 2 2" xfId="1320" xr:uid="{00000000-0005-0000-0000-0000FB240000}"/>
    <cellStyle name="20% - Accent6 14 2 2 2" xfId="4847" xr:uid="{00000000-0005-0000-0000-0000FC240000}"/>
    <cellStyle name="20% - Accent6 14 2 2 2 2" xfId="8438" xr:uid="{00000000-0005-0000-0000-0000FD240000}"/>
    <cellStyle name="20% - Accent6 14 2 2 2 2 2" xfId="16408" xr:uid="{00000000-0005-0000-0000-0000FE240000}"/>
    <cellStyle name="20% - Accent6 14 2 2 2 2 2 2" xfId="40250" xr:uid="{194B40E2-6A0C-4559-A3D4-AA012CCF81C7}"/>
    <cellStyle name="20% - Accent6 14 2 2 2 2 3" xfId="24354" xr:uid="{00000000-0005-0000-0000-0000FF240000}"/>
    <cellStyle name="20% - Accent6 14 2 2 2 2 3 2" xfId="48186" xr:uid="{AB2929B6-3A09-4C09-ACA7-75328B928141}"/>
    <cellStyle name="20% - Accent6 14 2 2 2 2 4" xfId="32309" xr:uid="{DF35F9A5-1785-4B45-99BD-B0540300C63D}"/>
    <cellStyle name="20% - Accent6 14 2 2 2 3" xfId="12870" xr:uid="{00000000-0005-0000-0000-000000250000}"/>
    <cellStyle name="20% - Accent6 14 2 2 2 3 2" xfId="36719" xr:uid="{B88EF2EE-7F1C-4B2C-892A-4E03A676A71A}"/>
    <cellStyle name="20% - Accent6 14 2 2 2 4" xfId="20825" xr:uid="{00000000-0005-0000-0000-000001250000}"/>
    <cellStyle name="20% - Accent6 14 2 2 2 4 2" xfId="44657" xr:uid="{5008FF11-B5E8-4076-B193-59DD57281529}"/>
    <cellStyle name="20% - Accent6 14 2 2 2 5" xfId="28778" xr:uid="{92348E42-C552-4E4C-AC71-09720BEE4A9A}"/>
    <cellStyle name="20% - Accent6 14 2 2 3" xfId="6679" xr:uid="{00000000-0005-0000-0000-000002250000}"/>
    <cellStyle name="20% - Accent6 14 2 2 3 2" xfId="14650" xr:uid="{00000000-0005-0000-0000-000003250000}"/>
    <cellStyle name="20% - Accent6 14 2 2 3 2 2" xfId="38492" xr:uid="{F72C9C16-FD74-45E3-AA89-6D7F99946157}"/>
    <cellStyle name="20% - Accent6 14 2 2 3 3" xfId="22597" xr:uid="{00000000-0005-0000-0000-000004250000}"/>
    <cellStyle name="20% - Accent6 14 2 2 3 3 2" xfId="46429" xr:uid="{4E0206A6-A824-4812-BE82-EBA31AD85833}"/>
    <cellStyle name="20% - Accent6 14 2 2 3 4" xfId="30551" xr:uid="{C8E24924-507C-4525-BAE4-EB2EE8ECC72B}"/>
    <cellStyle name="20% - Accent6 14 2 2 4" xfId="11114" xr:uid="{00000000-0005-0000-0000-000005250000}"/>
    <cellStyle name="20% - Accent6 14 2 2 4 2" xfId="34963" xr:uid="{9EAF2CD3-1FC5-4D17-9E34-64C4438B046D}"/>
    <cellStyle name="20% - Accent6 14 2 2 5" xfId="19069" xr:uid="{00000000-0005-0000-0000-000006250000}"/>
    <cellStyle name="20% - Accent6 14 2 2 5 2" xfId="42901" xr:uid="{3FF53811-E83C-4BA8-A925-FB6C9F27D07C}"/>
    <cellStyle name="20% - Accent6 14 2 2 6" xfId="27021" xr:uid="{5C498C93-8A7A-4139-8999-A9BC3199CE9E}"/>
    <cellStyle name="20% - Accent6 14 2 2_Exh G" xfId="2588" xr:uid="{00000000-0005-0000-0000-000007250000}"/>
    <cellStyle name="20% - Accent6 14 2 3" xfId="3968" xr:uid="{00000000-0005-0000-0000-000008250000}"/>
    <cellStyle name="20% - Accent6 14 2 3 2" xfId="7560" xr:uid="{00000000-0005-0000-0000-000009250000}"/>
    <cellStyle name="20% - Accent6 14 2 3 2 2" xfId="15530" xr:uid="{00000000-0005-0000-0000-00000A250000}"/>
    <cellStyle name="20% - Accent6 14 2 3 2 2 2" xfId="39372" xr:uid="{1D62EE2D-E434-4BAD-A6CA-C28125D9EDE1}"/>
    <cellStyle name="20% - Accent6 14 2 3 2 3" xfId="23476" xr:uid="{00000000-0005-0000-0000-00000B250000}"/>
    <cellStyle name="20% - Accent6 14 2 3 2 3 2" xfId="47308" xr:uid="{B3357663-98E9-4209-A213-5B810CAEA8DF}"/>
    <cellStyle name="20% - Accent6 14 2 3 2 4" xfId="31431" xr:uid="{8F82D966-F9F6-43AC-BAB8-9AB60C6D7BFC}"/>
    <cellStyle name="20% - Accent6 14 2 3 3" xfId="11992" xr:uid="{00000000-0005-0000-0000-00000C250000}"/>
    <cellStyle name="20% - Accent6 14 2 3 3 2" xfId="35841" xr:uid="{E2BF1FF9-4B6D-421C-B4A0-D180B225DC5D}"/>
    <cellStyle name="20% - Accent6 14 2 3 4" xfId="19947" xr:uid="{00000000-0005-0000-0000-00000D250000}"/>
    <cellStyle name="20% - Accent6 14 2 3 4 2" xfId="43779" xr:uid="{86DC419E-499D-4ED5-A612-698EB7F30348}"/>
    <cellStyle name="20% - Accent6 14 2 3 5" xfId="27900" xr:uid="{B8EDD8B8-40E0-4794-9B46-2B08F121BA38}"/>
    <cellStyle name="20% - Accent6 14 2 4" xfId="5788" xr:uid="{00000000-0005-0000-0000-00000E250000}"/>
    <cellStyle name="20% - Accent6 14 2 4 2" xfId="13771" xr:uid="{00000000-0005-0000-0000-00000F250000}"/>
    <cellStyle name="20% - Accent6 14 2 4 2 2" xfId="37614" xr:uid="{26CC31F9-B376-4291-9697-408CC58CCD5E}"/>
    <cellStyle name="20% - Accent6 14 2 4 3" xfId="21719" xr:uid="{00000000-0005-0000-0000-000010250000}"/>
    <cellStyle name="20% - Accent6 14 2 4 3 2" xfId="45551" xr:uid="{68A74D20-55C0-4072-BD38-BC711BEB22B6}"/>
    <cellStyle name="20% - Accent6 14 2 4 4" xfId="29673" xr:uid="{3F89E94A-E5AD-41A0-A47C-398AFA26A81C}"/>
    <cellStyle name="20% - Accent6 14 2 5" xfId="9340" xr:uid="{00000000-0005-0000-0000-000011250000}"/>
    <cellStyle name="20% - Accent6 14 2 5 2" xfId="17298" xr:uid="{00000000-0005-0000-0000-000012250000}"/>
    <cellStyle name="20% - Accent6 14 2 5 2 2" xfId="41138" xr:uid="{AFCECB88-D774-4AFD-8F20-D1A10C571618}"/>
    <cellStyle name="20% - Accent6 14 2 5 3" xfId="25242" xr:uid="{00000000-0005-0000-0000-000013250000}"/>
    <cellStyle name="20% - Accent6 14 2 5 3 2" xfId="49074" xr:uid="{C95497A4-057E-4D4C-9FD4-124CF7568903}"/>
    <cellStyle name="20% - Accent6 14 2 5 4" xfId="33197" xr:uid="{F0E11E04-8459-4452-B964-FB3809105DD7}"/>
    <cellStyle name="20% - Accent6 14 2 6" xfId="10236" xr:uid="{00000000-0005-0000-0000-000014250000}"/>
    <cellStyle name="20% - Accent6 14 2 6 2" xfId="34085" xr:uid="{9F0F60FA-6F40-4E3A-A75D-F7DAFEB74F2F}"/>
    <cellStyle name="20% - Accent6 14 2 7" xfId="18191" xr:uid="{00000000-0005-0000-0000-000015250000}"/>
    <cellStyle name="20% - Accent6 14 2 7 2" xfId="42023" xr:uid="{6B0490AE-0B5C-4DE4-B0C4-8471037E1D66}"/>
    <cellStyle name="20% - Accent6 14 2 8" xfId="26143" xr:uid="{CCAC9DAE-5FCC-477C-B1C0-E480308A32E1}"/>
    <cellStyle name="20% - Accent6 14 2_Exh G" xfId="2587" xr:uid="{00000000-0005-0000-0000-000016250000}"/>
    <cellStyle name="20% - Accent6 14 3" xfId="1319" xr:uid="{00000000-0005-0000-0000-000017250000}"/>
    <cellStyle name="20% - Accent6 14 3 2" xfId="4846" xr:uid="{00000000-0005-0000-0000-000018250000}"/>
    <cellStyle name="20% - Accent6 14 3 2 2" xfId="8437" xr:uid="{00000000-0005-0000-0000-000019250000}"/>
    <cellStyle name="20% - Accent6 14 3 2 2 2" xfId="16407" xr:uid="{00000000-0005-0000-0000-00001A250000}"/>
    <cellStyle name="20% - Accent6 14 3 2 2 2 2" xfId="40249" xr:uid="{271B1D71-DF11-4C52-9618-B8FB60D19B90}"/>
    <cellStyle name="20% - Accent6 14 3 2 2 3" xfId="24353" xr:uid="{00000000-0005-0000-0000-00001B250000}"/>
    <cellStyle name="20% - Accent6 14 3 2 2 3 2" xfId="48185" xr:uid="{77E235C2-7272-4AA1-A159-374C1BFC1AF5}"/>
    <cellStyle name="20% - Accent6 14 3 2 2 4" xfId="32308" xr:uid="{0D335358-E2E5-4722-B8CF-0FEFF4875E2F}"/>
    <cellStyle name="20% - Accent6 14 3 2 3" xfId="12869" xr:uid="{00000000-0005-0000-0000-00001C250000}"/>
    <cellStyle name="20% - Accent6 14 3 2 3 2" xfId="36718" xr:uid="{C1CDD420-DD30-441A-9950-620028514B3A}"/>
    <cellStyle name="20% - Accent6 14 3 2 4" xfId="20824" xr:uid="{00000000-0005-0000-0000-00001D250000}"/>
    <cellStyle name="20% - Accent6 14 3 2 4 2" xfId="44656" xr:uid="{C651FB71-DC18-4A2C-BC86-630AFD55F994}"/>
    <cellStyle name="20% - Accent6 14 3 2 5" xfId="28777" xr:uid="{B710C2FE-ACE5-478C-8A32-27FE7809D76F}"/>
    <cellStyle name="20% - Accent6 14 3 3" xfId="6678" xr:uid="{00000000-0005-0000-0000-00001E250000}"/>
    <cellStyle name="20% - Accent6 14 3 3 2" xfId="14649" xr:uid="{00000000-0005-0000-0000-00001F250000}"/>
    <cellStyle name="20% - Accent6 14 3 3 2 2" xfId="38491" xr:uid="{83A2666A-32F4-4E3E-AACA-BA59572E9BC6}"/>
    <cellStyle name="20% - Accent6 14 3 3 3" xfId="22596" xr:uid="{00000000-0005-0000-0000-000020250000}"/>
    <cellStyle name="20% - Accent6 14 3 3 3 2" xfId="46428" xr:uid="{34EA9C2E-F90A-4D2C-8436-6DAEE3E2111E}"/>
    <cellStyle name="20% - Accent6 14 3 3 4" xfId="30550" xr:uid="{6734DA53-C048-43C4-A197-DFF93A17ACFC}"/>
    <cellStyle name="20% - Accent6 14 3 4" xfId="11113" xr:uid="{00000000-0005-0000-0000-000021250000}"/>
    <cellStyle name="20% - Accent6 14 3 4 2" xfId="34962" xr:uid="{E7000BF3-4507-42C3-BF19-CEB893505E54}"/>
    <cellStyle name="20% - Accent6 14 3 5" xfId="19068" xr:uid="{00000000-0005-0000-0000-000022250000}"/>
    <cellStyle name="20% - Accent6 14 3 5 2" xfId="42900" xr:uid="{427675FA-05EA-4568-9D15-239B472F5440}"/>
    <cellStyle name="20% - Accent6 14 3 6" xfId="27020" xr:uid="{C770EAE8-3EC3-42C3-839F-F0C9918EC65E}"/>
    <cellStyle name="20% - Accent6 14 3_Exh G" xfId="2589" xr:uid="{00000000-0005-0000-0000-000023250000}"/>
    <cellStyle name="20% - Accent6 14 4" xfId="3967" xr:uid="{00000000-0005-0000-0000-000024250000}"/>
    <cellStyle name="20% - Accent6 14 4 2" xfId="7559" xr:uid="{00000000-0005-0000-0000-000025250000}"/>
    <cellStyle name="20% - Accent6 14 4 2 2" xfId="15529" xr:uid="{00000000-0005-0000-0000-000026250000}"/>
    <cellStyle name="20% - Accent6 14 4 2 2 2" xfId="39371" xr:uid="{EB78722F-24E2-4DC8-BDDD-E578D1E71BFB}"/>
    <cellStyle name="20% - Accent6 14 4 2 3" xfId="23475" xr:uid="{00000000-0005-0000-0000-000027250000}"/>
    <cellStyle name="20% - Accent6 14 4 2 3 2" xfId="47307" xr:uid="{5A079713-C4EB-472A-8DDC-9237F88AC0D7}"/>
    <cellStyle name="20% - Accent6 14 4 2 4" xfId="31430" xr:uid="{FED90BD2-F814-4FE4-8CC0-53179CF29956}"/>
    <cellStyle name="20% - Accent6 14 4 3" xfId="11991" xr:uid="{00000000-0005-0000-0000-000028250000}"/>
    <cellStyle name="20% - Accent6 14 4 3 2" xfId="35840" xr:uid="{E26F070C-CC75-427E-B47A-A9FE1F325C9A}"/>
    <cellStyle name="20% - Accent6 14 4 4" xfId="19946" xr:uid="{00000000-0005-0000-0000-000029250000}"/>
    <cellStyle name="20% - Accent6 14 4 4 2" xfId="43778" xr:uid="{716B8A48-768B-4447-8D41-13B15C3834BA}"/>
    <cellStyle name="20% - Accent6 14 4 5" xfId="27899" xr:uid="{6516C924-894F-4616-B913-149ABDA60297}"/>
    <cellStyle name="20% - Accent6 14 5" xfId="5787" xr:uid="{00000000-0005-0000-0000-00002A250000}"/>
    <cellStyle name="20% - Accent6 14 5 2" xfId="13770" xr:uid="{00000000-0005-0000-0000-00002B250000}"/>
    <cellStyle name="20% - Accent6 14 5 2 2" xfId="37613" xr:uid="{85A03C4A-34D8-4D8F-8F97-64EF190B308F}"/>
    <cellStyle name="20% - Accent6 14 5 3" xfId="21718" xr:uid="{00000000-0005-0000-0000-00002C250000}"/>
    <cellStyle name="20% - Accent6 14 5 3 2" xfId="45550" xr:uid="{4057E7F4-5844-429A-8185-260B845ADB7F}"/>
    <cellStyle name="20% - Accent6 14 5 4" xfId="29672" xr:uid="{9EDF1F3C-BAE5-43F1-932A-34EE1EE0ACE9}"/>
    <cellStyle name="20% - Accent6 14 6" xfId="9339" xr:uid="{00000000-0005-0000-0000-00002D250000}"/>
    <cellStyle name="20% - Accent6 14 6 2" xfId="17297" xr:uid="{00000000-0005-0000-0000-00002E250000}"/>
    <cellStyle name="20% - Accent6 14 6 2 2" xfId="41137" xr:uid="{E2FF4FAE-CD2E-4222-AA0F-14F4603F169C}"/>
    <cellStyle name="20% - Accent6 14 6 3" xfId="25241" xr:uid="{00000000-0005-0000-0000-00002F250000}"/>
    <cellStyle name="20% - Accent6 14 6 3 2" xfId="49073" xr:uid="{1A09607B-C3A0-4BAC-9F8B-712F5D7C618C}"/>
    <cellStyle name="20% - Accent6 14 6 4" xfId="33196" xr:uid="{7F5A6AC2-EB5A-4A09-B5D5-56134F36BF55}"/>
    <cellStyle name="20% - Accent6 14 7" xfId="10235" xr:uid="{00000000-0005-0000-0000-000030250000}"/>
    <cellStyle name="20% - Accent6 14 7 2" xfId="34084" xr:uid="{5626FB08-9B17-476A-B616-CF0735692538}"/>
    <cellStyle name="20% - Accent6 14 8" xfId="18190" xr:uid="{00000000-0005-0000-0000-000031250000}"/>
    <cellStyle name="20% - Accent6 14 8 2" xfId="42022" xr:uid="{AC840B37-5B58-4F53-92D2-CD2D0045B019}"/>
    <cellStyle name="20% - Accent6 14 9" xfId="26142" xr:uid="{A80046E1-632E-4032-BDC1-F73DE9A1B7A9}"/>
    <cellStyle name="20% - Accent6 14_Exh G" xfId="2586" xr:uid="{00000000-0005-0000-0000-000032250000}"/>
    <cellStyle name="20% - Accent6 15" xfId="295" xr:uid="{00000000-0005-0000-0000-000033250000}"/>
    <cellStyle name="20% - Accent6 15 2" xfId="1321" xr:uid="{00000000-0005-0000-0000-000034250000}"/>
    <cellStyle name="20% - Accent6 15 2 2" xfId="4848" xr:uid="{00000000-0005-0000-0000-000035250000}"/>
    <cellStyle name="20% - Accent6 15 2 2 2" xfId="8439" xr:uid="{00000000-0005-0000-0000-000036250000}"/>
    <cellStyle name="20% - Accent6 15 2 2 2 2" xfId="16409" xr:uid="{00000000-0005-0000-0000-000037250000}"/>
    <cellStyle name="20% - Accent6 15 2 2 2 2 2" xfId="40251" xr:uid="{CB76C078-1182-4D51-AD6A-BB5DB1F864BB}"/>
    <cellStyle name="20% - Accent6 15 2 2 2 3" xfId="24355" xr:uid="{00000000-0005-0000-0000-000038250000}"/>
    <cellStyle name="20% - Accent6 15 2 2 2 3 2" xfId="48187" xr:uid="{367049EB-A0A5-42B9-B8D5-F319304F2CC7}"/>
    <cellStyle name="20% - Accent6 15 2 2 2 4" xfId="32310" xr:uid="{5A4489DE-0882-44A6-ACF8-3E21509303D5}"/>
    <cellStyle name="20% - Accent6 15 2 2 3" xfId="12871" xr:uid="{00000000-0005-0000-0000-000039250000}"/>
    <cellStyle name="20% - Accent6 15 2 2 3 2" xfId="36720" xr:uid="{040F0848-2670-46BE-B871-F38C9EAAD0BC}"/>
    <cellStyle name="20% - Accent6 15 2 2 4" xfId="20826" xr:uid="{00000000-0005-0000-0000-00003A250000}"/>
    <cellStyle name="20% - Accent6 15 2 2 4 2" xfId="44658" xr:uid="{3BC1E23E-F682-470D-B4DF-C9D0BE3FF929}"/>
    <cellStyle name="20% - Accent6 15 2 2 5" xfId="28779" xr:uid="{D2496B34-9143-4331-A866-366C7A038B3A}"/>
    <cellStyle name="20% - Accent6 15 2 3" xfId="6680" xr:uid="{00000000-0005-0000-0000-00003B250000}"/>
    <cellStyle name="20% - Accent6 15 2 3 2" xfId="14651" xr:uid="{00000000-0005-0000-0000-00003C250000}"/>
    <cellStyle name="20% - Accent6 15 2 3 2 2" xfId="38493" xr:uid="{E25CAABC-A315-4298-96AF-B6D9DFBA06CF}"/>
    <cellStyle name="20% - Accent6 15 2 3 3" xfId="22598" xr:uid="{00000000-0005-0000-0000-00003D250000}"/>
    <cellStyle name="20% - Accent6 15 2 3 3 2" xfId="46430" xr:uid="{41122982-A367-4ADB-BDC2-FF64101726B3}"/>
    <cellStyle name="20% - Accent6 15 2 3 4" xfId="30552" xr:uid="{D44DE637-D158-446C-9725-657ADDC819E4}"/>
    <cellStyle name="20% - Accent6 15 2 4" xfId="11115" xr:uid="{00000000-0005-0000-0000-00003E250000}"/>
    <cellStyle name="20% - Accent6 15 2 4 2" xfId="34964" xr:uid="{6A074EC6-16E8-4D67-A97E-DA67D6B76FB3}"/>
    <cellStyle name="20% - Accent6 15 2 5" xfId="19070" xr:uid="{00000000-0005-0000-0000-00003F250000}"/>
    <cellStyle name="20% - Accent6 15 2 5 2" xfId="42902" xr:uid="{FAD793EF-5A22-45B0-BC1E-3C19BC1B3C7A}"/>
    <cellStyle name="20% - Accent6 15 2 6" xfId="27022" xr:uid="{3A238590-277D-4E5E-B8B7-91736B2AEC8F}"/>
    <cellStyle name="20% - Accent6 15 2_Exh G" xfId="2591" xr:uid="{00000000-0005-0000-0000-000040250000}"/>
    <cellStyle name="20% - Accent6 15 3" xfId="3969" xr:uid="{00000000-0005-0000-0000-000041250000}"/>
    <cellStyle name="20% - Accent6 15 3 2" xfId="7561" xr:uid="{00000000-0005-0000-0000-000042250000}"/>
    <cellStyle name="20% - Accent6 15 3 2 2" xfId="15531" xr:uid="{00000000-0005-0000-0000-000043250000}"/>
    <cellStyle name="20% - Accent6 15 3 2 2 2" xfId="39373" xr:uid="{CF91D11C-C524-4198-A93B-7F4880F0B0FF}"/>
    <cellStyle name="20% - Accent6 15 3 2 3" xfId="23477" xr:uid="{00000000-0005-0000-0000-000044250000}"/>
    <cellStyle name="20% - Accent6 15 3 2 3 2" xfId="47309" xr:uid="{6A8ECF23-DA77-44AC-B3FA-6FA63550C2A5}"/>
    <cellStyle name="20% - Accent6 15 3 2 4" xfId="31432" xr:uid="{92743003-002E-4C0C-9D4E-5CE6370A28ED}"/>
    <cellStyle name="20% - Accent6 15 3 3" xfId="11993" xr:uid="{00000000-0005-0000-0000-000045250000}"/>
    <cellStyle name="20% - Accent6 15 3 3 2" xfId="35842" xr:uid="{EFD0246A-FA60-4315-A125-27EBE7AA040B}"/>
    <cellStyle name="20% - Accent6 15 3 4" xfId="19948" xr:uid="{00000000-0005-0000-0000-000046250000}"/>
    <cellStyle name="20% - Accent6 15 3 4 2" xfId="43780" xr:uid="{624A182D-5C57-4E8B-8185-8B21E2E799BF}"/>
    <cellStyle name="20% - Accent6 15 3 5" xfId="27901" xr:uid="{77DD2913-3ED3-44D4-8B3E-62643178BA3B}"/>
    <cellStyle name="20% - Accent6 15 4" xfId="5789" xr:uid="{00000000-0005-0000-0000-000047250000}"/>
    <cellStyle name="20% - Accent6 15 4 2" xfId="13772" xr:uid="{00000000-0005-0000-0000-000048250000}"/>
    <cellStyle name="20% - Accent6 15 4 2 2" xfId="37615" xr:uid="{3E2B1109-7C48-4C63-9776-009311FF524C}"/>
    <cellStyle name="20% - Accent6 15 4 3" xfId="21720" xr:uid="{00000000-0005-0000-0000-000049250000}"/>
    <cellStyle name="20% - Accent6 15 4 3 2" xfId="45552" xr:uid="{8C1A5A8E-1057-419E-9386-9DB27DF789F9}"/>
    <cellStyle name="20% - Accent6 15 4 4" xfId="29674" xr:uid="{855F7879-BE49-486D-93A0-C0A0AE34D054}"/>
    <cellStyle name="20% - Accent6 15 5" xfId="9341" xr:uid="{00000000-0005-0000-0000-00004A250000}"/>
    <cellStyle name="20% - Accent6 15 5 2" xfId="17299" xr:uid="{00000000-0005-0000-0000-00004B250000}"/>
    <cellStyle name="20% - Accent6 15 5 2 2" xfId="41139" xr:uid="{EBD121B1-7C84-49F7-BEC7-6FBDC8333F6F}"/>
    <cellStyle name="20% - Accent6 15 5 3" xfId="25243" xr:uid="{00000000-0005-0000-0000-00004C250000}"/>
    <cellStyle name="20% - Accent6 15 5 3 2" xfId="49075" xr:uid="{E295B145-2AEB-4AF1-AF72-D756978F6147}"/>
    <cellStyle name="20% - Accent6 15 5 4" xfId="33198" xr:uid="{9181A842-CD12-44F8-9743-4BC55C7D7521}"/>
    <cellStyle name="20% - Accent6 15 6" xfId="10237" xr:uid="{00000000-0005-0000-0000-00004D250000}"/>
    <cellStyle name="20% - Accent6 15 6 2" xfId="34086" xr:uid="{23346AC6-FBA4-4DB8-B934-84268A3143AE}"/>
    <cellStyle name="20% - Accent6 15 7" xfId="18192" xr:uid="{00000000-0005-0000-0000-00004E250000}"/>
    <cellStyle name="20% - Accent6 15 7 2" xfId="42024" xr:uid="{BB1D1037-1227-45CB-A2AD-B5B55F3541D2}"/>
    <cellStyle name="20% - Accent6 15 8" xfId="26144" xr:uid="{7056481A-2988-4896-974C-CCD80ED76A88}"/>
    <cellStyle name="20% - Accent6 15_Exh G" xfId="2590" xr:uid="{00000000-0005-0000-0000-00004F250000}"/>
    <cellStyle name="20% - Accent6 16" xfId="845" xr:uid="{00000000-0005-0000-0000-000050250000}"/>
    <cellStyle name="20% - Accent6 16 2" xfId="1780" xr:uid="{00000000-0005-0000-0000-000051250000}"/>
    <cellStyle name="20% - Accent6 16 2 2" xfId="5300" xr:uid="{00000000-0005-0000-0000-000052250000}"/>
    <cellStyle name="20% - Accent6 16 2 2 2" xfId="8891" xr:uid="{00000000-0005-0000-0000-000053250000}"/>
    <cellStyle name="20% - Accent6 16 2 2 2 2" xfId="16861" xr:uid="{00000000-0005-0000-0000-000054250000}"/>
    <cellStyle name="20% - Accent6 16 2 2 2 2 2" xfId="40703" xr:uid="{2FCCF3B0-1C7E-40F4-BF68-D22B2EF2A705}"/>
    <cellStyle name="20% - Accent6 16 2 2 2 3" xfId="24807" xr:uid="{00000000-0005-0000-0000-000055250000}"/>
    <cellStyle name="20% - Accent6 16 2 2 2 3 2" xfId="48639" xr:uid="{61700AEB-6FE6-4D4A-90DF-5F142E3BC2B5}"/>
    <cellStyle name="20% - Accent6 16 2 2 2 4" xfId="32762" xr:uid="{7B4A4A19-B41C-4184-AAF4-E03847086130}"/>
    <cellStyle name="20% - Accent6 16 2 2 3" xfId="13323" xr:uid="{00000000-0005-0000-0000-000056250000}"/>
    <cellStyle name="20% - Accent6 16 2 2 3 2" xfId="37172" xr:uid="{A485F431-9470-48BA-B652-33193DC917DA}"/>
    <cellStyle name="20% - Accent6 16 2 2 4" xfId="21278" xr:uid="{00000000-0005-0000-0000-000057250000}"/>
    <cellStyle name="20% - Accent6 16 2 2 4 2" xfId="45110" xr:uid="{2F1FE499-BD7E-450D-98C8-E01181799845}"/>
    <cellStyle name="20% - Accent6 16 2 2 5" xfId="29231" xr:uid="{93DD8DED-F5D4-4474-8102-D47F7355A168}"/>
    <cellStyle name="20% - Accent6 16 2 3" xfId="7132" xr:uid="{00000000-0005-0000-0000-000058250000}"/>
    <cellStyle name="20% - Accent6 16 2 3 2" xfId="15103" xr:uid="{00000000-0005-0000-0000-000059250000}"/>
    <cellStyle name="20% - Accent6 16 2 3 2 2" xfId="38945" xr:uid="{A03B0843-E633-4128-BA11-16DA031AA8DB}"/>
    <cellStyle name="20% - Accent6 16 2 3 3" xfId="23050" xr:uid="{00000000-0005-0000-0000-00005A250000}"/>
    <cellStyle name="20% - Accent6 16 2 3 3 2" xfId="46882" xr:uid="{1216AC68-F4C2-4A9F-AB13-AA315278E159}"/>
    <cellStyle name="20% - Accent6 16 2 3 4" xfId="31004" xr:uid="{5B3E32D1-ED72-4E76-9851-8D4740249DC1}"/>
    <cellStyle name="20% - Accent6 16 2 4" xfId="11567" xr:uid="{00000000-0005-0000-0000-00005B250000}"/>
    <cellStyle name="20% - Accent6 16 2 4 2" xfId="35416" xr:uid="{CE517619-BC7D-44FC-906C-550370A8AC9F}"/>
    <cellStyle name="20% - Accent6 16 2 5" xfId="19522" xr:uid="{00000000-0005-0000-0000-00005C250000}"/>
    <cellStyle name="20% - Accent6 16 2 5 2" xfId="43354" xr:uid="{578E7856-8488-4CCB-AE09-096428E156E1}"/>
    <cellStyle name="20% - Accent6 16 2 6" xfId="27474" xr:uid="{D5170B9B-13FA-44C4-9E69-C042EDE835B4}"/>
    <cellStyle name="20% - Accent6 16 2_Exh G" xfId="2593" xr:uid="{00000000-0005-0000-0000-00005D250000}"/>
    <cellStyle name="20% - Accent6 16 3" xfId="4421" xr:uid="{00000000-0005-0000-0000-00005E250000}"/>
    <cellStyle name="20% - Accent6 16 3 2" xfId="8013" xr:uid="{00000000-0005-0000-0000-00005F250000}"/>
    <cellStyle name="20% - Accent6 16 3 2 2" xfId="15983" xr:uid="{00000000-0005-0000-0000-000060250000}"/>
    <cellStyle name="20% - Accent6 16 3 2 2 2" xfId="39825" xr:uid="{F94D1207-F4B9-4843-8EB6-1A98D3291665}"/>
    <cellStyle name="20% - Accent6 16 3 2 3" xfId="23929" xr:uid="{00000000-0005-0000-0000-000061250000}"/>
    <cellStyle name="20% - Accent6 16 3 2 3 2" xfId="47761" xr:uid="{5C7B7EE7-C888-4440-93CE-4B05A7C74978}"/>
    <cellStyle name="20% - Accent6 16 3 2 4" xfId="31884" xr:uid="{FF22A7AD-F06D-40DD-A34F-9B3747427116}"/>
    <cellStyle name="20% - Accent6 16 3 3" xfId="12445" xr:uid="{00000000-0005-0000-0000-000062250000}"/>
    <cellStyle name="20% - Accent6 16 3 3 2" xfId="36294" xr:uid="{E6873556-BF3B-4FE8-84B6-9FD353C32F83}"/>
    <cellStyle name="20% - Accent6 16 3 4" xfId="20400" xr:uid="{00000000-0005-0000-0000-000063250000}"/>
    <cellStyle name="20% - Accent6 16 3 4 2" xfId="44232" xr:uid="{E53EF90B-81B1-4DA7-A69B-2E76A8C03BC2}"/>
    <cellStyle name="20% - Accent6 16 3 5" xfId="28353" xr:uid="{6613E05A-BA13-498D-94A9-25D52355BCFD}"/>
    <cellStyle name="20% - Accent6 16 4" xfId="6251" xr:uid="{00000000-0005-0000-0000-000064250000}"/>
    <cellStyle name="20% - Accent6 16 4 2" xfId="14225" xr:uid="{00000000-0005-0000-0000-000065250000}"/>
    <cellStyle name="20% - Accent6 16 4 2 2" xfId="38067" xr:uid="{9BA91D8B-A177-42B4-BB76-BA7C7A1922E0}"/>
    <cellStyle name="20% - Accent6 16 4 3" xfId="22172" xr:uid="{00000000-0005-0000-0000-000066250000}"/>
    <cellStyle name="20% - Accent6 16 4 3 2" xfId="46004" xr:uid="{C98EFAA8-69DF-4D81-A1C7-8C540778DD21}"/>
    <cellStyle name="20% - Accent6 16 4 4" xfId="30126" xr:uid="{EA6990EF-88E1-45FD-BF63-E2CF74EF784C}"/>
    <cellStyle name="20% - Accent6 16 5" xfId="9793" xr:uid="{00000000-0005-0000-0000-000067250000}"/>
    <cellStyle name="20% - Accent6 16 5 2" xfId="17751" xr:uid="{00000000-0005-0000-0000-000068250000}"/>
    <cellStyle name="20% - Accent6 16 5 2 2" xfId="41591" xr:uid="{1CFC6FE6-CCB1-445A-B18D-3F999462418E}"/>
    <cellStyle name="20% - Accent6 16 5 3" xfId="25695" xr:uid="{00000000-0005-0000-0000-000069250000}"/>
    <cellStyle name="20% - Accent6 16 5 3 2" xfId="49527" xr:uid="{8BABC6EE-B706-48AC-BE3B-DCD84837E0F0}"/>
    <cellStyle name="20% - Accent6 16 5 4" xfId="33650" xr:uid="{3BC4378F-1576-42B1-8157-43040B811240}"/>
    <cellStyle name="20% - Accent6 16 6" xfId="10689" xr:uid="{00000000-0005-0000-0000-00006A250000}"/>
    <cellStyle name="20% - Accent6 16 6 2" xfId="34538" xr:uid="{E832D1CE-AE07-4299-9FA0-8EA110B8C242}"/>
    <cellStyle name="20% - Accent6 16 7" xfId="18644" xr:uid="{00000000-0005-0000-0000-00006B250000}"/>
    <cellStyle name="20% - Accent6 16 7 2" xfId="42476" xr:uid="{77B855E3-4C01-4A07-9843-279BE4ED6128}"/>
    <cellStyle name="20% - Accent6 16 8" xfId="26596" xr:uid="{C58FD1C0-66C1-4270-BB78-3CA41F9E79D4}"/>
    <cellStyle name="20% - Accent6 16_Exh G" xfId="2592" xr:uid="{00000000-0005-0000-0000-00006C250000}"/>
    <cellStyle name="20% - Accent6 17" xfId="49793" xr:uid="{85126466-3381-4F1E-AC4E-42C398EDD258}"/>
    <cellStyle name="20% - Accent6 18" xfId="49833" xr:uid="{7FCBD935-0F24-4688-A961-802B36523797}"/>
    <cellStyle name="20% - Accent6 2" xfId="296" xr:uid="{00000000-0005-0000-0000-00006D250000}"/>
    <cellStyle name="20% - Accent6 2 10" xfId="18193" xr:uid="{00000000-0005-0000-0000-00006E250000}"/>
    <cellStyle name="20% - Accent6 2 10 2" xfId="42025" xr:uid="{88AB7210-3CBE-439F-8CFE-6DAE83F69357}"/>
    <cellStyle name="20% - Accent6 2 11" xfId="26145" xr:uid="{FD7DB16B-D1DC-456A-BCDC-E56B2AD202D5}"/>
    <cellStyle name="20% - Accent6 2 12" xfId="49778" xr:uid="{4BD6B06A-5F58-4177-B94C-C69E7A627DC8}"/>
    <cellStyle name="20% - Accent6 2 13" xfId="49806" xr:uid="{9D491E89-21BC-4054-A9C0-6D1A5616E8EE}"/>
    <cellStyle name="20% - Accent6 2 14" xfId="49847" xr:uid="{419E4A75-AE58-4ED3-AE8A-164A07E96F45}"/>
    <cellStyle name="20% - Accent6 2 2" xfId="297" xr:uid="{00000000-0005-0000-0000-00006F250000}"/>
    <cellStyle name="20% - Accent6 2 2 10" xfId="26146" xr:uid="{712B2D0B-5CDF-40B5-A9A8-236DB7E23AD2}"/>
    <cellStyle name="20% - Accent6 2 2 2" xfId="298" xr:uid="{00000000-0005-0000-0000-000070250000}"/>
    <cellStyle name="20% - Accent6 2 2 2 2" xfId="1324" xr:uid="{00000000-0005-0000-0000-000071250000}"/>
    <cellStyle name="20% - Accent6 2 2 2 2 2" xfId="4851" xr:uid="{00000000-0005-0000-0000-000072250000}"/>
    <cellStyle name="20% - Accent6 2 2 2 2 2 2" xfId="8442" xr:uid="{00000000-0005-0000-0000-000073250000}"/>
    <cellStyle name="20% - Accent6 2 2 2 2 2 2 2" xfId="16412" xr:uid="{00000000-0005-0000-0000-000074250000}"/>
    <cellStyle name="20% - Accent6 2 2 2 2 2 2 2 2" xfId="40254" xr:uid="{D3A032AC-BBAA-4A65-A64B-31AB947AE311}"/>
    <cellStyle name="20% - Accent6 2 2 2 2 2 2 3" xfId="24358" xr:uid="{00000000-0005-0000-0000-000075250000}"/>
    <cellStyle name="20% - Accent6 2 2 2 2 2 2 3 2" xfId="48190" xr:uid="{AF03C7F7-F1EB-4B23-8A42-2409335E3367}"/>
    <cellStyle name="20% - Accent6 2 2 2 2 2 2 4" xfId="32313" xr:uid="{EA1064BF-E43B-401C-9F26-40D1763156BE}"/>
    <cellStyle name="20% - Accent6 2 2 2 2 2 3" xfId="12874" xr:uid="{00000000-0005-0000-0000-000076250000}"/>
    <cellStyle name="20% - Accent6 2 2 2 2 2 3 2" xfId="36723" xr:uid="{1D476D1A-9718-41FC-847C-D53034016968}"/>
    <cellStyle name="20% - Accent6 2 2 2 2 2 4" xfId="20829" xr:uid="{00000000-0005-0000-0000-000077250000}"/>
    <cellStyle name="20% - Accent6 2 2 2 2 2 4 2" xfId="44661" xr:uid="{59EEEA86-65C4-472C-9C1F-17140F3406F8}"/>
    <cellStyle name="20% - Accent6 2 2 2 2 2 5" xfId="28782" xr:uid="{C806AB0A-CED9-4DA0-8B58-21BA0BBC1354}"/>
    <cellStyle name="20% - Accent6 2 2 2 2 3" xfId="6683" xr:uid="{00000000-0005-0000-0000-000078250000}"/>
    <cellStyle name="20% - Accent6 2 2 2 2 3 2" xfId="14654" xr:uid="{00000000-0005-0000-0000-000079250000}"/>
    <cellStyle name="20% - Accent6 2 2 2 2 3 2 2" xfId="38496" xr:uid="{07CFD78A-DE24-4106-BA66-996D2505E846}"/>
    <cellStyle name="20% - Accent6 2 2 2 2 3 3" xfId="22601" xr:uid="{00000000-0005-0000-0000-00007A250000}"/>
    <cellStyle name="20% - Accent6 2 2 2 2 3 3 2" xfId="46433" xr:uid="{846A08C5-CF69-4F24-B7BD-7B8AA5E60051}"/>
    <cellStyle name="20% - Accent6 2 2 2 2 3 4" xfId="30555" xr:uid="{349BE905-8C98-4C64-86D6-B770CCC1A52B}"/>
    <cellStyle name="20% - Accent6 2 2 2 2 4" xfId="11118" xr:uid="{00000000-0005-0000-0000-00007B250000}"/>
    <cellStyle name="20% - Accent6 2 2 2 2 4 2" xfId="34967" xr:uid="{4FED45A6-9DA6-4F60-8D6E-1C09C41FAB31}"/>
    <cellStyle name="20% - Accent6 2 2 2 2 5" xfId="19073" xr:uid="{00000000-0005-0000-0000-00007C250000}"/>
    <cellStyle name="20% - Accent6 2 2 2 2 5 2" xfId="42905" xr:uid="{25D8421A-73AE-457C-8BFD-945D4541E2B7}"/>
    <cellStyle name="20% - Accent6 2 2 2 2 6" xfId="27025" xr:uid="{F3C2EE04-48CC-491D-B219-D163AE396E26}"/>
    <cellStyle name="20% - Accent6 2 2 2 2_Exh G" xfId="2597" xr:uid="{00000000-0005-0000-0000-00007D250000}"/>
    <cellStyle name="20% - Accent6 2 2 2 3" xfId="3972" xr:uid="{00000000-0005-0000-0000-00007E250000}"/>
    <cellStyle name="20% - Accent6 2 2 2 3 2" xfId="7564" xr:uid="{00000000-0005-0000-0000-00007F250000}"/>
    <cellStyle name="20% - Accent6 2 2 2 3 2 2" xfId="15534" xr:uid="{00000000-0005-0000-0000-000080250000}"/>
    <cellStyle name="20% - Accent6 2 2 2 3 2 2 2" xfId="39376" xr:uid="{D77BAD58-3712-44DA-B43D-749EAAA22C4E}"/>
    <cellStyle name="20% - Accent6 2 2 2 3 2 3" xfId="23480" xr:uid="{00000000-0005-0000-0000-000081250000}"/>
    <cellStyle name="20% - Accent6 2 2 2 3 2 3 2" xfId="47312" xr:uid="{008E99A4-3BB2-4925-BB8C-13D0735D45D6}"/>
    <cellStyle name="20% - Accent6 2 2 2 3 2 4" xfId="31435" xr:uid="{3120E569-5DA0-41FF-9D6B-39D02AEBE407}"/>
    <cellStyle name="20% - Accent6 2 2 2 3 3" xfId="11996" xr:uid="{00000000-0005-0000-0000-000082250000}"/>
    <cellStyle name="20% - Accent6 2 2 2 3 3 2" xfId="35845" xr:uid="{AB404675-8C06-49FD-8A59-8698E4871841}"/>
    <cellStyle name="20% - Accent6 2 2 2 3 4" xfId="19951" xr:uid="{00000000-0005-0000-0000-000083250000}"/>
    <cellStyle name="20% - Accent6 2 2 2 3 4 2" xfId="43783" xr:uid="{E54A9B9B-0576-4630-A271-0CD44BEFC3A1}"/>
    <cellStyle name="20% - Accent6 2 2 2 3 5" xfId="27904" xr:uid="{1DA03FF6-6883-4CA9-B6FF-1AC7E4AC2D19}"/>
    <cellStyle name="20% - Accent6 2 2 2 4" xfId="5792" xr:uid="{00000000-0005-0000-0000-000084250000}"/>
    <cellStyle name="20% - Accent6 2 2 2 4 2" xfId="13775" xr:uid="{00000000-0005-0000-0000-000085250000}"/>
    <cellStyle name="20% - Accent6 2 2 2 4 2 2" xfId="37618" xr:uid="{89F6FD3B-3743-4D95-B2CD-690304C7B01A}"/>
    <cellStyle name="20% - Accent6 2 2 2 4 3" xfId="21723" xr:uid="{00000000-0005-0000-0000-000086250000}"/>
    <cellStyle name="20% - Accent6 2 2 2 4 3 2" xfId="45555" xr:uid="{1F41D225-C477-4EBA-839A-5F995CAA7EAD}"/>
    <cellStyle name="20% - Accent6 2 2 2 4 4" xfId="29677" xr:uid="{1552727D-0338-4581-9C22-50066639068E}"/>
    <cellStyle name="20% - Accent6 2 2 2 5" xfId="9344" xr:uid="{00000000-0005-0000-0000-000087250000}"/>
    <cellStyle name="20% - Accent6 2 2 2 5 2" xfId="17302" xr:uid="{00000000-0005-0000-0000-000088250000}"/>
    <cellStyle name="20% - Accent6 2 2 2 5 2 2" xfId="41142" xr:uid="{5146EF8E-4770-4483-BC1E-59329484E38B}"/>
    <cellStyle name="20% - Accent6 2 2 2 5 3" xfId="25246" xr:uid="{00000000-0005-0000-0000-000089250000}"/>
    <cellStyle name="20% - Accent6 2 2 2 5 3 2" xfId="49078" xr:uid="{ADC69348-EF9D-4A70-9D0E-1A0F9A0B98DE}"/>
    <cellStyle name="20% - Accent6 2 2 2 5 4" xfId="33201" xr:uid="{2F981532-F42F-4D5F-B73E-8EDF4E3613BA}"/>
    <cellStyle name="20% - Accent6 2 2 2 6" xfId="10240" xr:uid="{00000000-0005-0000-0000-00008A250000}"/>
    <cellStyle name="20% - Accent6 2 2 2 6 2" xfId="34089" xr:uid="{AB595A84-C964-46AB-83DB-CE87DC8E3E5A}"/>
    <cellStyle name="20% - Accent6 2 2 2 7" xfId="18195" xr:uid="{00000000-0005-0000-0000-00008B250000}"/>
    <cellStyle name="20% - Accent6 2 2 2 7 2" xfId="42027" xr:uid="{650BB830-9179-42E0-A717-F6103AD98907}"/>
    <cellStyle name="20% - Accent6 2 2 2 8" xfId="26147" xr:uid="{F855E4DF-ADEF-4138-879B-C94C31DD07A5}"/>
    <cellStyle name="20% - Accent6 2 2 2_Exh G" xfId="2596" xr:uid="{00000000-0005-0000-0000-00008C250000}"/>
    <cellStyle name="20% - Accent6 2 2 3" xfId="921" xr:uid="{00000000-0005-0000-0000-00008D250000}"/>
    <cellStyle name="20% - Accent6 2 2 3 2" xfId="1843" xr:uid="{00000000-0005-0000-0000-00008E250000}"/>
    <cellStyle name="20% - Accent6 2 2 3 2 2" xfId="5360" xr:uid="{00000000-0005-0000-0000-00008F250000}"/>
    <cellStyle name="20% - Accent6 2 2 3 2 2 2" xfId="8951" xr:uid="{00000000-0005-0000-0000-000090250000}"/>
    <cellStyle name="20% - Accent6 2 2 3 2 2 2 2" xfId="16921" xr:uid="{00000000-0005-0000-0000-000091250000}"/>
    <cellStyle name="20% - Accent6 2 2 3 2 2 2 2 2" xfId="40763" xr:uid="{8A2DAEEC-D385-4772-9EDD-5DAF85717B23}"/>
    <cellStyle name="20% - Accent6 2 2 3 2 2 2 3" xfId="24867" xr:uid="{00000000-0005-0000-0000-000092250000}"/>
    <cellStyle name="20% - Accent6 2 2 3 2 2 2 3 2" xfId="48699" xr:uid="{4123A204-1F4A-4CD8-A494-B2B724CB08AB}"/>
    <cellStyle name="20% - Accent6 2 2 3 2 2 2 4" xfId="32822" xr:uid="{A9A01F10-1591-4399-BD9F-DA933926FF67}"/>
    <cellStyle name="20% - Accent6 2 2 3 2 2 3" xfId="13383" xr:uid="{00000000-0005-0000-0000-000093250000}"/>
    <cellStyle name="20% - Accent6 2 2 3 2 2 3 2" xfId="37232" xr:uid="{92A3B868-31E7-4E6A-A6B4-7C461C4C9E18}"/>
    <cellStyle name="20% - Accent6 2 2 3 2 2 4" xfId="21338" xr:uid="{00000000-0005-0000-0000-000094250000}"/>
    <cellStyle name="20% - Accent6 2 2 3 2 2 4 2" xfId="45170" xr:uid="{8DB54591-EF9B-4D37-A755-78E52319BB26}"/>
    <cellStyle name="20% - Accent6 2 2 3 2 2 5" xfId="29291" xr:uid="{F1B0BC4E-9441-43E6-A498-9A1354C4B9A0}"/>
    <cellStyle name="20% - Accent6 2 2 3 2 3" xfId="7192" xr:uid="{00000000-0005-0000-0000-000095250000}"/>
    <cellStyle name="20% - Accent6 2 2 3 2 3 2" xfId="15163" xr:uid="{00000000-0005-0000-0000-000096250000}"/>
    <cellStyle name="20% - Accent6 2 2 3 2 3 2 2" xfId="39005" xr:uid="{9F860B1A-32C6-44D7-A343-635234494CEA}"/>
    <cellStyle name="20% - Accent6 2 2 3 2 3 3" xfId="23110" xr:uid="{00000000-0005-0000-0000-000097250000}"/>
    <cellStyle name="20% - Accent6 2 2 3 2 3 3 2" xfId="46942" xr:uid="{80D3CD6B-BE98-4988-AFF0-05ABF0AE4724}"/>
    <cellStyle name="20% - Accent6 2 2 3 2 3 4" xfId="31064" xr:uid="{35134C57-1628-4F5E-B5EF-1EA75EB8F459}"/>
    <cellStyle name="20% - Accent6 2 2 3 2 4" xfId="11627" xr:uid="{00000000-0005-0000-0000-000098250000}"/>
    <cellStyle name="20% - Accent6 2 2 3 2 4 2" xfId="35476" xr:uid="{31A4733B-5E2E-4AEB-8B8B-DE00C1620601}"/>
    <cellStyle name="20% - Accent6 2 2 3 2 5" xfId="19582" xr:uid="{00000000-0005-0000-0000-000099250000}"/>
    <cellStyle name="20% - Accent6 2 2 3 2 5 2" xfId="43414" xr:uid="{2CD2DA56-BF6A-4B51-8855-F1959402DA6D}"/>
    <cellStyle name="20% - Accent6 2 2 3 2 6" xfId="27534" xr:uid="{F51D7D9F-78A0-46A8-BC62-B103E86F132F}"/>
    <cellStyle name="20% - Accent6 2 2 3 2_Exh G" xfId="2599" xr:uid="{00000000-0005-0000-0000-00009A250000}"/>
    <cellStyle name="20% - Accent6 2 2 3 3" xfId="4481" xr:uid="{00000000-0005-0000-0000-00009B250000}"/>
    <cellStyle name="20% - Accent6 2 2 3 3 2" xfId="8073" xr:uid="{00000000-0005-0000-0000-00009C250000}"/>
    <cellStyle name="20% - Accent6 2 2 3 3 2 2" xfId="16043" xr:uid="{00000000-0005-0000-0000-00009D250000}"/>
    <cellStyle name="20% - Accent6 2 2 3 3 2 2 2" xfId="39885" xr:uid="{315AF3AD-165E-4A69-ABF9-1977B6EC7830}"/>
    <cellStyle name="20% - Accent6 2 2 3 3 2 3" xfId="23989" xr:uid="{00000000-0005-0000-0000-00009E250000}"/>
    <cellStyle name="20% - Accent6 2 2 3 3 2 3 2" xfId="47821" xr:uid="{C17AB013-C3E5-4320-BDAB-7B978DCFEFB4}"/>
    <cellStyle name="20% - Accent6 2 2 3 3 2 4" xfId="31944" xr:uid="{5DF98A03-C66C-4E65-AEE3-1FCE97D23B83}"/>
    <cellStyle name="20% - Accent6 2 2 3 3 3" xfId="12505" xr:uid="{00000000-0005-0000-0000-00009F250000}"/>
    <cellStyle name="20% - Accent6 2 2 3 3 3 2" xfId="36354" xr:uid="{4DF4BA9A-7076-430E-94CA-1C257729A2E1}"/>
    <cellStyle name="20% - Accent6 2 2 3 3 4" xfId="20460" xr:uid="{00000000-0005-0000-0000-0000A0250000}"/>
    <cellStyle name="20% - Accent6 2 2 3 3 4 2" xfId="44292" xr:uid="{EA43C822-F8B8-4A78-BC75-3FCC0BB87DC4}"/>
    <cellStyle name="20% - Accent6 2 2 3 3 5" xfId="28413" xr:uid="{D1E0C173-6874-4493-BAA0-D1F63682265C}"/>
    <cellStyle name="20% - Accent6 2 2 3 4" xfId="6311" xr:uid="{00000000-0005-0000-0000-0000A1250000}"/>
    <cellStyle name="20% - Accent6 2 2 3 4 2" xfId="14285" xr:uid="{00000000-0005-0000-0000-0000A2250000}"/>
    <cellStyle name="20% - Accent6 2 2 3 4 2 2" xfId="38127" xr:uid="{F5BB2B51-5759-4EE3-832C-16DF5A18DC86}"/>
    <cellStyle name="20% - Accent6 2 2 3 4 3" xfId="22232" xr:uid="{00000000-0005-0000-0000-0000A3250000}"/>
    <cellStyle name="20% - Accent6 2 2 3 4 3 2" xfId="46064" xr:uid="{41218804-1FF8-49F9-9DCE-E7E6EC74CF48}"/>
    <cellStyle name="20% - Accent6 2 2 3 4 4" xfId="30186" xr:uid="{16F7FECD-7E98-4E7A-884C-CCB712B837CF}"/>
    <cellStyle name="20% - Accent6 2 2 3 5" xfId="9853" xr:uid="{00000000-0005-0000-0000-0000A4250000}"/>
    <cellStyle name="20% - Accent6 2 2 3 5 2" xfId="17811" xr:uid="{00000000-0005-0000-0000-0000A5250000}"/>
    <cellStyle name="20% - Accent6 2 2 3 5 2 2" xfId="41651" xr:uid="{0E55DF5A-7075-42E5-A18D-34478EF7E696}"/>
    <cellStyle name="20% - Accent6 2 2 3 5 3" xfId="25755" xr:uid="{00000000-0005-0000-0000-0000A6250000}"/>
    <cellStyle name="20% - Accent6 2 2 3 5 3 2" xfId="49587" xr:uid="{B4C1E8D1-561B-4CAD-87BA-C793AB095C46}"/>
    <cellStyle name="20% - Accent6 2 2 3 5 4" xfId="33710" xr:uid="{EC834222-50D1-4ABA-972B-98B3590325AE}"/>
    <cellStyle name="20% - Accent6 2 2 3 6" xfId="10749" xr:uid="{00000000-0005-0000-0000-0000A7250000}"/>
    <cellStyle name="20% - Accent6 2 2 3 6 2" xfId="34598" xr:uid="{59BBE83D-54C2-4757-AB29-0F2E782685DF}"/>
    <cellStyle name="20% - Accent6 2 2 3 7" xfId="18704" xr:uid="{00000000-0005-0000-0000-0000A8250000}"/>
    <cellStyle name="20% - Accent6 2 2 3 7 2" xfId="42536" xr:uid="{0A3EAD04-07E8-4CDA-9EB7-64CF918BE3D3}"/>
    <cellStyle name="20% - Accent6 2 2 3 8" xfId="26656" xr:uid="{7FC0BDFC-4766-4D47-B33B-EE8D3312AC38}"/>
    <cellStyle name="20% - Accent6 2 2 3_Exh G" xfId="2598" xr:uid="{00000000-0005-0000-0000-0000A9250000}"/>
    <cellStyle name="20% - Accent6 2 2 4" xfId="1323" xr:uid="{00000000-0005-0000-0000-0000AA250000}"/>
    <cellStyle name="20% - Accent6 2 2 4 2" xfId="4850" xr:uid="{00000000-0005-0000-0000-0000AB250000}"/>
    <cellStyle name="20% - Accent6 2 2 4 2 2" xfId="8441" xr:uid="{00000000-0005-0000-0000-0000AC250000}"/>
    <cellStyle name="20% - Accent6 2 2 4 2 2 2" xfId="16411" xr:uid="{00000000-0005-0000-0000-0000AD250000}"/>
    <cellStyle name="20% - Accent6 2 2 4 2 2 2 2" xfId="40253" xr:uid="{6042B66B-ECA4-40D3-AE01-06DEB48DB14E}"/>
    <cellStyle name="20% - Accent6 2 2 4 2 2 3" xfId="24357" xr:uid="{00000000-0005-0000-0000-0000AE250000}"/>
    <cellStyle name="20% - Accent6 2 2 4 2 2 3 2" xfId="48189" xr:uid="{AEB05809-202D-4453-897D-581AAB6F87C4}"/>
    <cellStyle name="20% - Accent6 2 2 4 2 2 4" xfId="32312" xr:uid="{478B0C53-93A5-4593-AA32-1F020EEF30B2}"/>
    <cellStyle name="20% - Accent6 2 2 4 2 3" xfId="12873" xr:uid="{00000000-0005-0000-0000-0000AF250000}"/>
    <cellStyle name="20% - Accent6 2 2 4 2 3 2" xfId="36722" xr:uid="{74F7B06A-FF57-4445-9513-2D737752E0E0}"/>
    <cellStyle name="20% - Accent6 2 2 4 2 4" xfId="20828" xr:uid="{00000000-0005-0000-0000-0000B0250000}"/>
    <cellStyle name="20% - Accent6 2 2 4 2 4 2" xfId="44660" xr:uid="{9CAD4287-A829-4DFE-9701-A1C375A67692}"/>
    <cellStyle name="20% - Accent6 2 2 4 2 5" xfId="28781" xr:uid="{E5016399-5AE1-42FA-890A-E06E4C9053C7}"/>
    <cellStyle name="20% - Accent6 2 2 4 3" xfId="6682" xr:uid="{00000000-0005-0000-0000-0000B1250000}"/>
    <cellStyle name="20% - Accent6 2 2 4 3 2" xfId="14653" xr:uid="{00000000-0005-0000-0000-0000B2250000}"/>
    <cellStyle name="20% - Accent6 2 2 4 3 2 2" xfId="38495" xr:uid="{9A8ECA6B-2C31-47AA-A380-A2BB30DCF3A0}"/>
    <cellStyle name="20% - Accent6 2 2 4 3 3" xfId="22600" xr:uid="{00000000-0005-0000-0000-0000B3250000}"/>
    <cellStyle name="20% - Accent6 2 2 4 3 3 2" xfId="46432" xr:uid="{6487C6E0-2A42-4B66-A408-8104C7A7EC6B}"/>
    <cellStyle name="20% - Accent6 2 2 4 3 4" xfId="30554" xr:uid="{37986DF3-1955-40D0-87E0-A31804DADE60}"/>
    <cellStyle name="20% - Accent6 2 2 4 4" xfId="11117" xr:uid="{00000000-0005-0000-0000-0000B4250000}"/>
    <cellStyle name="20% - Accent6 2 2 4 4 2" xfId="34966" xr:uid="{F5B090FB-E548-47BF-9DBB-274755926211}"/>
    <cellStyle name="20% - Accent6 2 2 4 5" xfId="19072" xr:uid="{00000000-0005-0000-0000-0000B5250000}"/>
    <cellStyle name="20% - Accent6 2 2 4 5 2" xfId="42904" xr:uid="{C862A9EB-95C8-4258-B219-1519B6A20360}"/>
    <cellStyle name="20% - Accent6 2 2 4 6" xfId="27024" xr:uid="{DC53BCDD-53EF-4E1B-909C-77391AEBF301}"/>
    <cellStyle name="20% - Accent6 2 2 4_Exh G" xfId="2600" xr:uid="{00000000-0005-0000-0000-0000B6250000}"/>
    <cellStyle name="20% - Accent6 2 2 5" xfId="3971" xr:uid="{00000000-0005-0000-0000-0000B7250000}"/>
    <cellStyle name="20% - Accent6 2 2 5 2" xfId="7563" xr:uid="{00000000-0005-0000-0000-0000B8250000}"/>
    <cellStyle name="20% - Accent6 2 2 5 2 2" xfId="15533" xr:uid="{00000000-0005-0000-0000-0000B9250000}"/>
    <cellStyle name="20% - Accent6 2 2 5 2 2 2" xfId="39375" xr:uid="{0ED1363D-C84D-4A12-AF5F-66FB249BD62C}"/>
    <cellStyle name="20% - Accent6 2 2 5 2 3" xfId="23479" xr:uid="{00000000-0005-0000-0000-0000BA250000}"/>
    <cellStyle name="20% - Accent6 2 2 5 2 3 2" xfId="47311" xr:uid="{39662192-832E-4746-9036-9078D4F51288}"/>
    <cellStyle name="20% - Accent6 2 2 5 2 4" xfId="31434" xr:uid="{EEC501C4-F969-4E88-AF48-9F8C21CE761B}"/>
    <cellStyle name="20% - Accent6 2 2 5 3" xfId="11995" xr:uid="{00000000-0005-0000-0000-0000BB250000}"/>
    <cellStyle name="20% - Accent6 2 2 5 3 2" xfId="35844" xr:uid="{D7E26E92-A10D-448A-9939-E3E601EF6878}"/>
    <cellStyle name="20% - Accent6 2 2 5 4" xfId="19950" xr:uid="{00000000-0005-0000-0000-0000BC250000}"/>
    <cellStyle name="20% - Accent6 2 2 5 4 2" xfId="43782" xr:uid="{1FD772D3-BA15-4A89-9E75-1DA8AF5F5FD2}"/>
    <cellStyle name="20% - Accent6 2 2 5 5" xfId="27903" xr:uid="{629C3426-FDF7-4C0A-ACCF-447A9E441B3A}"/>
    <cellStyle name="20% - Accent6 2 2 6" xfId="5791" xr:uid="{00000000-0005-0000-0000-0000BD250000}"/>
    <cellStyle name="20% - Accent6 2 2 6 2" xfId="13774" xr:uid="{00000000-0005-0000-0000-0000BE250000}"/>
    <cellStyle name="20% - Accent6 2 2 6 2 2" xfId="37617" xr:uid="{31146D4B-F759-4ABE-8231-A43F0FAD427C}"/>
    <cellStyle name="20% - Accent6 2 2 6 3" xfId="21722" xr:uid="{00000000-0005-0000-0000-0000BF250000}"/>
    <cellStyle name="20% - Accent6 2 2 6 3 2" xfId="45554" xr:uid="{AEBF87F1-8F67-4AEE-B290-6838348A56C9}"/>
    <cellStyle name="20% - Accent6 2 2 6 4" xfId="29676" xr:uid="{83FBA453-A0E3-4EFF-8963-5A3418F2AADD}"/>
    <cellStyle name="20% - Accent6 2 2 7" xfId="9343" xr:uid="{00000000-0005-0000-0000-0000C0250000}"/>
    <cellStyle name="20% - Accent6 2 2 7 2" xfId="17301" xr:uid="{00000000-0005-0000-0000-0000C1250000}"/>
    <cellStyle name="20% - Accent6 2 2 7 2 2" xfId="41141" xr:uid="{3CBF3FF1-D77E-4C28-A0BA-E4D80EBE3ADD}"/>
    <cellStyle name="20% - Accent6 2 2 7 3" xfId="25245" xr:uid="{00000000-0005-0000-0000-0000C2250000}"/>
    <cellStyle name="20% - Accent6 2 2 7 3 2" xfId="49077" xr:uid="{054BD942-DDDB-4049-8AAC-E0A56E113E63}"/>
    <cellStyle name="20% - Accent6 2 2 7 4" xfId="33200" xr:uid="{3C8AE1CB-069E-479A-BB33-37E6E9E9420B}"/>
    <cellStyle name="20% - Accent6 2 2 8" xfId="10239" xr:uid="{00000000-0005-0000-0000-0000C3250000}"/>
    <cellStyle name="20% - Accent6 2 2 8 2" xfId="34088" xr:uid="{25C99BAD-F93D-4355-BEC5-7334DCF16592}"/>
    <cellStyle name="20% - Accent6 2 2 9" xfId="18194" xr:uid="{00000000-0005-0000-0000-0000C4250000}"/>
    <cellStyle name="20% - Accent6 2 2 9 2" xfId="42026" xr:uid="{1FD57CD2-8CA1-4606-91E4-54D39CFB02B9}"/>
    <cellStyle name="20% - Accent6 2 2_Exh G" xfId="2595" xr:uid="{00000000-0005-0000-0000-0000C5250000}"/>
    <cellStyle name="20% - Accent6 2 3" xfId="299" xr:uid="{00000000-0005-0000-0000-0000C6250000}"/>
    <cellStyle name="20% - Accent6 2 3 2" xfId="1325" xr:uid="{00000000-0005-0000-0000-0000C7250000}"/>
    <cellStyle name="20% - Accent6 2 3 2 2" xfId="4852" xr:uid="{00000000-0005-0000-0000-0000C8250000}"/>
    <cellStyle name="20% - Accent6 2 3 2 2 2" xfId="8443" xr:uid="{00000000-0005-0000-0000-0000C9250000}"/>
    <cellStyle name="20% - Accent6 2 3 2 2 2 2" xfId="16413" xr:uid="{00000000-0005-0000-0000-0000CA250000}"/>
    <cellStyle name="20% - Accent6 2 3 2 2 2 2 2" xfId="40255" xr:uid="{CC7ECA1A-139D-442B-B5D9-A892379BBD8C}"/>
    <cellStyle name="20% - Accent6 2 3 2 2 2 3" xfId="24359" xr:uid="{00000000-0005-0000-0000-0000CB250000}"/>
    <cellStyle name="20% - Accent6 2 3 2 2 2 3 2" xfId="48191" xr:uid="{29F5D66C-858E-4BC8-9252-929DF99414EF}"/>
    <cellStyle name="20% - Accent6 2 3 2 2 2 4" xfId="32314" xr:uid="{7A0F7D2A-DE0F-46DA-A878-61C8E6AF9D80}"/>
    <cellStyle name="20% - Accent6 2 3 2 2 3" xfId="12875" xr:uid="{00000000-0005-0000-0000-0000CC250000}"/>
    <cellStyle name="20% - Accent6 2 3 2 2 3 2" xfId="36724" xr:uid="{8D6B781D-22D3-44C0-953A-9C64E2997301}"/>
    <cellStyle name="20% - Accent6 2 3 2 2 4" xfId="20830" xr:uid="{00000000-0005-0000-0000-0000CD250000}"/>
    <cellStyle name="20% - Accent6 2 3 2 2 4 2" xfId="44662" xr:uid="{F675F332-6F9B-4A5D-AF97-1691D68930E7}"/>
    <cellStyle name="20% - Accent6 2 3 2 2 5" xfId="28783" xr:uid="{B45849F3-8366-467C-84B6-B96E70730F77}"/>
    <cellStyle name="20% - Accent6 2 3 2 3" xfId="6684" xr:uid="{00000000-0005-0000-0000-0000CE250000}"/>
    <cellStyle name="20% - Accent6 2 3 2 3 2" xfId="14655" xr:uid="{00000000-0005-0000-0000-0000CF250000}"/>
    <cellStyle name="20% - Accent6 2 3 2 3 2 2" xfId="38497" xr:uid="{EF37325A-28B9-480A-94EC-96B4BED66C9F}"/>
    <cellStyle name="20% - Accent6 2 3 2 3 3" xfId="22602" xr:uid="{00000000-0005-0000-0000-0000D0250000}"/>
    <cellStyle name="20% - Accent6 2 3 2 3 3 2" xfId="46434" xr:uid="{0B1BC78F-2CB9-46F6-8289-D5EEE0C8B8A0}"/>
    <cellStyle name="20% - Accent6 2 3 2 3 4" xfId="30556" xr:uid="{05E0333C-9D2E-4FA5-BA70-E96566164D78}"/>
    <cellStyle name="20% - Accent6 2 3 2 4" xfId="11119" xr:uid="{00000000-0005-0000-0000-0000D1250000}"/>
    <cellStyle name="20% - Accent6 2 3 2 4 2" xfId="34968" xr:uid="{A468D191-893A-4852-A4DC-9BF64B25B9A3}"/>
    <cellStyle name="20% - Accent6 2 3 2 5" xfId="19074" xr:uid="{00000000-0005-0000-0000-0000D2250000}"/>
    <cellStyle name="20% - Accent6 2 3 2 5 2" xfId="42906" xr:uid="{D73EF53F-8671-451D-A63E-272F37C951E5}"/>
    <cellStyle name="20% - Accent6 2 3 2 6" xfId="27026" xr:uid="{4E4D6B93-1196-4C35-830F-C371E517901B}"/>
    <cellStyle name="20% - Accent6 2 3 2_Exh G" xfId="2602" xr:uid="{00000000-0005-0000-0000-0000D3250000}"/>
    <cellStyle name="20% - Accent6 2 3 3" xfId="3973" xr:uid="{00000000-0005-0000-0000-0000D4250000}"/>
    <cellStyle name="20% - Accent6 2 3 3 2" xfId="7565" xr:uid="{00000000-0005-0000-0000-0000D5250000}"/>
    <cellStyle name="20% - Accent6 2 3 3 2 2" xfId="15535" xr:uid="{00000000-0005-0000-0000-0000D6250000}"/>
    <cellStyle name="20% - Accent6 2 3 3 2 2 2" xfId="39377" xr:uid="{875A2C0C-591E-40FD-988F-252DF8221109}"/>
    <cellStyle name="20% - Accent6 2 3 3 2 3" xfId="23481" xr:uid="{00000000-0005-0000-0000-0000D7250000}"/>
    <cellStyle name="20% - Accent6 2 3 3 2 3 2" xfId="47313" xr:uid="{50D5267D-21A2-4EF6-95C8-E7FB1B347565}"/>
    <cellStyle name="20% - Accent6 2 3 3 2 4" xfId="31436" xr:uid="{AB7FFE52-584F-493C-8AD9-AFB3DA77735E}"/>
    <cellStyle name="20% - Accent6 2 3 3 3" xfId="11997" xr:uid="{00000000-0005-0000-0000-0000D8250000}"/>
    <cellStyle name="20% - Accent6 2 3 3 3 2" xfId="35846" xr:uid="{023C08F7-6211-4993-B6D6-35A150D8710D}"/>
    <cellStyle name="20% - Accent6 2 3 3 4" xfId="19952" xr:uid="{00000000-0005-0000-0000-0000D9250000}"/>
    <cellStyle name="20% - Accent6 2 3 3 4 2" xfId="43784" xr:uid="{51BBD129-3CFD-4BB9-9979-8B06A006EB1A}"/>
    <cellStyle name="20% - Accent6 2 3 3 5" xfId="27905" xr:uid="{36A814D3-66B3-407C-9711-9BFE19EA10CA}"/>
    <cellStyle name="20% - Accent6 2 3 4" xfId="5793" xr:uid="{00000000-0005-0000-0000-0000DA250000}"/>
    <cellStyle name="20% - Accent6 2 3 4 2" xfId="13776" xr:uid="{00000000-0005-0000-0000-0000DB250000}"/>
    <cellStyle name="20% - Accent6 2 3 4 2 2" xfId="37619" xr:uid="{3CEF6CA2-4262-4189-92A2-DBA74560E6DF}"/>
    <cellStyle name="20% - Accent6 2 3 4 3" xfId="21724" xr:uid="{00000000-0005-0000-0000-0000DC250000}"/>
    <cellStyle name="20% - Accent6 2 3 4 3 2" xfId="45556" xr:uid="{EAB7FF2B-4753-4568-A11B-8FD575BD0E4D}"/>
    <cellStyle name="20% - Accent6 2 3 4 4" xfId="29678" xr:uid="{A8EB842F-6FCE-4425-AFAE-42603AA34075}"/>
    <cellStyle name="20% - Accent6 2 3 5" xfId="9345" xr:uid="{00000000-0005-0000-0000-0000DD250000}"/>
    <cellStyle name="20% - Accent6 2 3 5 2" xfId="17303" xr:uid="{00000000-0005-0000-0000-0000DE250000}"/>
    <cellStyle name="20% - Accent6 2 3 5 2 2" xfId="41143" xr:uid="{7BF6405C-F614-4179-BD3C-B4BCAFC8F4F6}"/>
    <cellStyle name="20% - Accent6 2 3 5 3" xfId="25247" xr:uid="{00000000-0005-0000-0000-0000DF250000}"/>
    <cellStyle name="20% - Accent6 2 3 5 3 2" xfId="49079" xr:uid="{A855290D-53B2-4CBD-890C-7527D69C0413}"/>
    <cellStyle name="20% - Accent6 2 3 5 4" xfId="33202" xr:uid="{46836CBC-2F25-4DDC-AC66-E3A4A0DB3F44}"/>
    <cellStyle name="20% - Accent6 2 3 6" xfId="10241" xr:uid="{00000000-0005-0000-0000-0000E0250000}"/>
    <cellStyle name="20% - Accent6 2 3 6 2" xfId="34090" xr:uid="{805296EC-58B5-4420-AE12-9406ED5E6415}"/>
    <cellStyle name="20% - Accent6 2 3 7" xfId="18196" xr:uid="{00000000-0005-0000-0000-0000E1250000}"/>
    <cellStyle name="20% - Accent6 2 3 7 2" xfId="42028" xr:uid="{5C46EF4B-8102-4B02-ABC0-EE754E737E42}"/>
    <cellStyle name="20% - Accent6 2 3 8" xfId="26148" xr:uid="{57A3F509-CBC3-4E11-B34F-E135D523FB40}"/>
    <cellStyle name="20% - Accent6 2 3_Exh G" xfId="2601" xr:uid="{00000000-0005-0000-0000-0000E2250000}"/>
    <cellStyle name="20% - Accent6 2 4" xfId="920" xr:uid="{00000000-0005-0000-0000-0000E3250000}"/>
    <cellStyle name="20% - Accent6 2 4 2" xfId="1842" xr:uid="{00000000-0005-0000-0000-0000E4250000}"/>
    <cellStyle name="20% - Accent6 2 4 2 2" xfId="5359" xr:uid="{00000000-0005-0000-0000-0000E5250000}"/>
    <cellStyle name="20% - Accent6 2 4 2 2 2" xfId="8950" xr:uid="{00000000-0005-0000-0000-0000E6250000}"/>
    <cellStyle name="20% - Accent6 2 4 2 2 2 2" xfId="16920" xr:uid="{00000000-0005-0000-0000-0000E7250000}"/>
    <cellStyle name="20% - Accent6 2 4 2 2 2 2 2" xfId="40762" xr:uid="{DFBFAD4A-FAC7-4632-A87F-618532370B5E}"/>
    <cellStyle name="20% - Accent6 2 4 2 2 2 3" xfId="24866" xr:uid="{00000000-0005-0000-0000-0000E8250000}"/>
    <cellStyle name="20% - Accent6 2 4 2 2 2 3 2" xfId="48698" xr:uid="{BA0A6AD4-8EA1-4368-B74A-3345B6EDFD5A}"/>
    <cellStyle name="20% - Accent6 2 4 2 2 2 4" xfId="32821" xr:uid="{653AD84C-D88F-4E79-A140-305C830C824C}"/>
    <cellStyle name="20% - Accent6 2 4 2 2 3" xfId="13382" xr:uid="{00000000-0005-0000-0000-0000E9250000}"/>
    <cellStyle name="20% - Accent6 2 4 2 2 3 2" xfId="37231" xr:uid="{5E9799EA-7405-45AD-A537-0D30B29FACB6}"/>
    <cellStyle name="20% - Accent6 2 4 2 2 4" xfId="21337" xr:uid="{00000000-0005-0000-0000-0000EA250000}"/>
    <cellStyle name="20% - Accent6 2 4 2 2 4 2" xfId="45169" xr:uid="{16467DBA-C26C-4AF1-92F9-AFDE6ABEFDF1}"/>
    <cellStyle name="20% - Accent6 2 4 2 2 5" xfId="29290" xr:uid="{2EEF6F4B-D6D2-4EDE-8EDD-BC3E35A1C558}"/>
    <cellStyle name="20% - Accent6 2 4 2 3" xfId="7191" xr:uid="{00000000-0005-0000-0000-0000EB250000}"/>
    <cellStyle name="20% - Accent6 2 4 2 3 2" xfId="15162" xr:uid="{00000000-0005-0000-0000-0000EC250000}"/>
    <cellStyle name="20% - Accent6 2 4 2 3 2 2" xfId="39004" xr:uid="{8F5E8335-3265-49DE-A07A-7F05B75CD282}"/>
    <cellStyle name="20% - Accent6 2 4 2 3 3" xfId="23109" xr:uid="{00000000-0005-0000-0000-0000ED250000}"/>
    <cellStyle name="20% - Accent6 2 4 2 3 3 2" xfId="46941" xr:uid="{F67F656D-1F0D-40C9-89D2-EA6E1B90F300}"/>
    <cellStyle name="20% - Accent6 2 4 2 3 4" xfId="31063" xr:uid="{79069432-6B48-40C5-9C5E-7C0E2B914E5B}"/>
    <cellStyle name="20% - Accent6 2 4 2 4" xfId="11626" xr:uid="{00000000-0005-0000-0000-0000EE250000}"/>
    <cellStyle name="20% - Accent6 2 4 2 4 2" xfId="35475" xr:uid="{B38B5DED-04F5-42DF-969E-D1E52D1563FB}"/>
    <cellStyle name="20% - Accent6 2 4 2 5" xfId="19581" xr:uid="{00000000-0005-0000-0000-0000EF250000}"/>
    <cellStyle name="20% - Accent6 2 4 2 5 2" xfId="43413" xr:uid="{8C342A70-0B0B-4A42-8E9E-17664051D7FF}"/>
    <cellStyle name="20% - Accent6 2 4 2 6" xfId="27533" xr:uid="{620A4BC9-A887-43F2-BD21-B57B49E6B731}"/>
    <cellStyle name="20% - Accent6 2 4 2_Exh G" xfId="2604" xr:uid="{00000000-0005-0000-0000-0000F0250000}"/>
    <cellStyle name="20% - Accent6 2 4 3" xfId="4480" xr:uid="{00000000-0005-0000-0000-0000F1250000}"/>
    <cellStyle name="20% - Accent6 2 4 3 2" xfId="8072" xr:uid="{00000000-0005-0000-0000-0000F2250000}"/>
    <cellStyle name="20% - Accent6 2 4 3 2 2" xfId="16042" xr:uid="{00000000-0005-0000-0000-0000F3250000}"/>
    <cellStyle name="20% - Accent6 2 4 3 2 2 2" xfId="39884" xr:uid="{36004509-0D09-48C4-9073-B18D47FFC69F}"/>
    <cellStyle name="20% - Accent6 2 4 3 2 3" xfId="23988" xr:uid="{00000000-0005-0000-0000-0000F4250000}"/>
    <cellStyle name="20% - Accent6 2 4 3 2 3 2" xfId="47820" xr:uid="{07F37FA4-333D-488C-849B-F5BD38184A84}"/>
    <cellStyle name="20% - Accent6 2 4 3 2 4" xfId="31943" xr:uid="{EF4FFB34-CB27-4020-BD35-A0397398839A}"/>
    <cellStyle name="20% - Accent6 2 4 3 3" xfId="12504" xr:uid="{00000000-0005-0000-0000-0000F5250000}"/>
    <cellStyle name="20% - Accent6 2 4 3 3 2" xfId="36353" xr:uid="{EC40E272-FC08-4DCE-804E-82CA44B04F1C}"/>
    <cellStyle name="20% - Accent6 2 4 3 4" xfId="20459" xr:uid="{00000000-0005-0000-0000-0000F6250000}"/>
    <cellStyle name="20% - Accent6 2 4 3 4 2" xfId="44291" xr:uid="{7069607C-AA59-422E-BF9C-7537AEC4691A}"/>
    <cellStyle name="20% - Accent6 2 4 3 5" xfId="28412" xr:uid="{7271B10A-94D2-409E-9DB6-FBAC530F3458}"/>
    <cellStyle name="20% - Accent6 2 4 4" xfId="6310" xr:uid="{00000000-0005-0000-0000-0000F7250000}"/>
    <cellStyle name="20% - Accent6 2 4 4 2" xfId="14284" xr:uid="{00000000-0005-0000-0000-0000F8250000}"/>
    <cellStyle name="20% - Accent6 2 4 4 2 2" xfId="38126" xr:uid="{AFE231A0-4F6B-4900-BFF5-077F969FEFB0}"/>
    <cellStyle name="20% - Accent6 2 4 4 3" xfId="22231" xr:uid="{00000000-0005-0000-0000-0000F9250000}"/>
    <cellStyle name="20% - Accent6 2 4 4 3 2" xfId="46063" xr:uid="{EDC0C0D8-4E31-4D52-A788-74FB2EFBB5A7}"/>
    <cellStyle name="20% - Accent6 2 4 4 4" xfId="30185" xr:uid="{72284FD3-0A4B-4D2C-9F5B-2E760A01823A}"/>
    <cellStyle name="20% - Accent6 2 4 5" xfId="9852" xr:uid="{00000000-0005-0000-0000-0000FA250000}"/>
    <cellStyle name="20% - Accent6 2 4 5 2" xfId="17810" xr:uid="{00000000-0005-0000-0000-0000FB250000}"/>
    <cellStyle name="20% - Accent6 2 4 5 2 2" xfId="41650" xr:uid="{2B4C4D7E-0794-4DE6-B2D2-4B8BA05E1BF1}"/>
    <cellStyle name="20% - Accent6 2 4 5 3" xfId="25754" xr:uid="{00000000-0005-0000-0000-0000FC250000}"/>
    <cellStyle name="20% - Accent6 2 4 5 3 2" xfId="49586" xr:uid="{83E667ED-E437-4B55-AF3E-1C5F98FD5D90}"/>
    <cellStyle name="20% - Accent6 2 4 5 4" xfId="33709" xr:uid="{56341274-AF86-4529-9B88-D3675A79F77F}"/>
    <cellStyle name="20% - Accent6 2 4 6" xfId="10748" xr:uid="{00000000-0005-0000-0000-0000FD250000}"/>
    <cellStyle name="20% - Accent6 2 4 6 2" xfId="34597" xr:uid="{FFD06C94-A3B7-4EDB-9C1C-531C37ED319D}"/>
    <cellStyle name="20% - Accent6 2 4 7" xfId="18703" xr:uid="{00000000-0005-0000-0000-0000FE250000}"/>
    <cellStyle name="20% - Accent6 2 4 7 2" xfId="42535" xr:uid="{5331D966-B1BC-4C2F-833E-66D3DD25DE68}"/>
    <cellStyle name="20% - Accent6 2 4 8" xfId="26655" xr:uid="{EA8891B1-B03A-4CDA-909D-C157DEA75CAA}"/>
    <cellStyle name="20% - Accent6 2 4_Exh G" xfId="2603" xr:uid="{00000000-0005-0000-0000-0000FF250000}"/>
    <cellStyle name="20% - Accent6 2 5" xfId="1322" xr:uid="{00000000-0005-0000-0000-000000260000}"/>
    <cellStyle name="20% - Accent6 2 5 2" xfId="4849" xr:uid="{00000000-0005-0000-0000-000001260000}"/>
    <cellStyle name="20% - Accent6 2 5 2 2" xfId="8440" xr:uid="{00000000-0005-0000-0000-000002260000}"/>
    <cellStyle name="20% - Accent6 2 5 2 2 2" xfId="16410" xr:uid="{00000000-0005-0000-0000-000003260000}"/>
    <cellStyle name="20% - Accent6 2 5 2 2 2 2" xfId="40252" xr:uid="{0DEB08DC-0B8B-4596-8C67-AF361541FAC1}"/>
    <cellStyle name="20% - Accent6 2 5 2 2 3" xfId="24356" xr:uid="{00000000-0005-0000-0000-000004260000}"/>
    <cellStyle name="20% - Accent6 2 5 2 2 3 2" xfId="48188" xr:uid="{1535D373-A561-44F5-A5C4-4BA7C5F97AF5}"/>
    <cellStyle name="20% - Accent6 2 5 2 2 4" xfId="32311" xr:uid="{562CFA11-0A4E-452F-BF38-E311721F389B}"/>
    <cellStyle name="20% - Accent6 2 5 2 3" xfId="12872" xr:uid="{00000000-0005-0000-0000-000005260000}"/>
    <cellStyle name="20% - Accent6 2 5 2 3 2" xfId="36721" xr:uid="{A5C09CE2-2C49-40CE-BD2C-7A79D7B8B3DB}"/>
    <cellStyle name="20% - Accent6 2 5 2 4" xfId="20827" xr:uid="{00000000-0005-0000-0000-000006260000}"/>
    <cellStyle name="20% - Accent6 2 5 2 4 2" xfId="44659" xr:uid="{0008EB86-2ACB-4449-841B-93EE5EF9B48E}"/>
    <cellStyle name="20% - Accent6 2 5 2 5" xfId="28780" xr:uid="{478063AA-1FC4-464C-B1EA-153E57A18AE5}"/>
    <cellStyle name="20% - Accent6 2 5 3" xfId="6681" xr:uid="{00000000-0005-0000-0000-000007260000}"/>
    <cellStyle name="20% - Accent6 2 5 3 2" xfId="14652" xr:uid="{00000000-0005-0000-0000-000008260000}"/>
    <cellStyle name="20% - Accent6 2 5 3 2 2" xfId="38494" xr:uid="{6D087F34-D1E3-458B-82F7-64A9C8769E40}"/>
    <cellStyle name="20% - Accent6 2 5 3 3" xfId="22599" xr:uid="{00000000-0005-0000-0000-000009260000}"/>
    <cellStyle name="20% - Accent6 2 5 3 3 2" xfId="46431" xr:uid="{B65BC57F-1455-4470-8364-60D72AED6DE5}"/>
    <cellStyle name="20% - Accent6 2 5 3 4" xfId="30553" xr:uid="{04FC965E-BE22-4FA8-A82F-1486645A4E32}"/>
    <cellStyle name="20% - Accent6 2 5 4" xfId="11116" xr:uid="{00000000-0005-0000-0000-00000A260000}"/>
    <cellStyle name="20% - Accent6 2 5 4 2" xfId="34965" xr:uid="{82E4591E-6353-425C-BBE9-D5EB8C4A9DC2}"/>
    <cellStyle name="20% - Accent6 2 5 5" xfId="19071" xr:uid="{00000000-0005-0000-0000-00000B260000}"/>
    <cellStyle name="20% - Accent6 2 5 5 2" xfId="42903" xr:uid="{1032F908-EDFB-48D9-B5CE-BDEDB930D713}"/>
    <cellStyle name="20% - Accent6 2 5 6" xfId="27023" xr:uid="{C72E2358-4477-4A48-B8C1-039A2384D0D2}"/>
    <cellStyle name="20% - Accent6 2 5_Exh G" xfId="2605" xr:uid="{00000000-0005-0000-0000-00000C260000}"/>
    <cellStyle name="20% - Accent6 2 6" xfId="3970" xr:uid="{00000000-0005-0000-0000-00000D260000}"/>
    <cellStyle name="20% - Accent6 2 6 2" xfId="7562" xr:uid="{00000000-0005-0000-0000-00000E260000}"/>
    <cellStyle name="20% - Accent6 2 6 2 2" xfId="15532" xr:uid="{00000000-0005-0000-0000-00000F260000}"/>
    <cellStyle name="20% - Accent6 2 6 2 2 2" xfId="39374" xr:uid="{68C9351B-77C9-4C9B-8DBF-0D00EF9C4F33}"/>
    <cellStyle name="20% - Accent6 2 6 2 3" xfId="23478" xr:uid="{00000000-0005-0000-0000-000010260000}"/>
    <cellStyle name="20% - Accent6 2 6 2 3 2" xfId="47310" xr:uid="{66D422FE-ABAB-4454-A179-AACEBD90EF89}"/>
    <cellStyle name="20% - Accent6 2 6 2 4" xfId="31433" xr:uid="{E46EB396-358E-4762-8D86-0F95E0CC1557}"/>
    <cellStyle name="20% - Accent6 2 6 3" xfId="11994" xr:uid="{00000000-0005-0000-0000-000011260000}"/>
    <cellStyle name="20% - Accent6 2 6 3 2" xfId="35843" xr:uid="{0B1F5B5F-4B86-487D-B6A3-9441CB136105}"/>
    <cellStyle name="20% - Accent6 2 6 4" xfId="19949" xr:uid="{00000000-0005-0000-0000-000012260000}"/>
    <cellStyle name="20% - Accent6 2 6 4 2" xfId="43781" xr:uid="{C369956B-C98E-4640-B18B-CF887D0AA68F}"/>
    <cellStyle name="20% - Accent6 2 6 5" xfId="27902" xr:uid="{9487DD5C-5366-4C02-9B81-BDB7AFB25AAB}"/>
    <cellStyle name="20% - Accent6 2 7" xfId="5790" xr:uid="{00000000-0005-0000-0000-000013260000}"/>
    <cellStyle name="20% - Accent6 2 7 2" xfId="13773" xr:uid="{00000000-0005-0000-0000-000014260000}"/>
    <cellStyle name="20% - Accent6 2 7 2 2" xfId="37616" xr:uid="{547FBD55-83A3-4F09-868B-2BAF0E63E74A}"/>
    <cellStyle name="20% - Accent6 2 7 3" xfId="21721" xr:uid="{00000000-0005-0000-0000-000015260000}"/>
    <cellStyle name="20% - Accent6 2 7 3 2" xfId="45553" xr:uid="{58319FCE-163E-4318-B53C-7ACDE2D729FF}"/>
    <cellStyle name="20% - Accent6 2 7 4" xfId="29675" xr:uid="{49239626-EF3A-4585-99D2-D6A08D99F106}"/>
    <cellStyle name="20% - Accent6 2 8" xfId="9342" xr:uid="{00000000-0005-0000-0000-000016260000}"/>
    <cellStyle name="20% - Accent6 2 8 2" xfId="17300" xr:uid="{00000000-0005-0000-0000-000017260000}"/>
    <cellStyle name="20% - Accent6 2 8 2 2" xfId="41140" xr:uid="{E57946CE-1A2B-4355-8B93-DE4EBCD2C49C}"/>
    <cellStyle name="20% - Accent6 2 8 3" xfId="25244" xr:uid="{00000000-0005-0000-0000-000018260000}"/>
    <cellStyle name="20% - Accent6 2 8 3 2" xfId="49076" xr:uid="{2F7925F3-A1E4-4BF1-90B2-FF469840FDFB}"/>
    <cellStyle name="20% - Accent6 2 8 4" xfId="33199" xr:uid="{D7287D9F-446F-45B6-B59F-045B8AA88DED}"/>
    <cellStyle name="20% - Accent6 2 9" xfId="10238" xr:uid="{00000000-0005-0000-0000-000019260000}"/>
    <cellStyle name="20% - Accent6 2 9 2" xfId="34087" xr:uid="{4E17488D-1B19-4107-AC8E-F4809E0ADFD3}"/>
    <cellStyle name="20% - Accent6 2_Exh G" xfId="2594" xr:uid="{00000000-0005-0000-0000-00001A260000}"/>
    <cellStyle name="20% - Accent6 3" xfId="300" xr:uid="{00000000-0005-0000-0000-00001B260000}"/>
    <cellStyle name="20% - Accent6 3 10" xfId="18197" xr:uid="{00000000-0005-0000-0000-00001C260000}"/>
    <cellStyle name="20% - Accent6 3 10 2" xfId="42029" xr:uid="{342BB74B-F1D0-47FF-AFE7-65642B33FD51}"/>
    <cellStyle name="20% - Accent6 3 11" xfId="26149" xr:uid="{B190DA66-B8C9-4A85-BFDA-7D469244C142}"/>
    <cellStyle name="20% - Accent6 3 12" xfId="49764" xr:uid="{3E199D84-80C6-4646-B96A-FADB6B9E1079}"/>
    <cellStyle name="20% - Accent6 3 13" xfId="49818" xr:uid="{033E4528-90A1-41C8-879F-D9CC4D2C2978}"/>
    <cellStyle name="20% - Accent6 3 2" xfId="301" xr:uid="{00000000-0005-0000-0000-00001D260000}"/>
    <cellStyle name="20% - Accent6 3 2 10" xfId="26150" xr:uid="{707733EB-832F-4001-9392-DBB4C0665BD7}"/>
    <cellStyle name="20% - Accent6 3 2 2" xfId="302" xr:uid="{00000000-0005-0000-0000-00001E260000}"/>
    <cellStyle name="20% - Accent6 3 2 2 2" xfId="1328" xr:uid="{00000000-0005-0000-0000-00001F260000}"/>
    <cellStyle name="20% - Accent6 3 2 2 2 2" xfId="4855" xr:uid="{00000000-0005-0000-0000-000020260000}"/>
    <cellStyle name="20% - Accent6 3 2 2 2 2 2" xfId="8446" xr:uid="{00000000-0005-0000-0000-000021260000}"/>
    <cellStyle name="20% - Accent6 3 2 2 2 2 2 2" xfId="16416" xr:uid="{00000000-0005-0000-0000-000022260000}"/>
    <cellStyle name="20% - Accent6 3 2 2 2 2 2 2 2" xfId="40258" xr:uid="{102A3404-A03D-4C3A-8740-A9213DF0E171}"/>
    <cellStyle name="20% - Accent6 3 2 2 2 2 2 3" xfId="24362" xr:uid="{00000000-0005-0000-0000-000023260000}"/>
    <cellStyle name="20% - Accent6 3 2 2 2 2 2 3 2" xfId="48194" xr:uid="{7A8D1A09-0C43-4974-97EE-80894009E409}"/>
    <cellStyle name="20% - Accent6 3 2 2 2 2 2 4" xfId="32317" xr:uid="{9CE76D7C-F6AF-4ED2-BC9F-C05767687438}"/>
    <cellStyle name="20% - Accent6 3 2 2 2 2 3" xfId="12878" xr:uid="{00000000-0005-0000-0000-000024260000}"/>
    <cellStyle name="20% - Accent6 3 2 2 2 2 3 2" xfId="36727" xr:uid="{FA6C37EF-B338-430D-9D3A-9FCB541CEEE0}"/>
    <cellStyle name="20% - Accent6 3 2 2 2 2 4" xfId="20833" xr:uid="{00000000-0005-0000-0000-000025260000}"/>
    <cellStyle name="20% - Accent6 3 2 2 2 2 4 2" xfId="44665" xr:uid="{50795D06-57D2-4338-A4EF-9CD142AE092A}"/>
    <cellStyle name="20% - Accent6 3 2 2 2 2 5" xfId="28786" xr:uid="{01DCE371-2D26-4F00-8CF7-8EF05D2682B6}"/>
    <cellStyle name="20% - Accent6 3 2 2 2 3" xfId="6687" xr:uid="{00000000-0005-0000-0000-000026260000}"/>
    <cellStyle name="20% - Accent6 3 2 2 2 3 2" xfId="14658" xr:uid="{00000000-0005-0000-0000-000027260000}"/>
    <cellStyle name="20% - Accent6 3 2 2 2 3 2 2" xfId="38500" xr:uid="{A51CDA0A-9E0A-4FF2-B765-2E9A378918B9}"/>
    <cellStyle name="20% - Accent6 3 2 2 2 3 3" xfId="22605" xr:uid="{00000000-0005-0000-0000-000028260000}"/>
    <cellStyle name="20% - Accent6 3 2 2 2 3 3 2" xfId="46437" xr:uid="{1C37F1E2-31D3-4257-A1C2-5385D47AAB3A}"/>
    <cellStyle name="20% - Accent6 3 2 2 2 3 4" xfId="30559" xr:uid="{7B67D4CD-4F82-4B70-8408-9AB703E51F74}"/>
    <cellStyle name="20% - Accent6 3 2 2 2 4" xfId="11122" xr:uid="{00000000-0005-0000-0000-000029260000}"/>
    <cellStyle name="20% - Accent6 3 2 2 2 4 2" xfId="34971" xr:uid="{84A56959-75CF-4599-ADAE-D8E67310A419}"/>
    <cellStyle name="20% - Accent6 3 2 2 2 5" xfId="19077" xr:uid="{00000000-0005-0000-0000-00002A260000}"/>
    <cellStyle name="20% - Accent6 3 2 2 2 5 2" xfId="42909" xr:uid="{BDF524A3-E765-485C-9712-10A31B6AEB4C}"/>
    <cellStyle name="20% - Accent6 3 2 2 2 6" xfId="27029" xr:uid="{DD2FB4E7-971E-4513-8090-0DC0B8360775}"/>
    <cellStyle name="20% - Accent6 3 2 2 2_Exh G" xfId="2609" xr:uid="{00000000-0005-0000-0000-00002B260000}"/>
    <cellStyle name="20% - Accent6 3 2 2 3" xfId="3976" xr:uid="{00000000-0005-0000-0000-00002C260000}"/>
    <cellStyle name="20% - Accent6 3 2 2 3 2" xfId="7568" xr:uid="{00000000-0005-0000-0000-00002D260000}"/>
    <cellStyle name="20% - Accent6 3 2 2 3 2 2" xfId="15538" xr:uid="{00000000-0005-0000-0000-00002E260000}"/>
    <cellStyle name="20% - Accent6 3 2 2 3 2 2 2" xfId="39380" xr:uid="{9AD303D7-DDD9-4C9C-AC77-06C3858E1811}"/>
    <cellStyle name="20% - Accent6 3 2 2 3 2 3" xfId="23484" xr:uid="{00000000-0005-0000-0000-00002F260000}"/>
    <cellStyle name="20% - Accent6 3 2 2 3 2 3 2" xfId="47316" xr:uid="{44F1A491-7B2E-4A9E-8FED-1683AC8172E8}"/>
    <cellStyle name="20% - Accent6 3 2 2 3 2 4" xfId="31439" xr:uid="{1D50C2D9-DA51-4F3A-B21C-75FF216186AE}"/>
    <cellStyle name="20% - Accent6 3 2 2 3 3" xfId="12000" xr:uid="{00000000-0005-0000-0000-000030260000}"/>
    <cellStyle name="20% - Accent6 3 2 2 3 3 2" xfId="35849" xr:uid="{D5990CEE-AC60-4377-A6EF-76DB59AA9D2F}"/>
    <cellStyle name="20% - Accent6 3 2 2 3 4" xfId="19955" xr:uid="{00000000-0005-0000-0000-000031260000}"/>
    <cellStyle name="20% - Accent6 3 2 2 3 4 2" xfId="43787" xr:uid="{F1ED4D42-9A88-4189-A401-D2614FF5DBBB}"/>
    <cellStyle name="20% - Accent6 3 2 2 3 5" xfId="27908" xr:uid="{60746B9B-B4B9-44C0-84D4-16D4232A2521}"/>
    <cellStyle name="20% - Accent6 3 2 2 4" xfId="5796" xr:uid="{00000000-0005-0000-0000-000032260000}"/>
    <cellStyle name="20% - Accent6 3 2 2 4 2" xfId="13779" xr:uid="{00000000-0005-0000-0000-000033260000}"/>
    <cellStyle name="20% - Accent6 3 2 2 4 2 2" xfId="37622" xr:uid="{FCCDC733-D8F6-48D3-9DEE-3CDFA74DDFF5}"/>
    <cellStyle name="20% - Accent6 3 2 2 4 3" xfId="21727" xr:uid="{00000000-0005-0000-0000-000034260000}"/>
    <cellStyle name="20% - Accent6 3 2 2 4 3 2" xfId="45559" xr:uid="{1DF77D21-B680-4D6C-ADBD-84CFACAA52CE}"/>
    <cellStyle name="20% - Accent6 3 2 2 4 4" xfId="29681" xr:uid="{A070D748-852F-4198-9DA9-47D198601E1C}"/>
    <cellStyle name="20% - Accent6 3 2 2 5" xfId="9348" xr:uid="{00000000-0005-0000-0000-000035260000}"/>
    <cellStyle name="20% - Accent6 3 2 2 5 2" xfId="17306" xr:uid="{00000000-0005-0000-0000-000036260000}"/>
    <cellStyle name="20% - Accent6 3 2 2 5 2 2" xfId="41146" xr:uid="{659CA0CE-3567-4606-90AE-D05647A1B2CF}"/>
    <cellStyle name="20% - Accent6 3 2 2 5 3" xfId="25250" xr:uid="{00000000-0005-0000-0000-000037260000}"/>
    <cellStyle name="20% - Accent6 3 2 2 5 3 2" xfId="49082" xr:uid="{E239985F-E04B-450C-98F3-C37040EC221F}"/>
    <cellStyle name="20% - Accent6 3 2 2 5 4" xfId="33205" xr:uid="{4CF4E590-4489-4172-B33E-8F6CC0CA3227}"/>
    <cellStyle name="20% - Accent6 3 2 2 6" xfId="10244" xr:uid="{00000000-0005-0000-0000-000038260000}"/>
    <cellStyle name="20% - Accent6 3 2 2 6 2" xfId="34093" xr:uid="{55C45C7E-76A4-40B7-B86D-89879A9D39E1}"/>
    <cellStyle name="20% - Accent6 3 2 2 7" xfId="18199" xr:uid="{00000000-0005-0000-0000-000039260000}"/>
    <cellStyle name="20% - Accent6 3 2 2 7 2" xfId="42031" xr:uid="{092F0D63-59F3-4E7D-86F3-68AD5EE93105}"/>
    <cellStyle name="20% - Accent6 3 2 2 8" xfId="26151" xr:uid="{099A2829-C0E3-4679-AB46-59F7251C8595}"/>
    <cellStyle name="20% - Accent6 3 2 2_Exh G" xfId="2608" xr:uid="{00000000-0005-0000-0000-00003A260000}"/>
    <cellStyle name="20% - Accent6 3 2 3" xfId="923" xr:uid="{00000000-0005-0000-0000-00003B260000}"/>
    <cellStyle name="20% - Accent6 3 2 3 2" xfId="1845" xr:uid="{00000000-0005-0000-0000-00003C260000}"/>
    <cellStyle name="20% - Accent6 3 2 3 2 2" xfId="5362" xr:uid="{00000000-0005-0000-0000-00003D260000}"/>
    <cellStyle name="20% - Accent6 3 2 3 2 2 2" xfId="8953" xr:uid="{00000000-0005-0000-0000-00003E260000}"/>
    <cellStyle name="20% - Accent6 3 2 3 2 2 2 2" xfId="16923" xr:uid="{00000000-0005-0000-0000-00003F260000}"/>
    <cellStyle name="20% - Accent6 3 2 3 2 2 2 2 2" xfId="40765" xr:uid="{7FB0A2E8-4FB8-4243-BC4C-D70811990A41}"/>
    <cellStyle name="20% - Accent6 3 2 3 2 2 2 3" xfId="24869" xr:uid="{00000000-0005-0000-0000-000040260000}"/>
    <cellStyle name="20% - Accent6 3 2 3 2 2 2 3 2" xfId="48701" xr:uid="{3DBF0364-8F4F-4994-8D13-82F68FDBD864}"/>
    <cellStyle name="20% - Accent6 3 2 3 2 2 2 4" xfId="32824" xr:uid="{608121C1-EDC9-4680-B570-3C1D937BEB9D}"/>
    <cellStyle name="20% - Accent6 3 2 3 2 2 3" xfId="13385" xr:uid="{00000000-0005-0000-0000-000041260000}"/>
    <cellStyle name="20% - Accent6 3 2 3 2 2 3 2" xfId="37234" xr:uid="{00733E2E-A8E4-4B16-AD1B-D98777AB7DDA}"/>
    <cellStyle name="20% - Accent6 3 2 3 2 2 4" xfId="21340" xr:uid="{00000000-0005-0000-0000-000042260000}"/>
    <cellStyle name="20% - Accent6 3 2 3 2 2 4 2" xfId="45172" xr:uid="{53977EB5-EF87-4A69-AF9E-CE86AF2AC4FD}"/>
    <cellStyle name="20% - Accent6 3 2 3 2 2 5" xfId="29293" xr:uid="{EE1E4B56-D68E-4F04-B549-6ED5632DF4B6}"/>
    <cellStyle name="20% - Accent6 3 2 3 2 3" xfId="7194" xr:uid="{00000000-0005-0000-0000-000043260000}"/>
    <cellStyle name="20% - Accent6 3 2 3 2 3 2" xfId="15165" xr:uid="{00000000-0005-0000-0000-000044260000}"/>
    <cellStyle name="20% - Accent6 3 2 3 2 3 2 2" xfId="39007" xr:uid="{CB42EBB1-7AE8-46DE-A92A-8F331B049AEF}"/>
    <cellStyle name="20% - Accent6 3 2 3 2 3 3" xfId="23112" xr:uid="{00000000-0005-0000-0000-000045260000}"/>
    <cellStyle name="20% - Accent6 3 2 3 2 3 3 2" xfId="46944" xr:uid="{D37CF22E-62A0-474A-8C46-3B1DC172B8F5}"/>
    <cellStyle name="20% - Accent6 3 2 3 2 3 4" xfId="31066" xr:uid="{6B9703B5-1BF1-4FBA-B78F-403F4AC25C7A}"/>
    <cellStyle name="20% - Accent6 3 2 3 2 4" xfId="11629" xr:uid="{00000000-0005-0000-0000-000046260000}"/>
    <cellStyle name="20% - Accent6 3 2 3 2 4 2" xfId="35478" xr:uid="{9E618518-776E-44DE-BB49-F51F3913F912}"/>
    <cellStyle name="20% - Accent6 3 2 3 2 5" xfId="19584" xr:uid="{00000000-0005-0000-0000-000047260000}"/>
    <cellStyle name="20% - Accent6 3 2 3 2 5 2" xfId="43416" xr:uid="{8C8141FC-12DF-4F4D-A059-2566DE97E453}"/>
    <cellStyle name="20% - Accent6 3 2 3 2 6" xfId="27536" xr:uid="{A4A32088-0458-48C4-9284-EA70FB13345B}"/>
    <cellStyle name="20% - Accent6 3 2 3 2_Exh G" xfId="2611" xr:uid="{00000000-0005-0000-0000-000048260000}"/>
    <cellStyle name="20% - Accent6 3 2 3 3" xfId="4483" xr:uid="{00000000-0005-0000-0000-000049260000}"/>
    <cellStyle name="20% - Accent6 3 2 3 3 2" xfId="8075" xr:uid="{00000000-0005-0000-0000-00004A260000}"/>
    <cellStyle name="20% - Accent6 3 2 3 3 2 2" xfId="16045" xr:uid="{00000000-0005-0000-0000-00004B260000}"/>
    <cellStyle name="20% - Accent6 3 2 3 3 2 2 2" xfId="39887" xr:uid="{F109AE1D-A042-4EF6-922A-381B8DE13A6D}"/>
    <cellStyle name="20% - Accent6 3 2 3 3 2 3" xfId="23991" xr:uid="{00000000-0005-0000-0000-00004C260000}"/>
    <cellStyle name="20% - Accent6 3 2 3 3 2 3 2" xfId="47823" xr:uid="{817F7F6B-F160-4930-931E-238FB11322B0}"/>
    <cellStyle name="20% - Accent6 3 2 3 3 2 4" xfId="31946" xr:uid="{C1F3A62E-E854-41CE-9C6B-FEF8B1F79969}"/>
    <cellStyle name="20% - Accent6 3 2 3 3 3" xfId="12507" xr:uid="{00000000-0005-0000-0000-00004D260000}"/>
    <cellStyle name="20% - Accent6 3 2 3 3 3 2" xfId="36356" xr:uid="{AD235AE1-A2B0-43A8-AD78-93D6BAFD4EB1}"/>
    <cellStyle name="20% - Accent6 3 2 3 3 4" xfId="20462" xr:uid="{00000000-0005-0000-0000-00004E260000}"/>
    <cellStyle name="20% - Accent6 3 2 3 3 4 2" xfId="44294" xr:uid="{AFD182E5-EF9E-4E65-A269-9371F30DE7A9}"/>
    <cellStyle name="20% - Accent6 3 2 3 3 5" xfId="28415" xr:uid="{89BB2E41-257E-42B7-872F-D56D77D3123F}"/>
    <cellStyle name="20% - Accent6 3 2 3 4" xfId="6313" xr:uid="{00000000-0005-0000-0000-00004F260000}"/>
    <cellStyle name="20% - Accent6 3 2 3 4 2" xfId="14287" xr:uid="{00000000-0005-0000-0000-000050260000}"/>
    <cellStyle name="20% - Accent6 3 2 3 4 2 2" xfId="38129" xr:uid="{22440CA2-5C8A-47C2-ACAB-FAE8785FEB00}"/>
    <cellStyle name="20% - Accent6 3 2 3 4 3" xfId="22234" xr:uid="{00000000-0005-0000-0000-000051260000}"/>
    <cellStyle name="20% - Accent6 3 2 3 4 3 2" xfId="46066" xr:uid="{6D6A3734-4A51-40DF-9E49-16C3D2817480}"/>
    <cellStyle name="20% - Accent6 3 2 3 4 4" xfId="30188" xr:uid="{5BFDE946-FE81-4DA6-BBD3-597943405456}"/>
    <cellStyle name="20% - Accent6 3 2 3 5" xfId="9855" xr:uid="{00000000-0005-0000-0000-000052260000}"/>
    <cellStyle name="20% - Accent6 3 2 3 5 2" xfId="17813" xr:uid="{00000000-0005-0000-0000-000053260000}"/>
    <cellStyle name="20% - Accent6 3 2 3 5 2 2" xfId="41653" xr:uid="{EAEE90A0-D978-4872-BDE7-5E67D88EF8FB}"/>
    <cellStyle name="20% - Accent6 3 2 3 5 3" xfId="25757" xr:uid="{00000000-0005-0000-0000-000054260000}"/>
    <cellStyle name="20% - Accent6 3 2 3 5 3 2" xfId="49589" xr:uid="{24DDF3CA-B7FA-4B58-B827-9C27855A2D97}"/>
    <cellStyle name="20% - Accent6 3 2 3 5 4" xfId="33712" xr:uid="{F50310DB-115B-42FD-B110-D370AEADB3D2}"/>
    <cellStyle name="20% - Accent6 3 2 3 6" xfId="10751" xr:uid="{00000000-0005-0000-0000-000055260000}"/>
    <cellStyle name="20% - Accent6 3 2 3 6 2" xfId="34600" xr:uid="{CBD7DE79-DA26-41ED-8A41-4263B4CA638A}"/>
    <cellStyle name="20% - Accent6 3 2 3 7" xfId="18706" xr:uid="{00000000-0005-0000-0000-000056260000}"/>
    <cellStyle name="20% - Accent6 3 2 3 7 2" xfId="42538" xr:uid="{E379BD13-3686-4BA6-B1E6-BC870D7C01C9}"/>
    <cellStyle name="20% - Accent6 3 2 3 8" xfId="26658" xr:uid="{E1CD3991-2F18-42AB-A71E-B36B69E7F39D}"/>
    <cellStyle name="20% - Accent6 3 2 3_Exh G" xfId="2610" xr:uid="{00000000-0005-0000-0000-000057260000}"/>
    <cellStyle name="20% - Accent6 3 2 4" xfId="1327" xr:uid="{00000000-0005-0000-0000-000058260000}"/>
    <cellStyle name="20% - Accent6 3 2 4 2" xfId="4854" xr:uid="{00000000-0005-0000-0000-000059260000}"/>
    <cellStyle name="20% - Accent6 3 2 4 2 2" xfId="8445" xr:uid="{00000000-0005-0000-0000-00005A260000}"/>
    <cellStyle name="20% - Accent6 3 2 4 2 2 2" xfId="16415" xr:uid="{00000000-0005-0000-0000-00005B260000}"/>
    <cellStyle name="20% - Accent6 3 2 4 2 2 2 2" xfId="40257" xr:uid="{EFEF96F1-9424-4C96-889E-42389B2CC3FF}"/>
    <cellStyle name="20% - Accent6 3 2 4 2 2 3" xfId="24361" xr:uid="{00000000-0005-0000-0000-00005C260000}"/>
    <cellStyle name="20% - Accent6 3 2 4 2 2 3 2" xfId="48193" xr:uid="{DE85E602-68B5-4EB9-A5F1-44A11E05342C}"/>
    <cellStyle name="20% - Accent6 3 2 4 2 2 4" xfId="32316" xr:uid="{8E47BD8A-C343-413C-97AE-2C2BD8AD1573}"/>
    <cellStyle name="20% - Accent6 3 2 4 2 3" xfId="12877" xr:uid="{00000000-0005-0000-0000-00005D260000}"/>
    <cellStyle name="20% - Accent6 3 2 4 2 3 2" xfId="36726" xr:uid="{D02D558F-FBD5-4601-A9FF-0C526D7848D7}"/>
    <cellStyle name="20% - Accent6 3 2 4 2 4" xfId="20832" xr:uid="{00000000-0005-0000-0000-00005E260000}"/>
    <cellStyle name="20% - Accent6 3 2 4 2 4 2" xfId="44664" xr:uid="{3395A293-07E4-4DE2-9CAF-0A5DC841D5B0}"/>
    <cellStyle name="20% - Accent6 3 2 4 2 5" xfId="28785" xr:uid="{4853A5DE-0D9C-444E-9456-C5556313419F}"/>
    <cellStyle name="20% - Accent6 3 2 4 3" xfId="6686" xr:uid="{00000000-0005-0000-0000-00005F260000}"/>
    <cellStyle name="20% - Accent6 3 2 4 3 2" xfId="14657" xr:uid="{00000000-0005-0000-0000-000060260000}"/>
    <cellStyle name="20% - Accent6 3 2 4 3 2 2" xfId="38499" xr:uid="{CB22D347-BF15-4D36-93DB-E8B3E80CDD93}"/>
    <cellStyle name="20% - Accent6 3 2 4 3 3" xfId="22604" xr:uid="{00000000-0005-0000-0000-000061260000}"/>
    <cellStyle name="20% - Accent6 3 2 4 3 3 2" xfId="46436" xr:uid="{1489B656-CF81-4A29-A19E-F1202E6EF5B1}"/>
    <cellStyle name="20% - Accent6 3 2 4 3 4" xfId="30558" xr:uid="{84CBC938-1A07-4FE2-814B-0524938169D0}"/>
    <cellStyle name="20% - Accent6 3 2 4 4" xfId="11121" xr:uid="{00000000-0005-0000-0000-000062260000}"/>
    <cellStyle name="20% - Accent6 3 2 4 4 2" xfId="34970" xr:uid="{F866B17A-6ECC-4139-8A30-B6810006456E}"/>
    <cellStyle name="20% - Accent6 3 2 4 5" xfId="19076" xr:uid="{00000000-0005-0000-0000-000063260000}"/>
    <cellStyle name="20% - Accent6 3 2 4 5 2" xfId="42908" xr:uid="{DCB256A8-9498-4E0E-901F-8DE0D5224908}"/>
    <cellStyle name="20% - Accent6 3 2 4 6" xfId="27028" xr:uid="{233E5E7F-5CE2-4314-A372-5073EFE8D5DB}"/>
    <cellStyle name="20% - Accent6 3 2 4_Exh G" xfId="2612" xr:uid="{00000000-0005-0000-0000-000064260000}"/>
    <cellStyle name="20% - Accent6 3 2 5" xfId="3975" xr:uid="{00000000-0005-0000-0000-000065260000}"/>
    <cellStyle name="20% - Accent6 3 2 5 2" xfId="7567" xr:uid="{00000000-0005-0000-0000-000066260000}"/>
    <cellStyle name="20% - Accent6 3 2 5 2 2" xfId="15537" xr:uid="{00000000-0005-0000-0000-000067260000}"/>
    <cellStyle name="20% - Accent6 3 2 5 2 2 2" xfId="39379" xr:uid="{A1C0E83C-9AB2-442D-BE47-5469AA2DA7B0}"/>
    <cellStyle name="20% - Accent6 3 2 5 2 3" xfId="23483" xr:uid="{00000000-0005-0000-0000-000068260000}"/>
    <cellStyle name="20% - Accent6 3 2 5 2 3 2" xfId="47315" xr:uid="{429FF5B0-C7DE-4773-AE46-0506848CDC0B}"/>
    <cellStyle name="20% - Accent6 3 2 5 2 4" xfId="31438" xr:uid="{B26A6C17-84A5-4715-94A0-9BB590B072F2}"/>
    <cellStyle name="20% - Accent6 3 2 5 3" xfId="11999" xr:uid="{00000000-0005-0000-0000-000069260000}"/>
    <cellStyle name="20% - Accent6 3 2 5 3 2" xfId="35848" xr:uid="{40A13DC4-1CD9-44D6-A1A8-40328664E403}"/>
    <cellStyle name="20% - Accent6 3 2 5 4" xfId="19954" xr:uid="{00000000-0005-0000-0000-00006A260000}"/>
    <cellStyle name="20% - Accent6 3 2 5 4 2" xfId="43786" xr:uid="{7B0375F1-4369-499B-8E4B-C36EBE8F083F}"/>
    <cellStyle name="20% - Accent6 3 2 5 5" xfId="27907" xr:uid="{7988611F-6128-4922-BB97-7BBB247EDDBB}"/>
    <cellStyle name="20% - Accent6 3 2 6" xfId="5795" xr:uid="{00000000-0005-0000-0000-00006B260000}"/>
    <cellStyle name="20% - Accent6 3 2 6 2" xfId="13778" xr:uid="{00000000-0005-0000-0000-00006C260000}"/>
    <cellStyle name="20% - Accent6 3 2 6 2 2" xfId="37621" xr:uid="{8CD19076-CC72-476B-BC9E-B74FABF9A367}"/>
    <cellStyle name="20% - Accent6 3 2 6 3" xfId="21726" xr:uid="{00000000-0005-0000-0000-00006D260000}"/>
    <cellStyle name="20% - Accent6 3 2 6 3 2" xfId="45558" xr:uid="{A58D3307-862E-42FE-B99C-5DC3789C2735}"/>
    <cellStyle name="20% - Accent6 3 2 6 4" xfId="29680" xr:uid="{367AE60A-DF36-462C-8C32-A89BC7192B98}"/>
    <cellStyle name="20% - Accent6 3 2 7" xfId="9347" xr:uid="{00000000-0005-0000-0000-00006E260000}"/>
    <cellStyle name="20% - Accent6 3 2 7 2" xfId="17305" xr:uid="{00000000-0005-0000-0000-00006F260000}"/>
    <cellStyle name="20% - Accent6 3 2 7 2 2" xfId="41145" xr:uid="{235D70A0-2790-4618-8C5D-74C97B7D5988}"/>
    <cellStyle name="20% - Accent6 3 2 7 3" xfId="25249" xr:uid="{00000000-0005-0000-0000-000070260000}"/>
    <cellStyle name="20% - Accent6 3 2 7 3 2" xfId="49081" xr:uid="{CE724C6A-9975-4372-90CB-C93993D3D142}"/>
    <cellStyle name="20% - Accent6 3 2 7 4" xfId="33204" xr:uid="{D9D8F8B3-4DD3-483A-9B37-D15370F898E1}"/>
    <cellStyle name="20% - Accent6 3 2 8" xfId="10243" xr:uid="{00000000-0005-0000-0000-000071260000}"/>
    <cellStyle name="20% - Accent6 3 2 8 2" xfId="34092" xr:uid="{27110C8B-90C9-4FE3-AEA5-47776F37712B}"/>
    <cellStyle name="20% - Accent6 3 2 9" xfId="18198" xr:uid="{00000000-0005-0000-0000-000072260000}"/>
    <cellStyle name="20% - Accent6 3 2 9 2" xfId="42030" xr:uid="{96CB6ED7-6CA3-42A1-AB22-A62C5FC93FC2}"/>
    <cellStyle name="20% - Accent6 3 2_Exh G" xfId="2607" xr:uid="{00000000-0005-0000-0000-000073260000}"/>
    <cellStyle name="20% - Accent6 3 3" xfId="303" xr:uid="{00000000-0005-0000-0000-000074260000}"/>
    <cellStyle name="20% - Accent6 3 3 2" xfId="1329" xr:uid="{00000000-0005-0000-0000-000075260000}"/>
    <cellStyle name="20% - Accent6 3 3 2 2" xfId="4856" xr:uid="{00000000-0005-0000-0000-000076260000}"/>
    <cellStyle name="20% - Accent6 3 3 2 2 2" xfId="8447" xr:uid="{00000000-0005-0000-0000-000077260000}"/>
    <cellStyle name="20% - Accent6 3 3 2 2 2 2" xfId="16417" xr:uid="{00000000-0005-0000-0000-000078260000}"/>
    <cellStyle name="20% - Accent6 3 3 2 2 2 2 2" xfId="40259" xr:uid="{4ECC91E6-61EA-4BC0-AB00-B2AFFD92956F}"/>
    <cellStyle name="20% - Accent6 3 3 2 2 2 3" xfId="24363" xr:uid="{00000000-0005-0000-0000-000079260000}"/>
    <cellStyle name="20% - Accent6 3 3 2 2 2 3 2" xfId="48195" xr:uid="{EEDF0FD4-A6EB-4131-AEA2-C857CEC426A4}"/>
    <cellStyle name="20% - Accent6 3 3 2 2 2 4" xfId="32318" xr:uid="{B0EA88DB-B9DB-43E7-A407-BDD91C787999}"/>
    <cellStyle name="20% - Accent6 3 3 2 2 3" xfId="12879" xr:uid="{00000000-0005-0000-0000-00007A260000}"/>
    <cellStyle name="20% - Accent6 3 3 2 2 3 2" xfId="36728" xr:uid="{5A4E77FD-A287-4B7F-869E-587148883532}"/>
    <cellStyle name="20% - Accent6 3 3 2 2 4" xfId="20834" xr:uid="{00000000-0005-0000-0000-00007B260000}"/>
    <cellStyle name="20% - Accent6 3 3 2 2 4 2" xfId="44666" xr:uid="{E379A7E0-4DDE-45CF-A88F-1E19241CEADE}"/>
    <cellStyle name="20% - Accent6 3 3 2 2 5" xfId="28787" xr:uid="{96213D61-B378-4149-B5DB-EF00908C1D3D}"/>
    <cellStyle name="20% - Accent6 3 3 2 3" xfId="6688" xr:uid="{00000000-0005-0000-0000-00007C260000}"/>
    <cellStyle name="20% - Accent6 3 3 2 3 2" xfId="14659" xr:uid="{00000000-0005-0000-0000-00007D260000}"/>
    <cellStyle name="20% - Accent6 3 3 2 3 2 2" xfId="38501" xr:uid="{9B3B04DE-8E7C-42D2-9506-F44FC2295AAD}"/>
    <cellStyle name="20% - Accent6 3 3 2 3 3" xfId="22606" xr:uid="{00000000-0005-0000-0000-00007E260000}"/>
    <cellStyle name="20% - Accent6 3 3 2 3 3 2" xfId="46438" xr:uid="{B831E885-5194-4A9F-9443-D9AC09BF396E}"/>
    <cellStyle name="20% - Accent6 3 3 2 3 4" xfId="30560" xr:uid="{33FAC6D1-0DB5-447D-8FC6-18BA36D6E4DE}"/>
    <cellStyle name="20% - Accent6 3 3 2 4" xfId="11123" xr:uid="{00000000-0005-0000-0000-00007F260000}"/>
    <cellStyle name="20% - Accent6 3 3 2 4 2" xfId="34972" xr:uid="{3FE10853-1235-4972-BA4C-2DAA0E434758}"/>
    <cellStyle name="20% - Accent6 3 3 2 5" xfId="19078" xr:uid="{00000000-0005-0000-0000-000080260000}"/>
    <cellStyle name="20% - Accent6 3 3 2 5 2" xfId="42910" xr:uid="{FA7E9ABE-183C-4B24-BFC0-20A6034CA28F}"/>
    <cellStyle name="20% - Accent6 3 3 2 6" xfId="27030" xr:uid="{BEF52299-1A28-433E-B5C4-7699C3093679}"/>
    <cellStyle name="20% - Accent6 3 3 2_Exh G" xfId="2614" xr:uid="{00000000-0005-0000-0000-000081260000}"/>
    <cellStyle name="20% - Accent6 3 3 3" xfId="3977" xr:uid="{00000000-0005-0000-0000-000082260000}"/>
    <cellStyle name="20% - Accent6 3 3 3 2" xfId="7569" xr:uid="{00000000-0005-0000-0000-000083260000}"/>
    <cellStyle name="20% - Accent6 3 3 3 2 2" xfId="15539" xr:uid="{00000000-0005-0000-0000-000084260000}"/>
    <cellStyle name="20% - Accent6 3 3 3 2 2 2" xfId="39381" xr:uid="{93A1DEFE-9DDC-4CA7-9A85-76E2C4190BBE}"/>
    <cellStyle name="20% - Accent6 3 3 3 2 3" xfId="23485" xr:uid="{00000000-0005-0000-0000-000085260000}"/>
    <cellStyle name="20% - Accent6 3 3 3 2 3 2" xfId="47317" xr:uid="{3895ED08-E4FD-488F-8737-2F77AFEBD576}"/>
    <cellStyle name="20% - Accent6 3 3 3 2 4" xfId="31440" xr:uid="{A716A602-7CF3-4CCD-B39E-AB0A622F740D}"/>
    <cellStyle name="20% - Accent6 3 3 3 3" xfId="12001" xr:uid="{00000000-0005-0000-0000-000086260000}"/>
    <cellStyle name="20% - Accent6 3 3 3 3 2" xfId="35850" xr:uid="{04B0417E-D1E9-4C10-B02D-33FB29CCFA53}"/>
    <cellStyle name="20% - Accent6 3 3 3 4" xfId="19956" xr:uid="{00000000-0005-0000-0000-000087260000}"/>
    <cellStyle name="20% - Accent6 3 3 3 4 2" xfId="43788" xr:uid="{4A441B09-1FB8-4BBD-95DE-EB355FFE8178}"/>
    <cellStyle name="20% - Accent6 3 3 3 5" xfId="27909" xr:uid="{B88E7E5C-DAF7-4B4B-9C8B-6AC3D7A5C96C}"/>
    <cellStyle name="20% - Accent6 3 3 4" xfId="5797" xr:uid="{00000000-0005-0000-0000-000088260000}"/>
    <cellStyle name="20% - Accent6 3 3 4 2" xfId="13780" xr:uid="{00000000-0005-0000-0000-000089260000}"/>
    <cellStyle name="20% - Accent6 3 3 4 2 2" xfId="37623" xr:uid="{31F1A8FC-86AC-4182-A161-666334E7FE81}"/>
    <cellStyle name="20% - Accent6 3 3 4 3" xfId="21728" xr:uid="{00000000-0005-0000-0000-00008A260000}"/>
    <cellStyle name="20% - Accent6 3 3 4 3 2" xfId="45560" xr:uid="{DD2A7CAF-26B8-4F75-84D9-564F63ABB6A2}"/>
    <cellStyle name="20% - Accent6 3 3 4 4" xfId="29682" xr:uid="{C9DCB5D5-6156-417D-85C3-D81B0745A755}"/>
    <cellStyle name="20% - Accent6 3 3 5" xfId="9349" xr:uid="{00000000-0005-0000-0000-00008B260000}"/>
    <cellStyle name="20% - Accent6 3 3 5 2" xfId="17307" xr:uid="{00000000-0005-0000-0000-00008C260000}"/>
    <cellStyle name="20% - Accent6 3 3 5 2 2" xfId="41147" xr:uid="{D8660163-C85D-4001-A459-8BD9D5181AB8}"/>
    <cellStyle name="20% - Accent6 3 3 5 3" xfId="25251" xr:uid="{00000000-0005-0000-0000-00008D260000}"/>
    <cellStyle name="20% - Accent6 3 3 5 3 2" xfId="49083" xr:uid="{1BA40192-4440-4404-80BA-2255CD23DC10}"/>
    <cellStyle name="20% - Accent6 3 3 5 4" xfId="33206" xr:uid="{F492C4FF-E37C-4001-BAED-FCA1D8C2A138}"/>
    <cellStyle name="20% - Accent6 3 3 6" xfId="10245" xr:uid="{00000000-0005-0000-0000-00008E260000}"/>
    <cellStyle name="20% - Accent6 3 3 6 2" xfId="34094" xr:uid="{5842E4CC-B783-40C1-9F44-83605D527EAE}"/>
    <cellStyle name="20% - Accent6 3 3 7" xfId="18200" xr:uid="{00000000-0005-0000-0000-00008F260000}"/>
    <cellStyle name="20% - Accent6 3 3 7 2" xfId="42032" xr:uid="{05A1F43C-AB6E-432D-ACFB-383DC4F08934}"/>
    <cellStyle name="20% - Accent6 3 3 8" xfId="26152" xr:uid="{01E8014F-5CF1-456C-99C5-328B443DA7B5}"/>
    <cellStyle name="20% - Accent6 3 3_Exh G" xfId="2613" xr:uid="{00000000-0005-0000-0000-000090260000}"/>
    <cellStyle name="20% - Accent6 3 4" xfId="922" xr:uid="{00000000-0005-0000-0000-000091260000}"/>
    <cellStyle name="20% - Accent6 3 4 2" xfId="1844" xr:uid="{00000000-0005-0000-0000-000092260000}"/>
    <cellStyle name="20% - Accent6 3 4 2 2" xfId="5361" xr:uid="{00000000-0005-0000-0000-000093260000}"/>
    <cellStyle name="20% - Accent6 3 4 2 2 2" xfId="8952" xr:uid="{00000000-0005-0000-0000-000094260000}"/>
    <cellStyle name="20% - Accent6 3 4 2 2 2 2" xfId="16922" xr:uid="{00000000-0005-0000-0000-000095260000}"/>
    <cellStyle name="20% - Accent6 3 4 2 2 2 2 2" xfId="40764" xr:uid="{147C3189-B710-4843-B69B-5038987A4D93}"/>
    <cellStyle name="20% - Accent6 3 4 2 2 2 3" xfId="24868" xr:uid="{00000000-0005-0000-0000-000096260000}"/>
    <cellStyle name="20% - Accent6 3 4 2 2 2 3 2" xfId="48700" xr:uid="{7FE3B4A9-4F2B-4281-BAE9-88CB5D005DD0}"/>
    <cellStyle name="20% - Accent6 3 4 2 2 2 4" xfId="32823" xr:uid="{FBECC882-3514-4F83-AD6B-199CB5485969}"/>
    <cellStyle name="20% - Accent6 3 4 2 2 3" xfId="13384" xr:uid="{00000000-0005-0000-0000-000097260000}"/>
    <cellStyle name="20% - Accent6 3 4 2 2 3 2" xfId="37233" xr:uid="{5ADE6528-4CDA-464E-A9AB-613B9486243F}"/>
    <cellStyle name="20% - Accent6 3 4 2 2 4" xfId="21339" xr:uid="{00000000-0005-0000-0000-000098260000}"/>
    <cellStyle name="20% - Accent6 3 4 2 2 4 2" xfId="45171" xr:uid="{46DA9CDE-CA83-4DFC-8C47-357DF7B5A27F}"/>
    <cellStyle name="20% - Accent6 3 4 2 2 5" xfId="29292" xr:uid="{81023CE7-05C9-4069-B8C3-669F114B5316}"/>
    <cellStyle name="20% - Accent6 3 4 2 3" xfId="7193" xr:uid="{00000000-0005-0000-0000-000099260000}"/>
    <cellStyle name="20% - Accent6 3 4 2 3 2" xfId="15164" xr:uid="{00000000-0005-0000-0000-00009A260000}"/>
    <cellStyle name="20% - Accent6 3 4 2 3 2 2" xfId="39006" xr:uid="{AA240CC4-B994-491C-AE30-4E9B24B95475}"/>
    <cellStyle name="20% - Accent6 3 4 2 3 3" xfId="23111" xr:uid="{00000000-0005-0000-0000-00009B260000}"/>
    <cellStyle name="20% - Accent6 3 4 2 3 3 2" xfId="46943" xr:uid="{422181C4-F04A-4910-975C-C940E4FC1447}"/>
    <cellStyle name="20% - Accent6 3 4 2 3 4" xfId="31065" xr:uid="{35A45E75-1013-4348-9AFE-FE86BF844DB7}"/>
    <cellStyle name="20% - Accent6 3 4 2 4" xfId="11628" xr:uid="{00000000-0005-0000-0000-00009C260000}"/>
    <cellStyle name="20% - Accent6 3 4 2 4 2" xfId="35477" xr:uid="{E16774FD-9FA6-4DCD-ABDA-2BF556A5303E}"/>
    <cellStyle name="20% - Accent6 3 4 2 5" xfId="19583" xr:uid="{00000000-0005-0000-0000-00009D260000}"/>
    <cellStyle name="20% - Accent6 3 4 2 5 2" xfId="43415" xr:uid="{492CC872-6C58-4165-9DBD-34B0BA3FC717}"/>
    <cellStyle name="20% - Accent6 3 4 2 6" xfId="27535" xr:uid="{9CBB8AE2-CFB9-47D9-B216-D2ABFE012743}"/>
    <cellStyle name="20% - Accent6 3 4 2_Exh G" xfId="2616" xr:uid="{00000000-0005-0000-0000-00009E260000}"/>
    <cellStyle name="20% - Accent6 3 4 3" xfId="4482" xr:uid="{00000000-0005-0000-0000-00009F260000}"/>
    <cellStyle name="20% - Accent6 3 4 3 2" xfId="8074" xr:uid="{00000000-0005-0000-0000-0000A0260000}"/>
    <cellStyle name="20% - Accent6 3 4 3 2 2" xfId="16044" xr:uid="{00000000-0005-0000-0000-0000A1260000}"/>
    <cellStyle name="20% - Accent6 3 4 3 2 2 2" xfId="39886" xr:uid="{68869CD5-EEA0-46F4-8B03-D9C38E927BE8}"/>
    <cellStyle name="20% - Accent6 3 4 3 2 3" xfId="23990" xr:uid="{00000000-0005-0000-0000-0000A2260000}"/>
    <cellStyle name="20% - Accent6 3 4 3 2 3 2" xfId="47822" xr:uid="{1F0D956A-8D30-4F7F-B3EB-9C0F0CE68DDE}"/>
    <cellStyle name="20% - Accent6 3 4 3 2 4" xfId="31945" xr:uid="{C67412B0-EB65-41AB-BA2F-CD8DB260E151}"/>
    <cellStyle name="20% - Accent6 3 4 3 3" xfId="12506" xr:uid="{00000000-0005-0000-0000-0000A3260000}"/>
    <cellStyle name="20% - Accent6 3 4 3 3 2" xfId="36355" xr:uid="{AA3411E5-4DF4-4722-BBB4-AC25DE22E1D6}"/>
    <cellStyle name="20% - Accent6 3 4 3 4" xfId="20461" xr:uid="{00000000-0005-0000-0000-0000A4260000}"/>
    <cellStyle name="20% - Accent6 3 4 3 4 2" xfId="44293" xr:uid="{490FB7C1-705D-40DF-AAE9-88594034EBB5}"/>
    <cellStyle name="20% - Accent6 3 4 3 5" xfId="28414" xr:uid="{14587C4C-2AFC-422A-8EE6-CE0C38D0C12F}"/>
    <cellStyle name="20% - Accent6 3 4 4" xfId="6312" xr:uid="{00000000-0005-0000-0000-0000A5260000}"/>
    <cellStyle name="20% - Accent6 3 4 4 2" xfId="14286" xr:uid="{00000000-0005-0000-0000-0000A6260000}"/>
    <cellStyle name="20% - Accent6 3 4 4 2 2" xfId="38128" xr:uid="{F1BA97B0-79B3-48CE-AFCB-267E9F0A799E}"/>
    <cellStyle name="20% - Accent6 3 4 4 3" xfId="22233" xr:uid="{00000000-0005-0000-0000-0000A7260000}"/>
    <cellStyle name="20% - Accent6 3 4 4 3 2" xfId="46065" xr:uid="{820677BA-68F3-4FE7-9D57-B63E7EC37565}"/>
    <cellStyle name="20% - Accent6 3 4 4 4" xfId="30187" xr:uid="{1DC249BB-3066-4DA3-9557-B5E5D6950CB8}"/>
    <cellStyle name="20% - Accent6 3 4 5" xfId="9854" xr:uid="{00000000-0005-0000-0000-0000A8260000}"/>
    <cellStyle name="20% - Accent6 3 4 5 2" xfId="17812" xr:uid="{00000000-0005-0000-0000-0000A9260000}"/>
    <cellStyle name="20% - Accent6 3 4 5 2 2" xfId="41652" xr:uid="{184804EC-C21E-42D2-BA48-3552F5A3E21D}"/>
    <cellStyle name="20% - Accent6 3 4 5 3" xfId="25756" xr:uid="{00000000-0005-0000-0000-0000AA260000}"/>
    <cellStyle name="20% - Accent6 3 4 5 3 2" xfId="49588" xr:uid="{D8132098-37EB-4F12-9028-F2BA8438CC51}"/>
    <cellStyle name="20% - Accent6 3 4 5 4" xfId="33711" xr:uid="{E48FEA69-956D-47FA-8647-61CF3F03DD12}"/>
    <cellStyle name="20% - Accent6 3 4 6" xfId="10750" xr:uid="{00000000-0005-0000-0000-0000AB260000}"/>
    <cellStyle name="20% - Accent6 3 4 6 2" xfId="34599" xr:uid="{2D4F352B-57C3-4022-87C2-076F6907463D}"/>
    <cellStyle name="20% - Accent6 3 4 7" xfId="18705" xr:uid="{00000000-0005-0000-0000-0000AC260000}"/>
    <cellStyle name="20% - Accent6 3 4 7 2" xfId="42537" xr:uid="{5EF17BD2-9F25-46F9-8C2B-FA827AEA3F19}"/>
    <cellStyle name="20% - Accent6 3 4 8" xfId="26657" xr:uid="{BECD37B0-57A3-4837-868C-ED68E8EA7550}"/>
    <cellStyle name="20% - Accent6 3 4_Exh G" xfId="2615" xr:uid="{00000000-0005-0000-0000-0000AD260000}"/>
    <cellStyle name="20% - Accent6 3 5" xfId="1326" xr:uid="{00000000-0005-0000-0000-0000AE260000}"/>
    <cellStyle name="20% - Accent6 3 5 2" xfId="4853" xr:uid="{00000000-0005-0000-0000-0000AF260000}"/>
    <cellStyle name="20% - Accent6 3 5 2 2" xfId="8444" xr:uid="{00000000-0005-0000-0000-0000B0260000}"/>
    <cellStyle name="20% - Accent6 3 5 2 2 2" xfId="16414" xr:uid="{00000000-0005-0000-0000-0000B1260000}"/>
    <cellStyle name="20% - Accent6 3 5 2 2 2 2" xfId="40256" xr:uid="{D0EA0D72-C25E-48DB-B139-42317FC71FEC}"/>
    <cellStyle name="20% - Accent6 3 5 2 2 3" xfId="24360" xr:uid="{00000000-0005-0000-0000-0000B2260000}"/>
    <cellStyle name="20% - Accent6 3 5 2 2 3 2" xfId="48192" xr:uid="{50DFEEA7-DDDC-4BC5-B00E-9322C3A65D3D}"/>
    <cellStyle name="20% - Accent6 3 5 2 2 4" xfId="32315" xr:uid="{8125F6C5-6C03-40DC-8092-8BEADA7E551B}"/>
    <cellStyle name="20% - Accent6 3 5 2 3" xfId="12876" xr:uid="{00000000-0005-0000-0000-0000B3260000}"/>
    <cellStyle name="20% - Accent6 3 5 2 3 2" xfId="36725" xr:uid="{DFD61B95-67F5-4AB0-AF3C-A33F39DDB1BB}"/>
    <cellStyle name="20% - Accent6 3 5 2 4" xfId="20831" xr:uid="{00000000-0005-0000-0000-0000B4260000}"/>
    <cellStyle name="20% - Accent6 3 5 2 4 2" xfId="44663" xr:uid="{F2BE6438-BB31-462B-AB27-EACC72A12BC9}"/>
    <cellStyle name="20% - Accent6 3 5 2 5" xfId="28784" xr:uid="{22249153-031A-4D73-8B1B-E74FA79C596D}"/>
    <cellStyle name="20% - Accent6 3 5 3" xfId="6685" xr:uid="{00000000-0005-0000-0000-0000B5260000}"/>
    <cellStyle name="20% - Accent6 3 5 3 2" xfId="14656" xr:uid="{00000000-0005-0000-0000-0000B6260000}"/>
    <cellStyle name="20% - Accent6 3 5 3 2 2" xfId="38498" xr:uid="{E1E91C58-6BF1-41BA-A619-EEF8E7D34F7A}"/>
    <cellStyle name="20% - Accent6 3 5 3 3" xfId="22603" xr:uid="{00000000-0005-0000-0000-0000B7260000}"/>
    <cellStyle name="20% - Accent6 3 5 3 3 2" xfId="46435" xr:uid="{039D39A5-343D-42D4-A922-5516E87CE361}"/>
    <cellStyle name="20% - Accent6 3 5 3 4" xfId="30557" xr:uid="{F5791AD0-A1A6-47C1-92D8-642795BD8DAE}"/>
    <cellStyle name="20% - Accent6 3 5 4" xfId="11120" xr:uid="{00000000-0005-0000-0000-0000B8260000}"/>
    <cellStyle name="20% - Accent6 3 5 4 2" xfId="34969" xr:uid="{61EF7EA2-27F2-4E93-9DB3-18B7027D43AD}"/>
    <cellStyle name="20% - Accent6 3 5 5" xfId="19075" xr:uid="{00000000-0005-0000-0000-0000B9260000}"/>
    <cellStyle name="20% - Accent6 3 5 5 2" xfId="42907" xr:uid="{5438C821-B166-4B4E-8B6C-0428BA89F043}"/>
    <cellStyle name="20% - Accent6 3 5 6" xfId="27027" xr:uid="{3B219654-DE1B-4BA7-8577-B111D19EEB63}"/>
    <cellStyle name="20% - Accent6 3 5_Exh G" xfId="2617" xr:uid="{00000000-0005-0000-0000-0000BA260000}"/>
    <cellStyle name="20% - Accent6 3 6" xfId="3974" xr:uid="{00000000-0005-0000-0000-0000BB260000}"/>
    <cellStyle name="20% - Accent6 3 6 2" xfId="7566" xr:uid="{00000000-0005-0000-0000-0000BC260000}"/>
    <cellStyle name="20% - Accent6 3 6 2 2" xfId="15536" xr:uid="{00000000-0005-0000-0000-0000BD260000}"/>
    <cellStyle name="20% - Accent6 3 6 2 2 2" xfId="39378" xr:uid="{EB26D9BF-4220-48F3-8AC0-F15A838BCC1A}"/>
    <cellStyle name="20% - Accent6 3 6 2 3" xfId="23482" xr:uid="{00000000-0005-0000-0000-0000BE260000}"/>
    <cellStyle name="20% - Accent6 3 6 2 3 2" xfId="47314" xr:uid="{F65ED784-A5C0-4914-8C91-1108A84AF0D8}"/>
    <cellStyle name="20% - Accent6 3 6 2 4" xfId="31437" xr:uid="{AA46B9ED-4488-424B-A8CF-422F05366265}"/>
    <cellStyle name="20% - Accent6 3 6 3" xfId="11998" xr:uid="{00000000-0005-0000-0000-0000BF260000}"/>
    <cellStyle name="20% - Accent6 3 6 3 2" xfId="35847" xr:uid="{0E7951F1-1FE2-4C7E-81E5-A32204FC5AEA}"/>
    <cellStyle name="20% - Accent6 3 6 4" xfId="19953" xr:uid="{00000000-0005-0000-0000-0000C0260000}"/>
    <cellStyle name="20% - Accent6 3 6 4 2" xfId="43785" xr:uid="{BA9FDF04-6F4D-477C-943F-D6C8BB365926}"/>
    <cellStyle name="20% - Accent6 3 6 5" xfId="27906" xr:uid="{E8732A44-1584-4198-9C8B-F0E926AA07B2}"/>
    <cellStyle name="20% - Accent6 3 7" xfId="5794" xr:uid="{00000000-0005-0000-0000-0000C1260000}"/>
    <cellStyle name="20% - Accent6 3 7 2" xfId="13777" xr:uid="{00000000-0005-0000-0000-0000C2260000}"/>
    <cellStyle name="20% - Accent6 3 7 2 2" xfId="37620" xr:uid="{A2BF1544-2EF4-49A6-ADAD-8A12A76A556F}"/>
    <cellStyle name="20% - Accent6 3 7 3" xfId="21725" xr:uid="{00000000-0005-0000-0000-0000C3260000}"/>
    <cellStyle name="20% - Accent6 3 7 3 2" xfId="45557" xr:uid="{5D7A05AF-234C-464A-82AB-07FA5BB6A9C9}"/>
    <cellStyle name="20% - Accent6 3 7 4" xfId="29679" xr:uid="{1E3CBDDE-6349-4055-A643-CB649183B75A}"/>
    <cellStyle name="20% - Accent6 3 8" xfId="9346" xr:uid="{00000000-0005-0000-0000-0000C4260000}"/>
    <cellStyle name="20% - Accent6 3 8 2" xfId="17304" xr:uid="{00000000-0005-0000-0000-0000C5260000}"/>
    <cellStyle name="20% - Accent6 3 8 2 2" xfId="41144" xr:uid="{7B1C3268-F0E9-4CC6-8744-F05A36B6D6CC}"/>
    <cellStyle name="20% - Accent6 3 8 3" xfId="25248" xr:uid="{00000000-0005-0000-0000-0000C6260000}"/>
    <cellStyle name="20% - Accent6 3 8 3 2" xfId="49080" xr:uid="{795CAEE8-BE30-4301-868C-FC0FA87BFBC0}"/>
    <cellStyle name="20% - Accent6 3 8 4" xfId="33203" xr:uid="{37BD5971-6437-435D-9504-73641573C194}"/>
    <cellStyle name="20% - Accent6 3 9" xfId="10242" xr:uid="{00000000-0005-0000-0000-0000C7260000}"/>
    <cellStyle name="20% - Accent6 3 9 2" xfId="34091" xr:uid="{212D275B-4B7B-4F06-8BDE-F14652C53A21}"/>
    <cellStyle name="20% - Accent6 3_Exh G" xfId="2606" xr:uid="{00000000-0005-0000-0000-0000C8260000}"/>
    <cellStyle name="20% - Accent6 4" xfId="304" xr:uid="{00000000-0005-0000-0000-0000C9260000}"/>
    <cellStyle name="20% - Accent6 4 10" xfId="18201" xr:uid="{00000000-0005-0000-0000-0000CA260000}"/>
    <cellStyle name="20% - Accent6 4 10 2" xfId="42033" xr:uid="{2317A849-6C94-42F1-9DA7-D6D73766CEF2}"/>
    <cellStyle name="20% - Accent6 4 11" xfId="26153" xr:uid="{B66E8098-7D33-4C75-B0A8-CECCCBA382C5}"/>
    <cellStyle name="20% - Accent6 4 2" xfId="305" xr:uid="{00000000-0005-0000-0000-0000CB260000}"/>
    <cellStyle name="20% - Accent6 4 2 10" xfId="26154" xr:uid="{927FCE53-8FC7-424C-A750-F4953432D9D4}"/>
    <cellStyle name="20% - Accent6 4 2 2" xfId="306" xr:uid="{00000000-0005-0000-0000-0000CC260000}"/>
    <cellStyle name="20% - Accent6 4 2 2 2" xfId="1332" xr:uid="{00000000-0005-0000-0000-0000CD260000}"/>
    <cellStyle name="20% - Accent6 4 2 2 2 2" xfId="4859" xr:uid="{00000000-0005-0000-0000-0000CE260000}"/>
    <cellStyle name="20% - Accent6 4 2 2 2 2 2" xfId="8450" xr:uid="{00000000-0005-0000-0000-0000CF260000}"/>
    <cellStyle name="20% - Accent6 4 2 2 2 2 2 2" xfId="16420" xr:uid="{00000000-0005-0000-0000-0000D0260000}"/>
    <cellStyle name="20% - Accent6 4 2 2 2 2 2 2 2" xfId="40262" xr:uid="{4D92F457-2B18-49FA-B16F-DA69059407B0}"/>
    <cellStyle name="20% - Accent6 4 2 2 2 2 2 3" xfId="24366" xr:uid="{00000000-0005-0000-0000-0000D1260000}"/>
    <cellStyle name="20% - Accent6 4 2 2 2 2 2 3 2" xfId="48198" xr:uid="{0D93E50B-ACE6-4643-A206-EF165CB2E185}"/>
    <cellStyle name="20% - Accent6 4 2 2 2 2 2 4" xfId="32321" xr:uid="{6CA901C9-3195-4171-8BF6-E2FF964597B2}"/>
    <cellStyle name="20% - Accent6 4 2 2 2 2 3" xfId="12882" xr:uid="{00000000-0005-0000-0000-0000D2260000}"/>
    <cellStyle name="20% - Accent6 4 2 2 2 2 3 2" xfId="36731" xr:uid="{6EFA2429-8238-43A0-8942-114212BF3066}"/>
    <cellStyle name="20% - Accent6 4 2 2 2 2 4" xfId="20837" xr:uid="{00000000-0005-0000-0000-0000D3260000}"/>
    <cellStyle name="20% - Accent6 4 2 2 2 2 4 2" xfId="44669" xr:uid="{F22BACD7-EBAC-4D8D-BC9A-F17262FF6D72}"/>
    <cellStyle name="20% - Accent6 4 2 2 2 2 5" xfId="28790" xr:uid="{BF66D882-3FAE-40C6-B3D9-EEC5436AF185}"/>
    <cellStyle name="20% - Accent6 4 2 2 2 3" xfId="6691" xr:uid="{00000000-0005-0000-0000-0000D4260000}"/>
    <cellStyle name="20% - Accent6 4 2 2 2 3 2" xfId="14662" xr:uid="{00000000-0005-0000-0000-0000D5260000}"/>
    <cellStyle name="20% - Accent6 4 2 2 2 3 2 2" xfId="38504" xr:uid="{6E35A839-EC6F-4BCF-9910-719AA8D54765}"/>
    <cellStyle name="20% - Accent6 4 2 2 2 3 3" xfId="22609" xr:uid="{00000000-0005-0000-0000-0000D6260000}"/>
    <cellStyle name="20% - Accent6 4 2 2 2 3 3 2" xfId="46441" xr:uid="{152B4A62-CB49-46D8-BB42-35E7B7E8812A}"/>
    <cellStyle name="20% - Accent6 4 2 2 2 3 4" xfId="30563" xr:uid="{1F033AC7-B0ED-4620-A8BA-A381A09DAF11}"/>
    <cellStyle name="20% - Accent6 4 2 2 2 4" xfId="11126" xr:uid="{00000000-0005-0000-0000-0000D7260000}"/>
    <cellStyle name="20% - Accent6 4 2 2 2 4 2" xfId="34975" xr:uid="{19E4CEBF-A328-4C1C-8145-78F9BE3B793F}"/>
    <cellStyle name="20% - Accent6 4 2 2 2 5" xfId="19081" xr:uid="{00000000-0005-0000-0000-0000D8260000}"/>
    <cellStyle name="20% - Accent6 4 2 2 2 5 2" xfId="42913" xr:uid="{B4A13CEF-85D3-445E-8B5D-B38A71C8F114}"/>
    <cellStyle name="20% - Accent6 4 2 2 2 6" xfId="27033" xr:uid="{6AB400A5-5F76-4791-88A0-4038462948D8}"/>
    <cellStyle name="20% - Accent6 4 2 2 2_Exh G" xfId="2621" xr:uid="{00000000-0005-0000-0000-0000D9260000}"/>
    <cellStyle name="20% - Accent6 4 2 2 3" xfId="3980" xr:uid="{00000000-0005-0000-0000-0000DA260000}"/>
    <cellStyle name="20% - Accent6 4 2 2 3 2" xfId="7572" xr:uid="{00000000-0005-0000-0000-0000DB260000}"/>
    <cellStyle name="20% - Accent6 4 2 2 3 2 2" xfId="15542" xr:uid="{00000000-0005-0000-0000-0000DC260000}"/>
    <cellStyle name="20% - Accent6 4 2 2 3 2 2 2" xfId="39384" xr:uid="{7E8CF063-95BC-4378-9ADB-52BBF9D844EA}"/>
    <cellStyle name="20% - Accent6 4 2 2 3 2 3" xfId="23488" xr:uid="{00000000-0005-0000-0000-0000DD260000}"/>
    <cellStyle name="20% - Accent6 4 2 2 3 2 3 2" xfId="47320" xr:uid="{2FAF4354-A5E1-4CE3-A985-5FE4991474AA}"/>
    <cellStyle name="20% - Accent6 4 2 2 3 2 4" xfId="31443" xr:uid="{E994F16B-3F06-4BB7-941E-B07C17F31C08}"/>
    <cellStyle name="20% - Accent6 4 2 2 3 3" xfId="12004" xr:uid="{00000000-0005-0000-0000-0000DE260000}"/>
    <cellStyle name="20% - Accent6 4 2 2 3 3 2" xfId="35853" xr:uid="{622D9DC7-BEA3-4630-ACFD-03BD76FF2812}"/>
    <cellStyle name="20% - Accent6 4 2 2 3 4" xfId="19959" xr:uid="{00000000-0005-0000-0000-0000DF260000}"/>
    <cellStyle name="20% - Accent6 4 2 2 3 4 2" xfId="43791" xr:uid="{B34D8BEB-A270-4B6E-812B-86B59EE4A9DD}"/>
    <cellStyle name="20% - Accent6 4 2 2 3 5" xfId="27912" xr:uid="{3C976E11-ABAC-4F3E-BBB4-6E29470462B2}"/>
    <cellStyle name="20% - Accent6 4 2 2 4" xfId="5800" xr:uid="{00000000-0005-0000-0000-0000E0260000}"/>
    <cellStyle name="20% - Accent6 4 2 2 4 2" xfId="13783" xr:uid="{00000000-0005-0000-0000-0000E1260000}"/>
    <cellStyle name="20% - Accent6 4 2 2 4 2 2" xfId="37626" xr:uid="{2B5E39E1-0B4A-4EA0-BB15-11DC1A7BF9AB}"/>
    <cellStyle name="20% - Accent6 4 2 2 4 3" xfId="21731" xr:uid="{00000000-0005-0000-0000-0000E2260000}"/>
    <cellStyle name="20% - Accent6 4 2 2 4 3 2" xfId="45563" xr:uid="{EE0654E9-FF64-4B12-BB55-CE46CC2573B9}"/>
    <cellStyle name="20% - Accent6 4 2 2 4 4" xfId="29685" xr:uid="{D5B09AE8-EDA8-4862-94CA-BD583C46056A}"/>
    <cellStyle name="20% - Accent6 4 2 2 5" xfId="9352" xr:uid="{00000000-0005-0000-0000-0000E3260000}"/>
    <cellStyle name="20% - Accent6 4 2 2 5 2" xfId="17310" xr:uid="{00000000-0005-0000-0000-0000E4260000}"/>
    <cellStyle name="20% - Accent6 4 2 2 5 2 2" xfId="41150" xr:uid="{B5EDA2E3-422F-48E0-B390-7D0B20945CEB}"/>
    <cellStyle name="20% - Accent6 4 2 2 5 3" xfId="25254" xr:uid="{00000000-0005-0000-0000-0000E5260000}"/>
    <cellStyle name="20% - Accent6 4 2 2 5 3 2" xfId="49086" xr:uid="{C7860374-B666-4AC7-9AB8-93AAE774158E}"/>
    <cellStyle name="20% - Accent6 4 2 2 5 4" xfId="33209" xr:uid="{84548628-06B5-482C-9C3D-B25DDA1D541B}"/>
    <cellStyle name="20% - Accent6 4 2 2 6" xfId="10248" xr:uid="{00000000-0005-0000-0000-0000E6260000}"/>
    <cellStyle name="20% - Accent6 4 2 2 6 2" xfId="34097" xr:uid="{4533A941-2E48-47AD-83CA-4E71A0F49A0D}"/>
    <cellStyle name="20% - Accent6 4 2 2 7" xfId="18203" xr:uid="{00000000-0005-0000-0000-0000E7260000}"/>
    <cellStyle name="20% - Accent6 4 2 2 7 2" xfId="42035" xr:uid="{350E41DD-29D3-4F63-BE80-A7CC99A81BF1}"/>
    <cellStyle name="20% - Accent6 4 2 2 8" xfId="26155" xr:uid="{072E2734-414D-4509-B8C3-F6C7FD5D7998}"/>
    <cellStyle name="20% - Accent6 4 2 2_Exh G" xfId="2620" xr:uid="{00000000-0005-0000-0000-0000E8260000}"/>
    <cellStyle name="20% - Accent6 4 2 3" xfId="925" xr:uid="{00000000-0005-0000-0000-0000E9260000}"/>
    <cellStyle name="20% - Accent6 4 2 3 2" xfId="1847" xr:uid="{00000000-0005-0000-0000-0000EA260000}"/>
    <cellStyle name="20% - Accent6 4 2 3 2 2" xfId="5364" xr:uid="{00000000-0005-0000-0000-0000EB260000}"/>
    <cellStyle name="20% - Accent6 4 2 3 2 2 2" xfId="8955" xr:uid="{00000000-0005-0000-0000-0000EC260000}"/>
    <cellStyle name="20% - Accent6 4 2 3 2 2 2 2" xfId="16925" xr:uid="{00000000-0005-0000-0000-0000ED260000}"/>
    <cellStyle name="20% - Accent6 4 2 3 2 2 2 2 2" xfId="40767" xr:uid="{0623AA97-3735-49B6-AAF4-F12E146DC6C1}"/>
    <cellStyle name="20% - Accent6 4 2 3 2 2 2 3" xfId="24871" xr:uid="{00000000-0005-0000-0000-0000EE260000}"/>
    <cellStyle name="20% - Accent6 4 2 3 2 2 2 3 2" xfId="48703" xr:uid="{10402B64-D149-44AC-915B-1BF36EABDA65}"/>
    <cellStyle name="20% - Accent6 4 2 3 2 2 2 4" xfId="32826" xr:uid="{7016C931-064A-4D13-8507-691EA67BB56F}"/>
    <cellStyle name="20% - Accent6 4 2 3 2 2 3" xfId="13387" xr:uid="{00000000-0005-0000-0000-0000EF260000}"/>
    <cellStyle name="20% - Accent6 4 2 3 2 2 3 2" xfId="37236" xr:uid="{51959950-A50C-42AF-9D55-DEFA1E0D3E84}"/>
    <cellStyle name="20% - Accent6 4 2 3 2 2 4" xfId="21342" xr:uid="{00000000-0005-0000-0000-0000F0260000}"/>
    <cellStyle name="20% - Accent6 4 2 3 2 2 4 2" xfId="45174" xr:uid="{48D3132B-833F-45B9-8874-E7ACD5CB49C8}"/>
    <cellStyle name="20% - Accent6 4 2 3 2 2 5" xfId="29295" xr:uid="{D7D24A97-B041-40D0-B880-CD23AE305B50}"/>
    <cellStyle name="20% - Accent6 4 2 3 2 3" xfId="7196" xr:uid="{00000000-0005-0000-0000-0000F1260000}"/>
    <cellStyle name="20% - Accent6 4 2 3 2 3 2" xfId="15167" xr:uid="{00000000-0005-0000-0000-0000F2260000}"/>
    <cellStyle name="20% - Accent6 4 2 3 2 3 2 2" xfId="39009" xr:uid="{56BDF4F2-EAF7-4DB4-AE06-C1B6F3D17CE0}"/>
    <cellStyle name="20% - Accent6 4 2 3 2 3 3" xfId="23114" xr:uid="{00000000-0005-0000-0000-0000F3260000}"/>
    <cellStyle name="20% - Accent6 4 2 3 2 3 3 2" xfId="46946" xr:uid="{1A0B409F-9052-4E3F-B650-79DE03A8A504}"/>
    <cellStyle name="20% - Accent6 4 2 3 2 3 4" xfId="31068" xr:uid="{CADC8A61-B70F-4730-B7BC-9D6E0532419E}"/>
    <cellStyle name="20% - Accent6 4 2 3 2 4" xfId="11631" xr:uid="{00000000-0005-0000-0000-0000F4260000}"/>
    <cellStyle name="20% - Accent6 4 2 3 2 4 2" xfId="35480" xr:uid="{D10F3D61-8B06-4E59-AFFA-E2A160CC5659}"/>
    <cellStyle name="20% - Accent6 4 2 3 2 5" xfId="19586" xr:uid="{00000000-0005-0000-0000-0000F5260000}"/>
    <cellStyle name="20% - Accent6 4 2 3 2 5 2" xfId="43418" xr:uid="{624A9E48-EF27-4BAC-8238-1EB9BB851905}"/>
    <cellStyle name="20% - Accent6 4 2 3 2 6" xfId="27538" xr:uid="{F75E1C0E-BD1B-4F95-925A-3361867DE07A}"/>
    <cellStyle name="20% - Accent6 4 2 3 2_Exh G" xfId="2623" xr:uid="{00000000-0005-0000-0000-0000F6260000}"/>
    <cellStyle name="20% - Accent6 4 2 3 3" xfId="4485" xr:uid="{00000000-0005-0000-0000-0000F7260000}"/>
    <cellStyle name="20% - Accent6 4 2 3 3 2" xfId="8077" xr:uid="{00000000-0005-0000-0000-0000F8260000}"/>
    <cellStyle name="20% - Accent6 4 2 3 3 2 2" xfId="16047" xr:uid="{00000000-0005-0000-0000-0000F9260000}"/>
    <cellStyle name="20% - Accent6 4 2 3 3 2 2 2" xfId="39889" xr:uid="{147F98E5-D331-44F3-8DBF-52EE7F260A0A}"/>
    <cellStyle name="20% - Accent6 4 2 3 3 2 3" xfId="23993" xr:uid="{00000000-0005-0000-0000-0000FA260000}"/>
    <cellStyle name="20% - Accent6 4 2 3 3 2 3 2" xfId="47825" xr:uid="{E94E7695-0A8C-492C-B0A1-582838DA21E2}"/>
    <cellStyle name="20% - Accent6 4 2 3 3 2 4" xfId="31948" xr:uid="{F57BCD23-0711-4568-B7FC-D182FD11B951}"/>
    <cellStyle name="20% - Accent6 4 2 3 3 3" xfId="12509" xr:uid="{00000000-0005-0000-0000-0000FB260000}"/>
    <cellStyle name="20% - Accent6 4 2 3 3 3 2" xfId="36358" xr:uid="{8EC3D946-FE0B-4FF8-A99F-9B03573B0BEC}"/>
    <cellStyle name="20% - Accent6 4 2 3 3 4" xfId="20464" xr:uid="{00000000-0005-0000-0000-0000FC260000}"/>
    <cellStyle name="20% - Accent6 4 2 3 3 4 2" xfId="44296" xr:uid="{6A319A93-D3F7-4AC7-A673-B46304A43390}"/>
    <cellStyle name="20% - Accent6 4 2 3 3 5" xfId="28417" xr:uid="{5E5B45C6-4BD9-4B8C-BCFA-7927EA4DADFA}"/>
    <cellStyle name="20% - Accent6 4 2 3 4" xfId="6315" xr:uid="{00000000-0005-0000-0000-0000FD260000}"/>
    <cellStyle name="20% - Accent6 4 2 3 4 2" xfId="14289" xr:uid="{00000000-0005-0000-0000-0000FE260000}"/>
    <cellStyle name="20% - Accent6 4 2 3 4 2 2" xfId="38131" xr:uid="{31E55E14-9869-4EBF-825B-7F5AD88BB2AB}"/>
    <cellStyle name="20% - Accent6 4 2 3 4 3" xfId="22236" xr:uid="{00000000-0005-0000-0000-0000FF260000}"/>
    <cellStyle name="20% - Accent6 4 2 3 4 3 2" xfId="46068" xr:uid="{6B0392EC-EF52-4677-B3D7-FE79B6A59599}"/>
    <cellStyle name="20% - Accent6 4 2 3 4 4" xfId="30190" xr:uid="{512DC5B7-AFA7-4E49-81D3-A90CB0640D3A}"/>
    <cellStyle name="20% - Accent6 4 2 3 5" xfId="9857" xr:uid="{00000000-0005-0000-0000-000000270000}"/>
    <cellStyle name="20% - Accent6 4 2 3 5 2" xfId="17815" xr:uid="{00000000-0005-0000-0000-000001270000}"/>
    <cellStyle name="20% - Accent6 4 2 3 5 2 2" xfId="41655" xr:uid="{BB30F8A6-746F-49EE-80DE-71F7464FE01F}"/>
    <cellStyle name="20% - Accent6 4 2 3 5 3" xfId="25759" xr:uid="{00000000-0005-0000-0000-000002270000}"/>
    <cellStyle name="20% - Accent6 4 2 3 5 3 2" xfId="49591" xr:uid="{A8C6A10C-E119-4B8B-AD6A-7254169FDFFE}"/>
    <cellStyle name="20% - Accent6 4 2 3 5 4" xfId="33714" xr:uid="{2ADCB213-7A41-4617-A806-E45B65B1AB3C}"/>
    <cellStyle name="20% - Accent6 4 2 3 6" xfId="10753" xr:uid="{00000000-0005-0000-0000-000003270000}"/>
    <cellStyle name="20% - Accent6 4 2 3 6 2" xfId="34602" xr:uid="{AFD81B92-6311-4B9F-B639-9BA6FB0605C2}"/>
    <cellStyle name="20% - Accent6 4 2 3 7" xfId="18708" xr:uid="{00000000-0005-0000-0000-000004270000}"/>
    <cellStyle name="20% - Accent6 4 2 3 7 2" xfId="42540" xr:uid="{E39B8F54-CA6B-4440-A99C-AE3210D2BACF}"/>
    <cellStyle name="20% - Accent6 4 2 3 8" xfId="26660" xr:uid="{B873E2E9-EAB3-4A9D-A863-9EB0DBAD27F3}"/>
    <cellStyle name="20% - Accent6 4 2 3_Exh G" xfId="2622" xr:uid="{00000000-0005-0000-0000-000005270000}"/>
    <cellStyle name="20% - Accent6 4 2 4" xfId="1331" xr:uid="{00000000-0005-0000-0000-000006270000}"/>
    <cellStyle name="20% - Accent6 4 2 4 2" xfId="4858" xr:uid="{00000000-0005-0000-0000-000007270000}"/>
    <cellStyle name="20% - Accent6 4 2 4 2 2" xfId="8449" xr:uid="{00000000-0005-0000-0000-000008270000}"/>
    <cellStyle name="20% - Accent6 4 2 4 2 2 2" xfId="16419" xr:uid="{00000000-0005-0000-0000-000009270000}"/>
    <cellStyle name="20% - Accent6 4 2 4 2 2 2 2" xfId="40261" xr:uid="{B18175E4-B39D-4CE3-B4AB-01B09F4E1691}"/>
    <cellStyle name="20% - Accent6 4 2 4 2 2 3" xfId="24365" xr:uid="{00000000-0005-0000-0000-00000A270000}"/>
    <cellStyle name="20% - Accent6 4 2 4 2 2 3 2" xfId="48197" xr:uid="{DF5F0423-3549-439E-96B3-FA5A1243F353}"/>
    <cellStyle name="20% - Accent6 4 2 4 2 2 4" xfId="32320" xr:uid="{7BFCB6F5-198F-4108-A7A0-E92D0985A2A8}"/>
    <cellStyle name="20% - Accent6 4 2 4 2 3" xfId="12881" xr:uid="{00000000-0005-0000-0000-00000B270000}"/>
    <cellStyle name="20% - Accent6 4 2 4 2 3 2" xfId="36730" xr:uid="{832FA348-6C50-4158-8D55-3F791D92E69E}"/>
    <cellStyle name="20% - Accent6 4 2 4 2 4" xfId="20836" xr:uid="{00000000-0005-0000-0000-00000C270000}"/>
    <cellStyle name="20% - Accent6 4 2 4 2 4 2" xfId="44668" xr:uid="{5ED84EAB-F4C3-4585-B326-D53E5A273C32}"/>
    <cellStyle name="20% - Accent6 4 2 4 2 5" xfId="28789" xr:uid="{FCEBFDCF-6C73-4175-9D72-9463D321E7CF}"/>
    <cellStyle name="20% - Accent6 4 2 4 3" xfId="6690" xr:uid="{00000000-0005-0000-0000-00000D270000}"/>
    <cellStyle name="20% - Accent6 4 2 4 3 2" xfId="14661" xr:uid="{00000000-0005-0000-0000-00000E270000}"/>
    <cellStyle name="20% - Accent6 4 2 4 3 2 2" xfId="38503" xr:uid="{17272E02-7F06-4738-8902-589BFBDF8693}"/>
    <cellStyle name="20% - Accent6 4 2 4 3 3" xfId="22608" xr:uid="{00000000-0005-0000-0000-00000F270000}"/>
    <cellStyle name="20% - Accent6 4 2 4 3 3 2" xfId="46440" xr:uid="{471F73D9-2341-49D8-A8E5-C8CEA44AE015}"/>
    <cellStyle name="20% - Accent6 4 2 4 3 4" xfId="30562" xr:uid="{1B601A02-B6D3-4A29-8621-AFE37329CD56}"/>
    <cellStyle name="20% - Accent6 4 2 4 4" xfId="11125" xr:uid="{00000000-0005-0000-0000-000010270000}"/>
    <cellStyle name="20% - Accent6 4 2 4 4 2" xfId="34974" xr:uid="{04A76D33-DEF3-4772-8D6C-83A91C56898D}"/>
    <cellStyle name="20% - Accent6 4 2 4 5" xfId="19080" xr:uid="{00000000-0005-0000-0000-000011270000}"/>
    <cellStyle name="20% - Accent6 4 2 4 5 2" xfId="42912" xr:uid="{3FA2BD4D-80FA-4889-935C-A6A13A653B03}"/>
    <cellStyle name="20% - Accent6 4 2 4 6" xfId="27032" xr:uid="{D55D4457-99D0-4532-B718-CE608E86E276}"/>
    <cellStyle name="20% - Accent6 4 2 4_Exh G" xfId="2624" xr:uid="{00000000-0005-0000-0000-000012270000}"/>
    <cellStyle name="20% - Accent6 4 2 5" xfId="3979" xr:uid="{00000000-0005-0000-0000-000013270000}"/>
    <cellStyle name="20% - Accent6 4 2 5 2" xfId="7571" xr:uid="{00000000-0005-0000-0000-000014270000}"/>
    <cellStyle name="20% - Accent6 4 2 5 2 2" xfId="15541" xr:uid="{00000000-0005-0000-0000-000015270000}"/>
    <cellStyle name="20% - Accent6 4 2 5 2 2 2" xfId="39383" xr:uid="{092E7E14-1816-4809-9D25-C35AC4F675F1}"/>
    <cellStyle name="20% - Accent6 4 2 5 2 3" xfId="23487" xr:uid="{00000000-0005-0000-0000-000016270000}"/>
    <cellStyle name="20% - Accent6 4 2 5 2 3 2" xfId="47319" xr:uid="{83356719-A4AC-49C7-8BC2-4E6A5203F68A}"/>
    <cellStyle name="20% - Accent6 4 2 5 2 4" xfId="31442" xr:uid="{94C168E9-F806-4E62-989C-174FAC2D63CA}"/>
    <cellStyle name="20% - Accent6 4 2 5 3" xfId="12003" xr:uid="{00000000-0005-0000-0000-000017270000}"/>
    <cellStyle name="20% - Accent6 4 2 5 3 2" xfId="35852" xr:uid="{FE19FC9B-A267-4E9F-A470-73FC10B6F6B9}"/>
    <cellStyle name="20% - Accent6 4 2 5 4" xfId="19958" xr:uid="{00000000-0005-0000-0000-000018270000}"/>
    <cellStyle name="20% - Accent6 4 2 5 4 2" xfId="43790" xr:uid="{9A1C184C-1204-4657-9A46-EBC01D5F3BBF}"/>
    <cellStyle name="20% - Accent6 4 2 5 5" xfId="27911" xr:uid="{CA829984-53C8-43BC-9049-FC13F029A2A4}"/>
    <cellStyle name="20% - Accent6 4 2 6" xfId="5799" xr:uid="{00000000-0005-0000-0000-000019270000}"/>
    <cellStyle name="20% - Accent6 4 2 6 2" xfId="13782" xr:uid="{00000000-0005-0000-0000-00001A270000}"/>
    <cellStyle name="20% - Accent6 4 2 6 2 2" xfId="37625" xr:uid="{A4116637-1EF0-4CD0-BBBC-DF129B0210B2}"/>
    <cellStyle name="20% - Accent6 4 2 6 3" xfId="21730" xr:uid="{00000000-0005-0000-0000-00001B270000}"/>
    <cellStyle name="20% - Accent6 4 2 6 3 2" xfId="45562" xr:uid="{4E7C1163-4368-4A53-9446-F91271746B1D}"/>
    <cellStyle name="20% - Accent6 4 2 6 4" xfId="29684" xr:uid="{34658617-F370-4349-BF7C-DD8251B378B1}"/>
    <cellStyle name="20% - Accent6 4 2 7" xfId="9351" xr:uid="{00000000-0005-0000-0000-00001C270000}"/>
    <cellStyle name="20% - Accent6 4 2 7 2" xfId="17309" xr:uid="{00000000-0005-0000-0000-00001D270000}"/>
    <cellStyle name="20% - Accent6 4 2 7 2 2" xfId="41149" xr:uid="{22BC5943-03DE-413E-AF4A-C3307C7411E1}"/>
    <cellStyle name="20% - Accent6 4 2 7 3" xfId="25253" xr:uid="{00000000-0005-0000-0000-00001E270000}"/>
    <cellStyle name="20% - Accent6 4 2 7 3 2" xfId="49085" xr:uid="{155524A9-8379-492D-84FC-6206B52A7462}"/>
    <cellStyle name="20% - Accent6 4 2 7 4" xfId="33208" xr:uid="{695F4B92-F116-457A-90D7-9012B16FA827}"/>
    <cellStyle name="20% - Accent6 4 2 8" xfId="10247" xr:uid="{00000000-0005-0000-0000-00001F270000}"/>
    <cellStyle name="20% - Accent6 4 2 8 2" xfId="34096" xr:uid="{8CAB928C-AA7D-4E92-AFB0-CB1CFA3EB1BC}"/>
    <cellStyle name="20% - Accent6 4 2 9" xfId="18202" xr:uid="{00000000-0005-0000-0000-000020270000}"/>
    <cellStyle name="20% - Accent6 4 2 9 2" xfId="42034" xr:uid="{23BC4B52-9F78-4120-B73B-AA542CCD9D93}"/>
    <cellStyle name="20% - Accent6 4 2_Exh G" xfId="2619" xr:uid="{00000000-0005-0000-0000-000021270000}"/>
    <cellStyle name="20% - Accent6 4 3" xfId="307" xr:uid="{00000000-0005-0000-0000-000022270000}"/>
    <cellStyle name="20% - Accent6 4 3 2" xfId="1333" xr:uid="{00000000-0005-0000-0000-000023270000}"/>
    <cellStyle name="20% - Accent6 4 3 2 2" xfId="4860" xr:uid="{00000000-0005-0000-0000-000024270000}"/>
    <cellStyle name="20% - Accent6 4 3 2 2 2" xfId="8451" xr:uid="{00000000-0005-0000-0000-000025270000}"/>
    <cellStyle name="20% - Accent6 4 3 2 2 2 2" xfId="16421" xr:uid="{00000000-0005-0000-0000-000026270000}"/>
    <cellStyle name="20% - Accent6 4 3 2 2 2 2 2" xfId="40263" xr:uid="{D2B8B920-027C-4C1A-A19B-D9B9FD161154}"/>
    <cellStyle name="20% - Accent6 4 3 2 2 2 3" xfId="24367" xr:uid="{00000000-0005-0000-0000-000027270000}"/>
    <cellStyle name="20% - Accent6 4 3 2 2 2 3 2" xfId="48199" xr:uid="{7FB552AC-0DFE-494C-8C50-FE4FF285318E}"/>
    <cellStyle name="20% - Accent6 4 3 2 2 2 4" xfId="32322" xr:uid="{19C509CD-00AA-432A-9F64-1A51475CF357}"/>
    <cellStyle name="20% - Accent6 4 3 2 2 3" xfId="12883" xr:uid="{00000000-0005-0000-0000-000028270000}"/>
    <cellStyle name="20% - Accent6 4 3 2 2 3 2" xfId="36732" xr:uid="{2F0E18E3-1995-4391-8889-D46636F5E874}"/>
    <cellStyle name="20% - Accent6 4 3 2 2 4" xfId="20838" xr:uid="{00000000-0005-0000-0000-000029270000}"/>
    <cellStyle name="20% - Accent6 4 3 2 2 4 2" xfId="44670" xr:uid="{3A05AFB8-1C7B-4DA0-939D-AA4AA6301698}"/>
    <cellStyle name="20% - Accent6 4 3 2 2 5" xfId="28791" xr:uid="{005D7FDF-D31B-4502-886D-22CE4472CC4F}"/>
    <cellStyle name="20% - Accent6 4 3 2 3" xfId="6692" xr:uid="{00000000-0005-0000-0000-00002A270000}"/>
    <cellStyle name="20% - Accent6 4 3 2 3 2" xfId="14663" xr:uid="{00000000-0005-0000-0000-00002B270000}"/>
    <cellStyle name="20% - Accent6 4 3 2 3 2 2" xfId="38505" xr:uid="{32161D59-84BD-45A1-B449-71F12F9F2C9B}"/>
    <cellStyle name="20% - Accent6 4 3 2 3 3" xfId="22610" xr:uid="{00000000-0005-0000-0000-00002C270000}"/>
    <cellStyle name="20% - Accent6 4 3 2 3 3 2" xfId="46442" xr:uid="{C91D0D47-70E6-45E0-8FDE-52C2EB67A3D1}"/>
    <cellStyle name="20% - Accent6 4 3 2 3 4" xfId="30564" xr:uid="{E6F4EA7B-5806-41CE-83BF-C549A0CB7141}"/>
    <cellStyle name="20% - Accent6 4 3 2 4" xfId="11127" xr:uid="{00000000-0005-0000-0000-00002D270000}"/>
    <cellStyle name="20% - Accent6 4 3 2 4 2" xfId="34976" xr:uid="{9ADC050F-E3DF-46E1-AFC8-3F9B8339630D}"/>
    <cellStyle name="20% - Accent6 4 3 2 5" xfId="19082" xr:uid="{00000000-0005-0000-0000-00002E270000}"/>
    <cellStyle name="20% - Accent6 4 3 2 5 2" xfId="42914" xr:uid="{59CA22BA-722E-46E9-8783-6573820B921B}"/>
    <cellStyle name="20% - Accent6 4 3 2 6" xfId="27034" xr:uid="{7B6DEE39-D6F9-44EC-B940-7A7813EE2BA3}"/>
    <cellStyle name="20% - Accent6 4 3 2_Exh G" xfId="2626" xr:uid="{00000000-0005-0000-0000-00002F270000}"/>
    <cellStyle name="20% - Accent6 4 3 3" xfId="3981" xr:uid="{00000000-0005-0000-0000-000030270000}"/>
    <cellStyle name="20% - Accent6 4 3 3 2" xfId="7573" xr:uid="{00000000-0005-0000-0000-000031270000}"/>
    <cellStyle name="20% - Accent6 4 3 3 2 2" xfId="15543" xr:uid="{00000000-0005-0000-0000-000032270000}"/>
    <cellStyle name="20% - Accent6 4 3 3 2 2 2" xfId="39385" xr:uid="{86634859-8AA2-4AB2-835F-EB5CFC51838A}"/>
    <cellStyle name="20% - Accent6 4 3 3 2 3" xfId="23489" xr:uid="{00000000-0005-0000-0000-000033270000}"/>
    <cellStyle name="20% - Accent6 4 3 3 2 3 2" xfId="47321" xr:uid="{BE09018F-889F-4F1B-9449-EE3A415E349D}"/>
    <cellStyle name="20% - Accent6 4 3 3 2 4" xfId="31444" xr:uid="{3F807DDF-064F-4CDD-87BB-C13D93B91BD0}"/>
    <cellStyle name="20% - Accent6 4 3 3 3" xfId="12005" xr:uid="{00000000-0005-0000-0000-000034270000}"/>
    <cellStyle name="20% - Accent6 4 3 3 3 2" xfId="35854" xr:uid="{8C6D7F5E-F7D3-40E6-A97E-274AF4305570}"/>
    <cellStyle name="20% - Accent6 4 3 3 4" xfId="19960" xr:uid="{00000000-0005-0000-0000-000035270000}"/>
    <cellStyle name="20% - Accent6 4 3 3 4 2" xfId="43792" xr:uid="{EE2083F3-EEBB-4FA1-ADF9-DF7CFD9B4B8E}"/>
    <cellStyle name="20% - Accent6 4 3 3 5" xfId="27913" xr:uid="{52EF059C-099D-4854-BD14-CC16999B87C6}"/>
    <cellStyle name="20% - Accent6 4 3 4" xfId="5801" xr:uid="{00000000-0005-0000-0000-000036270000}"/>
    <cellStyle name="20% - Accent6 4 3 4 2" xfId="13784" xr:uid="{00000000-0005-0000-0000-000037270000}"/>
    <cellStyle name="20% - Accent6 4 3 4 2 2" xfId="37627" xr:uid="{C922678A-3895-4F08-8AC3-43DE33D59734}"/>
    <cellStyle name="20% - Accent6 4 3 4 3" xfId="21732" xr:uid="{00000000-0005-0000-0000-000038270000}"/>
    <cellStyle name="20% - Accent6 4 3 4 3 2" xfId="45564" xr:uid="{2C7A5233-0EB1-4C10-98A4-83D44392B34C}"/>
    <cellStyle name="20% - Accent6 4 3 4 4" xfId="29686" xr:uid="{FB3A5BFE-F287-4D9B-8D6D-DC78F5BF602F}"/>
    <cellStyle name="20% - Accent6 4 3 5" xfId="9353" xr:uid="{00000000-0005-0000-0000-000039270000}"/>
    <cellStyle name="20% - Accent6 4 3 5 2" xfId="17311" xr:uid="{00000000-0005-0000-0000-00003A270000}"/>
    <cellStyle name="20% - Accent6 4 3 5 2 2" xfId="41151" xr:uid="{7F9B16CE-2304-4549-8223-57C2C03CC86F}"/>
    <cellStyle name="20% - Accent6 4 3 5 3" xfId="25255" xr:uid="{00000000-0005-0000-0000-00003B270000}"/>
    <cellStyle name="20% - Accent6 4 3 5 3 2" xfId="49087" xr:uid="{A0684C8E-82DD-462E-AE8E-0B93545E0483}"/>
    <cellStyle name="20% - Accent6 4 3 5 4" xfId="33210" xr:uid="{B25BE749-4F34-40B7-9F2D-6B36469EEDFE}"/>
    <cellStyle name="20% - Accent6 4 3 6" xfId="10249" xr:uid="{00000000-0005-0000-0000-00003C270000}"/>
    <cellStyle name="20% - Accent6 4 3 6 2" xfId="34098" xr:uid="{3F747C79-E6BA-4C81-A21F-FEED06740774}"/>
    <cellStyle name="20% - Accent6 4 3 7" xfId="18204" xr:uid="{00000000-0005-0000-0000-00003D270000}"/>
    <cellStyle name="20% - Accent6 4 3 7 2" xfId="42036" xr:uid="{089B277F-CD19-44CF-B63E-B807EBB4FB7B}"/>
    <cellStyle name="20% - Accent6 4 3 8" xfId="26156" xr:uid="{AD5A51B6-3B72-41E1-9736-FC0E5CBB2DB2}"/>
    <cellStyle name="20% - Accent6 4 3_Exh G" xfId="2625" xr:uid="{00000000-0005-0000-0000-00003E270000}"/>
    <cellStyle name="20% - Accent6 4 4" xfId="924" xr:uid="{00000000-0005-0000-0000-00003F270000}"/>
    <cellStyle name="20% - Accent6 4 4 2" xfId="1846" xr:uid="{00000000-0005-0000-0000-000040270000}"/>
    <cellStyle name="20% - Accent6 4 4 2 2" xfId="5363" xr:uid="{00000000-0005-0000-0000-000041270000}"/>
    <cellStyle name="20% - Accent6 4 4 2 2 2" xfId="8954" xr:uid="{00000000-0005-0000-0000-000042270000}"/>
    <cellStyle name="20% - Accent6 4 4 2 2 2 2" xfId="16924" xr:uid="{00000000-0005-0000-0000-000043270000}"/>
    <cellStyle name="20% - Accent6 4 4 2 2 2 2 2" xfId="40766" xr:uid="{C16CB276-BB7D-4F56-AF25-846F4014DEDD}"/>
    <cellStyle name="20% - Accent6 4 4 2 2 2 3" xfId="24870" xr:uid="{00000000-0005-0000-0000-000044270000}"/>
    <cellStyle name="20% - Accent6 4 4 2 2 2 3 2" xfId="48702" xr:uid="{26C25661-0D64-4656-AB3C-7BBD8F22D751}"/>
    <cellStyle name="20% - Accent6 4 4 2 2 2 4" xfId="32825" xr:uid="{5E97E32D-2469-4DC4-A4A0-ED3AAE88956E}"/>
    <cellStyle name="20% - Accent6 4 4 2 2 3" xfId="13386" xr:uid="{00000000-0005-0000-0000-000045270000}"/>
    <cellStyle name="20% - Accent6 4 4 2 2 3 2" xfId="37235" xr:uid="{3F6D5BE5-3F87-4A83-93DD-776AEFE49DD6}"/>
    <cellStyle name="20% - Accent6 4 4 2 2 4" xfId="21341" xr:uid="{00000000-0005-0000-0000-000046270000}"/>
    <cellStyle name="20% - Accent6 4 4 2 2 4 2" xfId="45173" xr:uid="{68430874-F58B-44BE-891A-46BE0E02B279}"/>
    <cellStyle name="20% - Accent6 4 4 2 2 5" xfId="29294" xr:uid="{34C77FA8-B028-46B9-8E31-B8A6164AC74A}"/>
    <cellStyle name="20% - Accent6 4 4 2 3" xfId="7195" xr:uid="{00000000-0005-0000-0000-000047270000}"/>
    <cellStyle name="20% - Accent6 4 4 2 3 2" xfId="15166" xr:uid="{00000000-0005-0000-0000-000048270000}"/>
    <cellStyle name="20% - Accent6 4 4 2 3 2 2" xfId="39008" xr:uid="{56B6BD94-F2DE-499A-B326-8350DAF1AA60}"/>
    <cellStyle name="20% - Accent6 4 4 2 3 3" xfId="23113" xr:uid="{00000000-0005-0000-0000-000049270000}"/>
    <cellStyle name="20% - Accent6 4 4 2 3 3 2" xfId="46945" xr:uid="{73C28852-F281-4A65-97FF-4DE47FCE0DD8}"/>
    <cellStyle name="20% - Accent6 4 4 2 3 4" xfId="31067" xr:uid="{0962C441-E621-4B04-998A-8EC2250F4666}"/>
    <cellStyle name="20% - Accent6 4 4 2 4" xfId="11630" xr:uid="{00000000-0005-0000-0000-00004A270000}"/>
    <cellStyle name="20% - Accent6 4 4 2 4 2" xfId="35479" xr:uid="{76770159-2EAA-448D-A7A7-8ABEBC662C8A}"/>
    <cellStyle name="20% - Accent6 4 4 2 5" xfId="19585" xr:uid="{00000000-0005-0000-0000-00004B270000}"/>
    <cellStyle name="20% - Accent6 4 4 2 5 2" xfId="43417" xr:uid="{4D71CE56-0DBB-4645-8024-7BC17F94DF6D}"/>
    <cellStyle name="20% - Accent6 4 4 2 6" xfId="27537" xr:uid="{D73564A0-B529-4028-A5C8-A39EF6FB0B3D}"/>
    <cellStyle name="20% - Accent6 4 4 2_Exh G" xfId="2628" xr:uid="{00000000-0005-0000-0000-00004C270000}"/>
    <cellStyle name="20% - Accent6 4 4 3" xfId="4484" xr:uid="{00000000-0005-0000-0000-00004D270000}"/>
    <cellStyle name="20% - Accent6 4 4 3 2" xfId="8076" xr:uid="{00000000-0005-0000-0000-00004E270000}"/>
    <cellStyle name="20% - Accent6 4 4 3 2 2" xfId="16046" xr:uid="{00000000-0005-0000-0000-00004F270000}"/>
    <cellStyle name="20% - Accent6 4 4 3 2 2 2" xfId="39888" xr:uid="{20B2386A-523F-4D54-B884-03932C50551A}"/>
    <cellStyle name="20% - Accent6 4 4 3 2 3" xfId="23992" xr:uid="{00000000-0005-0000-0000-000050270000}"/>
    <cellStyle name="20% - Accent6 4 4 3 2 3 2" xfId="47824" xr:uid="{5522409C-5A7F-42E2-A4E8-DC769666AD41}"/>
    <cellStyle name="20% - Accent6 4 4 3 2 4" xfId="31947" xr:uid="{2994292D-9D1B-47D9-87DA-73697E5A0DAF}"/>
    <cellStyle name="20% - Accent6 4 4 3 3" xfId="12508" xr:uid="{00000000-0005-0000-0000-000051270000}"/>
    <cellStyle name="20% - Accent6 4 4 3 3 2" xfId="36357" xr:uid="{E24B6EAF-8C5D-46E6-A3B5-8F68AA1CD76E}"/>
    <cellStyle name="20% - Accent6 4 4 3 4" xfId="20463" xr:uid="{00000000-0005-0000-0000-000052270000}"/>
    <cellStyle name="20% - Accent6 4 4 3 4 2" xfId="44295" xr:uid="{33C49B94-4A14-4265-AD18-304EB2FB1ABF}"/>
    <cellStyle name="20% - Accent6 4 4 3 5" xfId="28416" xr:uid="{14AC0537-22F8-4754-AB29-D8C9B3205BC5}"/>
    <cellStyle name="20% - Accent6 4 4 4" xfId="6314" xr:uid="{00000000-0005-0000-0000-000053270000}"/>
    <cellStyle name="20% - Accent6 4 4 4 2" xfId="14288" xr:uid="{00000000-0005-0000-0000-000054270000}"/>
    <cellStyle name="20% - Accent6 4 4 4 2 2" xfId="38130" xr:uid="{4CF88D24-1004-4B00-AA40-9EB5565A541B}"/>
    <cellStyle name="20% - Accent6 4 4 4 3" xfId="22235" xr:uid="{00000000-0005-0000-0000-000055270000}"/>
    <cellStyle name="20% - Accent6 4 4 4 3 2" xfId="46067" xr:uid="{9E02598F-CABC-49C7-AA94-AA0B17AE7D0A}"/>
    <cellStyle name="20% - Accent6 4 4 4 4" xfId="30189" xr:uid="{AA25D48E-2162-48AE-BD28-678C8AE23F9B}"/>
    <cellStyle name="20% - Accent6 4 4 5" xfId="9856" xr:uid="{00000000-0005-0000-0000-000056270000}"/>
    <cellStyle name="20% - Accent6 4 4 5 2" xfId="17814" xr:uid="{00000000-0005-0000-0000-000057270000}"/>
    <cellStyle name="20% - Accent6 4 4 5 2 2" xfId="41654" xr:uid="{5E3298D4-F6F7-4BC6-9EF2-FEC3CB942F6A}"/>
    <cellStyle name="20% - Accent6 4 4 5 3" xfId="25758" xr:uid="{00000000-0005-0000-0000-000058270000}"/>
    <cellStyle name="20% - Accent6 4 4 5 3 2" xfId="49590" xr:uid="{AA62A13B-87E6-46F3-99C4-4AEC983FE3D3}"/>
    <cellStyle name="20% - Accent6 4 4 5 4" xfId="33713" xr:uid="{D40D96BC-DCFD-48A6-90F4-AFB044BA8CA1}"/>
    <cellStyle name="20% - Accent6 4 4 6" xfId="10752" xr:uid="{00000000-0005-0000-0000-000059270000}"/>
    <cellStyle name="20% - Accent6 4 4 6 2" xfId="34601" xr:uid="{A8B542F7-73E9-49B0-BC0D-3AB8DB4BEC18}"/>
    <cellStyle name="20% - Accent6 4 4 7" xfId="18707" xr:uid="{00000000-0005-0000-0000-00005A270000}"/>
    <cellStyle name="20% - Accent6 4 4 7 2" xfId="42539" xr:uid="{742BA9A7-4D84-495E-97A1-0714489CC55F}"/>
    <cellStyle name="20% - Accent6 4 4 8" xfId="26659" xr:uid="{E2A3560E-2D2C-4FCE-9743-23521AD91C12}"/>
    <cellStyle name="20% - Accent6 4 4_Exh G" xfId="2627" xr:uid="{00000000-0005-0000-0000-00005B270000}"/>
    <cellStyle name="20% - Accent6 4 5" xfId="1330" xr:uid="{00000000-0005-0000-0000-00005C270000}"/>
    <cellStyle name="20% - Accent6 4 5 2" xfId="4857" xr:uid="{00000000-0005-0000-0000-00005D270000}"/>
    <cellStyle name="20% - Accent6 4 5 2 2" xfId="8448" xr:uid="{00000000-0005-0000-0000-00005E270000}"/>
    <cellStyle name="20% - Accent6 4 5 2 2 2" xfId="16418" xr:uid="{00000000-0005-0000-0000-00005F270000}"/>
    <cellStyle name="20% - Accent6 4 5 2 2 2 2" xfId="40260" xr:uid="{DC91809D-9ADE-4673-B53B-B6332CCF1AF0}"/>
    <cellStyle name="20% - Accent6 4 5 2 2 3" xfId="24364" xr:uid="{00000000-0005-0000-0000-000060270000}"/>
    <cellStyle name="20% - Accent6 4 5 2 2 3 2" xfId="48196" xr:uid="{61C017F0-CA33-4E8F-B51C-44B0BC727FB2}"/>
    <cellStyle name="20% - Accent6 4 5 2 2 4" xfId="32319" xr:uid="{9F453E7D-E290-4A46-AB51-B7E8E81DC89B}"/>
    <cellStyle name="20% - Accent6 4 5 2 3" xfId="12880" xr:uid="{00000000-0005-0000-0000-000061270000}"/>
    <cellStyle name="20% - Accent6 4 5 2 3 2" xfId="36729" xr:uid="{59D53AC3-EEBD-40A4-BDEA-40739C8B2603}"/>
    <cellStyle name="20% - Accent6 4 5 2 4" xfId="20835" xr:uid="{00000000-0005-0000-0000-000062270000}"/>
    <cellStyle name="20% - Accent6 4 5 2 4 2" xfId="44667" xr:uid="{EA8FC015-90D6-492F-A567-71B99CF127C9}"/>
    <cellStyle name="20% - Accent6 4 5 2 5" xfId="28788" xr:uid="{5F0EF2A3-221C-4885-B089-0ADECE76E7C2}"/>
    <cellStyle name="20% - Accent6 4 5 3" xfId="6689" xr:uid="{00000000-0005-0000-0000-000063270000}"/>
    <cellStyle name="20% - Accent6 4 5 3 2" xfId="14660" xr:uid="{00000000-0005-0000-0000-000064270000}"/>
    <cellStyle name="20% - Accent6 4 5 3 2 2" xfId="38502" xr:uid="{9A4A97E1-599A-4E5D-BA9D-76B4038B0E19}"/>
    <cellStyle name="20% - Accent6 4 5 3 3" xfId="22607" xr:uid="{00000000-0005-0000-0000-000065270000}"/>
    <cellStyle name="20% - Accent6 4 5 3 3 2" xfId="46439" xr:uid="{B58DA4BC-86C3-4B35-81ED-6396571FEC6E}"/>
    <cellStyle name="20% - Accent6 4 5 3 4" xfId="30561" xr:uid="{BF55018D-87E0-4737-888C-AEB3532218E8}"/>
    <cellStyle name="20% - Accent6 4 5 4" xfId="11124" xr:uid="{00000000-0005-0000-0000-000066270000}"/>
    <cellStyle name="20% - Accent6 4 5 4 2" xfId="34973" xr:uid="{9B37F657-567E-483A-BE19-E37E724E8558}"/>
    <cellStyle name="20% - Accent6 4 5 5" xfId="19079" xr:uid="{00000000-0005-0000-0000-000067270000}"/>
    <cellStyle name="20% - Accent6 4 5 5 2" xfId="42911" xr:uid="{C101B907-283E-49EE-916A-FE6A5DF487BB}"/>
    <cellStyle name="20% - Accent6 4 5 6" xfId="27031" xr:uid="{B958C380-33E6-4E13-B8EC-76F58E454DB3}"/>
    <cellStyle name="20% - Accent6 4 5_Exh G" xfId="2629" xr:uid="{00000000-0005-0000-0000-000068270000}"/>
    <cellStyle name="20% - Accent6 4 6" xfId="3978" xr:uid="{00000000-0005-0000-0000-000069270000}"/>
    <cellStyle name="20% - Accent6 4 6 2" xfId="7570" xr:uid="{00000000-0005-0000-0000-00006A270000}"/>
    <cellStyle name="20% - Accent6 4 6 2 2" xfId="15540" xr:uid="{00000000-0005-0000-0000-00006B270000}"/>
    <cellStyle name="20% - Accent6 4 6 2 2 2" xfId="39382" xr:uid="{E60C6493-E7EC-4E2B-91B6-90FD2B5CDC8F}"/>
    <cellStyle name="20% - Accent6 4 6 2 3" xfId="23486" xr:uid="{00000000-0005-0000-0000-00006C270000}"/>
    <cellStyle name="20% - Accent6 4 6 2 3 2" xfId="47318" xr:uid="{6FDEE559-1ED8-4DBE-BDD2-DB7054A0F0A9}"/>
    <cellStyle name="20% - Accent6 4 6 2 4" xfId="31441" xr:uid="{D8B61FE4-9D86-44BC-8774-6DEF534601F1}"/>
    <cellStyle name="20% - Accent6 4 6 3" xfId="12002" xr:uid="{00000000-0005-0000-0000-00006D270000}"/>
    <cellStyle name="20% - Accent6 4 6 3 2" xfId="35851" xr:uid="{DC500B29-9334-4935-B5F8-859D33DFB57E}"/>
    <cellStyle name="20% - Accent6 4 6 4" xfId="19957" xr:uid="{00000000-0005-0000-0000-00006E270000}"/>
    <cellStyle name="20% - Accent6 4 6 4 2" xfId="43789" xr:uid="{627E04C9-E708-461C-8D6F-7D1925EDB094}"/>
    <cellStyle name="20% - Accent6 4 6 5" xfId="27910" xr:uid="{E5BB70C6-5FEF-400A-9FB5-202278276E86}"/>
    <cellStyle name="20% - Accent6 4 7" xfId="5798" xr:uid="{00000000-0005-0000-0000-00006F270000}"/>
    <cellStyle name="20% - Accent6 4 7 2" xfId="13781" xr:uid="{00000000-0005-0000-0000-000070270000}"/>
    <cellStyle name="20% - Accent6 4 7 2 2" xfId="37624" xr:uid="{40D079CC-2647-4BC3-B62F-A25B056C473E}"/>
    <cellStyle name="20% - Accent6 4 7 3" xfId="21729" xr:uid="{00000000-0005-0000-0000-000071270000}"/>
    <cellStyle name="20% - Accent6 4 7 3 2" xfId="45561" xr:uid="{C99D6790-EF4B-442A-B2D6-AAF8CC13EE8E}"/>
    <cellStyle name="20% - Accent6 4 7 4" xfId="29683" xr:uid="{966DE44A-C2D3-443D-8D87-DA92F9BE93FD}"/>
    <cellStyle name="20% - Accent6 4 8" xfId="9350" xr:uid="{00000000-0005-0000-0000-000072270000}"/>
    <cellStyle name="20% - Accent6 4 8 2" xfId="17308" xr:uid="{00000000-0005-0000-0000-000073270000}"/>
    <cellStyle name="20% - Accent6 4 8 2 2" xfId="41148" xr:uid="{DD0E5D80-6AC9-434B-A7D2-3A3C995D0E78}"/>
    <cellStyle name="20% - Accent6 4 8 3" xfId="25252" xr:uid="{00000000-0005-0000-0000-000074270000}"/>
    <cellStyle name="20% - Accent6 4 8 3 2" xfId="49084" xr:uid="{1243BEB0-42F0-499C-B18E-C80A31224524}"/>
    <cellStyle name="20% - Accent6 4 8 4" xfId="33207" xr:uid="{97E77353-BDFC-46E3-A8B6-D786E32215EF}"/>
    <cellStyle name="20% - Accent6 4 9" xfId="10246" xr:uid="{00000000-0005-0000-0000-000075270000}"/>
    <cellStyle name="20% - Accent6 4 9 2" xfId="34095" xr:uid="{FAD02884-EFD7-4761-8A43-8572CCB61182}"/>
    <cellStyle name="20% - Accent6 4_Exh G" xfId="2618" xr:uid="{00000000-0005-0000-0000-000076270000}"/>
    <cellStyle name="20% - Accent6 5" xfId="308" xr:uid="{00000000-0005-0000-0000-000077270000}"/>
    <cellStyle name="20% - Accent6 5 10" xfId="18205" xr:uid="{00000000-0005-0000-0000-000078270000}"/>
    <cellStyle name="20% - Accent6 5 10 2" xfId="42037" xr:uid="{8BA88D24-95CB-43ED-BBC6-AA167AB1F528}"/>
    <cellStyle name="20% - Accent6 5 11" xfId="26157" xr:uid="{748BC7F8-C2C4-4261-84C6-75D8E0836DEA}"/>
    <cellStyle name="20% - Accent6 5 2" xfId="309" xr:uid="{00000000-0005-0000-0000-000079270000}"/>
    <cellStyle name="20% - Accent6 5 2 2" xfId="310" xr:uid="{00000000-0005-0000-0000-00007A270000}"/>
    <cellStyle name="20% - Accent6 5 2 2 2" xfId="1336" xr:uid="{00000000-0005-0000-0000-00007B270000}"/>
    <cellStyle name="20% - Accent6 5 2 2 2 2" xfId="4863" xr:uid="{00000000-0005-0000-0000-00007C270000}"/>
    <cellStyle name="20% - Accent6 5 2 2 2 2 2" xfId="8454" xr:uid="{00000000-0005-0000-0000-00007D270000}"/>
    <cellStyle name="20% - Accent6 5 2 2 2 2 2 2" xfId="16424" xr:uid="{00000000-0005-0000-0000-00007E270000}"/>
    <cellStyle name="20% - Accent6 5 2 2 2 2 2 2 2" xfId="40266" xr:uid="{F7B0D9F4-E7CC-401C-AC15-5EAE703E649C}"/>
    <cellStyle name="20% - Accent6 5 2 2 2 2 2 3" xfId="24370" xr:uid="{00000000-0005-0000-0000-00007F270000}"/>
    <cellStyle name="20% - Accent6 5 2 2 2 2 2 3 2" xfId="48202" xr:uid="{6C1DF20C-C801-4E9A-9760-05FD730D1948}"/>
    <cellStyle name="20% - Accent6 5 2 2 2 2 2 4" xfId="32325" xr:uid="{3DB50104-7C57-4A81-8B1F-EB7EAE675966}"/>
    <cellStyle name="20% - Accent6 5 2 2 2 2 3" xfId="12886" xr:uid="{00000000-0005-0000-0000-000080270000}"/>
    <cellStyle name="20% - Accent6 5 2 2 2 2 3 2" xfId="36735" xr:uid="{C9D7EAA4-A190-45B9-B344-E795AAFFC66E}"/>
    <cellStyle name="20% - Accent6 5 2 2 2 2 4" xfId="20841" xr:uid="{00000000-0005-0000-0000-000081270000}"/>
    <cellStyle name="20% - Accent6 5 2 2 2 2 4 2" xfId="44673" xr:uid="{70944304-9BF9-45AE-A095-EA0159B34C97}"/>
    <cellStyle name="20% - Accent6 5 2 2 2 2 5" xfId="28794" xr:uid="{831B64C0-E88E-4567-ABB4-347BB942B9FC}"/>
    <cellStyle name="20% - Accent6 5 2 2 2 3" xfId="6695" xr:uid="{00000000-0005-0000-0000-000082270000}"/>
    <cellStyle name="20% - Accent6 5 2 2 2 3 2" xfId="14666" xr:uid="{00000000-0005-0000-0000-000083270000}"/>
    <cellStyle name="20% - Accent6 5 2 2 2 3 2 2" xfId="38508" xr:uid="{1A8F557C-B993-4EA4-B106-F8C9C78A1CB6}"/>
    <cellStyle name="20% - Accent6 5 2 2 2 3 3" xfId="22613" xr:uid="{00000000-0005-0000-0000-000084270000}"/>
    <cellStyle name="20% - Accent6 5 2 2 2 3 3 2" xfId="46445" xr:uid="{7B5CD218-ED7C-4418-BF3B-E09CC5AA6F30}"/>
    <cellStyle name="20% - Accent6 5 2 2 2 3 4" xfId="30567" xr:uid="{F9710551-7322-4DD0-9960-F1893D713943}"/>
    <cellStyle name="20% - Accent6 5 2 2 2 4" xfId="11130" xr:uid="{00000000-0005-0000-0000-000085270000}"/>
    <cellStyle name="20% - Accent6 5 2 2 2 4 2" xfId="34979" xr:uid="{04D6894D-134D-4489-8016-3C787D996527}"/>
    <cellStyle name="20% - Accent6 5 2 2 2 5" xfId="19085" xr:uid="{00000000-0005-0000-0000-000086270000}"/>
    <cellStyle name="20% - Accent6 5 2 2 2 5 2" xfId="42917" xr:uid="{3B31ED15-F5E6-4731-8820-E104858DFA41}"/>
    <cellStyle name="20% - Accent6 5 2 2 2 6" xfId="27037" xr:uid="{C4F8DF60-0941-4D96-8A0A-B10B97D3699D}"/>
    <cellStyle name="20% - Accent6 5 2 2 2_Exh G" xfId="2633" xr:uid="{00000000-0005-0000-0000-000087270000}"/>
    <cellStyle name="20% - Accent6 5 2 2 3" xfId="3984" xr:uid="{00000000-0005-0000-0000-000088270000}"/>
    <cellStyle name="20% - Accent6 5 2 2 3 2" xfId="7576" xr:uid="{00000000-0005-0000-0000-000089270000}"/>
    <cellStyle name="20% - Accent6 5 2 2 3 2 2" xfId="15546" xr:uid="{00000000-0005-0000-0000-00008A270000}"/>
    <cellStyle name="20% - Accent6 5 2 2 3 2 2 2" xfId="39388" xr:uid="{F6BF529C-92D9-49B3-9441-D335BD8E0E2A}"/>
    <cellStyle name="20% - Accent6 5 2 2 3 2 3" xfId="23492" xr:uid="{00000000-0005-0000-0000-00008B270000}"/>
    <cellStyle name="20% - Accent6 5 2 2 3 2 3 2" xfId="47324" xr:uid="{5AACDE3C-4424-4710-AD2D-72E96FAF4EC3}"/>
    <cellStyle name="20% - Accent6 5 2 2 3 2 4" xfId="31447" xr:uid="{8A33DF85-639C-43A7-9A3C-58A8B998BF7D}"/>
    <cellStyle name="20% - Accent6 5 2 2 3 3" xfId="12008" xr:uid="{00000000-0005-0000-0000-00008C270000}"/>
    <cellStyle name="20% - Accent6 5 2 2 3 3 2" xfId="35857" xr:uid="{1F4F328E-4188-42FB-B233-6A3856F59DF1}"/>
    <cellStyle name="20% - Accent6 5 2 2 3 4" xfId="19963" xr:uid="{00000000-0005-0000-0000-00008D270000}"/>
    <cellStyle name="20% - Accent6 5 2 2 3 4 2" xfId="43795" xr:uid="{1C045123-01CB-4EF4-AA4D-89E84E4D7A55}"/>
    <cellStyle name="20% - Accent6 5 2 2 3 5" xfId="27916" xr:uid="{27675190-721E-418C-A955-AC961AFF3234}"/>
    <cellStyle name="20% - Accent6 5 2 2 4" xfId="5804" xr:uid="{00000000-0005-0000-0000-00008E270000}"/>
    <cellStyle name="20% - Accent6 5 2 2 4 2" xfId="13787" xr:uid="{00000000-0005-0000-0000-00008F270000}"/>
    <cellStyle name="20% - Accent6 5 2 2 4 2 2" xfId="37630" xr:uid="{FF64C2A4-B46A-44E2-BA35-BC0D851EF8E7}"/>
    <cellStyle name="20% - Accent6 5 2 2 4 3" xfId="21735" xr:uid="{00000000-0005-0000-0000-000090270000}"/>
    <cellStyle name="20% - Accent6 5 2 2 4 3 2" xfId="45567" xr:uid="{318D6771-9E73-46B6-958A-353E9A6AFB3B}"/>
    <cellStyle name="20% - Accent6 5 2 2 4 4" xfId="29689" xr:uid="{3C20A089-B486-4117-A9A8-F253C0CE89D2}"/>
    <cellStyle name="20% - Accent6 5 2 2 5" xfId="9356" xr:uid="{00000000-0005-0000-0000-000091270000}"/>
    <cellStyle name="20% - Accent6 5 2 2 5 2" xfId="17314" xr:uid="{00000000-0005-0000-0000-000092270000}"/>
    <cellStyle name="20% - Accent6 5 2 2 5 2 2" xfId="41154" xr:uid="{D78E7145-34CB-4C99-A890-9BA8111186CF}"/>
    <cellStyle name="20% - Accent6 5 2 2 5 3" xfId="25258" xr:uid="{00000000-0005-0000-0000-000093270000}"/>
    <cellStyle name="20% - Accent6 5 2 2 5 3 2" xfId="49090" xr:uid="{76D66351-5CF3-46EF-A59F-0A7D338D7DBA}"/>
    <cellStyle name="20% - Accent6 5 2 2 5 4" xfId="33213" xr:uid="{2ABDDD73-35FB-4029-B530-B9BAC0D2D449}"/>
    <cellStyle name="20% - Accent6 5 2 2 6" xfId="10252" xr:uid="{00000000-0005-0000-0000-000094270000}"/>
    <cellStyle name="20% - Accent6 5 2 2 6 2" xfId="34101" xr:uid="{4B00F442-D860-4400-A9EA-D94C3D484253}"/>
    <cellStyle name="20% - Accent6 5 2 2 7" xfId="18207" xr:uid="{00000000-0005-0000-0000-000095270000}"/>
    <cellStyle name="20% - Accent6 5 2 2 7 2" xfId="42039" xr:uid="{99E36808-3FEC-4756-BAF1-8A5BD4FFE4A3}"/>
    <cellStyle name="20% - Accent6 5 2 2 8" xfId="26159" xr:uid="{E36AAE17-1C05-492E-908B-F342A850002B}"/>
    <cellStyle name="20% - Accent6 5 2 2_Exh G" xfId="2632" xr:uid="{00000000-0005-0000-0000-000096270000}"/>
    <cellStyle name="20% - Accent6 5 2 3" xfId="1335" xr:uid="{00000000-0005-0000-0000-000097270000}"/>
    <cellStyle name="20% - Accent6 5 2 3 2" xfId="4862" xr:uid="{00000000-0005-0000-0000-000098270000}"/>
    <cellStyle name="20% - Accent6 5 2 3 2 2" xfId="8453" xr:uid="{00000000-0005-0000-0000-000099270000}"/>
    <cellStyle name="20% - Accent6 5 2 3 2 2 2" xfId="16423" xr:uid="{00000000-0005-0000-0000-00009A270000}"/>
    <cellStyle name="20% - Accent6 5 2 3 2 2 2 2" xfId="40265" xr:uid="{EFBCD369-9839-4E0D-97B1-5A2D96E28827}"/>
    <cellStyle name="20% - Accent6 5 2 3 2 2 3" xfId="24369" xr:uid="{00000000-0005-0000-0000-00009B270000}"/>
    <cellStyle name="20% - Accent6 5 2 3 2 2 3 2" xfId="48201" xr:uid="{A6CECA6B-BFF4-40DF-A64D-3D8AA29244C4}"/>
    <cellStyle name="20% - Accent6 5 2 3 2 2 4" xfId="32324" xr:uid="{CFA0127F-5790-4F2A-A152-96277208E9C4}"/>
    <cellStyle name="20% - Accent6 5 2 3 2 3" xfId="12885" xr:uid="{00000000-0005-0000-0000-00009C270000}"/>
    <cellStyle name="20% - Accent6 5 2 3 2 3 2" xfId="36734" xr:uid="{DBF1F00C-A6A7-4BB1-A1C4-FB928E7BAFA1}"/>
    <cellStyle name="20% - Accent6 5 2 3 2 4" xfId="20840" xr:uid="{00000000-0005-0000-0000-00009D270000}"/>
    <cellStyle name="20% - Accent6 5 2 3 2 4 2" xfId="44672" xr:uid="{70451EA1-ADC5-49BC-9959-7A7BE2727369}"/>
    <cellStyle name="20% - Accent6 5 2 3 2 5" xfId="28793" xr:uid="{F538BFB4-D550-43F7-85F5-FB3C122B1BDD}"/>
    <cellStyle name="20% - Accent6 5 2 3 3" xfId="6694" xr:uid="{00000000-0005-0000-0000-00009E270000}"/>
    <cellStyle name="20% - Accent6 5 2 3 3 2" xfId="14665" xr:uid="{00000000-0005-0000-0000-00009F270000}"/>
    <cellStyle name="20% - Accent6 5 2 3 3 2 2" xfId="38507" xr:uid="{2A3B07E3-DF55-4579-959D-9A843678826D}"/>
    <cellStyle name="20% - Accent6 5 2 3 3 3" xfId="22612" xr:uid="{00000000-0005-0000-0000-0000A0270000}"/>
    <cellStyle name="20% - Accent6 5 2 3 3 3 2" xfId="46444" xr:uid="{86091590-0C19-4E31-B7BE-EDD830B15EBC}"/>
    <cellStyle name="20% - Accent6 5 2 3 3 4" xfId="30566" xr:uid="{AAA58931-93D0-4240-AE09-7E860442367B}"/>
    <cellStyle name="20% - Accent6 5 2 3 4" xfId="11129" xr:uid="{00000000-0005-0000-0000-0000A1270000}"/>
    <cellStyle name="20% - Accent6 5 2 3 4 2" xfId="34978" xr:uid="{E3975711-889C-4243-9A92-9013F53698D7}"/>
    <cellStyle name="20% - Accent6 5 2 3 5" xfId="19084" xr:uid="{00000000-0005-0000-0000-0000A2270000}"/>
    <cellStyle name="20% - Accent6 5 2 3 5 2" xfId="42916" xr:uid="{DEC78A7C-37FF-445B-9BB9-9C468FBC92F1}"/>
    <cellStyle name="20% - Accent6 5 2 3 6" xfId="27036" xr:uid="{2730D3B5-7041-495E-8441-43D1545A5231}"/>
    <cellStyle name="20% - Accent6 5 2 3_Exh G" xfId="2634" xr:uid="{00000000-0005-0000-0000-0000A3270000}"/>
    <cellStyle name="20% - Accent6 5 2 4" xfId="3983" xr:uid="{00000000-0005-0000-0000-0000A4270000}"/>
    <cellStyle name="20% - Accent6 5 2 4 2" xfId="7575" xr:uid="{00000000-0005-0000-0000-0000A5270000}"/>
    <cellStyle name="20% - Accent6 5 2 4 2 2" xfId="15545" xr:uid="{00000000-0005-0000-0000-0000A6270000}"/>
    <cellStyle name="20% - Accent6 5 2 4 2 2 2" xfId="39387" xr:uid="{860EBF57-18C4-4B93-9970-B9425C2EC679}"/>
    <cellStyle name="20% - Accent6 5 2 4 2 3" xfId="23491" xr:uid="{00000000-0005-0000-0000-0000A7270000}"/>
    <cellStyle name="20% - Accent6 5 2 4 2 3 2" xfId="47323" xr:uid="{96A3A01F-D60B-4243-A1FC-28C2DA5F95E2}"/>
    <cellStyle name="20% - Accent6 5 2 4 2 4" xfId="31446" xr:uid="{AAB30309-AA29-497F-B1C8-790AF616F00D}"/>
    <cellStyle name="20% - Accent6 5 2 4 3" xfId="12007" xr:uid="{00000000-0005-0000-0000-0000A8270000}"/>
    <cellStyle name="20% - Accent6 5 2 4 3 2" xfId="35856" xr:uid="{FF03572D-3E04-41CB-A3DE-26664C1A0153}"/>
    <cellStyle name="20% - Accent6 5 2 4 4" xfId="19962" xr:uid="{00000000-0005-0000-0000-0000A9270000}"/>
    <cellStyle name="20% - Accent6 5 2 4 4 2" xfId="43794" xr:uid="{2D949B42-9FD5-4294-8707-643A0A5DBE53}"/>
    <cellStyle name="20% - Accent6 5 2 4 5" xfId="27915" xr:uid="{D3EF0C83-C558-4A6C-AE62-1DFC47F70CB7}"/>
    <cellStyle name="20% - Accent6 5 2 5" xfId="5803" xr:uid="{00000000-0005-0000-0000-0000AA270000}"/>
    <cellStyle name="20% - Accent6 5 2 5 2" xfId="13786" xr:uid="{00000000-0005-0000-0000-0000AB270000}"/>
    <cellStyle name="20% - Accent6 5 2 5 2 2" xfId="37629" xr:uid="{D37228A7-EB71-4307-B2C5-610D225B60DF}"/>
    <cellStyle name="20% - Accent6 5 2 5 3" xfId="21734" xr:uid="{00000000-0005-0000-0000-0000AC270000}"/>
    <cellStyle name="20% - Accent6 5 2 5 3 2" xfId="45566" xr:uid="{DD11C980-9BB0-490A-8323-978FE8B05DB9}"/>
    <cellStyle name="20% - Accent6 5 2 5 4" xfId="29688" xr:uid="{F1F7E313-A784-41F8-A27A-FC2F20B383CB}"/>
    <cellStyle name="20% - Accent6 5 2 6" xfId="9355" xr:uid="{00000000-0005-0000-0000-0000AD270000}"/>
    <cellStyle name="20% - Accent6 5 2 6 2" xfId="17313" xr:uid="{00000000-0005-0000-0000-0000AE270000}"/>
    <cellStyle name="20% - Accent6 5 2 6 2 2" xfId="41153" xr:uid="{847F3E2D-6D57-438C-98F4-AAE275A365D9}"/>
    <cellStyle name="20% - Accent6 5 2 6 3" xfId="25257" xr:uid="{00000000-0005-0000-0000-0000AF270000}"/>
    <cellStyle name="20% - Accent6 5 2 6 3 2" xfId="49089" xr:uid="{852F8D68-ED85-47B8-AD97-2B66C7BFDEBF}"/>
    <cellStyle name="20% - Accent6 5 2 6 4" xfId="33212" xr:uid="{0FDE28A3-6C80-43A4-964E-9081281314BF}"/>
    <cellStyle name="20% - Accent6 5 2 7" xfId="10251" xr:uid="{00000000-0005-0000-0000-0000B0270000}"/>
    <cellStyle name="20% - Accent6 5 2 7 2" xfId="34100" xr:uid="{1AA24EFB-3234-4189-84DE-1DEBA59C8A27}"/>
    <cellStyle name="20% - Accent6 5 2 8" xfId="18206" xr:uid="{00000000-0005-0000-0000-0000B1270000}"/>
    <cellStyle name="20% - Accent6 5 2 8 2" xfId="42038" xr:uid="{7ABC4B3E-B8BC-4BA8-9E83-8218A4B11940}"/>
    <cellStyle name="20% - Accent6 5 2 9" xfId="26158" xr:uid="{C54AE14B-BB59-4EC5-BF21-3634770856CC}"/>
    <cellStyle name="20% - Accent6 5 2_Exh G" xfId="2631" xr:uid="{00000000-0005-0000-0000-0000B2270000}"/>
    <cellStyle name="20% - Accent6 5 3" xfId="311" xr:uid="{00000000-0005-0000-0000-0000B3270000}"/>
    <cellStyle name="20% - Accent6 5 3 2" xfId="1337" xr:uid="{00000000-0005-0000-0000-0000B4270000}"/>
    <cellStyle name="20% - Accent6 5 3 2 2" xfId="4864" xr:uid="{00000000-0005-0000-0000-0000B5270000}"/>
    <cellStyle name="20% - Accent6 5 3 2 2 2" xfId="8455" xr:uid="{00000000-0005-0000-0000-0000B6270000}"/>
    <cellStyle name="20% - Accent6 5 3 2 2 2 2" xfId="16425" xr:uid="{00000000-0005-0000-0000-0000B7270000}"/>
    <cellStyle name="20% - Accent6 5 3 2 2 2 2 2" xfId="40267" xr:uid="{985587A7-D01F-44BE-AE56-7BFE4C580A68}"/>
    <cellStyle name="20% - Accent6 5 3 2 2 2 3" xfId="24371" xr:uid="{00000000-0005-0000-0000-0000B8270000}"/>
    <cellStyle name="20% - Accent6 5 3 2 2 2 3 2" xfId="48203" xr:uid="{636AA1E8-AA3F-4638-AA31-AEB27E4F074A}"/>
    <cellStyle name="20% - Accent6 5 3 2 2 2 4" xfId="32326" xr:uid="{F5D8BDF7-2F07-4F14-83DF-D9079DC85495}"/>
    <cellStyle name="20% - Accent6 5 3 2 2 3" xfId="12887" xr:uid="{00000000-0005-0000-0000-0000B9270000}"/>
    <cellStyle name="20% - Accent6 5 3 2 2 3 2" xfId="36736" xr:uid="{CBCAAA21-20AB-4492-8F05-801B001F97E4}"/>
    <cellStyle name="20% - Accent6 5 3 2 2 4" xfId="20842" xr:uid="{00000000-0005-0000-0000-0000BA270000}"/>
    <cellStyle name="20% - Accent6 5 3 2 2 4 2" xfId="44674" xr:uid="{977E31D2-6BE6-4354-B5B5-9BC36FB300ED}"/>
    <cellStyle name="20% - Accent6 5 3 2 2 5" xfId="28795" xr:uid="{84671D82-CBAA-4F0F-A345-EF5F16B501A1}"/>
    <cellStyle name="20% - Accent6 5 3 2 3" xfId="6696" xr:uid="{00000000-0005-0000-0000-0000BB270000}"/>
    <cellStyle name="20% - Accent6 5 3 2 3 2" xfId="14667" xr:uid="{00000000-0005-0000-0000-0000BC270000}"/>
    <cellStyle name="20% - Accent6 5 3 2 3 2 2" xfId="38509" xr:uid="{A955DEB0-0AA5-4FEB-B337-B42A9CEDC7DE}"/>
    <cellStyle name="20% - Accent6 5 3 2 3 3" xfId="22614" xr:uid="{00000000-0005-0000-0000-0000BD270000}"/>
    <cellStyle name="20% - Accent6 5 3 2 3 3 2" xfId="46446" xr:uid="{A2C00AA9-6F62-4928-8597-D06518584882}"/>
    <cellStyle name="20% - Accent6 5 3 2 3 4" xfId="30568" xr:uid="{BEBA8C5A-7BFA-43E7-A393-DCA3D6715295}"/>
    <cellStyle name="20% - Accent6 5 3 2 4" xfId="11131" xr:uid="{00000000-0005-0000-0000-0000BE270000}"/>
    <cellStyle name="20% - Accent6 5 3 2 4 2" xfId="34980" xr:uid="{DD3C0B4D-3E0D-4479-A836-7ACB5C4CA8CA}"/>
    <cellStyle name="20% - Accent6 5 3 2 5" xfId="19086" xr:uid="{00000000-0005-0000-0000-0000BF270000}"/>
    <cellStyle name="20% - Accent6 5 3 2 5 2" xfId="42918" xr:uid="{2D5B3BC8-8F0D-4F99-B50A-37A8FEC23E02}"/>
    <cellStyle name="20% - Accent6 5 3 2 6" xfId="27038" xr:uid="{4728FE90-0204-49B7-837D-27E317769BF4}"/>
    <cellStyle name="20% - Accent6 5 3 2_Exh G" xfId="2636" xr:uid="{00000000-0005-0000-0000-0000C0270000}"/>
    <cellStyle name="20% - Accent6 5 3 3" xfId="3985" xr:uid="{00000000-0005-0000-0000-0000C1270000}"/>
    <cellStyle name="20% - Accent6 5 3 3 2" xfId="7577" xr:uid="{00000000-0005-0000-0000-0000C2270000}"/>
    <cellStyle name="20% - Accent6 5 3 3 2 2" xfId="15547" xr:uid="{00000000-0005-0000-0000-0000C3270000}"/>
    <cellStyle name="20% - Accent6 5 3 3 2 2 2" xfId="39389" xr:uid="{2C926924-1746-47FE-9D65-BC5E27EA87DF}"/>
    <cellStyle name="20% - Accent6 5 3 3 2 3" xfId="23493" xr:uid="{00000000-0005-0000-0000-0000C4270000}"/>
    <cellStyle name="20% - Accent6 5 3 3 2 3 2" xfId="47325" xr:uid="{D9C12B0A-5346-414D-8B16-9576335B7A2D}"/>
    <cellStyle name="20% - Accent6 5 3 3 2 4" xfId="31448" xr:uid="{D30BBB68-A4BA-4241-BB78-139CBA9A9D5E}"/>
    <cellStyle name="20% - Accent6 5 3 3 3" xfId="12009" xr:uid="{00000000-0005-0000-0000-0000C5270000}"/>
    <cellStyle name="20% - Accent6 5 3 3 3 2" xfId="35858" xr:uid="{56480A94-EC47-4A36-90F2-950AD66EF5D7}"/>
    <cellStyle name="20% - Accent6 5 3 3 4" xfId="19964" xr:uid="{00000000-0005-0000-0000-0000C6270000}"/>
    <cellStyle name="20% - Accent6 5 3 3 4 2" xfId="43796" xr:uid="{312BE6B3-146A-4E6F-9188-9FA74243F00F}"/>
    <cellStyle name="20% - Accent6 5 3 3 5" xfId="27917" xr:uid="{19A5E9EB-F048-47C3-A598-7C4D26A5CA5C}"/>
    <cellStyle name="20% - Accent6 5 3 4" xfId="5805" xr:uid="{00000000-0005-0000-0000-0000C7270000}"/>
    <cellStyle name="20% - Accent6 5 3 4 2" xfId="13788" xr:uid="{00000000-0005-0000-0000-0000C8270000}"/>
    <cellStyle name="20% - Accent6 5 3 4 2 2" xfId="37631" xr:uid="{94635122-CA17-40E9-9730-DA858385F416}"/>
    <cellStyle name="20% - Accent6 5 3 4 3" xfId="21736" xr:uid="{00000000-0005-0000-0000-0000C9270000}"/>
    <cellStyle name="20% - Accent6 5 3 4 3 2" xfId="45568" xr:uid="{BBA01D46-25DD-4A0E-B83A-EE4DEDCFBE96}"/>
    <cellStyle name="20% - Accent6 5 3 4 4" xfId="29690" xr:uid="{8E1FD1DF-259F-45C5-8D1E-F9511AD9BED7}"/>
    <cellStyle name="20% - Accent6 5 3 5" xfId="9357" xr:uid="{00000000-0005-0000-0000-0000CA270000}"/>
    <cellStyle name="20% - Accent6 5 3 5 2" xfId="17315" xr:uid="{00000000-0005-0000-0000-0000CB270000}"/>
    <cellStyle name="20% - Accent6 5 3 5 2 2" xfId="41155" xr:uid="{180692A9-0CC0-49D7-89D6-04B6DD74127E}"/>
    <cellStyle name="20% - Accent6 5 3 5 3" xfId="25259" xr:uid="{00000000-0005-0000-0000-0000CC270000}"/>
    <cellStyle name="20% - Accent6 5 3 5 3 2" xfId="49091" xr:uid="{545E9473-A887-486E-8043-AACEFC02527B}"/>
    <cellStyle name="20% - Accent6 5 3 5 4" xfId="33214" xr:uid="{04BB6217-2D39-431E-8E7C-7127967CD034}"/>
    <cellStyle name="20% - Accent6 5 3 6" xfId="10253" xr:uid="{00000000-0005-0000-0000-0000CD270000}"/>
    <cellStyle name="20% - Accent6 5 3 6 2" xfId="34102" xr:uid="{27F94650-3C1F-43CC-B18B-8D648E2AF25C}"/>
    <cellStyle name="20% - Accent6 5 3 7" xfId="18208" xr:uid="{00000000-0005-0000-0000-0000CE270000}"/>
    <cellStyle name="20% - Accent6 5 3 7 2" xfId="42040" xr:uid="{A41AAF94-7633-4711-A61D-070E74676F6E}"/>
    <cellStyle name="20% - Accent6 5 3 8" xfId="26160" xr:uid="{CDD9E96D-FEBC-41AF-A047-A590099EBF87}"/>
    <cellStyle name="20% - Accent6 5 3_Exh G" xfId="2635" xr:uid="{00000000-0005-0000-0000-0000CF270000}"/>
    <cellStyle name="20% - Accent6 5 4" xfId="926" xr:uid="{00000000-0005-0000-0000-0000D0270000}"/>
    <cellStyle name="20% - Accent6 5 5" xfId="1334" xr:uid="{00000000-0005-0000-0000-0000D1270000}"/>
    <cellStyle name="20% - Accent6 5 5 2" xfId="4861" xr:uid="{00000000-0005-0000-0000-0000D2270000}"/>
    <cellStyle name="20% - Accent6 5 5 2 2" xfId="8452" xr:uid="{00000000-0005-0000-0000-0000D3270000}"/>
    <cellStyle name="20% - Accent6 5 5 2 2 2" xfId="16422" xr:uid="{00000000-0005-0000-0000-0000D4270000}"/>
    <cellStyle name="20% - Accent6 5 5 2 2 2 2" xfId="40264" xr:uid="{7F773458-7FC8-4A07-8B40-82DCB3219EAE}"/>
    <cellStyle name="20% - Accent6 5 5 2 2 3" xfId="24368" xr:uid="{00000000-0005-0000-0000-0000D5270000}"/>
    <cellStyle name="20% - Accent6 5 5 2 2 3 2" xfId="48200" xr:uid="{21E0AAC4-F23D-4E8D-8F1E-A408DF979A69}"/>
    <cellStyle name="20% - Accent6 5 5 2 2 4" xfId="32323" xr:uid="{22D6A13F-51BA-4404-B00A-591B97B79417}"/>
    <cellStyle name="20% - Accent6 5 5 2 3" xfId="12884" xr:uid="{00000000-0005-0000-0000-0000D6270000}"/>
    <cellStyle name="20% - Accent6 5 5 2 3 2" xfId="36733" xr:uid="{9B1F7F63-DBD6-49BC-9A0C-22F712022BE3}"/>
    <cellStyle name="20% - Accent6 5 5 2 4" xfId="20839" xr:uid="{00000000-0005-0000-0000-0000D7270000}"/>
    <cellStyle name="20% - Accent6 5 5 2 4 2" xfId="44671" xr:uid="{54D249C1-0694-4A10-A403-4AF3FFB11649}"/>
    <cellStyle name="20% - Accent6 5 5 2 5" xfId="28792" xr:uid="{EA94E49C-4577-4274-94B4-035B499E12BB}"/>
    <cellStyle name="20% - Accent6 5 5 3" xfId="6693" xr:uid="{00000000-0005-0000-0000-0000D8270000}"/>
    <cellStyle name="20% - Accent6 5 5 3 2" xfId="14664" xr:uid="{00000000-0005-0000-0000-0000D9270000}"/>
    <cellStyle name="20% - Accent6 5 5 3 2 2" xfId="38506" xr:uid="{1C56E8CE-D59D-4FA7-95AE-5BCAF3E6C3D6}"/>
    <cellStyle name="20% - Accent6 5 5 3 3" xfId="22611" xr:uid="{00000000-0005-0000-0000-0000DA270000}"/>
    <cellStyle name="20% - Accent6 5 5 3 3 2" xfId="46443" xr:uid="{212A770A-6E61-4F8A-A4E2-95FDEC5611CD}"/>
    <cellStyle name="20% - Accent6 5 5 3 4" xfId="30565" xr:uid="{152BC3E1-B7B8-4F24-A8BD-EE44C05A747A}"/>
    <cellStyle name="20% - Accent6 5 5 4" xfId="11128" xr:uid="{00000000-0005-0000-0000-0000DB270000}"/>
    <cellStyle name="20% - Accent6 5 5 4 2" xfId="34977" xr:uid="{CA1BBFFE-873C-4E4D-A88B-A9E42A990139}"/>
    <cellStyle name="20% - Accent6 5 5 5" xfId="19083" xr:uid="{00000000-0005-0000-0000-0000DC270000}"/>
    <cellStyle name="20% - Accent6 5 5 5 2" xfId="42915" xr:uid="{14101AB0-9DB5-4CE5-9DD6-5D1B3C0B6DE4}"/>
    <cellStyle name="20% - Accent6 5 5 6" xfId="27035" xr:uid="{4DECF83E-F454-4BCD-B8A0-A0197EB355B3}"/>
    <cellStyle name="20% - Accent6 5 5_Exh G" xfId="2637" xr:uid="{00000000-0005-0000-0000-0000DD270000}"/>
    <cellStyle name="20% - Accent6 5 6" xfId="3982" xr:uid="{00000000-0005-0000-0000-0000DE270000}"/>
    <cellStyle name="20% - Accent6 5 6 2" xfId="7574" xr:uid="{00000000-0005-0000-0000-0000DF270000}"/>
    <cellStyle name="20% - Accent6 5 6 2 2" xfId="15544" xr:uid="{00000000-0005-0000-0000-0000E0270000}"/>
    <cellStyle name="20% - Accent6 5 6 2 2 2" xfId="39386" xr:uid="{DD55E7BB-21CE-408D-9F8A-DD15FAE40CD6}"/>
    <cellStyle name="20% - Accent6 5 6 2 3" xfId="23490" xr:uid="{00000000-0005-0000-0000-0000E1270000}"/>
    <cellStyle name="20% - Accent6 5 6 2 3 2" xfId="47322" xr:uid="{026CAEA4-6F70-4F6C-A2BD-0F239A07F609}"/>
    <cellStyle name="20% - Accent6 5 6 2 4" xfId="31445" xr:uid="{E8EF5933-33C8-4450-A97A-4F8D276CEAC7}"/>
    <cellStyle name="20% - Accent6 5 6 3" xfId="12006" xr:uid="{00000000-0005-0000-0000-0000E2270000}"/>
    <cellStyle name="20% - Accent6 5 6 3 2" xfId="35855" xr:uid="{71AFA413-1B1B-49BB-8E9A-59657AD23242}"/>
    <cellStyle name="20% - Accent6 5 6 4" xfId="19961" xr:uid="{00000000-0005-0000-0000-0000E3270000}"/>
    <cellStyle name="20% - Accent6 5 6 4 2" xfId="43793" xr:uid="{9F6CC42A-32EE-4F2A-91F2-D1B43F62A20A}"/>
    <cellStyle name="20% - Accent6 5 6 5" xfId="27914" xr:uid="{FC893A98-0754-4E9D-B3F2-4970018C5A9B}"/>
    <cellStyle name="20% - Accent6 5 7" xfId="5802" xr:uid="{00000000-0005-0000-0000-0000E4270000}"/>
    <cellStyle name="20% - Accent6 5 7 2" xfId="13785" xr:uid="{00000000-0005-0000-0000-0000E5270000}"/>
    <cellStyle name="20% - Accent6 5 7 2 2" xfId="37628" xr:uid="{4558943D-EBBF-439B-BC71-9E642B65F704}"/>
    <cellStyle name="20% - Accent6 5 7 3" xfId="21733" xr:uid="{00000000-0005-0000-0000-0000E6270000}"/>
    <cellStyle name="20% - Accent6 5 7 3 2" xfId="45565" xr:uid="{5CBD7628-59D1-4C0A-986C-459C7110C69B}"/>
    <cellStyle name="20% - Accent6 5 7 4" xfId="29687" xr:uid="{A4EA7E30-675B-4B7E-980F-637D379C89BA}"/>
    <cellStyle name="20% - Accent6 5 8" xfId="9354" xr:uid="{00000000-0005-0000-0000-0000E7270000}"/>
    <cellStyle name="20% - Accent6 5 8 2" xfId="17312" xr:uid="{00000000-0005-0000-0000-0000E8270000}"/>
    <cellStyle name="20% - Accent6 5 8 2 2" xfId="41152" xr:uid="{960ABDA9-A98A-435D-8564-FBFD0373A203}"/>
    <cellStyle name="20% - Accent6 5 8 3" xfId="25256" xr:uid="{00000000-0005-0000-0000-0000E9270000}"/>
    <cellStyle name="20% - Accent6 5 8 3 2" xfId="49088" xr:uid="{5C97341D-86BE-4067-918E-4B73A67E8889}"/>
    <cellStyle name="20% - Accent6 5 8 4" xfId="33211" xr:uid="{17036F97-2E9C-4DE3-B0B7-DC0E38D67275}"/>
    <cellStyle name="20% - Accent6 5 9" xfId="10250" xr:uid="{00000000-0005-0000-0000-0000EA270000}"/>
    <cellStyle name="20% - Accent6 5 9 2" xfId="34099" xr:uid="{43803CDB-F7AD-4B65-BFCD-CF32217E4840}"/>
    <cellStyle name="20% - Accent6 5_Exh G" xfId="2630" xr:uid="{00000000-0005-0000-0000-0000EB270000}"/>
    <cellStyle name="20% - Accent6 6" xfId="312" xr:uid="{00000000-0005-0000-0000-0000EC270000}"/>
    <cellStyle name="20% - Accent6 6 10" xfId="18209" xr:uid="{00000000-0005-0000-0000-0000ED270000}"/>
    <cellStyle name="20% - Accent6 6 10 2" xfId="42041" xr:uid="{BFC525B6-5A5C-4F11-A34E-0BEB48B51F87}"/>
    <cellStyle name="20% - Accent6 6 11" xfId="26161" xr:uid="{4729303A-B07B-40BF-BBB9-7928398D086E}"/>
    <cellStyle name="20% - Accent6 6 2" xfId="313" xr:uid="{00000000-0005-0000-0000-0000EE270000}"/>
    <cellStyle name="20% - Accent6 6 2 2" xfId="314" xr:uid="{00000000-0005-0000-0000-0000EF270000}"/>
    <cellStyle name="20% - Accent6 6 2 2 2" xfId="1340" xr:uid="{00000000-0005-0000-0000-0000F0270000}"/>
    <cellStyle name="20% - Accent6 6 2 2 2 2" xfId="4867" xr:uid="{00000000-0005-0000-0000-0000F1270000}"/>
    <cellStyle name="20% - Accent6 6 2 2 2 2 2" xfId="8458" xr:uid="{00000000-0005-0000-0000-0000F2270000}"/>
    <cellStyle name="20% - Accent6 6 2 2 2 2 2 2" xfId="16428" xr:uid="{00000000-0005-0000-0000-0000F3270000}"/>
    <cellStyle name="20% - Accent6 6 2 2 2 2 2 2 2" xfId="40270" xr:uid="{8EA6189E-96ED-4E9D-9C19-E935D53B7D67}"/>
    <cellStyle name="20% - Accent6 6 2 2 2 2 2 3" xfId="24374" xr:uid="{00000000-0005-0000-0000-0000F4270000}"/>
    <cellStyle name="20% - Accent6 6 2 2 2 2 2 3 2" xfId="48206" xr:uid="{17A52BB8-BE68-4A4D-A48F-0962E1AB0250}"/>
    <cellStyle name="20% - Accent6 6 2 2 2 2 2 4" xfId="32329" xr:uid="{C256E08A-3863-40D8-90E8-EC352AD1B144}"/>
    <cellStyle name="20% - Accent6 6 2 2 2 2 3" xfId="12890" xr:uid="{00000000-0005-0000-0000-0000F5270000}"/>
    <cellStyle name="20% - Accent6 6 2 2 2 2 3 2" xfId="36739" xr:uid="{F71CAAA7-0824-49F7-8D00-47B6CC4FF30A}"/>
    <cellStyle name="20% - Accent6 6 2 2 2 2 4" xfId="20845" xr:uid="{00000000-0005-0000-0000-0000F6270000}"/>
    <cellStyle name="20% - Accent6 6 2 2 2 2 4 2" xfId="44677" xr:uid="{DB5D2F1B-0EA6-414F-B92E-86BFAAB6B28F}"/>
    <cellStyle name="20% - Accent6 6 2 2 2 2 5" xfId="28798" xr:uid="{7ED3E3C6-B1DF-4E94-B96D-093182340F77}"/>
    <cellStyle name="20% - Accent6 6 2 2 2 3" xfId="6699" xr:uid="{00000000-0005-0000-0000-0000F7270000}"/>
    <cellStyle name="20% - Accent6 6 2 2 2 3 2" xfId="14670" xr:uid="{00000000-0005-0000-0000-0000F8270000}"/>
    <cellStyle name="20% - Accent6 6 2 2 2 3 2 2" xfId="38512" xr:uid="{62189C36-BE73-4EA4-89A5-F897C9AA8262}"/>
    <cellStyle name="20% - Accent6 6 2 2 2 3 3" xfId="22617" xr:uid="{00000000-0005-0000-0000-0000F9270000}"/>
    <cellStyle name="20% - Accent6 6 2 2 2 3 3 2" xfId="46449" xr:uid="{C43DF2DF-A4A6-4D7A-BA23-869925D1B383}"/>
    <cellStyle name="20% - Accent6 6 2 2 2 3 4" xfId="30571" xr:uid="{74BB6A30-7401-4F9A-AE48-274A2ECCB8DB}"/>
    <cellStyle name="20% - Accent6 6 2 2 2 4" xfId="11134" xr:uid="{00000000-0005-0000-0000-0000FA270000}"/>
    <cellStyle name="20% - Accent6 6 2 2 2 4 2" xfId="34983" xr:uid="{DB64A33E-D8C9-4BF9-9BFC-D955ED8D0C9F}"/>
    <cellStyle name="20% - Accent6 6 2 2 2 5" xfId="19089" xr:uid="{00000000-0005-0000-0000-0000FB270000}"/>
    <cellStyle name="20% - Accent6 6 2 2 2 5 2" xfId="42921" xr:uid="{F6A4B3D0-4528-47EA-89EF-0AAA3588437E}"/>
    <cellStyle name="20% - Accent6 6 2 2 2 6" xfId="27041" xr:uid="{6DE0EF4B-1E24-45EA-BF71-AE19CE497890}"/>
    <cellStyle name="20% - Accent6 6 2 2 2_Exh G" xfId="2641" xr:uid="{00000000-0005-0000-0000-0000FC270000}"/>
    <cellStyle name="20% - Accent6 6 2 2 3" xfId="3988" xr:uid="{00000000-0005-0000-0000-0000FD270000}"/>
    <cellStyle name="20% - Accent6 6 2 2 3 2" xfId="7580" xr:uid="{00000000-0005-0000-0000-0000FE270000}"/>
    <cellStyle name="20% - Accent6 6 2 2 3 2 2" xfId="15550" xr:uid="{00000000-0005-0000-0000-0000FF270000}"/>
    <cellStyle name="20% - Accent6 6 2 2 3 2 2 2" xfId="39392" xr:uid="{6BEEA791-BB33-4562-A7BD-CCA976CD92AE}"/>
    <cellStyle name="20% - Accent6 6 2 2 3 2 3" xfId="23496" xr:uid="{00000000-0005-0000-0000-000000280000}"/>
    <cellStyle name="20% - Accent6 6 2 2 3 2 3 2" xfId="47328" xr:uid="{89035C32-0E65-4232-8CF7-CB91A84B9692}"/>
    <cellStyle name="20% - Accent6 6 2 2 3 2 4" xfId="31451" xr:uid="{EEF31D08-9E69-463A-96B2-10F49A4CDE13}"/>
    <cellStyle name="20% - Accent6 6 2 2 3 3" xfId="12012" xr:uid="{00000000-0005-0000-0000-000001280000}"/>
    <cellStyle name="20% - Accent6 6 2 2 3 3 2" xfId="35861" xr:uid="{425F99B2-7FA1-4AF4-AC3F-5F8C63F3CEB4}"/>
    <cellStyle name="20% - Accent6 6 2 2 3 4" xfId="19967" xr:uid="{00000000-0005-0000-0000-000002280000}"/>
    <cellStyle name="20% - Accent6 6 2 2 3 4 2" xfId="43799" xr:uid="{2B348378-04E9-4AC7-892A-1DC721F02B0E}"/>
    <cellStyle name="20% - Accent6 6 2 2 3 5" xfId="27920" xr:uid="{C51D02C1-C747-4A81-9C35-3252A7951D0B}"/>
    <cellStyle name="20% - Accent6 6 2 2 4" xfId="5808" xr:uid="{00000000-0005-0000-0000-000003280000}"/>
    <cellStyle name="20% - Accent6 6 2 2 4 2" xfId="13791" xr:uid="{00000000-0005-0000-0000-000004280000}"/>
    <cellStyle name="20% - Accent6 6 2 2 4 2 2" xfId="37634" xr:uid="{C10DF5EA-4EBC-49FB-9B1C-5C7A3145C42D}"/>
    <cellStyle name="20% - Accent6 6 2 2 4 3" xfId="21739" xr:uid="{00000000-0005-0000-0000-000005280000}"/>
    <cellStyle name="20% - Accent6 6 2 2 4 3 2" xfId="45571" xr:uid="{D9A78D76-56ED-4BB0-9A79-C130BAB1FB67}"/>
    <cellStyle name="20% - Accent6 6 2 2 4 4" xfId="29693" xr:uid="{B1864774-17CA-4A6B-8266-65B30DA4724E}"/>
    <cellStyle name="20% - Accent6 6 2 2 5" xfId="9360" xr:uid="{00000000-0005-0000-0000-000006280000}"/>
    <cellStyle name="20% - Accent6 6 2 2 5 2" xfId="17318" xr:uid="{00000000-0005-0000-0000-000007280000}"/>
    <cellStyle name="20% - Accent6 6 2 2 5 2 2" xfId="41158" xr:uid="{B44F673A-E169-41A8-A6DD-78961C6E47D7}"/>
    <cellStyle name="20% - Accent6 6 2 2 5 3" xfId="25262" xr:uid="{00000000-0005-0000-0000-000008280000}"/>
    <cellStyle name="20% - Accent6 6 2 2 5 3 2" xfId="49094" xr:uid="{5330A825-322C-4DE1-8F43-B355209A2B12}"/>
    <cellStyle name="20% - Accent6 6 2 2 5 4" xfId="33217" xr:uid="{99E021EB-8160-4FD9-BFFC-6BE74E78209D}"/>
    <cellStyle name="20% - Accent6 6 2 2 6" xfId="10256" xr:uid="{00000000-0005-0000-0000-000009280000}"/>
    <cellStyle name="20% - Accent6 6 2 2 6 2" xfId="34105" xr:uid="{4A3E96D0-FE6A-4F78-82DA-712FA06C6E6C}"/>
    <cellStyle name="20% - Accent6 6 2 2 7" xfId="18211" xr:uid="{00000000-0005-0000-0000-00000A280000}"/>
    <cellStyle name="20% - Accent6 6 2 2 7 2" xfId="42043" xr:uid="{44845DF0-42E8-4EDD-A6D8-25F78B7B767D}"/>
    <cellStyle name="20% - Accent6 6 2 2 8" xfId="26163" xr:uid="{53AEC4C8-72C2-4F6E-9F93-8D1668810711}"/>
    <cellStyle name="20% - Accent6 6 2 2_Exh G" xfId="2640" xr:uid="{00000000-0005-0000-0000-00000B280000}"/>
    <cellStyle name="20% - Accent6 6 2 3" xfId="1339" xr:uid="{00000000-0005-0000-0000-00000C280000}"/>
    <cellStyle name="20% - Accent6 6 2 3 2" xfId="4866" xr:uid="{00000000-0005-0000-0000-00000D280000}"/>
    <cellStyle name="20% - Accent6 6 2 3 2 2" xfId="8457" xr:uid="{00000000-0005-0000-0000-00000E280000}"/>
    <cellStyle name="20% - Accent6 6 2 3 2 2 2" xfId="16427" xr:uid="{00000000-0005-0000-0000-00000F280000}"/>
    <cellStyle name="20% - Accent6 6 2 3 2 2 2 2" xfId="40269" xr:uid="{E429D320-CA04-4700-AFFE-BC6012454C96}"/>
    <cellStyle name="20% - Accent6 6 2 3 2 2 3" xfId="24373" xr:uid="{00000000-0005-0000-0000-000010280000}"/>
    <cellStyle name="20% - Accent6 6 2 3 2 2 3 2" xfId="48205" xr:uid="{6078F263-463E-4C39-867B-3168F684F559}"/>
    <cellStyle name="20% - Accent6 6 2 3 2 2 4" xfId="32328" xr:uid="{A74DFA00-5DB9-4939-8B37-0EEEEED1E0A6}"/>
    <cellStyle name="20% - Accent6 6 2 3 2 3" xfId="12889" xr:uid="{00000000-0005-0000-0000-000011280000}"/>
    <cellStyle name="20% - Accent6 6 2 3 2 3 2" xfId="36738" xr:uid="{2EE8FE31-7BFB-4FA8-9665-0C3D5FC7E202}"/>
    <cellStyle name="20% - Accent6 6 2 3 2 4" xfId="20844" xr:uid="{00000000-0005-0000-0000-000012280000}"/>
    <cellStyle name="20% - Accent6 6 2 3 2 4 2" xfId="44676" xr:uid="{224FD1DF-E551-4DED-9C4D-CDDB50EA9350}"/>
    <cellStyle name="20% - Accent6 6 2 3 2 5" xfId="28797" xr:uid="{5AF39B1B-0939-4513-AB0F-15D214B75F9E}"/>
    <cellStyle name="20% - Accent6 6 2 3 3" xfId="6698" xr:uid="{00000000-0005-0000-0000-000013280000}"/>
    <cellStyle name="20% - Accent6 6 2 3 3 2" xfId="14669" xr:uid="{00000000-0005-0000-0000-000014280000}"/>
    <cellStyle name="20% - Accent6 6 2 3 3 2 2" xfId="38511" xr:uid="{67738BEB-AA5E-4A74-9E04-FACE1E2A9D4D}"/>
    <cellStyle name="20% - Accent6 6 2 3 3 3" xfId="22616" xr:uid="{00000000-0005-0000-0000-000015280000}"/>
    <cellStyle name="20% - Accent6 6 2 3 3 3 2" xfId="46448" xr:uid="{A98835BD-254D-40C5-9F9D-9636969083B4}"/>
    <cellStyle name="20% - Accent6 6 2 3 3 4" xfId="30570" xr:uid="{09915E0C-04F2-4C37-8A06-DAB0B3624D9F}"/>
    <cellStyle name="20% - Accent6 6 2 3 4" xfId="11133" xr:uid="{00000000-0005-0000-0000-000016280000}"/>
    <cellStyle name="20% - Accent6 6 2 3 4 2" xfId="34982" xr:uid="{7C6BD81E-6397-417F-9350-D66FC68CABC8}"/>
    <cellStyle name="20% - Accent6 6 2 3 5" xfId="19088" xr:uid="{00000000-0005-0000-0000-000017280000}"/>
    <cellStyle name="20% - Accent6 6 2 3 5 2" xfId="42920" xr:uid="{CAB34820-173F-4479-AE71-12BAE9E0CBBD}"/>
    <cellStyle name="20% - Accent6 6 2 3 6" xfId="27040" xr:uid="{AB4C60A2-B113-4014-AD5A-71F0F34719EA}"/>
    <cellStyle name="20% - Accent6 6 2 3_Exh G" xfId="2642" xr:uid="{00000000-0005-0000-0000-000018280000}"/>
    <cellStyle name="20% - Accent6 6 2 4" xfId="3987" xr:uid="{00000000-0005-0000-0000-000019280000}"/>
    <cellStyle name="20% - Accent6 6 2 4 2" xfId="7579" xr:uid="{00000000-0005-0000-0000-00001A280000}"/>
    <cellStyle name="20% - Accent6 6 2 4 2 2" xfId="15549" xr:uid="{00000000-0005-0000-0000-00001B280000}"/>
    <cellStyle name="20% - Accent6 6 2 4 2 2 2" xfId="39391" xr:uid="{1DB9457B-131C-4BB9-BFC5-1B9C9EA9D498}"/>
    <cellStyle name="20% - Accent6 6 2 4 2 3" xfId="23495" xr:uid="{00000000-0005-0000-0000-00001C280000}"/>
    <cellStyle name="20% - Accent6 6 2 4 2 3 2" xfId="47327" xr:uid="{AFE22377-627D-40B5-99DA-491D39E8B9E1}"/>
    <cellStyle name="20% - Accent6 6 2 4 2 4" xfId="31450" xr:uid="{4108E77E-F6B4-4210-BDF8-D61BFD206EE0}"/>
    <cellStyle name="20% - Accent6 6 2 4 3" xfId="12011" xr:uid="{00000000-0005-0000-0000-00001D280000}"/>
    <cellStyle name="20% - Accent6 6 2 4 3 2" xfId="35860" xr:uid="{BBCD1F11-315C-449E-9DA1-4C46D6CF7F52}"/>
    <cellStyle name="20% - Accent6 6 2 4 4" xfId="19966" xr:uid="{00000000-0005-0000-0000-00001E280000}"/>
    <cellStyle name="20% - Accent6 6 2 4 4 2" xfId="43798" xr:uid="{65A9D9BB-F87B-4B85-A453-79108ECF8A1F}"/>
    <cellStyle name="20% - Accent6 6 2 4 5" xfId="27919" xr:uid="{6ECA9CE0-AE48-4222-879E-CDC6B943F1B1}"/>
    <cellStyle name="20% - Accent6 6 2 5" xfId="5807" xr:uid="{00000000-0005-0000-0000-00001F280000}"/>
    <cellStyle name="20% - Accent6 6 2 5 2" xfId="13790" xr:uid="{00000000-0005-0000-0000-000020280000}"/>
    <cellStyle name="20% - Accent6 6 2 5 2 2" xfId="37633" xr:uid="{F07B6E63-815E-44A2-BE81-B9DE2C810EE8}"/>
    <cellStyle name="20% - Accent6 6 2 5 3" xfId="21738" xr:uid="{00000000-0005-0000-0000-000021280000}"/>
    <cellStyle name="20% - Accent6 6 2 5 3 2" xfId="45570" xr:uid="{4815D0D0-115A-4762-AEDA-C63AA654210B}"/>
    <cellStyle name="20% - Accent6 6 2 5 4" xfId="29692" xr:uid="{B38AF525-148E-4B8D-A12D-1D06090456A8}"/>
    <cellStyle name="20% - Accent6 6 2 6" xfId="9359" xr:uid="{00000000-0005-0000-0000-000022280000}"/>
    <cellStyle name="20% - Accent6 6 2 6 2" xfId="17317" xr:uid="{00000000-0005-0000-0000-000023280000}"/>
    <cellStyle name="20% - Accent6 6 2 6 2 2" xfId="41157" xr:uid="{180E82E0-6326-4400-87F7-A2F0B614A04F}"/>
    <cellStyle name="20% - Accent6 6 2 6 3" xfId="25261" xr:uid="{00000000-0005-0000-0000-000024280000}"/>
    <cellStyle name="20% - Accent6 6 2 6 3 2" xfId="49093" xr:uid="{86088601-8D1D-4E8C-93A4-83681D3770C9}"/>
    <cellStyle name="20% - Accent6 6 2 6 4" xfId="33216" xr:uid="{EAC2CEAD-2A9D-483F-BEC4-36192D33C23F}"/>
    <cellStyle name="20% - Accent6 6 2 7" xfId="10255" xr:uid="{00000000-0005-0000-0000-000025280000}"/>
    <cellStyle name="20% - Accent6 6 2 7 2" xfId="34104" xr:uid="{B6A81770-E07F-482B-A6D8-B35EDD5485B4}"/>
    <cellStyle name="20% - Accent6 6 2 8" xfId="18210" xr:uid="{00000000-0005-0000-0000-000026280000}"/>
    <cellStyle name="20% - Accent6 6 2 8 2" xfId="42042" xr:uid="{5C0ECDF9-706A-439D-8DAC-D67A41E82154}"/>
    <cellStyle name="20% - Accent6 6 2 9" xfId="26162" xr:uid="{D321F3D8-92D4-4685-88B8-81DD3000285A}"/>
    <cellStyle name="20% - Accent6 6 2_Exh G" xfId="2639" xr:uid="{00000000-0005-0000-0000-000027280000}"/>
    <cellStyle name="20% - Accent6 6 3" xfId="315" xr:uid="{00000000-0005-0000-0000-000028280000}"/>
    <cellStyle name="20% - Accent6 6 3 2" xfId="1341" xr:uid="{00000000-0005-0000-0000-000029280000}"/>
    <cellStyle name="20% - Accent6 6 3 2 2" xfId="4868" xr:uid="{00000000-0005-0000-0000-00002A280000}"/>
    <cellStyle name="20% - Accent6 6 3 2 2 2" xfId="8459" xr:uid="{00000000-0005-0000-0000-00002B280000}"/>
    <cellStyle name="20% - Accent6 6 3 2 2 2 2" xfId="16429" xr:uid="{00000000-0005-0000-0000-00002C280000}"/>
    <cellStyle name="20% - Accent6 6 3 2 2 2 2 2" xfId="40271" xr:uid="{71F6940A-C43A-4A1B-94D2-E8B5B1E781D1}"/>
    <cellStyle name="20% - Accent6 6 3 2 2 2 3" xfId="24375" xr:uid="{00000000-0005-0000-0000-00002D280000}"/>
    <cellStyle name="20% - Accent6 6 3 2 2 2 3 2" xfId="48207" xr:uid="{78C76FA4-86E0-4F6A-8F6B-9BF37168D3AE}"/>
    <cellStyle name="20% - Accent6 6 3 2 2 2 4" xfId="32330" xr:uid="{18084F02-AF78-4D27-B3DC-98AE2965393D}"/>
    <cellStyle name="20% - Accent6 6 3 2 2 3" xfId="12891" xr:uid="{00000000-0005-0000-0000-00002E280000}"/>
    <cellStyle name="20% - Accent6 6 3 2 2 3 2" xfId="36740" xr:uid="{60490E95-03EF-4B99-9D28-DD78162E16BD}"/>
    <cellStyle name="20% - Accent6 6 3 2 2 4" xfId="20846" xr:uid="{00000000-0005-0000-0000-00002F280000}"/>
    <cellStyle name="20% - Accent6 6 3 2 2 4 2" xfId="44678" xr:uid="{81AB7A11-CFFB-4677-A421-F4470CABBE9D}"/>
    <cellStyle name="20% - Accent6 6 3 2 2 5" xfId="28799" xr:uid="{92294E69-FB75-43BC-9EBE-AE7EE5A983FB}"/>
    <cellStyle name="20% - Accent6 6 3 2 3" xfId="6700" xr:uid="{00000000-0005-0000-0000-000030280000}"/>
    <cellStyle name="20% - Accent6 6 3 2 3 2" xfId="14671" xr:uid="{00000000-0005-0000-0000-000031280000}"/>
    <cellStyle name="20% - Accent6 6 3 2 3 2 2" xfId="38513" xr:uid="{42292398-9922-490E-9D4B-34C2ADCB5D05}"/>
    <cellStyle name="20% - Accent6 6 3 2 3 3" xfId="22618" xr:uid="{00000000-0005-0000-0000-000032280000}"/>
    <cellStyle name="20% - Accent6 6 3 2 3 3 2" xfId="46450" xr:uid="{CD3FB58B-11E9-4878-B240-0625466E94A4}"/>
    <cellStyle name="20% - Accent6 6 3 2 3 4" xfId="30572" xr:uid="{55920B38-2A24-4CC5-A16A-C2C2A10199F9}"/>
    <cellStyle name="20% - Accent6 6 3 2 4" xfId="11135" xr:uid="{00000000-0005-0000-0000-000033280000}"/>
    <cellStyle name="20% - Accent6 6 3 2 4 2" xfId="34984" xr:uid="{ADB8494F-C57A-45B9-B80A-A7D6DA404489}"/>
    <cellStyle name="20% - Accent6 6 3 2 5" xfId="19090" xr:uid="{00000000-0005-0000-0000-000034280000}"/>
    <cellStyle name="20% - Accent6 6 3 2 5 2" xfId="42922" xr:uid="{A5E01B7A-AC7B-4CED-AB7E-E88BFA488154}"/>
    <cellStyle name="20% - Accent6 6 3 2 6" xfId="27042" xr:uid="{998B7BD5-CAFA-4813-805D-AC4A4C801F1A}"/>
    <cellStyle name="20% - Accent6 6 3 2_Exh G" xfId="2644" xr:uid="{00000000-0005-0000-0000-000035280000}"/>
    <cellStyle name="20% - Accent6 6 3 3" xfId="3989" xr:uid="{00000000-0005-0000-0000-000036280000}"/>
    <cellStyle name="20% - Accent6 6 3 3 2" xfId="7581" xr:uid="{00000000-0005-0000-0000-000037280000}"/>
    <cellStyle name="20% - Accent6 6 3 3 2 2" xfId="15551" xr:uid="{00000000-0005-0000-0000-000038280000}"/>
    <cellStyle name="20% - Accent6 6 3 3 2 2 2" xfId="39393" xr:uid="{2370C9D0-FE6D-4FF7-A4EB-7C3248E9669C}"/>
    <cellStyle name="20% - Accent6 6 3 3 2 3" xfId="23497" xr:uid="{00000000-0005-0000-0000-000039280000}"/>
    <cellStyle name="20% - Accent6 6 3 3 2 3 2" xfId="47329" xr:uid="{92D5F2BE-C94B-438A-8C93-2C8E195704BA}"/>
    <cellStyle name="20% - Accent6 6 3 3 2 4" xfId="31452" xr:uid="{D66EE5D0-9DF4-4E15-99AB-F8FF38BE0D5A}"/>
    <cellStyle name="20% - Accent6 6 3 3 3" xfId="12013" xr:uid="{00000000-0005-0000-0000-00003A280000}"/>
    <cellStyle name="20% - Accent6 6 3 3 3 2" xfId="35862" xr:uid="{EB95A8B8-C88B-44C1-A349-F93CE63AAAB7}"/>
    <cellStyle name="20% - Accent6 6 3 3 4" xfId="19968" xr:uid="{00000000-0005-0000-0000-00003B280000}"/>
    <cellStyle name="20% - Accent6 6 3 3 4 2" xfId="43800" xr:uid="{E52B2E5E-ACD9-41BB-9088-329CAF1560BE}"/>
    <cellStyle name="20% - Accent6 6 3 3 5" xfId="27921" xr:uid="{4DF80F18-5DC5-4161-AA88-968DA5CFD09A}"/>
    <cellStyle name="20% - Accent6 6 3 4" xfId="5809" xr:uid="{00000000-0005-0000-0000-00003C280000}"/>
    <cellStyle name="20% - Accent6 6 3 4 2" xfId="13792" xr:uid="{00000000-0005-0000-0000-00003D280000}"/>
    <cellStyle name="20% - Accent6 6 3 4 2 2" xfId="37635" xr:uid="{EF12AD64-193B-47B7-923E-1AFA1C220A98}"/>
    <cellStyle name="20% - Accent6 6 3 4 3" xfId="21740" xr:uid="{00000000-0005-0000-0000-00003E280000}"/>
    <cellStyle name="20% - Accent6 6 3 4 3 2" xfId="45572" xr:uid="{4AA75F28-EF90-4F14-9BBB-B52E42B7D033}"/>
    <cellStyle name="20% - Accent6 6 3 4 4" xfId="29694" xr:uid="{F552ADEE-71FA-40B0-9DDD-5F9F57AEB3C3}"/>
    <cellStyle name="20% - Accent6 6 3 5" xfId="9361" xr:uid="{00000000-0005-0000-0000-00003F280000}"/>
    <cellStyle name="20% - Accent6 6 3 5 2" xfId="17319" xr:uid="{00000000-0005-0000-0000-000040280000}"/>
    <cellStyle name="20% - Accent6 6 3 5 2 2" xfId="41159" xr:uid="{83A80B13-D61F-421A-BD07-7A4F51B90848}"/>
    <cellStyle name="20% - Accent6 6 3 5 3" xfId="25263" xr:uid="{00000000-0005-0000-0000-000041280000}"/>
    <cellStyle name="20% - Accent6 6 3 5 3 2" xfId="49095" xr:uid="{2A18E287-53FD-41F1-A668-056F2E6D8A88}"/>
    <cellStyle name="20% - Accent6 6 3 5 4" xfId="33218" xr:uid="{E5DE1426-B783-4940-BB53-34D43B357F2A}"/>
    <cellStyle name="20% - Accent6 6 3 6" xfId="10257" xr:uid="{00000000-0005-0000-0000-000042280000}"/>
    <cellStyle name="20% - Accent6 6 3 6 2" xfId="34106" xr:uid="{00E05773-4A8C-49C5-9B67-E25F52B103B7}"/>
    <cellStyle name="20% - Accent6 6 3 7" xfId="18212" xr:uid="{00000000-0005-0000-0000-000043280000}"/>
    <cellStyle name="20% - Accent6 6 3 7 2" xfId="42044" xr:uid="{4E70A7B3-80EC-4D72-B2F8-F9E60B1CDB8E}"/>
    <cellStyle name="20% - Accent6 6 3 8" xfId="26164" xr:uid="{32E4930F-E73E-4E1C-A2ED-3CDE41618C20}"/>
    <cellStyle name="20% - Accent6 6 3_Exh G" xfId="2643" xr:uid="{00000000-0005-0000-0000-000044280000}"/>
    <cellStyle name="20% - Accent6 6 4" xfId="927" xr:uid="{00000000-0005-0000-0000-000045280000}"/>
    <cellStyle name="20% - Accent6 6 4 2" xfId="1848" xr:uid="{00000000-0005-0000-0000-000046280000}"/>
    <cellStyle name="20% - Accent6 6 4 2 2" xfId="5365" xr:uid="{00000000-0005-0000-0000-000047280000}"/>
    <cellStyle name="20% - Accent6 6 4 2 2 2" xfId="8956" xr:uid="{00000000-0005-0000-0000-000048280000}"/>
    <cellStyle name="20% - Accent6 6 4 2 2 2 2" xfId="16926" xr:uid="{00000000-0005-0000-0000-000049280000}"/>
    <cellStyle name="20% - Accent6 6 4 2 2 2 2 2" xfId="40768" xr:uid="{88DC31EB-862B-4D88-8918-97657893E082}"/>
    <cellStyle name="20% - Accent6 6 4 2 2 2 3" xfId="24872" xr:uid="{00000000-0005-0000-0000-00004A280000}"/>
    <cellStyle name="20% - Accent6 6 4 2 2 2 3 2" xfId="48704" xr:uid="{E15E0D32-79C4-491E-8144-568D42848ECF}"/>
    <cellStyle name="20% - Accent6 6 4 2 2 2 4" xfId="32827" xr:uid="{A099FDE4-350D-47DD-AF98-C40E6CEDDCB9}"/>
    <cellStyle name="20% - Accent6 6 4 2 2 3" xfId="13388" xr:uid="{00000000-0005-0000-0000-00004B280000}"/>
    <cellStyle name="20% - Accent6 6 4 2 2 3 2" xfId="37237" xr:uid="{54A09B0D-CF56-4698-AB7D-418BA49ACABD}"/>
    <cellStyle name="20% - Accent6 6 4 2 2 4" xfId="21343" xr:uid="{00000000-0005-0000-0000-00004C280000}"/>
    <cellStyle name="20% - Accent6 6 4 2 2 4 2" xfId="45175" xr:uid="{611C7AEF-7BF3-4C11-9216-59659CBD2FC7}"/>
    <cellStyle name="20% - Accent6 6 4 2 2 5" xfId="29296" xr:uid="{6BBF8D14-3C02-40BF-8A21-2D31E4F2F438}"/>
    <cellStyle name="20% - Accent6 6 4 2 3" xfId="7197" xr:uid="{00000000-0005-0000-0000-00004D280000}"/>
    <cellStyle name="20% - Accent6 6 4 2 3 2" xfId="15168" xr:uid="{00000000-0005-0000-0000-00004E280000}"/>
    <cellStyle name="20% - Accent6 6 4 2 3 2 2" xfId="39010" xr:uid="{182CA49E-BF9D-430B-8CFF-F365A91E2539}"/>
    <cellStyle name="20% - Accent6 6 4 2 3 3" xfId="23115" xr:uid="{00000000-0005-0000-0000-00004F280000}"/>
    <cellStyle name="20% - Accent6 6 4 2 3 3 2" xfId="46947" xr:uid="{38A55521-2C09-46AA-82B0-0F0EF528108E}"/>
    <cellStyle name="20% - Accent6 6 4 2 3 4" xfId="31069" xr:uid="{2021AD5E-E490-4A62-A4CB-3CD55B856F35}"/>
    <cellStyle name="20% - Accent6 6 4 2 4" xfId="11632" xr:uid="{00000000-0005-0000-0000-000050280000}"/>
    <cellStyle name="20% - Accent6 6 4 2 4 2" xfId="35481" xr:uid="{330E3217-2061-4FF1-AD57-7B46817D177F}"/>
    <cellStyle name="20% - Accent6 6 4 2 5" xfId="19587" xr:uid="{00000000-0005-0000-0000-000051280000}"/>
    <cellStyle name="20% - Accent6 6 4 2 5 2" xfId="43419" xr:uid="{F56024EB-F5C1-483E-B6FA-0286316AB26D}"/>
    <cellStyle name="20% - Accent6 6 4 2 6" xfId="27539" xr:uid="{B7768B5A-15B9-44B7-9F8B-E028BFBF0FC0}"/>
    <cellStyle name="20% - Accent6 6 4 2_Exh G" xfId="2646" xr:uid="{00000000-0005-0000-0000-000052280000}"/>
    <cellStyle name="20% - Accent6 6 4 3" xfId="4486" xr:uid="{00000000-0005-0000-0000-000053280000}"/>
    <cellStyle name="20% - Accent6 6 4 3 2" xfId="8078" xr:uid="{00000000-0005-0000-0000-000054280000}"/>
    <cellStyle name="20% - Accent6 6 4 3 2 2" xfId="16048" xr:uid="{00000000-0005-0000-0000-000055280000}"/>
    <cellStyle name="20% - Accent6 6 4 3 2 2 2" xfId="39890" xr:uid="{F1055C00-890B-493D-BEF9-1FB98ECA1952}"/>
    <cellStyle name="20% - Accent6 6 4 3 2 3" xfId="23994" xr:uid="{00000000-0005-0000-0000-000056280000}"/>
    <cellStyle name="20% - Accent6 6 4 3 2 3 2" xfId="47826" xr:uid="{A697B538-609D-4712-970D-08A304BEEDA4}"/>
    <cellStyle name="20% - Accent6 6 4 3 2 4" xfId="31949" xr:uid="{9B9A54F4-853A-4A3B-A09A-B204B8CEA662}"/>
    <cellStyle name="20% - Accent6 6 4 3 3" xfId="12510" xr:uid="{00000000-0005-0000-0000-000057280000}"/>
    <cellStyle name="20% - Accent6 6 4 3 3 2" xfId="36359" xr:uid="{B76AF9D5-189B-4C7A-9126-2F7D6487986D}"/>
    <cellStyle name="20% - Accent6 6 4 3 4" xfId="20465" xr:uid="{00000000-0005-0000-0000-000058280000}"/>
    <cellStyle name="20% - Accent6 6 4 3 4 2" xfId="44297" xr:uid="{A18369F0-E92D-460B-AF89-A3A444971B8B}"/>
    <cellStyle name="20% - Accent6 6 4 3 5" xfId="28418" xr:uid="{CFEC904B-4CDC-44F6-98D3-9C7FC89B2770}"/>
    <cellStyle name="20% - Accent6 6 4 4" xfId="6316" xr:uid="{00000000-0005-0000-0000-000059280000}"/>
    <cellStyle name="20% - Accent6 6 4 4 2" xfId="14290" xr:uid="{00000000-0005-0000-0000-00005A280000}"/>
    <cellStyle name="20% - Accent6 6 4 4 2 2" xfId="38132" xr:uid="{FCFB7DED-2776-4370-9FBB-5C80EB3B8985}"/>
    <cellStyle name="20% - Accent6 6 4 4 3" xfId="22237" xr:uid="{00000000-0005-0000-0000-00005B280000}"/>
    <cellStyle name="20% - Accent6 6 4 4 3 2" xfId="46069" xr:uid="{5A6AAF2D-1928-4430-9011-A70F0D18D51A}"/>
    <cellStyle name="20% - Accent6 6 4 4 4" xfId="30191" xr:uid="{39F5E071-E95C-47F1-88D3-3300E89D549F}"/>
    <cellStyle name="20% - Accent6 6 4 5" xfId="9858" xr:uid="{00000000-0005-0000-0000-00005C280000}"/>
    <cellStyle name="20% - Accent6 6 4 5 2" xfId="17816" xr:uid="{00000000-0005-0000-0000-00005D280000}"/>
    <cellStyle name="20% - Accent6 6 4 5 2 2" xfId="41656" xr:uid="{98F2FB52-2338-40F6-B379-93D79804E218}"/>
    <cellStyle name="20% - Accent6 6 4 5 3" xfId="25760" xr:uid="{00000000-0005-0000-0000-00005E280000}"/>
    <cellStyle name="20% - Accent6 6 4 5 3 2" xfId="49592" xr:uid="{59ACEB3A-A558-4D6E-B944-4B255740BA3B}"/>
    <cellStyle name="20% - Accent6 6 4 5 4" xfId="33715" xr:uid="{0327D7E5-40B7-4C35-B15A-647FFF1C24C7}"/>
    <cellStyle name="20% - Accent6 6 4 6" xfId="10754" xr:uid="{00000000-0005-0000-0000-00005F280000}"/>
    <cellStyle name="20% - Accent6 6 4 6 2" xfId="34603" xr:uid="{224D723D-5F3C-4A6F-8833-FF9F677DFBB6}"/>
    <cellStyle name="20% - Accent6 6 4 7" xfId="18709" xr:uid="{00000000-0005-0000-0000-000060280000}"/>
    <cellStyle name="20% - Accent6 6 4 7 2" xfId="42541" xr:uid="{935026C3-22C5-4608-9B43-C5EA52536262}"/>
    <cellStyle name="20% - Accent6 6 4 8" xfId="26661" xr:uid="{2CA64A40-AEAC-4ADA-AF35-22120869B406}"/>
    <cellStyle name="20% - Accent6 6 4_Exh G" xfId="2645" xr:uid="{00000000-0005-0000-0000-000061280000}"/>
    <cellStyle name="20% - Accent6 6 5" xfId="1338" xr:uid="{00000000-0005-0000-0000-000062280000}"/>
    <cellStyle name="20% - Accent6 6 5 2" xfId="4865" xr:uid="{00000000-0005-0000-0000-000063280000}"/>
    <cellStyle name="20% - Accent6 6 5 2 2" xfId="8456" xr:uid="{00000000-0005-0000-0000-000064280000}"/>
    <cellStyle name="20% - Accent6 6 5 2 2 2" xfId="16426" xr:uid="{00000000-0005-0000-0000-000065280000}"/>
    <cellStyle name="20% - Accent6 6 5 2 2 2 2" xfId="40268" xr:uid="{85E47ACC-D999-40D7-8A54-71B7D5B44B05}"/>
    <cellStyle name="20% - Accent6 6 5 2 2 3" xfId="24372" xr:uid="{00000000-0005-0000-0000-000066280000}"/>
    <cellStyle name="20% - Accent6 6 5 2 2 3 2" xfId="48204" xr:uid="{436B80E7-7E10-4BBE-8DF5-D42B18708FDA}"/>
    <cellStyle name="20% - Accent6 6 5 2 2 4" xfId="32327" xr:uid="{DFE72987-63AD-436A-B6D5-78C7C6009F03}"/>
    <cellStyle name="20% - Accent6 6 5 2 3" xfId="12888" xr:uid="{00000000-0005-0000-0000-000067280000}"/>
    <cellStyle name="20% - Accent6 6 5 2 3 2" xfId="36737" xr:uid="{D60348A8-A596-448B-9F12-E1BC09B87175}"/>
    <cellStyle name="20% - Accent6 6 5 2 4" xfId="20843" xr:uid="{00000000-0005-0000-0000-000068280000}"/>
    <cellStyle name="20% - Accent6 6 5 2 4 2" xfId="44675" xr:uid="{7E02F262-852E-4FDE-BFA9-ACE94677905B}"/>
    <cellStyle name="20% - Accent6 6 5 2 5" xfId="28796" xr:uid="{922365CC-CA25-4960-ABB0-B531D26492E2}"/>
    <cellStyle name="20% - Accent6 6 5 3" xfId="6697" xr:uid="{00000000-0005-0000-0000-000069280000}"/>
    <cellStyle name="20% - Accent6 6 5 3 2" xfId="14668" xr:uid="{00000000-0005-0000-0000-00006A280000}"/>
    <cellStyle name="20% - Accent6 6 5 3 2 2" xfId="38510" xr:uid="{C8C4B044-1143-4036-8B4A-367D78F5EA16}"/>
    <cellStyle name="20% - Accent6 6 5 3 3" xfId="22615" xr:uid="{00000000-0005-0000-0000-00006B280000}"/>
    <cellStyle name="20% - Accent6 6 5 3 3 2" xfId="46447" xr:uid="{2C3F8176-E30D-4115-BB15-BD59F7B815A6}"/>
    <cellStyle name="20% - Accent6 6 5 3 4" xfId="30569" xr:uid="{055948FB-2AA6-43B0-ACAB-AFAC517AC96E}"/>
    <cellStyle name="20% - Accent6 6 5 4" xfId="11132" xr:uid="{00000000-0005-0000-0000-00006C280000}"/>
    <cellStyle name="20% - Accent6 6 5 4 2" xfId="34981" xr:uid="{5133585B-B350-479B-BA08-7D3DC330E477}"/>
    <cellStyle name="20% - Accent6 6 5 5" xfId="19087" xr:uid="{00000000-0005-0000-0000-00006D280000}"/>
    <cellStyle name="20% - Accent6 6 5 5 2" xfId="42919" xr:uid="{3D14FB0D-976A-4732-B608-29351D8BD33C}"/>
    <cellStyle name="20% - Accent6 6 5 6" xfId="27039" xr:uid="{15CDE4F6-AD6B-4768-832D-567CEDB85130}"/>
    <cellStyle name="20% - Accent6 6 5_Exh G" xfId="2647" xr:uid="{00000000-0005-0000-0000-00006E280000}"/>
    <cellStyle name="20% - Accent6 6 6" xfId="3986" xr:uid="{00000000-0005-0000-0000-00006F280000}"/>
    <cellStyle name="20% - Accent6 6 6 2" xfId="7578" xr:uid="{00000000-0005-0000-0000-000070280000}"/>
    <cellStyle name="20% - Accent6 6 6 2 2" xfId="15548" xr:uid="{00000000-0005-0000-0000-000071280000}"/>
    <cellStyle name="20% - Accent6 6 6 2 2 2" xfId="39390" xr:uid="{EB23D5AC-4D1E-4D0F-BAC0-1619134C6B1F}"/>
    <cellStyle name="20% - Accent6 6 6 2 3" xfId="23494" xr:uid="{00000000-0005-0000-0000-000072280000}"/>
    <cellStyle name="20% - Accent6 6 6 2 3 2" xfId="47326" xr:uid="{C82B8904-928C-4A70-B75E-7C468447CD2E}"/>
    <cellStyle name="20% - Accent6 6 6 2 4" xfId="31449" xr:uid="{2C0A256B-30CD-44F1-8FDC-875C7BF8087A}"/>
    <cellStyle name="20% - Accent6 6 6 3" xfId="12010" xr:uid="{00000000-0005-0000-0000-000073280000}"/>
    <cellStyle name="20% - Accent6 6 6 3 2" xfId="35859" xr:uid="{5A4E46B3-CC30-4A1E-89FD-68A076CF11E6}"/>
    <cellStyle name="20% - Accent6 6 6 4" xfId="19965" xr:uid="{00000000-0005-0000-0000-000074280000}"/>
    <cellStyle name="20% - Accent6 6 6 4 2" xfId="43797" xr:uid="{C6FE102F-C272-43C1-8527-3D4C3A443508}"/>
    <cellStyle name="20% - Accent6 6 6 5" xfId="27918" xr:uid="{E3D82256-3C05-4590-AA92-5974BC3F101B}"/>
    <cellStyle name="20% - Accent6 6 7" xfId="5806" xr:uid="{00000000-0005-0000-0000-000075280000}"/>
    <cellStyle name="20% - Accent6 6 7 2" xfId="13789" xr:uid="{00000000-0005-0000-0000-000076280000}"/>
    <cellStyle name="20% - Accent6 6 7 2 2" xfId="37632" xr:uid="{36DE3745-DEB8-4865-8342-4DF4D831DB4C}"/>
    <cellStyle name="20% - Accent6 6 7 3" xfId="21737" xr:uid="{00000000-0005-0000-0000-000077280000}"/>
    <cellStyle name="20% - Accent6 6 7 3 2" xfId="45569" xr:uid="{096B273C-00C5-48C0-A7F7-0DFA3701CD4A}"/>
    <cellStyle name="20% - Accent6 6 7 4" xfId="29691" xr:uid="{03334D4F-4648-4892-BF5A-9C44073810CF}"/>
    <cellStyle name="20% - Accent6 6 8" xfId="9358" xr:uid="{00000000-0005-0000-0000-000078280000}"/>
    <cellStyle name="20% - Accent6 6 8 2" xfId="17316" xr:uid="{00000000-0005-0000-0000-000079280000}"/>
    <cellStyle name="20% - Accent6 6 8 2 2" xfId="41156" xr:uid="{8F5979FA-54F2-40DD-A217-2B60CAE86149}"/>
    <cellStyle name="20% - Accent6 6 8 3" xfId="25260" xr:uid="{00000000-0005-0000-0000-00007A280000}"/>
    <cellStyle name="20% - Accent6 6 8 3 2" xfId="49092" xr:uid="{C7D152BE-7A0B-44A7-A8E9-E9174F31AF50}"/>
    <cellStyle name="20% - Accent6 6 8 4" xfId="33215" xr:uid="{2E4E8434-3B1E-49DB-A66C-AF8CA8FE86E2}"/>
    <cellStyle name="20% - Accent6 6 9" xfId="10254" xr:uid="{00000000-0005-0000-0000-00007B280000}"/>
    <cellStyle name="20% - Accent6 6 9 2" xfId="34103" xr:uid="{FE4186BA-0204-4436-966A-35C28B9863BF}"/>
    <cellStyle name="20% - Accent6 6_Exh G" xfId="2638" xr:uid="{00000000-0005-0000-0000-00007C280000}"/>
    <cellStyle name="20% - Accent6 7" xfId="316" xr:uid="{00000000-0005-0000-0000-00007D280000}"/>
    <cellStyle name="20% - Accent6 7 10" xfId="18213" xr:uid="{00000000-0005-0000-0000-00007E280000}"/>
    <cellStyle name="20% - Accent6 7 10 2" xfId="42045" xr:uid="{637D83D9-B182-4A35-975F-07DA45E06E00}"/>
    <cellStyle name="20% - Accent6 7 11" xfId="26165" xr:uid="{E7429080-DDF8-454B-BAC7-1E45E632A8F3}"/>
    <cellStyle name="20% - Accent6 7 2" xfId="317" xr:uid="{00000000-0005-0000-0000-00007F280000}"/>
    <cellStyle name="20% - Accent6 7 2 2" xfId="318" xr:uid="{00000000-0005-0000-0000-000080280000}"/>
    <cellStyle name="20% - Accent6 7 2 2 2" xfId="1344" xr:uid="{00000000-0005-0000-0000-000081280000}"/>
    <cellStyle name="20% - Accent6 7 2 2 2 2" xfId="4871" xr:uid="{00000000-0005-0000-0000-000082280000}"/>
    <cellStyle name="20% - Accent6 7 2 2 2 2 2" xfId="8462" xr:uid="{00000000-0005-0000-0000-000083280000}"/>
    <cellStyle name="20% - Accent6 7 2 2 2 2 2 2" xfId="16432" xr:uid="{00000000-0005-0000-0000-000084280000}"/>
    <cellStyle name="20% - Accent6 7 2 2 2 2 2 2 2" xfId="40274" xr:uid="{D7964BF4-C63E-4B24-81DB-18E39A856B16}"/>
    <cellStyle name="20% - Accent6 7 2 2 2 2 2 3" xfId="24378" xr:uid="{00000000-0005-0000-0000-000085280000}"/>
    <cellStyle name="20% - Accent6 7 2 2 2 2 2 3 2" xfId="48210" xr:uid="{731F466A-5B73-4DDB-8FF1-D8D1F900170C}"/>
    <cellStyle name="20% - Accent6 7 2 2 2 2 2 4" xfId="32333" xr:uid="{E2CCDBF7-685B-483E-B965-A311AAC82B82}"/>
    <cellStyle name="20% - Accent6 7 2 2 2 2 3" xfId="12894" xr:uid="{00000000-0005-0000-0000-000086280000}"/>
    <cellStyle name="20% - Accent6 7 2 2 2 2 3 2" xfId="36743" xr:uid="{16551A97-0505-4F83-8E62-1B21D09090D4}"/>
    <cellStyle name="20% - Accent6 7 2 2 2 2 4" xfId="20849" xr:uid="{00000000-0005-0000-0000-000087280000}"/>
    <cellStyle name="20% - Accent6 7 2 2 2 2 4 2" xfId="44681" xr:uid="{BE1B8A9C-08FF-4169-9DBF-4E2D2D1F2A3F}"/>
    <cellStyle name="20% - Accent6 7 2 2 2 2 5" xfId="28802" xr:uid="{EEC9C1D7-514F-41C6-ACF8-4A097112E12C}"/>
    <cellStyle name="20% - Accent6 7 2 2 2 3" xfId="6703" xr:uid="{00000000-0005-0000-0000-000088280000}"/>
    <cellStyle name="20% - Accent6 7 2 2 2 3 2" xfId="14674" xr:uid="{00000000-0005-0000-0000-000089280000}"/>
    <cellStyle name="20% - Accent6 7 2 2 2 3 2 2" xfId="38516" xr:uid="{48529549-E9D1-47D2-9918-EBC9DEC0D03D}"/>
    <cellStyle name="20% - Accent6 7 2 2 2 3 3" xfId="22621" xr:uid="{00000000-0005-0000-0000-00008A280000}"/>
    <cellStyle name="20% - Accent6 7 2 2 2 3 3 2" xfId="46453" xr:uid="{37F6C481-FD86-447E-B550-7DFEEB5C9CD9}"/>
    <cellStyle name="20% - Accent6 7 2 2 2 3 4" xfId="30575" xr:uid="{4B2E7DA7-5BB5-41AA-A8CB-11F79F1F34BE}"/>
    <cellStyle name="20% - Accent6 7 2 2 2 4" xfId="11138" xr:uid="{00000000-0005-0000-0000-00008B280000}"/>
    <cellStyle name="20% - Accent6 7 2 2 2 4 2" xfId="34987" xr:uid="{AF8ED922-0040-4322-A583-EB34E3D723E4}"/>
    <cellStyle name="20% - Accent6 7 2 2 2 5" xfId="19093" xr:uid="{00000000-0005-0000-0000-00008C280000}"/>
    <cellStyle name="20% - Accent6 7 2 2 2 5 2" xfId="42925" xr:uid="{849DB006-50B4-41DC-8416-36490616EE25}"/>
    <cellStyle name="20% - Accent6 7 2 2 2 6" xfId="27045" xr:uid="{27BA8001-160A-4667-8036-8ED2282BD6B7}"/>
    <cellStyle name="20% - Accent6 7 2 2 2_Exh G" xfId="2651" xr:uid="{00000000-0005-0000-0000-00008D280000}"/>
    <cellStyle name="20% - Accent6 7 2 2 3" xfId="3992" xr:uid="{00000000-0005-0000-0000-00008E280000}"/>
    <cellStyle name="20% - Accent6 7 2 2 3 2" xfId="7584" xr:uid="{00000000-0005-0000-0000-00008F280000}"/>
    <cellStyle name="20% - Accent6 7 2 2 3 2 2" xfId="15554" xr:uid="{00000000-0005-0000-0000-000090280000}"/>
    <cellStyle name="20% - Accent6 7 2 2 3 2 2 2" xfId="39396" xr:uid="{39845C4F-6F59-4053-A840-DE315EC5F64A}"/>
    <cellStyle name="20% - Accent6 7 2 2 3 2 3" xfId="23500" xr:uid="{00000000-0005-0000-0000-000091280000}"/>
    <cellStyle name="20% - Accent6 7 2 2 3 2 3 2" xfId="47332" xr:uid="{0A720738-CA4A-4D8B-BFBD-09AA3BC601E3}"/>
    <cellStyle name="20% - Accent6 7 2 2 3 2 4" xfId="31455" xr:uid="{50A882AA-8635-40D0-B4A7-1D407397879F}"/>
    <cellStyle name="20% - Accent6 7 2 2 3 3" xfId="12016" xr:uid="{00000000-0005-0000-0000-000092280000}"/>
    <cellStyle name="20% - Accent6 7 2 2 3 3 2" xfId="35865" xr:uid="{EF523EB3-F64E-41E9-A65F-C95F09AC5EB9}"/>
    <cellStyle name="20% - Accent6 7 2 2 3 4" xfId="19971" xr:uid="{00000000-0005-0000-0000-000093280000}"/>
    <cellStyle name="20% - Accent6 7 2 2 3 4 2" xfId="43803" xr:uid="{8A584F17-8685-4C00-9A9F-C96F2A2F69D1}"/>
    <cellStyle name="20% - Accent6 7 2 2 3 5" xfId="27924" xr:uid="{0B6CFE36-7BFF-4B29-AD6B-D6B037CB24BF}"/>
    <cellStyle name="20% - Accent6 7 2 2 4" xfId="5812" xr:uid="{00000000-0005-0000-0000-000094280000}"/>
    <cellStyle name="20% - Accent6 7 2 2 4 2" xfId="13795" xr:uid="{00000000-0005-0000-0000-000095280000}"/>
    <cellStyle name="20% - Accent6 7 2 2 4 2 2" xfId="37638" xr:uid="{2C375A2C-2887-4566-B78D-73653452BE5D}"/>
    <cellStyle name="20% - Accent6 7 2 2 4 3" xfId="21743" xr:uid="{00000000-0005-0000-0000-000096280000}"/>
    <cellStyle name="20% - Accent6 7 2 2 4 3 2" xfId="45575" xr:uid="{856D8E45-2DFA-4687-B524-809E6A79DB50}"/>
    <cellStyle name="20% - Accent6 7 2 2 4 4" xfId="29697" xr:uid="{20573B58-8DC0-4BE2-B427-610AC0BFE3EB}"/>
    <cellStyle name="20% - Accent6 7 2 2 5" xfId="9364" xr:uid="{00000000-0005-0000-0000-000097280000}"/>
    <cellStyle name="20% - Accent6 7 2 2 5 2" xfId="17322" xr:uid="{00000000-0005-0000-0000-000098280000}"/>
    <cellStyle name="20% - Accent6 7 2 2 5 2 2" xfId="41162" xr:uid="{9DFD1BF3-5A2E-4E81-91E7-B0934E66D3C7}"/>
    <cellStyle name="20% - Accent6 7 2 2 5 3" xfId="25266" xr:uid="{00000000-0005-0000-0000-000099280000}"/>
    <cellStyle name="20% - Accent6 7 2 2 5 3 2" xfId="49098" xr:uid="{034621E5-B85F-4A06-B4CA-36018F1B814F}"/>
    <cellStyle name="20% - Accent6 7 2 2 5 4" xfId="33221" xr:uid="{FAC45046-3BDC-4BE0-8BA1-5DD192983FB9}"/>
    <cellStyle name="20% - Accent6 7 2 2 6" xfId="10260" xr:uid="{00000000-0005-0000-0000-00009A280000}"/>
    <cellStyle name="20% - Accent6 7 2 2 6 2" xfId="34109" xr:uid="{9414F382-B6AE-4C12-90BA-C8D2820BDFBA}"/>
    <cellStyle name="20% - Accent6 7 2 2 7" xfId="18215" xr:uid="{00000000-0005-0000-0000-00009B280000}"/>
    <cellStyle name="20% - Accent6 7 2 2 7 2" xfId="42047" xr:uid="{73F8EF19-2B7A-4AC7-9001-167E21943AB4}"/>
    <cellStyle name="20% - Accent6 7 2 2 8" xfId="26167" xr:uid="{786AF331-9AF6-495F-A143-F7DE4DE33026}"/>
    <cellStyle name="20% - Accent6 7 2 2_Exh G" xfId="2650" xr:uid="{00000000-0005-0000-0000-00009C280000}"/>
    <cellStyle name="20% - Accent6 7 2 3" xfId="1343" xr:uid="{00000000-0005-0000-0000-00009D280000}"/>
    <cellStyle name="20% - Accent6 7 2 3 2" xfId="4870" xr:uid="{00000000-0005-0000-0000-00009E280000}"/>
    <cellStyle name="20% - Accent6 7 2 3 2 2" xfId="8461" xr:uid="{00000000-0005-0000-0000-00009F280000}"/>
    <cellStyle name="20% - Accent6 7 2 3 2 2 2" xfId="16431" xr:uid="{00000000-0005-0000-0000-0000A0280000}"/>
    <cellStyle name="20% - Accent6 7 2 3 2 2 2 2" xfId="40273" xr:uid="{371DF75E-A04D-4956-A551-C2B80E02DC89}"/>
    <cellStyle name="20% - Accent6 7 2 3 2 2 3" xfId="24377" xr:uid="{00000000-0005-0000-0000-0000A1280000}"/>
    <cellStyle name="20% - Accent6 7 2 3 2 2 3 2" xfId="48209" xr:uid="{94B58883-CB4E-4E36-9F15-729A2CAB4E7A}"/>
    <cellStyle name="20% - Accent6 7 2 3 2 2 4" xfId="32332" xr:uid="{9217B9D6-7A12-45C3-ABDF-AA0BE6CA1E6C}"/>
    <cellStyle name="20% - Accent6 7 2 3 2 3" xfId="12893" xr:uid="{00000000-0005-0000-0000-0000A2280000}"/>
    <cellStyle name="20% - Accent6 7 2 3 2 3 2" xfId="36742" xr:uid="{346FB813-8B9E-43EE-92AE-6921D646A454}"/>
    <cellStyle name="20% - Accent6 7 2 3 2 4" xfId="20848" xr:uid="{00000000-0005-0000-0000-0000A3280000}"/>
    <cellStyle name="20% - Accent6 7 2 3 2 4 2" xfId="44680" xr:uid="{F160FFF7-637D-4F86-8142-9A7442D87096}"/>
    <cellStyle name="20% - Accent6 7 2 3 2 5" xfId="28801" xr:uid="{DEE12E38-B9F3-4106-AF93-1B3264BE66CD}"/>
    <cellStyle name="20% - Accent6 7 2 3 3" xfId="6702" xr:uid="{00000000-0005-0000-0000-0000A4280000}"/>
    <cellStyle name="20% - Accent6 7 2 3 3 2" xfId="14673" xr:uid="{00000000-0005-0000-0000-0000A5280000}"/>
    <cellStyle name="20% - Accent6 7 2 3 3 2 2" xfId="38515" xr:uid="{B1E7C1EB-E344-48FD-AF4E-910DD6F91AD3}"/>
    <cellStyle name="20% - Accent6 7 2 3 3 3" xfId="22620" xr:uid="{00000000-0005-0000-0000-0000A6280000}"/>
    <cellStyle name="20% - Accent6 7 2 3 3 3 2" xfId="46452" xr:uid="{67E317DA-1730-40B2-92D8-BAC86119CB8C}"/>
    <cellStyle name="20% - Accent6 7 2 3 3 4" xfId="30574" xr:uid="{92A54874-51D8-428E-BBB9-8EAEDF2F73B7}"/>
    <cellStyle name="20% - Accent6 7 2 3 4" xfId="11137" xr:uid="{00000000-0005-0000-0000-0000A7280000}"/>
    <cellStyle name="20% - Accent6 7 2 3 4 2" xfId="34986" xr:uid="{4B8E3B22-BD34-4ADB-8182-1D6BDAAB7129}"/>
    <cellStyle name="20% - Accent6 7 2 3 5" xfId="19092" xr:uid="{00000000-0005-0000-0000-0000A8280000}"/>
    <cellStyle name="20% - Accent6 7 2 3 5 2" xfId="42924" xr:uid="{BA9F2AFD-F462-428A-9DB3-39C0DD3E415B}"/>
    <cellStyle name="20% - Accent6 7 2 3 6" xfId="27044" xr:uid="{6D6BA50E-DC03-4CFB-8A4B-6E1F701B6195}"/>
    <cellStyle name="20% - Accent6 7 2 3_Exh G" xfId="2652" xr:uid="{00000000-0005-0000-0000-0000A9280000}"/>
    <cellStyle name="20% - Accent6 7 2 4" xfId="3991" xr:uid="{00000000-0005-0000-0000-0000AA280000}"/>
    <cellStyle name="20% - Accent6 7 2 4 2" xfId="7583" xr:uid="{00000000-0005-0000-0000-0000AB280000}"/>
    <cellStyle name="20% - Accent6 7 2 4 2 2" xfId="15553" xr:uid="{00000000-0005-0000-0000-0000AC280000}"/>
    <cellStyle name="20% - Accent6 7 2 4 2 2 2" xfId="39395" xr:uid="{65C3A26E-323D-410E-AD7E-5A51DDA6FFF8}"/>
    <cellStyle name="20% - Accent6 7 2 4 2 3" xfId="23499" xr:uid="{00000000-0005-0000-0000-0000AD280000}"/>
    <cellStyle name="20% - Accent6 7 2 4 2 3 2" xfId="47331" xr:uid="{F2D95ED7-B688-49CA-ACA9-8CE1946F6BAD}"/>
    <cellStyle name="20% - Accent6 7 2 4 2 4" xfId="31454" xr:uid="{C6F57557-62C6-4475-8CEE-75B5CE7C5D28}"/>
    <cellStyle name="20% - Accent6 7 2 4 3" xfId="12015" xr:uid="{00000000-0005-0000-0000-0000AE280000}"/>
    <cellStyle name="20% - Accent6 7 2 4 3 2" xfId="35864" xr:uid="{20A99B46-62D8-4A70-9F55-786BAFAE4841}"/>
    <cellStyle name="20% - Accent6 7 2 4 4" xfId="19970" xr:uid="{00000000-0005-0000-0000-0000AF280000}"/>
    <cellStyle name="20% - Accent6 7 2 4 4 2" xfId="43802" xr:uid="{CECB1F07-5898-43F9-A371-E3B5AA37BBCC}"/>
    <cellStyle name="20% - Accent6 7 2 4 5" xfId="27923" xr:uid="{753B2A05-4CD5-4AEC-B217-C11BFEBDA78F}"/>
    <cellStyle name="20% - Accent6 7 2 5" xfId="5811" xr:uid="{00000000-0005-0000-0000-0000B0280000}"/>
    <cellStyle name="20% - Accent6 7 2 5 2" xfId="13794" xr:uid="{00000000-0005-0000-0000-0000B1280000}"/>
    <cellStyle name="20% - Accent6 7 2 5 2 2" xfId="37637" xr:uid="{C229BB94-F5C3-469A-B865-D25B65382EE4}"/>
    <cellStyle name="20% - Accent6 7 2 5 3" xfId="21742" xr:uid="{00000000-0005-0000-0000-0000B2280000}"/>
    <cellStyle name="20% - Accent6 7 2 5 3 2" xfId="45574" xr:uid="{9A424EAE-EA18-4B8A-AB8B-CFFB1D10E430}"/>
    <cellStyle name="20% - Accent6 7 2 5 4" xfId="29696" xr:uid="{D3D04B42-C150-4AA4-9A07-0029FC7B3E7D}"/>
    <cellStyle name="20% - Accent6 7 2 6" xfId="9363" xr:uid="{00000000-0005-0000-0000-0000B3280000}"/>
    <cellStyle name="20% - Accent6 7 2 6 2" xfId="17321" xr:uid="{00000000-0005-0000-0000-0000B4280000}"/>
    <cellStyle name="20% - Accent6 7 2 6 2 2" xfId="41161" xr:uid="{52D4A90D-6487-4C3E-BA2A-B1C270F034B8}"/>
    <cellStyle name="20% - Accent6 7 2 6 3" xfId="25265" xr:uid="{00000000-0005-0000-0000-0000B5280000}"/>
    <cellStyle name="20% - Accent6 7 2 6 3 2" xfId="49097" xr:uid="{4D7C75D4-A3BB-4C9E-9EB1-95473BFDFD16}"/>
    <cellStyle name="20% - Accent6 7 2 6 4" xfId="33220" xr:uid="{0BD4E913-2B34-4BC7-8BC0-E42145C3E304}"/>
    <cellStyle name="20% - Accent6 7 2 7" xfId="10259" xr:uid="{00000000-0005-0000-0000-0000B6280000}"/>
    <cellStyle name="20% - Accent6 7 2 7 2" xfId="34108" xr:uid="{BDB68C51-2B11-4F64-960C-1B106D8E2BFF}"/>
    <cellStyle name="20% - Accent6 7 2 8" xfId="18214" xr:uid="{00000000-0005-0000-0000-0000B7280000}"/>
    <cellStyle name="20% - Accent6 7 2 8 2" xfId="42046" xr:uid="{7D090889-914F-46BD-9A78-9629305B49AE}"/>
    <cellStyle name="20% - Accent6 7 2 9" xfId="26166" xr:uid="{D13DCC81-4888-4394-B286-57C4BFB159B8}"/>
    <cellStyle name="20% - Accent6 7 2_Exh G" xfId="2649" xr:uid="{00000000-0005-0000-0000-0000B8280000}"/>
    <cellStyle name="20% - Accent6 7 3" xfId="319" xr:uid="{00000000-0005-0000-0000-0000B9280000}"/>
    <cellStyle name="20% - Accent6 7 3 2" xfId="1345" xr:uid="{00000000-0005-0000-0000-0000BA280000}"/>
    <cellStyle name="20% - Accent6 7 3 2 2" xfId="4872" xr:uid="{00000000-0005-0000-0000-0000BB280000}"/>
    <cellStyle name="20% - Accent6 7 3 2 2 2" xfId="8463" xr:uid="{00000000-0005-0000-0000-0000BC280000}"/>
    <cellStyle name="20% - Accent6 7 3 2 2 2 2" xfId="16433" xr:uid="{00000000-0005-0000-0000-0000BD280000}"/>
    <cellStyle name="20% - Accent6 7 3 2 2 2 2 2" xfId="40275" xr:uid="{F474887F-F0E7-42E9-ADE8-1C5D3807758B}"/>
    <cellStyle name="20% - Accent6 7 3 2 2 2 3" xfId="24379" xr:uid="{00000000-0005-0000-0000-0000BE280000}"/>
    <cellStyle name="20% - Accent6 7 3 2 2 2 3 2" xfId="48211" xr:uid="{29CD1BE8-524D-4DE8-A80C-79620198A036}"/>
    <cellStyle name="20% - Accent6 7 3 2 2 2 4" xfId="32334" xr:uid="{7C85E2A3-7648-48FC-B6E9-E7C20F1123AB}"/>
    <cellStyle name="20% - Accent6 7 3 2 2 3" xfId="12895" xr:uid="{00000000-0005-0000-0000-0000BF280000}"/>
    <cellStyle name="20% - Accent6 7 3 2 2 3 2" xfId="36744" xr:uid="{F3351540-679F-4024-B002-0C3E3950B158}"/>
    <cellStyle name="20% - Accent6 7 3 2 2 4" xfId="20850" xr:uid="{00000000-0005-0000-0000-0000C0280000}"/>
    <cellStyle name="20% - Accent6 7 3 2 2 4 2" xfId="44682" xr:uid="{6B5E7932-EDFC-4720-B4A7-7D9314923CF2}"/>
    <cellStyle name="20% - Accent6 7 3 2 2 5" xfId="28803" xr:uid="{2328B539-1B44-40EC-AF98-64B4130AB097}"/>
    <cellStyle name="20% - Accent6 7 3 2 3" xfId="6704" xr:uid="{00000000-0005-0000-0000-0000C1280000}"/>
    <cellStyle name="20% - Accent6 7 3 2 3 2" xfId="14675" xr:uid="{00000000-0005-0000-0000-0000C2280000}"/>
    <cellStyle name="20% - Accent6 7 3 2 3 2 2" xfId="38517" xr:uid="{DC30BBBE-4275-43FA-A0AC-02DA05BA903E}"/>
    <cellStyle name="20% - Accent6 7 3 2 3 3" xfId="22622" xr:uid="{00000000-0005-0000-0000-0000C3280000}"/>
    <cellStyle name="20% - Accent6 7 3 2 3 3 2" xfId="46454" xr:uid="{ED253D93-131A-4C7B-B395-3BD88F808C56}"/>
    <cellStyle name="20% - Accent6 7 3 2 3 4" xfId="30576" xr:uid="{8C9CB47A-12BB-4D1E-BEC9-5E654E688CC8}"/>
    <cellStyle name="20% - Accent6 7 3 2 4" xfId="11139" xr:uid="{00000000-0005-0000-0000-0000C4280000}"/>
    <cellStyle name="20% - Accent6 7 3 2 4 2" xfId="34988" xr:uid="{E272F6C7-1CEA-4B4F-B13B-2231F6E55994}"/>
    <cellStyle name="20% - Accent6 7 3 2 5" xfId="19094" xr:uid="{00000000-0005-0000-0000-0000C5280000}"/>
    <cellStyle name="20% - Accent6 7 3 2 5 2" xfId="42926" xr:uid="{7E2A9F9C-47CE-45C1-A91A-AC3E5EAAFD1A}"/>
    <cellStyle name="20% - Accent6 7 3 2 6" xfId="27046" xr:uid="{2669D4FE-D49E-4C8E-9890-9D750C0B4A95}"/>
    <cellStyle name="20% - Accent6 7 3 2_Exh G" xfId="2654" xr:uid="{00000000-0005-0000-0000-0000C6280000}"/>
    <cellStyle name="20% - Accent6 7 3 3" xfId="3993" xr:uid="{00000000-0005-0000-0000-0000C7280000}"/>
    <cellStyle name="20% - Accent6 7 3 3 2" xfId="7585" xr:uid="{00000000-0005-0000-0000-0000C8280000}"/>
    <cellStyle name="20% - Accent6 7 3 3 2 2" xfId="15555" xr:uid="{00000000-0005-0000-0000-0000C9280000}"/>
    <cellStyle name="20% - Accent6 7 3 3 2 2 2" xfId="39397" xr:uid="{1E8A0A09-04AE-4022-AFAE-A38D94F94EDF}"/>
    <cellStyle name="20% - Accent6 7 3 3 2 3" xfId="23501" xr:uid="{00000000-0005-0000-0000-0000CA280000}"/>
    <cellStyle name="20% - Accent6 7 3 3 2 3 2" xfId="47333" xr:uid="{57C7FC24-1FBC-4630-96DC-C580ECB1FC60}"/>
    <cellStyle name="20% - Accent6 7 3 3 2 4" xfId="31456" xr:uid="{49C503B5-5535-4CCE-9E08-4096E162C6E4}"/>
    <cellStyle name="20% - Accent6 7 3 3 3" xfId="12017" xr:uid="{00000000-0005-0000-0000-0000CB280000}"/>
    <cellStyle name="20% - Accent6 7 3 3 3 2" xfId="35866" xr:uid="{8BA4E9C8-0CAA-45F8-A719-64EC391DAB00}"/>
    <cellStyle name="20% - Accent6 7 3 3 4" xfId="19972" xr:uid="{00000000-0005-0000-0000-0000CC280000}"/>
    <cellStyle name="20% - Accent6 7 3 3 4 2" xfId="43804" xr:uid="{77EA9729-532A-4F1F-B106-71494B6C5766}"/>
    <cellStyle name="20% - Accent6 7 3 3 5" xfId="27925" xr:uid="{02E80A45-D7D8-4385-ABCC-ACE7A213BF48}"/>
    <cellStyle name="20% - Accent6 7 3 4" xfId="5813" xr:uid="{00000000-0005-0000-0000-0000CD280000}"/>
    <cellStyle name="20% - Accent6 7 3 4 2" xfId="13796" xr:uid="{00000000-0005-0000-0000-0000CE280000}"/>
    <cellStyle name="20% - Accent6 7 3 4 2 2" xfId="37639" xr:uid="{F0D9BF1C-D614-41EE-A3F1-3288A3620E60}"/>
    <cellStyle name="20% - Accent6 7 3 4 3" xfId="21744" xr:uid="{00000000-0005-0000-0000-0000CF280000}"/>
    <cellStyle name="20% - Accent6 7 3 4 3 2" xfId="45576" xr:uid="{07B2BD80-E9C6-4AED-935E-E1C485882070}"/>
    <cellStyle name="20% - Accent6 7 3 4 4" xfId="29698" xr:uid="{72B898FC-7A29-435F-8840-01D12D73BBAC}"/>
    <cellStyle name="20% - Accent6 7 3 5" xfId="9365" xr:uid="{00000000-0005-0000-0000-0000D0280000}"/>
    <cellStyle name="20% - Accent6 7 3 5 2" xfId="17323" xr:uid="{00000000-0005-0000-0000-0000D1280000}"/>
    <cellStyle name="20% - Accent6 7 3 5 2 2" xfId="41163" xr:uid="{ACC0B1B7-B5A4-4E32-AB8A-ABAF719DE52F}"/>
    <cellStyle name="20% - Accent6 7 3 5 3" xfId="25267" xr:uid="{00000000-0005-0000-0000-0000D2280000}"/>
    <cellStyle name="20% - Accent6 7 3 5 3 2" xfId="49099" xr:uid="{11CD2BF7-3B92-45BF-B3DA-81B3826526F3}"/>
    <cellStyle name="20% - Accent6 7 3 5 4" xfId="33222" xr:uid="{321CB9A7-E20A-4648-86B9-C952CCFA5500}"/>
    <cellStyle name="20% - Accent6 7 3 6" xfId="10261" xr:uid="{00000000-0005-0000-0000-0000D3280000}"/>
    <cellStyle name="20% - Accent6 7 3 6 2" xfId="34110" xr:uid="{BD4B0731-84D6-4C01-AC1B-E948E3CADD4F}"/>
    <cellStyle name="20% - Accent6 7 3 7" xfId="18216" xr:uid="{00000000-0005-0000-0000-0000D4280000}"/>
    <cellStyle name="20% - Accent6 7 3 7 2" xfId="42048" xr:uid="{36BD34A0-2D89-4341-9A87-163D621E36FC}"/>
    <cellStyle name="20% - Accent6 7 3 8" xfId="26168" xr:uid="{A620B479-E1FA-4643-9D0C-D784E6D27A33}"/>
    <cellStyle name="20% - Accent6 7 3_Exh G" xfId="2653" xr:uid="{00000000-0005-0000-0000-0000D5280000}"/>
    <cellStyle name="20% - Accent6 7 4" xfId="928" xr:uid="{00000000-0005-0000-0000-0000D6280000}"/>
    <cellStyle name="20% - Accent6 7 4 2" xfId="1849" xr:uid="{00000000-0005-0000-0000-0000D7280000}"/>
    <cellStyle name="20% - Accent6 7 4 2 2" xfId="5366" xr:uid="{00000000-0005-0000-0000-0000D8280000}"/>
    <cellStyle name="20% - Accent6 7 4 2 2 2" xfId="8957" xr:uid="{00000000-0005-0000-0000-0000D9280000}"/>
    <cellStyle name="20% - Accent6 7 4 2 2 2 2" xfId="16927" xr:uid="{00000000-0005-0000-0000-0000DA280000}"/>
    <cellStyle name="20% - Accent6 7 4 2 2 2 2 2" xfId="40769" xr:uid="{CAFA7AE9-0942-4FFD-98EB-0FA519F2E9B9}"/>
    <cellStyle name="20% - Accent6 7 4 2 2 2 3" xfId="24873" xr:uid="{00000000-0005-0000-0000-0000DB280000}"/>
    <cellStyle name="20% - Accent6 7 4 2 2 2 3 2" xfId="48705" xr:uid="{888805E9-75FD-4862-B813-F0088B5635E3}"/>
    <cellStyle name="20% - Accent6 7 4 2 2 2 4" xfId="32828" xr:uid="{A9E56E5A-2FFA-4749-BB7B-AED0497A24F5}"/>
    <cellStyle name="20% - Accent6 7 4 2 2 3" xfId="13389" xr:uid="{00000000-0005-0000-0000-0000DC280000}"/>
    <cellStyle name="20% - Accent6 7 4 2 2 3 2" xfId="37238" xr:uid="{D3BB89AD-0DF0-4DC0-8FCE-FD270FFF2A73}"/>
    <cellStyle name="20% - Accent6 7 4 2 2 4" xfId="21344" xr:uid="{00000000-0005-0000-0000-0000DD280000}"/>
    <cellStyle name="20% - Accent6 7 4 2 2 4 2" xfId="45176" xr:uid="{6E795D1F-89B5-4D51-BFF9-3910E80C1E31}"/>
    <cellStyle name="20% - Accent6 7 4 2 2 5" xfId="29297" xr:uid="{392BFA1A-A7E5-4CB8-B79B-8E868001FC4F}"/>
    <cellStyle name="20% - Accent6 7 4 2 3" xfId="7198" xr:uid="{00000000-0005-0000-0000-0000DE280000}"/>
    <cellStyle name="20% - Accent6 7 4 2 3 2" xfId="15169" xr:uid="{00000000-0005-0000-0000-0000DF280000}"/>
    <cellStyle name="20% - Accent6 7 4 2 3 2 2" xfId="39011" xr:uid="{1741F10F-77D6-4653-BC2B-3C77CF672D42}"/>
    <cellStyle name="20% - Accent6 7 4 2 3 3" xfId="23116" xr:uid="{00000000-0005-0000-0000-0000E0280000}"/>
    <cellStyle name="20% - Accent6 7 4 2 3 3 2" xfId="46948" xr:uid="{CD07827D-F440-4B91-B5D3-F45A686AFE8D}"/>
    <cellStyle name="20% - Accent6 7 4 2 3 4" xfId="31070" xr:uid="{D04114AF-A1DE-4733-80FD-6C62F6BE6B1A}"/>
    <cellStyle name="20% - Accent6 7 4 2 4" xfId="11633" xr:uid="{00000000-0005-0000-0000-0000E1280000}"/>
    <cellStyle name="20% - Accent6 7 4 2 4 2" xfId="35482" xr:uid="{EEEEA251-4ABE-4BA4-A4C6-2C36C9D68E37}"/>
    <cellStyle name="20% - Accent6 7 4 2 5" xfId="19588" xr:uid="{00000000-0005-0000-0000-0000E2280000}"/>
    <cellStyle name="20% - Accent6 7 4 2 5 2" xfId="43420" xr:uid="{EA3124EF-8707-481C-9CBE-C0893423752E}"/>
    <cellStyle name="20% - Accent6 7 4 2 6" xfId="27540" xr:uid="{53F2FD14-40D3-429F-B4EB-6C9C041767AD}"/>
    <cellStyle name="20% - Accent6 7 4 2_Exh G" xfId="2656" xr:uid="{00000000-0005-0000-0000-0000E3280000}"/>
    <cellStyle name="20% - Accent6 7 4 3" xfId="4487" xr:uid="{00000000-0005-0000-0000-0000E4280000}"/>
    <cellStyle name="20% - Accent6 7 4 3 2" xfId="8079" xr:uid="{00000000-0005-0000-0000-0000E5280000}"/>
    <cellStyle name="20% - Accent6 7 4 3 2 2" xfId="16049" xr:uid="{00000000-0005-0000-0000-0000E6280000}"/>
    <cellStyle name="20% - Accent6 7 4 3 2 2 2" xfId="39891" xr:uid="{F6AE1FC9-CD0A-431B-B6A0-60A84B3BED98}"/>
    <cellStyle name="20% - Accent6 7 4 3 2 3" xfId="23995" xr:uid="{00000000-0005-0000-0000-0000E7280000}"/>
    <cellStyle name="20% - Accent6 7 4 3 2 3 2" xfId="47827" xr:uid="{07FBC122-439F-4DFB-A6FE-DB905FBC3B6A}"/>
    <cellStyle name="20% - Accent6 7 4 3 2 4" xfId="31950" xr:uid="{B6ABD5D6-45FE-4498-B432-D202A16A46A1}"/>
    <cellStyle name="20% - Accent6 7 4 3 3" xfId="12511" xr:uid="{00000000-0005-0000-0000-0000E8280000}"/>
    <cellStyle name="20% - Accent6 7 4 3 3 2" xfId="36360" xr:uid="{C37A7881-79F1-4F36-93CC-36F3C16D1E39}"/>
    <cellStyle name="20% - Accent6 7 4 3 4" xfId="20466" xr:uid="{00000000-0005-0000-0000-0000E9280000}"/>
    <cellStyle name="20% - Accent6 7 4 3 4 2" xfId="44298" xr:uid="{8C3C78C9-95F4-4D65-A559-48E20D5913ED}"/>
    <cellStyle name="20% - Accent6 7 4 3 5" xfId="28419" xr:uid="{83A23E5E-B19F-40E3-92FB-E632B7502D3E}"/>
    <cellStyle name="20% - Accent6 7 4 4" xfId="6317" xr:uid="{00000000-0005-0000-0000-0000EA280000}"/>
    <cellStyle name="20% - Accent6 7 4 4 2" xfId="14291" xr:uid="{00000000-0005-0000-0000-0000EB280000}"/>
    <cellStyle name="20% - Accent6 7 4 4 2 2" xfId="38133" xr:uid="{00049783-B50C-4BA5-9EB7-BBD762FFB80D}"/>
    <cellStyle name="20% - Accent6 7 4 4 3" xfId="22238" xr:uid="{00000000-0005-0000-0000-0000EC280000}"/>
    <cellStyle name="20% - Accent6 7 4 4 3 2" xfId="46070" xr:uid="{D47CA4DF-042C-4BF9-AD36-728BB7C364F0}"/>
    <cellStyle name="20% - Accent6 7 4 4 4" xfId="30192" xr:uid="{F193F334-8398-43E0-955B-0A6C4D296DF9}"/>
    <cellStyle name="20% - Accent6 7 4 5" xfId="9859" xr:uid="{00000000-0005-0000-0000-0000ED280000}"/>
    <cellStyle name="20% - Accent6 7 4 5 2" xfId="17817" xr:uid="{00000000-0005-0000-0000-0000EE280000}"/>
    <cellStyle name="20% - Accent6 7 4 5 2 2" xfId="41657" xr:uid="{BB39DD78-FA62-44A1-83BD-5443262AC1F0}"/>
    <cellStyle name="20% - Accent6 7 4 5 3" xfId="25761" xr:uid="{00000000-0005-0000-0000-0000EF280000}"/>
    <cellStyle name="20% - Accent6 7 4 5 3 2" xfId="49593" xr:uid="{6E513686-0897-476A-B0F6-813A009E7AD5}"/>
    <cellStyle name="20% - Accent6 7 4 5 4" xfId="33716" xr:uid="{981DCE9C-58D3-4C21-9FD4-27D15E22A9B9}"/>
    <cellStyle name="20% - Accent6 7 4 6" xfId="10755" xr:uid="{00000000-0005-0000-0000-0000F0280000}"/>
    <cellStyle name="20% - Accent6 7 4 6 2" xfId="34604" xr:uid="{484D3CF9-2C17-4F92-B581-A493936C918A}"/>
    <cellStyle name="20% - Accent6 7 4 7" xfId="18710" xr:uid="{00000000-0005-0000-0000-0000F1280000}"/>
    <cellStyle name="20% - Accent6 7 4 7 2" xfId="42542" xr:uid="{2BD212D9-960B-425D-9BCD-7428E7443E57}"/>
    <cellStyle name="20% - Accent6 7 4 8" xfId="26662" xr:uid="{606ED111-F808-4284-B026-2C7FA87E66DA}"/>
    <cellStyle name="20% - Accent6 7 4_Exh G" xfId="2655" xr:uid="{00000000-0005-0000-0000-0000F2280000}"/>
    <cellStyle name="20% - Accent6 7 5" xfId="1342" xr:uid="{00000000-0005-0000-0000-0000F3280000}"/>
    <cellStyle name="20% - Accent6 7 5 2" xfId="4869" xr:uid="{00000000-0005-0000-0000-0000F4280000}"/>
    <cellStyle name="20% - Accent6 7 5 2 2" xfId="8460" xr:uid="{00000000-0005-0000-0000-0000F5280000}"/>
    <cellStyle name="20% - Accent6 7 5 2 2 2" xfId="16430" xr:uid="{00000000-0005-0000-0000-0000F6280000}"/>
    <cellStyle name="20% - Accent6 7 5 2 2 2 2" xfId="40272" xr:uid="{15C172F9-205C-4D1D-9A6A-1051885EBA51}"/>
    <cellStyle name="20% - Accent6 7 5 2 2 3" xfId="24376" xr:uid="{00000000-0005-0000-0000-0000F7280000}"/>
    <cellStyle name="20% - Accent6 7 5 2 2 3 2" xfId="48208" xr:uid="{418D1DB5-A7E5-49EF-9E03-2DC2EFD5207A}"/>
    <cellStyle name="20% - Accent6 7 5 2 2 4" xfId="32331" xr:uid="{85112CD6-0932-46EA-8773-E35CE4D36D06}"/>
    <cellStyle name="20% - Accent6 7 5 2 3" xfId="12892" xr:uid="{00000000-0005-0000-0000-0000F8280000}"/>
    <cellStyle name="20% - Accent6 7 5 2 3 2" xfId="36741" xr:uid="{00538702-7B4D-4151-9F2D-6DD569BB3C89}"/>
    <cellStyle name="20% - Accent6 7 5 2 4" xfId="20847" xr:uid="{00000000-0005-0000-0000-0000F9280000}"/>
    <cellStyle name="20% - Accent6 7 5 2 4 2" xfId="44679" xr:uid="{DDE079C1-6AC7-4E75-AB1B-EF41898F7084}"/>
    <cellStyle name="20% - Accent6 7 5 2 5" xfId="28800" xr:uid="{35591EED-69C2-4534-8243-C51628B53F19}"/>
    <cellStyle name="20% - Accent6 7 5 3" xfId="6701" xr:uid="{00000000-0005-0000-0000-0000FA280000}"/>
    <cellStyle name="20% - Accent6 7 5 3 2" xfId="14672" xr:uid="{00000000-0005-0000-0000-0000FB280000}"/>
    <cellStyle name="20% - Accent6 7 5 3 2 2" xfId="38514" xr:uid="{4EBE5595-88BF-4D9C-9426-D3C8FD9B2A6B}"/>
    <cellStyle name="20% - Accent6 7 5 3 3" xfId="22619" xr:uid="{00000000-0005-0000-0000-0000FC280000}"/>
    <cellStyle name="20% - Accent6 7 5 3 3 2" xfId="46451" xr:uid="{9083F2E8-A051-4282-9502-7F65D25A311B}"/>
    <cellStyle name="20% - Accent6 7 5 3 4" xfId="30573" xr:uid="{F67CA743-EE00-4757-8F0E-9D1FE51BDAA5}"/>
    <cellStyle name="20% - Accent6 7 5 4" xfId="11136" xr:uid="{00000000-0005-0000-0000-0000FD280000}"/>
    <cellStyle name="20% - Accent6 7 5 4 2" xfId="34985" xr:uid="{0310B885-0CC7-4FFE-96B5-20BCCF9856BA}"/>
    <cellStyle name="20% - Accent6 7 5 5" xfId="19091" xr:uid="{00000000-0005-0000-0000-0000FE280000}"/>
    <cellStyle name="20% - Accent6 7 5 5 2" xfId="42923" xr:uid="{78B13E85-9272-40E1-86F6-447C2FB9859E}"/>
    <cellStyle name="20% - Accent6 7 5 6" xfId="27043" xr:uid="{45F47A4B-25A4-4050-A440-D5157E871E5F}"/>
    <cellStyle name="20% - Accent6 7 5_Exh G" xfId="2657" xr:uid="{00000000-0005-0000-0000-0000FF280000}"/>
    <cellStyle name="20% - Accent6 7 6" xfId="3990" xr:uid="{00000000-0005-0000-0000-000000290000}"/>
    <cellStyle name="20% - Accent6 7 6 2" xfId="7582" xr:uid="{00000000-0005-0000-0000-000001290000}"/>
    <cellStyle name="20% - Accent6 7 6 2 2" xfId="15552" xr:uid="{00000000-0005-0000-0000-000002290000}"/>
    <cellStyle name="20% - Accent6 7 6 2 2 2" xfId="39394" xr:uid="{06F9E3D4-A35A-402A-B17B-14EC88D8EE11}"/>
    <cellStyle name="20% - Accent6 7 6 2 3" xfId="23498" xr:uid="{00000000-0005-0000-0000-000003290000}"/>
    <cellStyle name="20% - Accent6 7 6 2 3 2" xfId="47330" xr:uid="{DBBE33CB-DFE2-48C5-9226-26304776B1C7}"/>
    <cellStyle name="20% - Accent6 7 6 2 4" xfId="31453" xr:uid="{CDB8FBBD-24BB-4B25-B737-23AE26C1FECD}"/>
    <cellStyle name="20% - Accent6 7 6 3" xfId="12014" xr:uid="{00000000-0005-0000-0000-000004290000}"/>
    <cellStyle name="20% - Accent6 7 6 3 2" xfId="35863" xr:uid="{36295A84-0214-48A2-B905-B3E8C2313688}"/>
    <cellStyle name="20% - Accent6 7 6 4" xfId="19969" xr:uid="{00000000-0005-0000-0000-000005290000}"/>
    <cellStyle name="20% - Accent6 7 6 4 2" xfId="43801" xr:uid="{A1AF2D87-2559-49AC-A55C-31242B3D050D}"/>
    <cellStyle name="20% - Accent6 7 6 5" xfId="27922" xr:uid="{4B3B04BD-FA77-468F-A661-ED053CB9F4ED}"/>
    <cellStyle name="20% - Accent6 7 7" xfId="5810" xr:uid="{00000000-0005-0000-0000-000006290000}"/>
    <cellStyle name="20% - Accent6 7 7 2" xfId="13793" xr:uid="{00000000-0005-0000-0000-000007290000}"/>
    <cellStyle name="20% - Accent6 7 7 2 2" xfId="37636" xr:uid="{5F6BF118-BC68-414E-8CDF-0259E29CB178}"/>
    <cellStyle name="20% - Accent6 7 7 3" xfId="21741" xr:uid="{00000000-0005-0000-0000-000008290000}"/>
    <cellStyle name="20% - Accent6 7 7 3 2" xfId="45573" xr:uid="{273273AF-889D-435D-9F02-FA27BBDD6945}"/>
    <cellStyle name="20% - Accent6 7 7 4" xfId="29695" xr:uid="{A56FF251-0DED-4E7A-948D-8F3AD85FADDF}"/>
    <cellStyle name="20% - Accent6 7 8" xfId="9362" xr:uid="{00000000-0005-0000-0000-000009290000}"/>
    <cellStyle name="20% - Accent6 7 8 2" xfId="17320" xr:uid="{00000000-0005-0000-0000-00000A290000}"/>
    <cellStyle name="20% - Accent6 7 8 2 2" xfId="41160" xr:uid="{4BE0F2DA-2B62-4C2C-A28F-A134620AFAF6}"/>
    <cellStyle name="20% - Accent6 7 8 3" xfId="25264" xr:uid="{00000000-0005-0000-0000-00000B290000}"/>
    <cellStyle name="20% - Accent6 7 8 3 2" xfId="49096" xr:uid="{9D7D8F46-D731-46BD-978D-FA1386B36031}"/>
    <cellStyle name="20% - Accent6 7 8 4" xfId="33219" xr:uid="{AA4F169F-070B-4064-A803-E72A1964EBD8}"/>
    <cellStyle name="20% - Accent6 7 9" xfId="10258" xr:uid="{00000000-0005-0000-0000-00000C290000}"/>
    <cellStyle name="20% - Accent6 7 9 2" xfId="34107" xr:uid="{5177B7FC-D4AE-4A4A-9D2D-E789DC610B09}"/>
    <cellStyle name="20% - Accent6 7_Exh G" xfId="2648" xr:uid="{00000000-0005-0000-0000-00000D290000}"/>
    <cellStyle name="20% - Accent6 8" xfId="320" xr:uid="{00000000-0005-0000-0000-00000E290000}"/>
    <cellStyle name="20% - Accent6 8 10" xfId="18217" xr:uid="{00000000-0005-0000-0000-00000F290000}"/>
    <cellStyle name="20% - Accent6 8 10 2" xfId="42049" xr:uid="{1A24EECB-5E2D-4F62-8534-CBD6EAE0BAFD}"/>
    <cellStyle name="20% - Accent6 8 11" xfId="26169" xr:uid="{24524BB6-F7A1-42D8-9771-4DCC85BEC64F}"/>
    <cellStyle name="20% - Accent6 8 2" xfId="321" xr:uid="{00000000-0005-0000-0000-000010290000}"/>
    <cellStyle name="20% - Accent6 8 2 2" xfId="322" xr:uid="{00000000-0005-0000-0000-000011290000}"/>
    <cellStyle name="20% - Accent6 8 2 2 2" xfId="1348" xr:uid="{00000000-0005-0000-0000-000012290000}"/>
    <cellStyle name="20% - Accent6 8 2 2 2 2" xfId="4875" xr:uid="{00000000-0005-0000-0000-000013290000}"/>
    <cellStyle name="20% - Accent6 8 2 2 2 2 2" xfId="8466" xr:uid="{00000000-0005-0000-0000-000014290000}"/>
    <cellStyle name="20% - Accent6 8 2 2 2 2 2 2" xfId="16436" xr:uid="{00000000-0005-0000-0000-000015290000}"/>
    <cellStyle name="20% - Accent6 8 2 2 2 2 2 2 2" xfId="40278" xr:uid="{F11E175F-8878-4F0C-B442-975FC8212BBB}"/>
    <cellStyle name="20% - Accent6 8 2 2 2 2 2 3" xfId="24382" xr:uid="{00000000-0005-0000-0000-000016290000}"/>
    <cellStyle name="20% - Accent6 8 2 2 2 2 2 3 2" xfId="48214" xr:uid="{AE7F4E29-8254-4693-B2F7-7A97E14FDBA7}"/>
    <cellStyle name="20% - Accent6 8 2 2 2 2 2 4" xfId="32337" xr:uid="{AA13AB8E-5937-4B28-BE1B-DB35C5EA163F}"/>
    <cellStyle name="20% - Accent6 8 2 2 2 2 3" xfId="12898" xr:uid="{00000000-0005-0000-0000-000017290000}"/>
    <cellStyle name="20% - Accent6 8 2 2 2 2 3 2" xfId="36747" xr:uid="{11AE2DB7-ABF4-4573-B77D-3E970A0ABDD3}"/>
    <cellStyle name="20% - Accent6 8 2 2 2 2 4" xfId="20853" xr:uid="{00000000-0005-0000-0000-000018290000}"/>
    <cellStyle name="20% - Accent6 8 2 2 2 2 4 2" xfId="44685" xr:uid="{E077AEF4-940F-4557-9A92-777AB419F516}"/>
    <cellStyle name="20% - Accent6 8 2 2 2 2 5" xfId="28806" xr:uid="{3F2CF759-50B2-4D99-AF34-A35C252D460C}"/>
    <cellStyle name="20% - Accent6 8 2 2 2 3" xfId="6707" xr:uid="{00000000-0005-0000-0000-000019290000}"/>
    <cellStyle name="20% - Accent6 8 2 2 2 3 2" xfId="14678" xr:uid="{00000000-0005-0000-0000-00001A290000}"/>
    <cellStyle name="20% - Accent6 8 2 2 2 3 2 2" xfId="38520" xr:uid="{038C997F-0C87-4545-880B-75C1FA5512D8}"/>
    <cellStyle name="20% - Accent6 8 2 2 2 3 3" xfId="22625" xr:uid="{00000000-0005-0000-0000-00001B290000}"/>
    <cellStyle name="20% - Accent6 8 2 2 2 3 3 2" xfId="46457" xr:uid="{E466BB94-F1F1-4962-BA09-AC5DCD5D35FF}"/>
    <cellStyle name="20% - Accent6 8 2 2 2 3 4" xfId="30579" xr:uid="{5D1FB1A8-4EB8-49FA-919F-9423B2B802CC}"/>
    <cellStyle name="20% - Accent6 8 2 2 2 4" xfId="11142" xr:uid="{00000000-0005-0000-0000-00001C290000}"/>
    <cellStyle name="20% - Accent6 8 2 2 2 4 2" xfId="34991" xr:uid="{C26681CD-D5E4-46C2-8044-5E4DF2571708}"/>
    <cellStyle name="20% - Accent6 8 2 2 2 5" xfId="19097" xr:uid="{00000000-0005-0000-0000-00001D290000}"/>
    <cellStyle name="20% - Accent6 8 2 2 2 5 2" xfId="42929" xr:uid="{910BE146-12EA-4E90-8D88-C1D078D0F6BD}"/>
    <cellStyle name="20% - Accent6 8 2 2 2 6" xfId="27049" xr:uid="{79ED6891-57E3-4CB1-9404-79FADC6D8C95}"/>
    <cellStyle name="20% - Accent6 8 2 2 2_Exh G" xfId="2661" xr:uid="{00000000-0005-0000-0000-00001E290000}"/>
    <cellStyle name="20% - Accent6 8 2 2 3" xfId="3996" xr:uid="{00000000-0005-0000-0000-00001F290000}"/>
    <cellStyle name="20% - Accent6 8 2 2 3 2" xfId="7588" xr:uid="{00000000-0005-0000-0000-000020290000}"/>
    <cellStyle name="20% - Accent6 8 2 2 3 2 2" xfId="15558" xr:uid="{00000000-0005-0000-0000-000021290000}"/>
    <cellStyle name="20% - Accent6 8 2 2 3 2 2 2" xfId="39400" xr:uid="{C95C5278-E91F-4D80-99EF-DDE87C0E04F0}"/>
    <cellStyle name="20% - Accent6 8 2 2 3 2 3" xfId="23504" xr:uid="{00000000-0005-0000-0000-000022290000}"/>
    <cellStyle name="20% - Accent6 8 2 2 3 2 3 2" xfId="47336" xr:uid="{A78341E1-037C-49FB-A790-765FECE6E411}"/>
    <cellStyle name="20% - Accent6 8 2 2 3 2 4" xfId="31459" xr:uid="{EE8CEEAF-0997-49B6-A10F-962C9280A158}"/>
    <cellStyle name="20% - Accent6 8 2 2 3 3" xfId="12020" xr:uid="{00000000-0005-0000-0000-000023290000}"/>
    <cellStyle name="20% - Accent6 8 2 2 3 3 2" xfId="35869" xr:uid="{58C31241-1C5B-455A-B4D5-4FF33250543F}"/>
    <cellStyle name="20% - Accent6 8 2 2 3 4" xfId="19975" xr:uid="{00000000-0005-0000-0000-000024290000}"/>
    <cellStyle name="20% - Accent6 8 2 2 3 4 2" xfId="43807" xr:uid="{75F696F2-8B29-4EDC-B1C7-C56CFCC5387B}"/>
    <cellStyle name="20% - Accent6 8 2 2 3 5" xfId="27928" xr:uid="{B4F668E4-6920-46F2-BAB6-DE4703A21B3F}"/>
    <cellStyle name="20% - Accent6 8 2 2 4" xfId="5816" xr:uid="{00000000-0005-0000-0000-000025290000}"/>
    <cellStyle name="20% - Accent6 8 2 2 4 2" xfId="13799" xr:uid="{00000000-0005-0000-0000-000026290000}"/>
    <cellStyle name="20% - Accent6 8 2 2 4 2 2" xfId="37642" xr:uid="{E7696333-B660-4403-80F9-ABB21D170AD5}"/>
    <cellStyle name="20% - Accent6 8 2 2 4 3" xfId="21747" xr:uid="{00000000-0005-0000-0000-000027290000}"/>
    <cellStyle name="20% - Accent6 8 2 2 4 3 2" xfId="45579" xr:uid="{26162AFF-894C-43B9-B908-AA0C72772EF4}"/>
    <cellStyle name="20% - Accent6 8 2 2 4 4" xfId="29701" xr:uid="{42B131A7-10E1-4525-84E7-8C93A7E24AF6}"/>
    <cellStyle name="20% - Accent6 8 2 2 5" xfId="9368" xr:uid="{00000000-0005-0000-0000-000028290000}"/>
    <cellStyle name="20% - Accent6 8 2 2 5 2" xfId="17326" xr:uid="{00000000-0005-0000-0000-000029290000}"/>
    <cellStyle name="20% - Accent6 8 2 2 5 2 2" xfId="41166" xr:uid="{4FEB9DEE-D844-4E0A-9EEF-834B21EEFE45}"/>
    <cellStyle name="20% - Accent6 8 2 2 5 3" xfId="25270" xr:uid="{00000000-0005-0000-0000-00002A290000}"/>
    <cellStyle name="20% - Accent6 8 2 2 5 3 2" xfId="49102" xr:uid="{2B7A00C9-C558-43C4-95A1-554F5DA0A91F}"/>
    <cellStyle name="20% - Accent6 8 2 2 5 4" xfId="33225" xr:uid="{0C24055C-A14C-480C-A265-839FBC88B8FB}"/>
    <cellStyle name="20% - Accent6 8 2 2 6" xfId="10264" xr:uid="{00000000-0005-0000-0000-00002B290000}"/>
    <cellStyle name="20% - Accent6 8 2 2 6 2" xfId="34113" xr:uid="{2E69F190-D64B-4BFC-82F0-0672AB3260C1}"/>
    <cellStyle name="20% - Accent6 8 2 2 7" xfId="18219" xr:uid="{00000000-0005-0000-0000-00002C290000}"/>
    <cellStyle name="20% - Accent6 8 2 2 7 2" xfId="42051" xr:uid="{0A843CB8-2886-4C2D-861E-2142998FA820}"/>
    <cellStyle name="20% - Accent6 8 2 2 8" xfId="26171" xr:uid="{D5A3BE5E-0045-4936-9DD1-ADE192AFEDA8}"/>
    <cellStyle name="20% - Accent6 8 2 2_Exh G" xfId="2660" xr:uid="{00000000-0005-0000-0000-00002D290000}"/>
    <cellStyle name="20% - Accent6 8 2 3" xfId="1347" xr:uid="{00000000-0005-0000-0000-00002E290000}"/>
    <cellStyle name="20% - Accent6 8 2 3 2" xfId="4874" xr:uid="{00000000-0005-0000-0000-00002F290000}"/>
    <cellStyle name="20% - Accent6 8 2 3 2 2" xfId="8465" xr:uid="{00000000-0005-0000-0000-000030290000}"/>
    <cellStyle name="20% - Accent6 8 2 3 2 2 2" xfId="16435" xr:uid="{00000000-0005-0000-0000-000031290000}"/>
    <cellStyle name="20% - Accent6 8 2 3 2 2 2 2" xfId="40277" xr:uid="{5898BD21-F9F9-40EC-82E1-1A9FB6ACBB68}"/>
    <cellStyle name="20% - Accent6 8 2 3 2 2 3" xfId="24381" xr:uid="{00000000-0005-0000-0000-000032290000}"/>
    <cellStyle name="20% - Accent6 8 2 3 2 2 3 2" xfId="48213" xr:uid="{BFB6C5D8-9686-4599-A169-97A6E1F2C912}"/>
    <cellStyle name="20% - Accent6 8 2 3 2 2 4" xfId="32336" xr:uid="{843931DF-CB1B-4946-A107-759F60F494D9}"/>
    <cellStyle name="20% - Accent6 8 2 3 2 3" xfId="12897" xr:uid="{00000000-0005-0000-0000-000033290000}"/>
    <cellStyle name="20% - Accent6 8 2 3 2 3 2" xfId="36746" xr:uid="{56D46679-D543-48EC-81D0-D21727F96B0E}"/>
    <cellStyle name="20% - Accent6 8 2 3 2 4" xfId="20852" xr:uid="{00000000-0005-0000-0000-000034290000}"/>
    <cellStyle name="20% - Accent6 8 2 3 2 4 2" xfId="44684" xr:uid="{42C51098-9D66-4AD2-8B62-8F7263982FC3}"/>
    <cellStyle name="20% - Accent6 8 2 3 2 5" xfId="28805" xr:uid="{F4FD30D1-DAD1-47C7-A11D-7B28BC17D878}"/>
    <cellStyle name="20% - Accent6 8 2 3 3" xfId="6706" xr:uid="{00000000-0005-0000-0000-000035290000}"/>
    <cellStyle name="20% - Accent6 8 2 3 3 2" xfId="14677" xr:uid="{00000000-0005-0000-0000-000036290000}"/>
    <cellStyle name="20% - Accent6 8 2 3 3 2 2" xfId="38519" xr:uid="{2772E8FD-E771-479E-82A6-D8941326C7DE}"/>
    <cellStyle name="20% - Accent6 8 2 3 3 3" xfId="22624" xr:uid="{00000000-0005-0000-0000-000037290000}"/>
    <cellStyle name="20% - Accent6 8 2 3 3 3 2" xfId="46456" xr:uid="{581482F9-8C6B-487C-9822-957A53BC91A1}"/>
    <cellStyle name="20% - Accent6 8 2 3 3 4" xfId="30578" xr:uid="{A392503D-2016-42D2-8DE5-63E0BD0028C3}"/>
    <cellStyle name="20% - Accent6 8 2 3 4" xfId="11141" xr:uid="{00000000-0005-0000-0000-000038290000}"/>
    <cellStyle name="20% - Accent6 8 2 3 4 2" xfId="34990" xr:uid="{5A49FE9C-6689-43A0-A607-0A2A87C265BD}"/>
    <cellStyle name="20% - Accent6 8 2 3 5" xfId="19096" xr:uid="{00000000-0005-0000-0000-000039290000}"/>
    <cellStyle name="20% - Accent6 8 2 3 5 2" xfId="42928" xr:uid="{865B6252-4E25-43A4-BD9F-0B037E72A1E4}"/>
    <cellStyle name="20% - Accent6 8 2 3 6" xfId="27048" xr:uid="{51298DAE-5C0C-4D10-BDCA-65602B4D221E}"/>
    <cellStyle name="20% - Accent6 8 2 3_Exh G" xfId="2662" xr:uid="{00000000-0005-0000-0000-00003A290000}"/>
    <cellStyle name="20% - Accent6 8 2 4" xfId="3995" xr:uid="{00000000-0005-0000-0000-00003B290000}"/>
    <cellStyle name="20% - Accent6 8 2 4 2" xfId="7587" xr:uid="{00000000-0005-0000-0000-00003C290000}"/>
    <cellStyle name="20% - Accent6 8 2 4 2 2" xfId="15557" xr:uid="{00000000-0005-0000-0000-00003D290000}"/>
    <cellStyle name="20% - Accent6 8 2 4 2 2 2" xfId="39399" xr:uid="{D5B91A83-9201-4C1D-AFD0-9FBBDEA05367}"/>
    <cellStyle name="20% - Accent6 8 2 4 2 3" xfId="23503" xr:uid="{00000000-0005-0000-0000-00003E290000}"/>
    <cellStyle name="20% - Accent6 8 2 4 2 3 2" xfId="47335" xr:uid="{989ABABC-0123-440D-93DE-24791A96E8EA}"/>
    <cellStyle name="20% - Accent6 8 2 4 2 4" xfId="31458" xr:uid="{83BB3750-1077-45C0-A0EA-D0FA847C7B2A}"/>
    <cellStyle name="20% - Accent6 8 2 4 3" xfId="12019" xr:uid="{00000000-0005-0000-0000-00003F290000}"/>
    <cellStyle name="20% - Accent6 8 2 4 3 2" xfId="35868" xr:uid="{69220A07-C4C4-4B80-8082-3A0CBC2D156E}"/>
    <cellStyle name="20% - Accent6 8 2 4 4" xfId="19974" xr:uid="{00000000-0005-0000-0000-000040290000}"/>
    <cellStyle name="20% - Accent6 8 2 4 4 2" xfId="43806" xr:uid="{49B54F41-363C-45F2-8074-11B2A58DD88A}"/>
    <cellStyle name="20% - Accent6 8 2 4 5" xfId="27927" xr:uid="{05A655C1-2818-4656-B2AA-4F9F843D590E}"/>
    <cellStyle name="20% - Accent6 8 2 5" xfId="5815" xr:uid="{00000000-0005-0000-0000-000041290000}"/>
    <cellStyle name="20% - Accent6 8 2 5 2" xfId="13798" xr:uid="{00000000-0005-0000-0000-000042290000}"/>
    <cellStyle name="20% - Accent6 8 2 5 2 2" xfId="37641" xr:uid="{E4D6B3D3-3E01-4800-8177-DF002C25688C}"/>
    <cellStyle name="20% - Accent6 8 2 5 3" xfId="21746" xr:uid="{00000000-0005-0000-0000-000043290000}"/>
    <cellStyle name="20% - Accent6 8 2 5 3 2" xfId="45578" xr:uid="{F84DAB44-E846-4572-AF00-944F7BBB9070}"/>
    <cellStyle name="20% - Accent6 8 2 5 4" xfId="29700" xr:uid="{E9197CB5-752B-4116-A17C-123A683A7B9D}"/>
    <cellStyle name="20% - Accent6 8 2 6" xfId="9367" xr:uid="{00000000-0005-0000-0000-000044290000}"/>
    <cellStyle name="20% - Accent6 8 2 6 2" xfId="17325" xr:uid="{00000000-0005-0000-0000-000045290000}"/>
    <cellStyle name="20% - Accent6 8 2 6 2 2" xfId="41165" xr:uid="{C352D2F5-25E6-477F-B06A-1FA5A73DB0F6}"/>
    <cellStyle name="20% - Accent6 8 2 6 3" xfId="25269" xr:uid="{00000000-0005-0000-0000-000046290000}"/>
    <cellStyle name="20% - Accent6 8 2 6 3 2" xfId="49101" xr:uid="{43324B60-ADE0-46CD-BC27-6F4B9667C185}"/>
    <cellStyle name="20% - Accent6 8 2 6 4" xfId="33224" xr:uid="{CF5FA0FD-9BDC-4D75-9B2B-D4C4F6623961}"/>
    <cellStyle name="20% - Accent6 8 2 7" xfId="10263" xr:uid="{00000000-0005-0000-0000-000047290000}"/>
    <cellStyle name="20% - Accent6 8 2 7 2" xfId="34112" xr:uid="{02CB153C-6AB4-4C0D-B406-6C6B5A989CB6}"/>
    <cellStyle name="20% - Accent6 8 2 8" xfId="18218" xr:uid="{00000000-0005-0000-0000-000048290000}"/>
    <cellStyle name="20% - Accent6 8 2 8 2" xfId="42050" xr:uid="{FAC3077A-6046-49FE-9320-20A6AAA04F31}"/>
    <cellStyle name="20% - Accent6 8 2 9" xfId="26170" xr:uid="{47F52BB4-A0AC-4E0E-84A6-63D492F74EA6}"/>
    <cellStyle name="20% - Accent6 8 2_Exh G" xfId="2659" xr:uid="{00000000-0005-0000-0000-000049290000}"/>
    <cellStyle name="20% - Accent6 8 3" xfId="323" xr:uid="{00000000-0005-0000-0000-00004A290000}"/>
    <cellStyle name="20% - Accent6 8 3 2" xfId="1349" xr:uid="{00000000-0005-0000-0000-00004B290000}"/>
    <cellStyle name="20% - Accent6 8 3 2 2" xfId="4876" xr:uid="{00000000-0005-0000-0000-00004C290000}"/>
    <cellStyle name="20% - Accent6 8 3 2 2 2" xfId="8467" xr:uid="{00000000-0005-0000-0000-00004D290000}"/>
    <cellStyle name="20% - Accent6 8 3 2 2 2 2" xfId="16437" xr:uid="{00000000-0005-0000-0000-00004E290000}"/>
    <cellStyle name="20% - Accent6 8 3 2 2 2 2 2" xfId="40279" xr:uid="{3874C6EE-4E23-4B99-A606-1E1A3D0BDE9C}"/>
    <cellStyle name="20% - Accent6 8 3 2 2 2 3" xfId="24383" xr:uid="{00000000-0005-0000-0000-00004F290000}"/>
    <cellStyle name="20% - Accent6 8 3 2 2 2 3 2" xfId="48215" xr:uid="{75068DDC-D657-4DC1-A496-FE843B8D6EBE}"/>
    <cellStyle name="20% - Accent6 8 3 2 2 2 4" xfId="32338" xr:uid="{C6624E82-9146-4380-8C9B-79721CC5A814}"/>
    <cellStyle name="20% - Accent6 8 3 2 2 3" xfId="12899" xr:uid="{00000000-0005-0000-0000-000050290000}"/>
    <cellStyle name="20% - Accent6 8 3 2 2 3 2" xfId="36748" xr:uid="{6B959BFD-C1CB-432E-B10C-D88D984594B2}"/>
    <cellStyle name="20% - Accent6 8 3 2 2 4" xfId="20854" xr:uid="{00000000-0005-0000-0000-000051290000}"/>
    <cellStyle name="20% - Accent6 8 3 2 2 4 2" xfId="44686" xr:uid="{5E38EB53-86F2-473A-B080-ACAEE9CB8082}"/>
    <cellStyle name="20% - Accent6 8 3 2 2 5" xfId="28807" xr:uid="{2D24A2AF-6105-41FB-AF39-28069A2134C8}"/>
    <cellStyle name="20% - Accent6 8 3 2 3" xfId="6708" xr:uid="{00000000-0005-0000-0000-000052290000}"/>
    <cellStyle name="20% - Accent6 8 3 2 3 2" xfId="14679" xr:uid="{00000000-0005-0000-0000-000053290000}"/>
    <cellStyle name="20% - Accent6 8 3 2 3 2 2" xfId="38521" xr:uid="{786A5A08-985A-4267-8FBD-CFA5F676148D}"/>
    <cellStyle name="20% - Accent6 8 3 2 3 3" xfId="22626" xr:uid="{00000000-0005-0000-0000-000054290000}"/>
    <cellStyle name="20% - Accent6 8 3 2 3 3 2" xfId="46458" xr:uid="{8079A31D-6B77-47FE-80AA-1E453A164F17}"/>
    <cellStyle name="20% - Accent6 8 3 2 3 4" xfId="30580" xr:uid="{5E69085D-D297-424B-B15B-114506751F76}"/>
    <cellStyle name="20% - Accent6 8 3 2 4" xfId="11143" xr:uid="{00000000-0005-0000-0000-000055290000}"/>
    <cellStyle name="20% - Accent6 8 3 2 4 2" xfId="34992" xr:uid="{CC8E36F9-AAAF-4301-85C1-4ABAA0E14F5D}"/>
    <cellStyle name="20% - Accent6 8 3 2 5" xfId="19098" xr:uid="{00000000-0005-0000-0000-000056290000}"/>
    <cellStyle name="20% - Accent6 8 3 2 5 2" xfId="42930" xr:uid="{6371AA52-FEC1-4442-B4FC-6B894F55135A}"/>
    <cellStyle name="20% - Accent6 8 3 2 6" xfId="27050" xr:uid="{D775896B-CB0F-4851-863D-91973F61C922}"/>
    <cellStyle name="20% - Accent6 8 3 2_Exh G" xfId="2664" xr:uid="{00000000-0005-0000-0000-000057290000}"/>
    <cellStyle name="20% - Accent6 8 3 3" xfId="3997" xr:uid="{00000000-0005-0000-0000-000058290000}"/>
    <cellStyle name="20% - Accent6 8 3 3 2" xfId="7589" xr:uid="{00000000-0005-0000-0000-000059290000}"/>
    <cellStyle name="20% - Accent6 8 3 3 2 2" xfId="15559" xr:uid="{00000000-0005-0000-0000-00005A290000}"/>
    <cellStyle name="20% - Accent6 8 3 3 2 2 2" xfId="39401" xr:uid="{B8BE1FA2-9884-4545-9E52-A6069B0B8CFC}"/>
    <cellStyle name="20% - Accent6 8 3 3 2 3" xfId="23505" xr:uid="{00000000-0005-0000-0000-00005B290000}"/>
    <cellStyle name="20% - Accent6 8 3 3 2 3 2" xfId="47337" xr:uid="{07F6784A-BC84-4DDF-9464-A4C789283BBB}"/>
    <cellStyle name="20% - Accent6 8 3 3 2 4" xfId="31460" xr:uid="{C0DFECBE-96ED-4859-87F7-F6B4B40D7B5F}"/>
    <cellStyle name="20% - Accent6 8 3 3 3" xfId="12021" xr:uid="{00000000-0005-0000-0000-00005C290000}"/>
    <cellStyle name="20% - Accent6 8 3 3 3 2" xfId="35870" xr:uid="{48115AF9-9F8C-4409-BF57-4CD8FC7AC103}"/>
    <cellStyle name="20% - Accent6 8 3 3 4" xfId="19976" xr:uid="{00000000-0005-0000-0000-00005D290000}"/>
    <cellStyle name="20% - Accent6 8 3 3 4 2" xfId="43808" xr:uid="{3E525E80-F513-4118-B831-D11A86F68105}"/>
    <cellStyle name="20% - Accent6 8 3 3 5" xfId="27929" xr:uid="{C72F2C30-7A4E-4E17-B1DB-ED9707B018E5}"/>
    <cellStyle name="20% - Accent6 8 3 4" xfId="5817" xr:uid="{00000000-0005-0000-0000-00005E290000}"/>
    <cellStyle name="20% - Accent6 8 3 4 2" xfId="13800" xr:uid="{00000000-0005-0000-0000-00005F290000}"/>
    <cellStyle name="20% - Accent6 8 3 4 2 2" xfId="37643" xr:uid="{3DDC7AAA-B8E3-48C5-83E4-DDA0CDF3CA61}"/>
    <cellStyle name="20% - Accent6 8 3 4 3" xfId="21748" xr:uid="{00000000-0005-0000-0000-000060290000}"/>
    <cellStyle name="20% - Accent6 8 3 4 3 2" xfId="45580" xr:uid="{FEF70576-C22F-4421-B861-7ECAA2DF288B}"/>
    <cellStyle name="20% - Accent6 8 3 4 4" xfId="29702" xr:uid="{60F48A40-AE09-4D3A-8B73-11B59FD95B1F}"/>
    <cellStyle name="20% - Accent6 8 3 5" xfId="9369" xr:uid="{00000000-0005-0000-0000-000061290000}"/>
    <cellStyle name="20% - Accent6 8 3 5 2" xfId="17327" xr:uid="{00000000-0005-0000-0000-000062290000}"/>
    <cellStyle name="20% - Accent6 8 3 5 2 2" xfId="41167" xr:uid="{287544FC-1DBE-4280-B61B-782D8E8DA7F2}"/>
    <cellStyle name="20% - Accent6 8 3 5 3" xfId="25271" xr:uid="{00000000-0005-0000-0000-000063290000}"/>
    <cellStyle name="20% - Accent6 8 3 5 3 2" xfId="49103" xr:uid="{A35C0C3B-6C16-4111-BDED-45E857C65F47}"/>
    <cellStyle name="20% - Accent6 8 3 5 4" xfId="33226" xr:uid="{A1A78C7F-E3E1-423E-BA66-BDFE89F25E01}"/>
    <cellStyle name="20% - Accent6 8 3 6" xfId="10265" xr:uid="{00000000-0005-0000-0000-000064290000}"/>
    <cellStyle name="20% - Accent6 8 3 6 2" xfId="34114" xr:uid="{13C3C3CF-CF7D-4E57-B95D-5B9E397D0B14}"/>
    <cellStyle name="20% - Accent6 8 3 7" xfId="18220" xr:uid="{00000000-0005-0000-0000-000065290000}"/>
    <cellStyle name="20% - Accent6 8 3 7 2" xfId="42052" xr:uid="{067C05DE-CBAD-4949-A26D-06067930F516}"/>
    <cellStyle name="20% - Accent6 8 3 8" xfId="26172" xr:uid="{94E8BD46-8255-45EC-BF93-E6DCD87F5666}"/>
    <cellStyle name="20% - Accent6 8 3_Exh G" xfId="2663" xr:uid="{00000000-0005-0000-0000-000066290000}"/>
    <cellStyle name="20% - Accent6 8 4" xfId="929" xr:uid="{00000000-0005-0000-0000-000067290000}"/>
    <cellStyle name="20% - Accent6 8 4 2" xfId="1850" xr:uid="{00000000-0005-0000-0000-000068290000}"/>
    <cellStyle name="20% - Accent6 8 4 2 2" xfId="5367" xr:uid="{00000000-0005-0000-0000-000069290000}"/>
    <cellStyle name="20% - Accent6 8 4 2 2 2" xfId="8958" xr:uid="{00000000-0005-0000-0000-00006A290000}"/>
    <cellStyle name="20% - Accent6 8 4 2 2 2 2" xfId="16928" xr:uid="{00000000-0005-0000-0000-00006B290000}"/>
    <cellStyle name="20% - Accent6 8 4 2 2 2 2 2" xfId="40770" xr:uid="{A795062D-5B36-4698-B008-8AE1F1F40619}"/>
    <cellStyle name="20% - Accent6 8 4 2 2 2 3" xfId="24874" xr:uid="{00000000-0005-0000-0000-00006C290000}"/>
    <cellStyle name="20% - Accent6 8 4 2 2 2 3 2" xfId="48706" xr:uid="{6A5AA2B8-0A6F-4486-9EF1-8E03B2CA3F71}"/>
    <cellStyle name="20% - Accent6 8 4 2 2 2 4" xfId="32829" xr:uid="{6E704886-E9C3-4626-90EB-9EB3A48FDE52}"/>
    <cellStyle name="20% - Accent6 8 4 2 2 3" xfId="13390" xr:uid="{00000000-0005-0000-0000-00006D290000}"/>
    <cellStyle name="20% - Accent6 8 4 2 2 3 2" xfId="37239" xr:uid="{A72A45FE-A256-4384-ACB7-1D45C3E4A93C}"/>
    <cellStyle name="20% - Accent6 8 4 2 2 4" xfId="21345" xr:uid="{00000000-0005-0000-0000-00006E290000}"/>
    <cellStyle name="20% - Accent6 8 4 2 2 4 2" xfId="45177" xr:uid="{ACC4F4CD-3442-497E-8364-7EA074E28F74}"/>
    <cellStyle name="20% - Accent6 8 4 2 2 5" xfId="29298" xr:uid="{6E00E035-7579-43FC-B974-A30C5CB71055}"/>
    <cellStyle name="20% - Accent6 8 4 2 3" xfId="7199" xr:uid="{00000000-0005-0000-0000-00006F290000}"/>
    <cellStyle name="20% - Accent6 8 4 2 3 2" xfId="15170" xr:uid="{00000000-0005-0000-0000-000070290000}"/>
    <cellStyle name="20% - Accent6 8 4 2 3 2 2" xfId="39012" xr:uid="{4F8262AC-55A3-491F-B4A3-D6101E5CA6DB}"/>
    <cellStyle name="20% - Accent6 8 4 2 3 3" xfId="23117" xr:uid="{00000000-0005-0000-0000-000071290000}"/>
    <cellStyle name="20% - Accent6 8 4 2 3 3 2" xfId="46949" xr:uid="{7B2ACD8A-FDF0-4283-8196-0FDDBA93CDF4}"/>
    <cellStyle name="20% - Accent6 8 4 2 3 4" xfId="31071" xr:uid="{56D5B238-E49B-4FA4-BA8D-DD1F64BCA674}"/>
    <cellStyle name="20% - Accent6 8 4 2 4" xfId="11634" xr:uid="{00000000-0005-0000-0000-000072290000}"/>
    <cellStyle name="20% - Accent6 8 4 2 4 2" xfId="35483" xr:uid="{BB5641CA-3AAA-421D-BE8B-23F69A93AD09}"/>
    <cellStyle name="20% - Accent6 8 4 2 5" xfId="19589" xr:uid="{00000000-0005-0000-0000-000073290000}"/>
    <cellStyle name="20% - Accent6 8 4 2 5 2" xfId="43421" xr:uid="{5E049B0B-D46C-4752-9950-2574862ADB71}"/>
    <cellStyle name="20% - Accent6 8 4 2 6" xfId="27541" xr:uid="{CD17644C-FC29-4B01-AF1A-B2274B14E5BC}"/>
    <cellStyle name="20% - Accent6 8 4 2_Exh G" xfId="2666" xr:uid="{00000000-0005-0000-0000-000074290000}"/>
    <cellStyle name="20% - Accent6 8 4 3" xfId="4488" xr:uid="{00000000-0005-0000-0000-000075290000}"/>
    <cellStyle name="20% - Accent6 8 4 3 2" xfId="8080" xr:uid="{00000000-0005-0000-0000-000076290000}"/>
    <cellStyle name="20% - Accent6 8 4 3 2 2" xfId="16050" xr:uid="{00000000-0005-0000-0000-000077290000}"/>
    <cellStyle name="20% - Accent6 8 4 3 2 2 2" xfId="39892" xr:uid="{371B40C7-2CB7-47FB-80A2-D237F04A868A}"/>
    <cellStyle name="20% - Accent6 8 4 3 2 3" xfId="23996" xr:uid="{00000000-0005-0000-0000-000078290000}"/>
    <cellStyle name="20% - Accent6 8 4 3 2 3 2" xfId="47828" xr:uid="{BE31C0B2-FF87-4D6A-BB48-05032CEB743E}"/>
    <cellStyle name="20% - Accent6 8 4 3 2 4" xfId="31951" xr:uid="{5B8F2199-2E2F-42C7-A298-5DA90EFC7A88}"/>
    <cellStyle name="20% - Accent6 8 4 3 3" xfId="12512" xr:uid="{00000000-0005-0000-0000-000079290000}"/>
    <cellStyle name="20% - Accent6 8 4 3 3 2" xfId="36361" xr:uid="{775ADD57-5E73-46E0-8A80-643163900D50}"/>
    <cellStyle name="20% - Accent6 8 4 3 4" xfId="20467" xr:uid="{00000000-0005-0000-0000-00007A290000}"/>
    <cellStyle name="20% - Accent6 8 4 3 4 2" xfId="44299" xr:uid="{9218FB86-7B1F-462C-B22C-B8B447A78005}"/>
    <cellStyle name="20% - Accent6 8 4 3 5" xfId="28420" xr:uid="{4C6491F3-2B79-4CB9-BBA7-CF0068A8A83D}"/>
    <cellStyle name="20% - Accent6 8 4 4" xfId="6318" xr:uid="{00000000-0005-0000-0000-00007B290000}"/>
    <cellStyle name="20% - Accent6 8 4 4 2" xfId="14292" xr:uid="{00000000-0005-0000-0000-00007C290000}"/>
    <cellStyle name="20% - Accent6 8 4 4 2 2" xfId="38134" xr:uid="{2D0623FD-58A8-4091-8CA0-7D4F0863DF8D}"/>
    <cellStyle name="20% - Accent6 8 4 4 3" xfId="22239" xr:uid="{00000000-0005-0000-0000-00007D290000}"/>
    <cellStyle name="20% - Accent6 8 4 4 3 2" xfId="46071" xr:uid="{5F052741-1DD9-4E62-8BC9-8F9AEF0BFBF7}"/>
    <cellStyle name="20% - Accent6 8 4 4 4" xfId="30193" xr:uid="{2AB10E2B-7AA0-4536-AA0F-B738A17DD4A7}"/>
    <cellStyle name="20% - Accent6 8 4 5" xfId="9860" xr:uid="{00000000-0005-0000-0000-00007E290000}"/>
    <cellStyle name="20% - Accent6 8 4 5 2" xfId="17818" xr:uid="{00000000-0005-0000-0000-00007F290000}"/>
    <cellStyle name="20% - Accent6 8 4 5 2 2" xfId="41658" xr:uid="{3B523C48-9CF4-4D3A-93BC-FBBB05E964E4}"/>
    <cellStyle name="20% - Accent6 8 4 5 3" xfId="25762" xr:uid="{00000000-0005-0000-0000-000080290000}"/>
    <cellStyle name="20% - Accent6 8 4 5 3 2" xfId="49594" xr:uid="{5E566F85-BB1A-47FB-8129-B1A5BAD397DB}"/>
    <cellStyle name="20% - Accent6 8 4 5 4" xfId="33717" xr:uid="{FE642FF0-043D-4EEC-BBA4-32DD4796F8E8}"/>
    <cellStyle name="20% - Accent6 8 4 6" xfId="10756" xr:uid="{00000000-0005-0000-0000-000081290000}"/>
    <cellStyle name="20% - Accent6 8 4 6 2" xfId="34605" xr:uid="{C536A256-C9D7-4589-BCD7-02DC07BE5824}"/>
    <cellStyle name="20% - Accent6 8 4 7" xfId="18711" xr:uid="{00000000-0005-0000-0000-000082290000}"/>
    <cellStyle name="20% - Accent6 8 4 7 2" xfId="42543" xr:uid="{604AC49F-D181-4A13-B2CB-8F79CD53DA2C}"/>
    <cellStyle name="20% - Accent6 8 4 8" xfId="26663" xr:uid="{C778AB9E-4437-4DDD-A00E-B815BF09C6E5}"/>
    <cellStyle name="20% - Accent6 8 4_Exh G" xfId="2665" xr:uid="{00000000-0005-0000-0000-000083290000}"/>
    <cellStyle name="20% - Accent6 8 5" xfId="1346" xr:uid="{00000000-0005-0000-0000-000084290000}"/>
    <cellStyle name="20% - Accent6 8 5 2" xfId="4873" xr:uid="{00000000-0005-0000-0000-000085290000}"/>
    <cellStyle name="20% - Accent6 8 5 2 2" xfId="8464" xr:uid="{00000000-0005-0000-0000-000086290000}"/>
    <cellStyle name="20% - Accent6 8 5 2 2 2" xfId="16434" xr:uid="{00000000-0005-0000-0000-000087290000}"/>
    <cellStyle name="20% - Accent6 8 5 2 2 2 2" xfId="40276" xr:uid="{863E250E-F063-45E6-90F0-DDF4C8031BD1}"/>
    <cellStyle name="20% - Accent6 8 5 2 2 3" xfId="24380" xr:uid="{00000000-0005-0000-0000-000088290000}"/>
    <cellStyle name="20% - Accent6 8 5 2 2 3 2" xfId="48212" xr:uid="{B0F08554-8EA9-4C3C-82DA-A054FFCD3719}"/>
    <cellStyle name="20% - Accent6 8 5 2 2 4" xfId="32335" xr:uid="{BC6E2BDB-C42F-47D6-8B60-BD2EED6251CA}"/>
    <cellStyle name="20% - Accent6 8 5 2 3" xfId="12896" xr:uid="{00000000-0005-0000-0000-000089290000}"/>
    <cellStyle name="20% - Accent6 8 5 2 3 2" xfId="36745" xr:uid="{2A28F8A9-AD6A-4A68-9E1A-A0E3F6E365EE}"/>
    <cellStyle name="20% - Accent6 8 5 2 4" xfId="20851" xr:uid="{00000000-0005-0000-0000-00008A290000}"/>
    <cellStyle name="20% - Accent6 8 5 2 4 2" xfId="44683" xr:uid="{AED07D48-2CA0-42C0-B1C7-F80352FAC672}"/>
    <cellStyle name="20% - Accent6 8 5 2 5" xfId="28804" xr:uid="{B3330B2D-7DAB-4675-9C6F-4E8A3F99040A}"/>
    <cellStyle name="20% - Accent6 8 5 3" xfId="6705" xr:uid="{00000000-0005-0000-0000-00008B290000}"/>
    <cellStyle name="20% - Accent6 8 5 3 2" xfId="14676" xr:uid="{00000000-0005-0000-0000-00008C290000}"/>
    <cellStyle name="20% - Accent6 8 5 3 2 2" xfId="38518" xr:uid="{E5CF5983-8241-471F-BB04-1C0CD9DEB306}"/>
    <cellStyle name="20% - Accent6 8 5 3 3" xfId="22623" xr:uid="{00000000-0005-0000-0000-00008D290000}"/>
    <cellStyle name="20% - Accent6 8 5 3 3 2" xfId="46455" xr:uid="{8F0E2FA4-93EA-41D8-8ECB-05A1B7ED8435}"/>
    <cellStyle name="20% - Accent6 8 5 3 4" xfId="30577" xr:uid="{010A0E4F-ED15-4857-BA19-6559D7B1EA18}"/>
    <cellStyle name="20% - Accent6 8 5 4" xfId="11140" xr:uid="{00000000-0005-0000-0000-00008E290000}"/>
    <cellStyle name="20% - Accent6 8 5 4 2" xfId="34989" xr:uid="{CB52A166-2061-41C0-9E15-CF738B09B70C}"/>
    <cellStyle name="20% - Accent6 8 5 5" xfId="19095" xr:uid="{00000000-0005-0000-0000-00008F290000}"/>
    <cellStyle name="20% - Accent6 8 5 5 2" xfId="42927" xr:uid="{DB7296FD-82BC-48F1-AD37-1C4EDF63E87A}"/>
    <cellStyle name="20% - Accent6 8 5 6" xfId="27047" xr:uid="{E1092831-BAA6-4265-B7F7-9ED3B889E657}"/>
    <cellStyle name="20% - Accent6 8 5_Exh G" xfId="2667" xr:uid="{00000000-0005-0000-0000-000090290000}"/>
    <cellStyle name="20% - Accent6 8 6" xfId="3994" xr:uid="{00000000-0005-0000-0000-000091290000}"/>
    <cellStyle name="20% - Accent6 8 6 2" xfId="7586" xr:uid="{00000000-0005-0000-0000-000092290000}"/>
    <cellStyle name="20% - Accent6 8 6 2 2" xfId="15556" xr:uid="{00000000-0005-0000-0000-000093290000}"/>
    <cellStyle name="20% - Accent6 8 6 2 2 2" xfId="39398" xr:uid="{0CC1C870-FE10-4065-8615-6F886DE3D94B}"/>
    <cellStyle name="20% - Accent6 8 6 2 3" xfId="23502" xr:uid="{00000000-0005-0000-0000-000094290000}"/>
    <cellStyle name="20% - Accent6 8 6 2 3 2" xfId="47334" xr:uid="{0FD7BD71-5B82-4DAE-AC54-E334557EADD5}"/>
    <cellStyle name="20% - Accent6 8 6 2 4" xfId="31457" xr:uid="{A9B472AF-E4FA-48F0-95CD-7902538A23F7}"/>
    <cellStyle name="20% - Accent6 8 6 3" xfId="12018" xr:uid="{00000000-0005-0000-0000-000095290000}"/>
    <cellStyle name="20% - Accent6 8 6 3 2" xfId="35867" xr:uid="{6C23E30A-4878-4D52-9230-37EB23FF7A27}"/>
    <cellStyle name="20% - Accent6 8 6 4" xfId="19973" xr:uid="{00000000-0005-0000-0000-000096290000}"/>
    <cellStyle name="20% - Accent6 8 6 4 2" xfId="43805" xr:uid="{07FD5142-982A-48AB-AF97-83C0E7E52E6F}"/>
    <cellStyle name="20% - Accent6 8 6 5" xfId="27926" xr:uid="{ADE487E7-D4E2-4F3C-8F8F-3B2C93BF94AB}"/>
    <cellStyle name="20% - Accent6 8 7" xfId="5814" xr:uid="{00000000-0005-0000-0000-000097290000}"/>
    <cellStyle name="20% - Accent6 8 7 2" xfId="13797" xr:uid="{00000000-0005-0000-0000-000098290000}"/>
    <cellStyle name="20% - Accent6 8 7 2 2" xfId="37640" xr:uid="{ADABB26F-AC47-487C-986E-E4855815B5A6}"/>
    <cellStyle name="20% - Accent6 8 7 3" xfId="21745" xr:uid="{00000000-0005-0000-0000-000099290000}"/>
    <cellStyle name="20% - Accent6 8 7 3 2" xfId="45577" xr:uid="{EC9E68F5-B6E0-4952-9A69-069F25552A54}"/>
    <cellStyle name="20% - Accent6 8 7 4" xfId="29699" xr:uid="{DC48FC1A-C037-4BE8-AC9D-BB96DA15741F}"/>
    <cellStyle name="20% - Accent6 8 8" xfId="9366" xr:uid="{00000000-0005-0000-0000-00009A290000}"/>
    <cellStyle name="20% - Accent6 8 8 2" xfId="17324" xr:uid="{00000000-0005-0000-0000-00009B290000}"/>
    <cellStyle name="20% - Accent6 8 8 2 2" xfId="41164" xr:uid="{623EBEE1-53D3-4BAF-B857-10AE858D6364}"/>
    <cellStyle name="20% - Accent6 8 8 3" xfId="25268" xr:uid="{00000000-0005-0000-0000-00009C290000}"/>
    <cellStyle name="20% - Accent6 8 8 3 2" xfId="49100" xr:uid="{8B062286-A56B-493F-8FA9-91794A95225F}"/>
    <cellStyle name="20% - Accent6 8 8 4" xfId="33223" xr:uid="{761A777A-EF44-4DFA-94FB-12AD60B937D9}"/>
    <cellStyle name="20% - Accent6 8 9" xfId="10262" xr:uid="{00000000-0005-0000-0000-00009D290000}"/>
    <cellStyle name="20% - Accent6 8 9 2" xfId="34111" xr:uid="{EA8928CC-6124-4410-AEE7-CEE430368588}"/>
    <cellStyle name="20% - Accent6 8_Exh G" xfId="2658" xr:uid="{00000000-0005-0000-0000-00009E290000}"/>
    <cellStyle name="20% - Accent6 9" xfId="324" xr:uid="{00000000-0005-0000-0000-00009F290000}"/>
    <cellStyle name="20% - Accent6 9 10" xfId="18221" xr:uid="{00000000-0005-0000-0000-0000A0290000}"/>
    <cellStyle name="20% - Accent6 9 10 2" xfId="42053" xr:uid="{07B711DD-F471-44AE-B927-B27A562CA77F}"/>
    <cellStyle name="20% - Accent6 9 11" xfId="26173" xr:uid="{440F93B8-25DA-4535-A0C2-DF6BEA6E526D}"/>
    <cellStyle name="20% - Accent6 9 2" xfId="325" xr:uid="{00000000-0005-0000-0000-0000A1290000}"/>
    <cellStyle name="20% - Accent6 9 2 2" xfId="326" xr:uid="{00000000-0005-0000-0000-0000A2290000}"/>
    <cellStyle name="20% - Accent6 9 2 2 2" xfId="1352" xr:uid="{00000000-0005-0000-0000-0000A3290000}"/>
    <cellStyle name="20% - Accent6 9 2 2 2 2" xfId="4879" xr:uid="{00000000-0005-0000-0000-0000A4290000}"/>
    <cellStyle name="20% - Accent6 9 2 2 2 2 2" xfId="8470" xr:uid="{00000000-0005-0000-0000-0000A5290000}"/>
    <cellStyle name="20% - Accent6 9 2 2 2 2 2 2" xfId="16440" xr:uid="{00000000-0005-0000-0000-0000A6290000}"/>
    <cellStyle name="20% - Accent6 9 2 2 2 2 2 2 2" xfId="40282" xr:uid="{CF431C2F-66B1-4BD6-BE1A-297E2DBAE01F}"/>
    <cellStyle name="20% - Accent6 9 2 2 2 2 2 3" xfId="24386" xr:uid="{00000000-0005-0000-0000-0000A7290000}"/>
    <cellStyle name="20% - Accent6 9 2 2 2 2 2 3 2" xfId="48218" xr:uid="{421F58E2-60B2-43AB-B390-11D5586926B4}"/>
    <cellStyle name="20% - Accent6 9 2 2 2 2 2 4" xfId="32341" xr:uid="{774A89CF-157B-4D5B-9B59-B8B8A9D0702F}"/>
    <cellStyle name="20% - Accent6 9 2 2 2 2 3" xfId="12902" xr:uid="{00000000-0005-0000-0000-0000A8290000}"/>
    <cellStyle name="20% - Accent6 9 2 2 2 2 3 2" xfId="36751" xr:uid="{DA3324D1-1D14-488F-B40B-3A8FA04893F2}"/>
    <cellStyle name="20% - Accent6 9 2 2 2 2 4" xfId="20857" xr:uid="{00000000-0005-0000-0000-0000A9290000}"/>
    <cellStyle name="20% - Accent6 9 2 2 2 2 4 2" xfId="44689" xr:uid="{24E94F77-74B9-45C8-AED9-615D1B311BCD}"/>
    <cellStyle name="20% - Accent6 9 2 2 2 2 5" xfId="28810" xr:uid="{4482EB7B-5388-442E-9A2E-8BBF03F23075}"/>
    <cellStyle name="20% - Accent6 9 2 2 2 3" xfId="6711" xr:uid="{00000000-0005-0000-0000-0000AA290000}"/>
    <cellStyle name="20% - Accent6 9 2 2 2 3 2" xfId="14682" xr:uid="{00000000-0005-0000-0000-0000AB290000}"/>
    <cellStyle name="20% - Accent6 9 2 2 2 3 2 2" xfId="38524" xr:uid="{B664F8AA-169F-416E-84A1-B814BB528326}"/>
    <cellStyle name="20% - Accent6 9 2 2 2 3 3" xfId="22629" xr:uid="{00000000-0005-0000-0000-0000AC290000}"/>
    <cellStyle name="20% - Accent6 9 2 2 2 3 3 2" xfId="46461" xr:uid="{0BA9917F-F5A7-4E73-A7CF-914BAAAD1C74}"/>
    <cellStyle name="20% - Accent6 9 2 2 2 3 4" xfId="30583" xr:uid="{ADEEB1D2-62EF-44DC-924E-3352FCC112BE}"/>
    <cellStyle name="20% - Accent6 9 2 2 2 4" xfId="11146" xr:uid="{00000000-0005-0000-0000-0000AD290000}"/>
    <cellStyle name="20% - Accent6 9 2 2 2 4 2" xfId="34995" xr:uid="{5C6CBDC5-41E2-4AA8-960E-E3581A67DF62}"/>
    <cellStyle name="20% - Accent6 9 2 2 2 5" xfId="19101" xr:uid="{00000000-0005-0000-0000-0000AE290000}"/>
    <cellStyle name="20% - Accent6 9 2 2 2 5 2" xfId="42933" xr:uid="{7421C260-6D15-4D66-A9AF-0317B650EBDC}"/>
    <cellStyle name="20% - Accent6 9 2 2 2 6" xfId="27053" xr:uid="{93779A20-99AD-46C4-A782-9640CE0D660C}"/>
    <cellStyle name="20% - Accent6 9 2 2 2_Exh G" xfId="2671" xr:uid="{00000000-0005-0000-0000-0000AF290000}"/>
    <cellStyle name="20% - Accent6 9 2 2 3" xfId="4000" xr:uid="{00000000-0005-0000-0000-0000B0290000}"/>
    <cellStyle name="20% - Accent6 9 2 2 3 2" xfId="7592" xr:uid="{00000000-0005-0000-0000-0000B1290000}"/>
    <cellStyle name="20% - Accent6 9 2 2 3 2 2" xfId="15562" xr:uid="{00000000-0005-0000-0000-0000B2290000}"/>
    <cellStyle name="20% - Accent6 9 2 2 3 2 2 2" xfId="39404" xr:uid="{5550A056-AEFF-4999-9414-5E67A1D32940}"/>
    <cellStyle name="20% - Accent6 9 2 2 3 2 3" xfId="23508" xr:uid="{00000000-0005-0000-0000-0000B3290000}"/>
    <cellStyle name="20% - Accent6 9 2 2 3 2 3 2" xfId="47340" xr:uid="{DEDA5DFA-7C3E-45AC-868A-F312394208A5}"/>
    <cellStyle name="20% - Accent6 9 2 2 3 2 4" xfId="31463" xr:uid="{9B9A9372-80B4-4D23-A1A1-EA89A0D61D24}"/>
    <cellStyle name="20% - Accent6 9 2 2 3 3" xfId="12024" xr:uid="{00000000-0005-0000-0000-0000B4290000}"/>
    <cellStyle name="20% - Accent6 9 2 2 3 3 2" xfId="35873" xr:uid="{162E4526-6847-444D-990D-3253E6DEE5FF}"/>
    <cellStyle name="20% - Accent6 9 2 2 3 4" xfId="19979" xr:uid="{00000000-0005-0000-0000-0000B5290000}"/>
    <cellStyle name="20% - Accent6 9 2 2 3 4 2" xfId="43811" xr:uid="{E5879328-7F79-4B7C-8677-43B13BE54A2A}"/>
    <cellStyle name="20% - Accent6 9 2 2 3 5" xfId="27932" xr:uid="{FA2A9C7A-9A01-4B5B-9611-05685F179476}"/>
    <cellStyle name="20% - Accent6 9 2 2 4" xfId="5820" xr:uid="{00000000-0005-0000-0000-0000B6290000}"/>
    <cellStyle name="20% - Accent6 9 2 2 4 2" xfId="13803" xr:uid="{00000000-0005-0000-0000-0000B7290000}"/>
    <cellStyle name="20% - Accent6 9 2 2 4 2 2" xfId="37646" xr:uid="{58717435-6E6F-4291-A654-563C020BCBF8}"/>
    <cellStyle name="20% - Accent6 9 2 2 4 3" xfId="21751" xr:uid="{00000000-0005-0000-0000-0000B8290000}"/>
    <cellStyle name="20% - Accent6 9 2 2 4 3 2" xfId="45583" xr:uid="{6D17BF1D-4B4E-4619-9544-F7D445000B9B}"/>
    <cellStyle name="20% - Accent6 9 2 2 4 4" xfId="29705" xr:uid="{3841EF33-9BEE-4EF2-A976-0E8DD71A0201}"/>
    <cellStyle name="20% - Accent6 9 2 2 5" xfId="9372" xr:uid="{00000000-0005-0000-0000-0000B9290000}"/>
    <cellStyle name="20% - Accent6 9 2 2 5 2" xfId="17330" xr:uid="{00000000-0005-0000-0000-0000BA290000}"/>
    <cellStyle name="20% - Accent6 9 2 2 5 2 2" xfId="41170" xr:uid="{02D41323-EC54-4ABA-A23A-114AAF531854}"/>
    <cellStyle name="20% - Accent6 9 2 2 5 3" xfId="25274" xr:uid="{00000000-0005-0000-0000-0000BB290000}"/>
    <cellStyle name="20% - Accent6 9 2 2 5 3 2" xfId="49106" xr:uid="{7E3318B7-7D8E-495C-B9C9-C16FFB91C4C9}"/>
    <cellStyle name="20% - Accent6 9 2 2 5 4" xfId="33229" xr:uid="{9169AF25-2AD0-4D98-83DF-83FEA21BB737}"/>
    <cellStyle name="20% - Accent6 9 2 2 6" xfId="10268" xr:uid="{00000000-0005-0000-0000-0000BC290000}"/>
    <cellStyle name="20% - Accent6 9 2 2 6 2" xfId="34117" xr:uid="{9503A846-1BD0-45DC-8B24-92EB431C018D}"/>
    <cellStyle name="20% - Accent6 9 2 2 7" xfId="18223" xr:uid="{00000000-0005-0000-0000-0000BD290000}"/>
    <cellStyle name="20% - Accent6 9 2 2 7 2" xfId="42055" xr:uid="{F687A2F9-319B-4F0A-B9CD-75EFBB24AABC}"/>
    <cellStyle name="20% - Accent6 9 2 2 8" xfId="26175" xr:uid="{D0EAA11A-C39F-47CF-B245-80EDDA67E0B1}"/>
    <cellStyle name="20% - Accent6 9 2 2_Exh G" xfId="2670" xr:uid="{00000000-0005-0000-0000-0000BE290000}"/>
    <cellStyle name="20% - Accent6 9 2 3" xfId="1351" xr:uid="{00000000-0005-0000-0000-0000BF290000}"/>
    <cellStyle name="20% - Accent6 9 2 3 2" xfId="4878" xr:uid="{00000000-0005-0000-0000-0000C0290000}"/>
    <cellStyle name="20% - Accent6 9 2 3 2 2" xfId="8469" xr:uid="{00000000-0005-0000-0000-0000C1290000}"/>
    <cellStyle name="20% - Accent6 9 2 3 2 2 2" xfId="16439" xr:uid="{00000000-0005-0000-0000-0000C2290000}"/>
    <cellStyle name="20% - Accent6 9 2 3 2 2 2 2" xfId="40281" xr:uid="{6FC55A4D-010E-490D-BE4D-7CFAE8982DA6}"/>
    <cellStyle name="20% - Accent6 9 2 3 2 2 3" xfId="24385" xr:uid="{00000000-0005-0000-0000-0000C3290000}"/>
    <cellStyle name="20% - Accent6 9 2 3 2 2 3 2" xfId="48217" xr:uid="{C551A3C5-01C2-49EA-8367-39DAD050B348}"/>
    <cellStyle name="20% - Accent6 9 2 3 2 2 4" xfId="32340" xr:uid="{C7D1F7F4-12A9-44F6-8918-6100066123E1}"/>
    <cellStyle name="20% - Accent6 9 2 3 2 3" xfId="12901" xr:uid="{00000000-0005-0000-0000-0000C4290000}"/>
    <cellStyle name="20% - Accent6 9 2 3 2 3 2" xfId="36750" xr:uid="{1A494AA0-09AA-4051-8177-B3E35D75770D}"/>
    <cellStyle name="20% - Accent6 9 2 3 2 4" xfId="20856" xr:uid="{00000000-0005-0000-0000-0000C5290000}"/>
    <cellStyle name="20% - Accent6 9 2 3 2 4 2" xfId="44688" xr:uid="{EA124719-59AA-4E9A-84FA-6764F3475A82}"/>
    <cellStyle name="20% - Accent6 9 2 3 2 5" xfId="28809" xr:uid="{828F693F-BE36-4603-AB43-AE331F42F73F}"/>
    <cellStyle name="20% - Accent6 9 2 3 3" xfId="6710" xr:uid="{00000000-0005-0000-0000-0000C6290000}"/>
    <cellStyle name="20% - Accent6 9 2 3 3 2" xfId="14681" xr:uid="{00000000-0005-0000-0000-0000C7290000}"/>
    <cellStyle name="20% - Accent6 9 2 3 3 2 2" xfId="38523" xr:uid="{4EDE8E8A-1FD4-485C-AC69-C955C9DF3792}"/>
    <cellStyle name="20% - Accent6 9 2 3 3 3" xfId="22628" xr:uid="{00000000-0005-0000-0000-0000C8290000}"/>
    <cellStyle name="20% - Accent6 9 2 3 3 3 2" xfId="46460" xr:uid="{094DBA77-5BD0-4208-8221-0334D3F5603F}"/>
    <cellStyle name="20% - Accent6 9 2 3 3 4" xfId="30582" xr:uid="{FA198740-3449-4633-9C9E-3617E6CDB4C5}"/>
    <cellStyle name="20% - Accent6 9 2 3 4" xfId="11145" xr:uid="{00000000-0005-0000-0000-0000C9290000}"/>
    <cellStyle name="20% - Accent6 9 2 3 4 2" xfId="34994" xr:uid="{2E1CD2DD-F7A4-4DD3-A099-2FF8F0FA95E9}"/>
    <cellStyle name="20% - Accent6 9 2 3 5" xfId="19100" xr:uid="{00000000-0005-0000-0000-0000CA290000}"/>
    <cellStyle name="20% - Accent6 9 2 3 5 2" xfId="42932" xr:uid="{EF0D768B-4F56-409B-A223-CAD39E78CF7C}"/>
    <cellStyle name="20% - Accent6 9 2 3 6" xfId="27052" xr:uid="{0A9AF63F-1511-47A1-809D-EF1078A1CB06}"/>
    <cellStyle name="20% - Accent6 9 2 3_Exh G" xfId="2672" xr:uid="{00000000-0005-0000-0000-0000CB290000}"/>
    <cellStyle name="20% - Accent6 9 2 4" xfId="3999" xr:uid="{00000000-0005-0000-0000-0000CC290000}"/>
    <cellStyle name="20% - Accent6 9 2 4 2" xfId="7591" xr:uid="{00000000-0005-0000-0000-0000CD290000}"/>
    <cellStyle name="20% - Accent6 9 2 4 2 2" xfId="15561" xr:uid="{00000000-0005-0000-0000-0000CE290000}"/>
    <cellStyle name="20% - Accent6 9 2 4 2 2 2" xfId="39403" xr:uid="{202166E5-737B-4254-A329-943BF6ED310F}"/>
    <cellStyle name="20% - Accent6 9 2 4 2 3" xfId="23507" xr:uid="{00000000-0005-0000-0000-0000CF290000}"/>
    <cellStyle name="20% - Accent6 9 2 4 2 3 2" xfId="47339" xr:uid="{8E8B5F39-1C26-41F2-A95D-7518ACE9AF6F}"/>
    <cellStyle name="20% - Accent6 9 2 4 2 4" xfId="31462" xr:uid="{86277AA3-435C-46AA-93A8-26385CB230E1}"/>
    <cellStyle name="20% - Accent6 9 2 4 3" xfId="12023" xr:uid="{00000000-0005-0000-0000-0000D0290000}"/>
    <cellStyle name="20% - Accent6 9 2 4 3 2" xfId="35872" xr:uid="{28B85CF4-5B8D-4047-BD75-E616257CF066}"/>
    <cellStyle name="20% - Accent6 9 2 4 4" xfId="19978" xr:uid="{00000000-0005-0000-0000-0000D1290000}"/>
    <cellStyle name="20% - Accent6 9 2 4 4 2" xfId="43810" xr:uid="{2CDFD715-85E6-46FE-878E-BF16707D15C0}"/>
    <cellStyle name="20% - Accent6 9 2 4 5" xfId="27931" xr:uid="{4915B386-67A3-4414-87BB-3128E135A029}"/>
    <cellStyle name="20% - Accent6 9 2 5" xfId="5819" xr:uid="{00000000-0005-0000-0000-0000D2290000}"/>
    <cellStyle name="20% - Accent6 9 2 5 2" xfId="13802" xr:uid="{00000000-0005-0000-0000-0000D3290000}"/>
    <cellStyle name="20% - Accent6 9 2 5 2 2" xfId="37645" xr:uid="{2A4FCE53-CD3D-40A7-8387-E5D9EB3CB764}"/>
    <cellStyle name="20% - Accent6 9 2 5 3" xfId="21750" xr:uid="{00000000-0005-0000-0000-0000D4290000}"/>
    <cellStyle name="20% - Accent6 9 2 5 3 2" xfId="45582" xr:uid="{27613FFF-33E7-49DF-985A-7468BC4624CF}"/>
    <cellStyle name="20% - Accent6 9 2 5 4" xfId="29704" xr:uid="{F48433D2-A82A-4B27-AC18-721540D11F85}"/>
    <cellStyle name="20% - Accent6 9 2 6" xfId="9371" xr:uid="{00000000-0005-0000-0000-0000D5290000}"/>
    <cellStyle name="20% - Accent6 9 2 6 2" xfId="17329" xr:uid="{00000000-0005-0000-0000-0000D6290000}"/>
    <cellStyle name="20% - Accent6 9 2 6 2 2" xfId="41169" xr:uid="{B077006E-6C30-4873-AB57-5EEE711617AA}"/>
    <cellStyle name="20% - Accent6 9 2 6 3" xfId="25273" xr:uid="{00000000-0005-0000-0000-0000D7290000}"/>
    <cellStyle name="20% - Accent6 9 2 6 3 2" xfId="49105" xr:uid="{1E5C32F0-8ED5-4DCD-BFD4-6CCD4F282A92}"/>
    <cellStyle name="20% - Accent6 9 2 6 4" xfId="33228" xr:uid="{040AB1D7-E4A0-45FD-8A85-D8CD9C285752}"/>
    <cellStyle name="20% - Accent6 9 2 7" xfId="10267" xr:uid="{00000000-0005-0000-0000-0000D8290000}"/>
    <cellStyle name="20% - Accent6 9 2 7 2" xfId="34116" xr:uid="{EF933F14-33FC-4158-9172-BC8C5378C4A1}"/>
    <cellStyle name="20% - Accent6 9 2 8" xfId="18222" xr:uid="{00000000-0005-0000-0000-0000D9290000}"/>
    <cellStyle name="20% - Accent6 9 2 8 2" xfId="42054" xr:uid="{F4D28DC1-6701-4213-9670-C27DC9F5B9FD}"/>
    <cellStyle name="20% - Accent6 9 2 9" xfId="26174" xr:uid="{F002D7BB-452B-4CD5-8365-38E8F4746DD8}"/>
    <cellStyle name="20% - Accent6 9 2_Exh G" xfId="2669" xr:uid="{00000000-0005-0000-0000-0000DA290000}"/>
    <cellStyle name="20% - Accent6 9 3" xfId="327" xr:uid="{00000000-0005-0000-0000-0000DB290000}"/>
    <cellStyle name="20% - Accent6 9 3 2" xfId="1353" xr:uid="{00000000-0005-0000-0000-0000DC290000}"/>
    <cellStyle name="20% - Accent6 9 3 2 2" xfId="4880" xr:uid="{00000000-0005-0000-0000-0000DD290000}"/>
    <cellStyle name="20% - Accent6 9 3 2 2 2" xfId="8471" xr:uid="{00000000-0005-0000-0000-0000DE290000}"/>
    <cellStyle name="20% - Accent6 9 3 2 2 2 2" xfId="16441" xr:uid="{00000000-0005-0000-0000-0000DF290000}"/>
    <cellStyle name="20% - Accent6 9 3 2 2 2 2 2" xfId="40283" xr:uid="{ADDAB578-268D-46EE-A315-CEE8517889E3}"/>
    <cellStyle name="20% - Accent6 9 3 2 2 2 3" xfId="24387" xr:uid="{00000000-0005-0000-0000-0000E0290000}"/>
    <cellStyle name="20% - Accent6 9 3 2 2 2 3 2" xfId="48219" xr:uid="{AE7CC458-5798-4C4E-ABBB-77AE84073C09}"/>
    <cellStyle name="20% - Accent6 9 3 2 2 2 4" xfId="32342" xr:uid="{A47CE12C-5A6E-4A86-B064-847180A23CF4}"/>
    <cellStyle name="20% - Accent6 9 3 2 2 3" xfId="12903" xr:uid="{00000000-0005-0000-0000-0000E1290000}"/>
    <cellStyle name="20% - Accent6 9 3 2 2 3 2" xfId="36752" xr:uid="{1AC15083-5A1A-49D8-921F-8A823FAAF63E}"/>
    <cellStyle name="20% - Accent6 9 3 2 2 4" xfId="20858" xr:uid="{00000000-0005-0000-0000-0000E2290000}"/>
    <cellStyle name="20% - Accent6 9 3 2 2 4 2" xfId="44690" xr:uid="{2ECA3BFF-521D-4835-BD76-422C71EA8CD2}"/>
    <cellStyle name="20% - Accent6 9 3 2 2 5" xfId="28811" xr:uid="{5150EC6F-9365-4517-B79C-49BB036A1EE4}"/>
    <cellStyle name="20% - Accent6 9 3 2 3" xfId="6712" xr:uid="{00000000-0005-0000-0000-0000E3290000}"/>
    <cellStyle name="20% - Accent6 9 3 2 3 2" xfId="14683" xr:uid="{00000000-0005-0000-0000-0000E4290000}"/>
    <cellStyle name="20% - Accent6 9 3 2 3 2 2" xfId="38525" xr:uid="{ACAF6DAB-5AFB-4040-B3BA-1854EA1153CE}"/>
    <cellStyle name="20% - Accent6 9 3 2 3 3" xfId="22630" xr:uid="{00000000-0005-0000-0000-0000E5290000}"/>
    <cellStyle name="20% - Accent6 9 3 2 3 3 2" xfId="46462" xr:uid="{B9062407-3E18-4B51-8A1C-425584D24286}"/>
    <cellStyle name="20% - Accent6 9 3 2 3 4" xfId="30584" xr:uid="{FB75CF14-F4DC-4D62-9EBD-FEB877B62A11}"/>
    <cellStyle name="20% - Accent6 9 3 2 4" xfId="11147" xr:uid="{00000000-0005-0000-0000-0000E6290000}"/>
    <cellStyle name="20% - Accent6 9 3 2 4 2" xfId="34996" xr:uid="{9783EAC3-6B26-45A2-8FF4-AF9F69BE714F}"/>
    <cellStyle name="20% - Accent6 9 3 2 5" xfId="19102" xr:uid="{00000000-0005-0000-0000-0000E7290000}"/>
    <cellStyle name="20% - Accent6 9 3 2 5 2" xfId="42934" xr:uid="{E98D5653-FFC6-4B98-BFAE-609237CD998F}"/>
    <cellStyle name="20% - Accent6 9 3 2 6" xfId="27054" xr:uid="{E0A96505-A1B8-475C-A2AC-C807FDB90456}"/>
    <cellStyle name="20% - Accent6 9 3 2_Exh G" xfId="2674" xr:uid="{00000000-0005-0000-0000-0000E8290000}"/>
    <cellStyle name="20% - Accent6 9 3 3" xfId="4001" xr:uid="{00000000-0005-0000-0000-0000E9290000}"/>
    <cellStyle name="20% - Accent6 9 3 3 2" xfId="7593" xr:uid="{00000000-0005-0000-0000-0000EA290000}"/>
    <cellStyle name="20% - Accent6 9 3 3 2 2" xfId="15563" xr:uid="{00000000-0005-0000-0000-0000EB290000}"/>
    <cellStyle name="20% - Accent6 9 3 3 2 2 2" xfId="39405" xr:uid="{9092EC9C-F1CD-427C-B270-56BB09C68D56}"/>
    <cellStyle name="20% - Accent6 9 3 3 2 3" xfId="23509" xr:uid="{00000000-0005-0000-0000-0000EC290000}"/>
    <cellStyle name="20% - Accent6 9 3 3 2 3 2" xfId="47341" xr:uid="{E45C872C-9204-4055-AE78-B85EA45A9091}"/>
    <cellStyle name="20% - Accent6 9 3 3 2 4" xfId="31464" xr:uid="{72758B65-1D2C-4948-80C6-391D571784DF}"/>
    <cellStyle name="20% - Accent6 9 3 3 3" xfId="12025" xr:uid="{00000000-0005-0000-0000-0000ED290000}"/>
    <cellStyle name="20% - Accent6 9 3 3 3 2" xfId="35874" xr:uid="{72BCD302-8D41-4D71-A5D1-3CF06A564D51}"/>
    <cellStyle name="20% - Accent6 9 3 3 4" xfId="19980" xr:uid="{00000000-0005-0000-0000-0000EE290000}"/>
    <cellStyle name="20% - Accent6 9 3 3 4 2" xfId="43812" xr:uid="{BF24B47C-E37A-4015-9FA4-3364B23E5A29}"/>
    <cellStyle name="20% - Accent6 9 3 3 5" xfId="27933" xr:uid="{BA3607E0-A2D6-4349-9407-BB81D82FE17F}"/>
    <cellStyle name="20% - Accent6 9 3 4" xfId="5821" xr:uid="{00000000-0005-0000-0000-0000EF290000}"/>
    <cellStyle name="20% - Accent6 9 3 4 2" xfId="13804" xr:uid="{00000000-0005-0000-0000-0000F0290000}"/>
    <cellStyle name="20% - Accent6 9 3 4 2 2" xfId="37647" xr:uid="{CC6B5CF9-8D10-4A41-A975-2FDB6D271E8B}"/>
    <cellStyle name="20% - Accent6 9 3 4 3" xfId="21752" xr:uid="{00000000-0005-0000-0000-0000F1290000}"/>
    <cellStyle name="20% - Accent6 9 3 4 3 2" xfId="45584" xr:uid="{09A9C751-387A-46A2-8311-ADCB3A6F8BD3}"/>
    <cellStyle name="20% - Accent6 9 3 4 4" xfId="29706" xr:uid="{7A936FF6-0E16-4DAB-850F-A2845B24D4D6}"/>
    <cellStyle name="20% - Accent6 9 3 5" xfId="9373" xr:uid="{00000000-0005-0000-0000-0000F2290000}"/>
    <cellStyle name="20% - Accent6 9 3 5 2" xfId="17331" xr:uid="{00000000-0005-0000-0000-0000F3290000}"/>
    <cellStyle name="20% - Accent6 9 3 5 2 2" xfId="41171" xr:uid="{8C585134-F278-47DC-BC00-384F585D36EB}"/>
    <cellStyle name="20% - Accent6 9 3 5 3" xfId="25275" xr:uid="{00000000-0005-0000-0000-0000F4290000}"/>
    <cellStyle name="20% - Accent6 9 3 5 3 2" xfId="49107" xr:uid="{D5AB252D-B64D-49C8-BA05-89FE69C00457}"/>
    <cellStyle name="20% - Accent6 9 3 5 4" xfId="33230" xr:uid="{5BD07F98-085A-4FB5-928A-2473DDAA8F26}"/>
    <cellStyle name="20% - Accent6 9 3 6" xfId="10269" xr:uid="{00000000-0005-0000-0000-0000F5290000}"/>
    <cellStyle name="20% - Accent6 9 3 6 2" xfId="34118" xr:uid="{2431E65C-EE58-4D64-86E1-630B79196C8A}"/>
    <cellStyle name="20% - Accent6 9 3 7" xfId="18224" xr:uid="{00000000-0005-0000-0000-0000F6290000}"/>
    <cellStyle name="20% - Accent6 9 3 7 2" xfId="42056" xr:uid="{E9EC75B8-AAE5-4787-AEC6-8A0D560465AA}"/>
    <cellStyle name="20% - Accent6 9 3 8" xfId="26176" xr:uid="{6D99CFA3-2D4E-4A86-96EF-2552EFDDC2E2}"/>
    <cellStyle name="20% - Accent6 9 3_Exh G" xfId="2673" xr:uid="{00000000-0005-0000-0000-0000F7290000}"/>
    <cellStyle name="20% - Accent6 9 4" xfId="930" xr:uid="{00000000-0005-0000-0000-0000F8290000}"/>
    <cellStyle name="20% - Accent6 9 4 2" xfId="1851" xr:uid="{00000000-0005-0000-0000-0000F9290000}"/>
    <cellStyle name="20% - Accent6 9 4 2 2" xfId="5368" xr:uid="{00000000-0005-0000-0000-0000FA290000}"/>
    <cellStyle name="20% - Accent6 9 4 2 2 2" xfId="8959" xr:uid="{00000000-0005-0000-0000-0000FB290000}"/>
    <cellStyle name="20% - Accent6 9 4 2 2 2 2" xfId="16929" xr:uid="{00000000-0005-0000-0000-0000FC290000}"/>
    <cellStyle name="20% - Accent6 9 4 2 2 2 2 2" xfId="40771" xr:uid="{88041285-D4E4-4D80-A154-3F18CA9D1E3A}"/>
    <cellStyle name="20% - Accent6 9 4 2 2 2 3" xfId="24875" xr:uid="{00000000-0005-0000-0000-0000FD290000}"/>
    <cellStyle name="20% - Accent6 9 4 2 2 2 3 2" xfId="48707" xr:uid="{031131AC-C1F7-4165-9BE9-DEEE19531EBD}"/>
    <cellStyle name="20% - Accent6 9 4 2 2 2 4" xfId="32830" xr:uid="{D4E04E9B-7D92-4CBD-B357-D27FA74F6BB5}"/>
    <cellStyle name="20% - Accent6 9 4 2 2 3" xfId="13391" xr:uid="{00000000-0005-0000-0000-0000FE290000}"/>
    <cellStyle name="20% - Accent6 9 4 2 2 3 2" xfId="37240" xr:uid="{8FE5D469-CB45-4E7C-A956-4B11A971D58D}"/>
    <cellStyle name="20% - Accent6 9 4 2 2 4" xfId="21346" xr:uid="{00000000-0005-0000-0000-0000FF290000}"/>
    <cellStyle name="20% - Accent6 9 4 2 2 4 2" xfId="45178" xr:uid="{1D79AFB7-1314-4EE5-BC46-EFFB39E02351}"/>
    <cellStyle name="20% - Accent6 9 4 2 2 5" xfId="29299" xr:uid="{B8EA3669-6603-47B1-9CEA-D0EFB732A91B}"/>
    <cellStyle name="20% - Accent6 9 4 2 3" xfId="7200" xr:uid="{00000000-0005-0000-0000-0000002A0000}"/>
    <cellStyle name="20% - Accent6 9 4 2 3 2" xfId="15171" xr:uid="{00000000-0005-0000-0000-0000012A0000}"/>
    <cellStyle name="20% - Accent6 9 4 2 3 2 2" xfId="39013" xr:uid="{92F6E39A-4594-42BE-9DC0-F2C15DA8A86D}"/>
    <cellStyle name="20% - Accent6 9 4 2 3 3" xfId="23118" xr:uid="{00000000-0005-0000-0000-0000022A0000}"/>
    <cellStyle name="20% - Accent6 9 4 2 3 3 2" xfId="46950" xr:uid="{BF6A985D-3590-4DE2-B92E-D5EAB00C0F3D}"/>
    <cellStyle name="20% - Accent6 9 4 2 3 4" xfId="31072" xr:uid="{47498440-C083-478C-91EC-8EC099214E16}"/>
    <cellStyle name="20% - Accent6 9 4 2 4" xfId="11635" xr:uid="{00000000-0005-0000-0000-0000032A0000}"/>
    <cellStyle name="20% - Accent6 9 4 2 4 2" xfId="35484" xr:uid="{C5D435D1-E24A-4119-86EA-9ED2F6FCF8C3}"/>
    <cellStyle name="20% - Accent6 9 4 2 5" xfId="19590" xr:uid="{00000000-0005-0000-0000-0000042A0000}"/>
    <cellStyle name="20% - Accent6 9 4 2 5 2" xfId="43422" xr:uid="{4CF7263C-406F-4E76-B9FB-66C671592BE5}"/>
    <cellStyle name="20% - Accent6 9 4 2 6" xfId="27542" xr:uid="{0A61BE15-1F82-4203-B283-A10653620B4F}"/>
    <cellStyle name="20% - Accent6 9 4 2_Exh G" xfId="2676" xr:uid="{00000000-0005-0000-0000-0000052A0000}"/>
    <cellStyle name="20% - Accent6 9 4 3" xfId="4489" xr:uid="{00000000-0005-0000-0000-0000062A0000}"/>
    <cellStyle name="20% - Accent6 9 4 3 2" xfId="8081" xr:uid="{00000000-0005-0000-0000-0000072A0000}"/>
    <cellStyle name="20% - Accent6 9 4 3 2 2" xfId="16051" xr:uid="{00000000-0005-0000-0000-0000082A0000}"/>
    <cellStyle name="20% - Accent6 9 4 3 2 2 2" xfId="39893" xr:uid="{9B0F840C-0F01-439F-B1AB-D3470FA466AF}"/>
    <cellStyle name="20% - Accent6 9 4 3 2 3" xfId="23997" xr:uid="{00000000-0005-0000-0000-0000092A0000}"/>
    <cellStyle name="20% - Accent6 9 4 3 2 3 2" xfId="47829" xr:uid="{7A91D6B0-3B8C-4AA3-9938-B9C475D8A642}"/>
    <cellStyle name="20% - Accent6 9 4 3 2 4" xfId="31952" xr:uid="{82DCCD54-D276-42E6-9A8A-61F20C307F8D}"/>
    <cellStyle name="20% - Accent6 9 4 3 3" xfId="12513" xr:uid="{00000000-0005-0000-0000-00000A2A0000}"/>
    <cellStyle name="20% - Accent6 9 4 3 3 2" xfId="36362" xr:uid="{11FB1A87-6B97-4345-9460-845EE7498DD6}"/>
    <cellStyle name="20% - Accent6 9 4 3 4" xfId="20468" xr:uid="{00000000-0005-0000-0000-00000B2A0000}"/>
    <cellStyle name="20% - Accent6 9 4 3 4 2" xfId="44300" xr:uid="{321378C2-BACD-4B5E-B2D3-0E1C454875FD}"/>
    <cellStyle name="20% - Accent6 9 4 3 5" xfId="28421" xr:uid="{AB09F500-D65A-405B-9A4C-42CE1F7E7F40}"/>
    <cellStyle name="20% - Accent6 9 4 4" xfId="6319" xr:uid="{00000000-0005-0000-0000-00000C2A0000}"/>
    <cellStyle name="20% - Accent6 9 4 4 2" xfId="14293" xr:uid="{00000000-0005-0000-0000-00000D2A0000}"/>
    <cellStyle name="20% - Accent6 9 4 4 2 2" xfId="38135" xr:uid="{02CF6845-491F-4C9A-967B-2931E24915C2}"/>
    <cellStyle name="20% - Accent6 9 4 4 3" xfId="22240" xr:uid="{00000000-0005-0000-0000-00000E2A0000}"/>
    <cellStyle name="20% - Accent6 9 4 4 3 2" xfId="46072" xr:uid="{36992736-6407-496C-A53E-5A4116F6BB95}"/>
    <cellStyle name="20% - Accent6 9 4 4 4" xfId="30194" xr:uid="{B1D5D57D-4670-4E1F-9E02-90B3AF86F2F4}"/>
    <cellStyle name="20% - Accent6 9 4 5" xfId="9861" xr:uid="{00000000-0005-0000-0000-00000F2A0000}"/>
    <cellStyle name="20% - Accent6 9 4 5 2" xfId="17819" xr:uid="{00000000-0005-0000-0000-0000102A0000}"/>
    <cellStyle name="20% - Accent6 9 4 5 2 2" xfId="41659" xr:uid="{CF6707E5-046B-4708-BB0C-343145EE8C93}"/>
    <cellStyle name="20% - Accent6 9 4 5 3" xfId="25763" xr:uid="{00000000-0005-0000-0000-0000112A0000}"/>
    <cellStyle name="20% - Accent6 9 4 5 3 2" xfId="49595" xr:uid="{65208568-11E7-494E-95A4-D4E2326BF300}"/>
    <cellStyle name="20% - Accent6 9 4 5 4" xfId="33718" xr:uid="{2BF80B22-7DEE-45EE-A94A-FBD06AE1AE46}"/>
    <cellStyle name="20% - Accent6 9 4 6" xfId="10757" xr:uid="{00000000-0005-0000-0000-0000122A0000}"/>
    <cellStyle name="20% - Accent6 9 4 6 2" xfId="34606" xr:uid="{A41D14C0-3052-4A11-A055-31C5929A9230}"/>
    <cellStyle name="20% - Accent6 9 4 7" xfId="18712" xr:uid="{00000000-0005-0000-0000-0000132A0000}"/>
    <cellStyle name="20% - Accent6 9 4 7 2" xfId="42544" xr:uid="{741CA862-DFC9-467F-A10E-DB2C689598C5}"/>
    <cellStyle name="20% - Accent6 9 4 8" xfId="26664" xr:uid="{94037552-F7C9-432B-9872-A4D985AF57C2}"/>
    <cellStyle name="20% - Accent6 9 4_Exh G" xfId="2675" xr:uid="{00000000-0005-0000-0000-0000142A0000}"/>
    <cellStyle name="20% - Accent6 9 5" xfId="1350" xr:uid="{00000000-0005-0000-0000-0000152A0000}"/>
    <cellStyle name="20% - Accent6 9 5 2" xfId="4877" xr:uid="{00000000-0005-0000-0000-0000162A0000}"/>
    <cellStyle name="20% - Accent6 9 5 2 2" xfId="8468" xr:uid="{00000000-0005-0000-0000-0000172A0000}"/>
    <cellStyle name="20% - Accent6 9 5 2 2 2" xfId="16438" xr:uid="{00000000-0005-0000-0000-0000182A0000}"/>
    <cellStyle name="20% - Accent6 9 5 2 2 2 2" xfId="40280" xr:uid="{6F04E7B3-7905-482A-A472-C93F8EC7AC3F}"/>
    <cellStyle name="20% - Accent6 9 5 2 2 3" xfId="24384" xr:uid="{00000000-0005-0000-0000-0000192A0000}"/>
    <cellStyle name="20% - Accent6 9 5 2 2 3 2" xfId="48216" xr:uid="{41B20C4B-4599-409F-AE16-FA4821B25B9C}"/>
    <cellStyle name="20% - Accent6 9 5 2 2 4" xfId="32339" xr:uid="{C129F8FA-B49F-4AA7-958E-62E44691F723}"/>
    <cellStyle name="20% - Accent6 9 5 2 3" xfId="12900" xr:uid="{00000000-0005-0000-0000-00001A2A0000}"/>
    <cellStyle name="20% - Accent6 9 5 2 3 2" xfId="36749" xr:uid="{B54151B0-D50F-4B99-A66D-3A721EC2FF3F}"/>
    <cellStyle name="20% - Accent6 9 5 2 4" xfId="20855" xr:uid="{00000000-0005-0000-0000-00001B2A0000}"/>
    <cellStyle name="20% - Accent6 9 5 2 4 2" xfId="44687" xr:uid="{C3F50FED-9A0E-438C-A680-63276012CEB0}"/>
    <cellStyle name="20% - Accent6 9 5 2 5" xfId="28808" xr:uid="{F5094381-CB73-4E7F-B2D5-20ECEEEB3983}"/>
    <cellStyle name="20% - Accent6 9 5 3" xfId="6709" xr:uid="{00000000-0005-0000-0000-00001C2A0000}"/>
    <cellStyle name="20% - Accent6 9 5 3 2" xfId="14680" xr:uid="{00000000-0005-0000-0000-00001D2A0000}"/>
    <cellStyle name="20% - Accent6 9 5 3 2 2" xfId="38522" xr:uid="{89F3B2F8-485D-4D5A-AE9E-027C13BF6EDE}"/>
    <cellStyle name="20% - Accent6 9 5 3 3" xfId="22627" xr:uid="{00000000-0005-0000-0000-00001E2A0000}"/>
    <cellStyle name="20% - Accent6 9 5 3 3 2" xfId="46459" xr:uid="{6BBFCA72-3FBD-4723-98CA-87FB0E076DCA}"/>
    <cellStyle name="20% - Accent6 9 5 3 4" xfId="30581" xr:uid="{BF4EE317-CF5B-4714-8D7D-FA239DCAC005}"/>
    <cellStyle name="20% - Accent6 9 5 4" xfId="11144" xr:uid="{00000000-0005-0000-0000-00001F2A0000}"/>
    <cellStyle name="20% - Accent6 9 5 4 2" xfId="34993" xr:uid="{3FCA5F2C-19DE-4D65-BDA7-4F07201E1558}"/>
    <cellStyle name="20% - Accent6 9 5 5" xfId="19099" xr:uid="{00000000-0005-0000-0000-0000202A0000}"/>
    <cellStyle name="20% - Accent6 9 5 5 2" xfId="42931" xr:uid="{C7D0F261-EFC3-46DA-B770-5550E8BA2529}"/>
    <cellStyle name="20% - Accent6 9 5 6" xfId="27051" xr:uid="{39BBC64C-2851-48A5-8B7A-D8A628C947E8}"/>
    <cellStyle name="20% - Accent6 9 5_Exh G" xfId="2677" xr:uid="{00000000-0005-0000-0000-0000212A0000}"/>
    <cellStyle name="20% - Accent6 9 6" xfId="3998" xr:uid="{00000000-0005-0000-0000-0000222A0000}"/>
    <cellStyle name="20% - Accent6 9 6 2" xfId="7590" xr:uid="{00000000-0005-0000-0000-0000232A0000}"/>
    <cellStyle name="20% - Accent6 9 6 2 2" xfId="15560" xr:uid="{00000000-0005-0000-0000-0000242A0000}"/>
    <cellStyle name="20% - Accent6 9 6 2 2 2" xfId="39402" xr:uid="{98AC20B5-4AA7-4A75-9051-29A035A1569B}"/>
    <cellStyle name="20% - Accent6 9 6 2 3" xfId="23506" xr:uid="{00000000-0005-0000-0000-0000252A0000}"/>
    <cellStyle name="20% - Accent6 9 6 2 3 2" xfId="47338" xr:uid="{4713F0E6-71DA-4270-ADDF-9BBB7F8620A6}"/>
    <cellStyle name="20% - Accent6 9 6 2 4" xfId="31461" xr:uid="{5A4DEF15-C826-48E6-9C4A-5360E354B716}"/>
    <cellStyle name="20% - Accent6 9 6 3" xfId="12022" xr:uid="{00000000-0005-0000-0000-0000262A0000}"/>
    <cellStyle name="20% - Accent6 9 6 3 2" xfId="35871" xr:uid="{0913DBEC-E0A9-4734-A9BF-D0E2FE7E5CFE}"/>
    <cellStyle name="20% - Accent6 9 6 4" xfId="19977" xr:uid="{00000000-0005-0000-0000-0000272A0000}"/>
    <cellStyle name="20% - Accent6 9 6 4 2" xfId="43809" xr:uid="{CB4C5A52-2F42-4934-BB76-D4B31E51794B}"/>
    <cellStyle name="20% - Accent6 9 6 5" xfId="27930" xr:uid="{12FC6B05-1F83-4ECA-8DBD-DC07202FFB2D}"/>
    <cellStyle name="20% - Accent6 9 7" xfId="5818" xr:uid="{00000000-0005-0000-0000-0000282A0000}"/>
    <cellStyle name="20% - Accent6 9 7 2" xfId="13801" xr:uid="{00000000-0005-0000-0000-0000292A0000}"/>
    <cellStyle name="20% - Accent6 9 7 2 2" xfId="37644" xr:uid="{2D66A775-761F-431C-9913-9596AA402D13}"/>
    <cellStyle name="20% - Accent6 9 7 3" xfId="21749" xr:uid="{00000000-0005-0000-0000-00002A2A0000}"/>
    <cellStyle name="20% - Accent6 9 7 3 2" xfId="45581" xr:uid="{893F1042-A737-4F1D-ADEA-B99A401CB32E}"/>
    <cellStyle name="20% - Accent6 9 7 4" xfId="29703" xr:uid="{CC8F3B63-6B80-466E-A4AD-AEC07D382512}"/>
    <cellStyle name="20% - Accent6 9 8" xfId="9370" xr:uid="{00000000-0005-0000-0000-00002B2A0000}"/>
    <cellStyle name="20% - Accent6 9 8 2" xfId="17328" xr:uid="{00000000-0005-0000-0000-00002C2A0000}"/>
    <cellStyle name="20% - Accent6 9 8 2 2" xfId="41168" xr:uid="{6D2826E4-B9E3-4E16-BB36-E05C61F3AD49}"/>
    <cellStyle name="20% - Accent6 9 8 3" xfId="25272" xr:uid="{00000000-0005-0000-0000-00002D2A0000}"/>
    <cellStyle name="20% - Accent6 9 8 3 2" xfId="49104" xr:uid="{944569E7-BFF9-43AF-97AD-4B61BF382C05}"/>
    <cellStyle name="20% - Accent6 9 8 4" xfId="33227" xr:uid="{74252DEE-D202-45F8-B97C-B75A3BEAA671}"/>
    <cellStyle name="20% - Accent6 9 9" xfId="10266" xr:uid="{00000000-0005-0000-0000-00002E2A0000}"/>
    <cellStyle name="20% - Accent6 9 9 2" xfId="34115" xr:uid="{8DEF2938-475A-4FEF-9FD2-A861A3DBC31B}"/>
    <cellStyle name="20% - Accent6 9_Exh G" xfId="2668" xr:uid="{00000000-0005-0000-0000-00002F2A0000}"/>
    <cellStyle name="40% - Accent1" xfId="49686" builtinId="31" customBuiltin="1"/>
    <cellStyle name="40% - Accent1 10" xfId="328" xr:uid="{00000000-0005-0000-0000-0000302A0000}"/>
    <cellStyle name="40% - Accent1 10 10" xfId="18225" xr:uid="{00000000-0005-0000-0000-0000312A0000}"/>
    <cellStyle name="40% - Accent1 10 10 2" xfId="42057" xr:uid="{D2D3C89F-08AC-486C-9FB6-B118ED925DE4}"/>
    <cellStyle name="40% - Accent1 10 11" xfId="26177" xr:uid="{6D4E807B-36E5-4E81-9371-D1E051F2EDD4}"/>
    <cellStyle name="40% - Accent1 10 2" xfId="329" xr:uid="{00000000-0005-0000-0000-0000322A0000}"/>
    <cellStyle name="40% - Accent1 10 2 2" xfId="330" xr:uid="{00000000-0005-0000-0000-0000332A0000}"/>
    <cellStyle name="40% - Accent1 10 2 2 2" xfId="1356" xr:uid="{00000000-0005-0000-0000-0000342A0000}"/>
    <cellStyle name="40% - Accent1 10 2 2 2 2" xfId="4883" xr:uid="{00000000-0005-0000-0000-0000352A0000}"/>
    <cellStyle name="40% - Accent1 10 2 2 2 2 2" xfId="8474" xr:uid="{00000000-0005-0000-0000-0000362A0000}"/>
    <cellStyle name="40% - Accent1 10 2 2 2 2 2 2" xfId="16444" xr:uid="{00000000-0005-0000-0000-0000372A0000}"/>
    <cellStyle name="40% - Accent1 10 2 2 2 2 2 2 2" xfId="40286" xr:uid="{890A5A17-8BE3-46D7-9F0E-779990957878}"/>
    <cellStyle name="40% - Accent1 10 2 2 2 2 2 3" xfId="24390" xr:uid="{00000000-0005-0000-0000-0000382A0000}"/>
    <cellStyle name="40% - Accent1 10 2 2 2 2 2 3 2" xfId="48222" xr:uid="{D461570F-4F81-4130-A2FE-66034498463B}"/>
    <cellStyle name="40% - Accent1 10 2 2 2 2 2 4" xfId="32345" xr:uid="{12A040F3-1870-4880-BE50-BAD8846A1018}"/>
    <cellStyle name="40% - Accent1 10 2 2 2 2 3" xfId="12906" xr:uid="{00000000-0005-0000-0000-0000392A0000}"/>
    <cellStyle name="40% - Accent1 10 2 2 2 2 3 2" xfId="36755" xr:uid="{C1981C7C-9835-4C20-ACB5-3F20EECC5EB8}"/>
    <cellStyle name="40% - Accent1 10 2 2 2 2 4" xfId="20861" xr:uid="{00000000-0005-0000-0000-00003A2A0000}"/>
    <cellStyle name="40% - Accent1 10 2 2 2 2 4 2" xfId="44693" xr:uid="{A3E333A0-0ED8-42CA-BF73-37701713D880}"/>
    <cellStyle name="40% - Accent1 10 2 2 2 2 5" xfId="28814" xr:uid="{8BAEE4E2-23F2-41DF-9847-A3B0EE8283D8}"/>
    <cellStyle name="40% - Accent1 10 2 2 2 3" xfId="6715" xr:uid="{00000000-0005-0000-0000-00003B2A0000}"/>
    <cellStyle name="40% - Accent1 10 2 2 2 3 2" xfId="14686" xr:uid="{00000000-0005-0000-0000-00003C2A0000}"/>
    <cellStyle name="40% - Accent1 10 2 2 2 3 2 2" xfId="38528" xr:uid="{F210CBB0-B67B-470D-99B0-76DBCD7AF074}"/>
    <cellStyle name="40% - Accent1 10 2 2 2 3 3" xfId="22633" xr:uid="{00000000-0005-0000-0000-00003D2A0000}"/>
    <cellStyle name="40% - Accent1 10 2 2 2 3 3 2" xfId="46465" xr:uid="{88B30EF6-AB27-43A5-ACCB-3ED4F9CE9360}"/>
    <cellStyle name="40% - Accent1 10 2 2 2 3 4" xfId="30587" xr:uid="{0A8E968F-3318-4BC4-A9C5-7588DE3F24DE}"/>
    <cellStyle name="40% - Accent1 10 2 2 2 4" xfId="11150" xr:uid="{00000000-0005-0000-0000-00003E2A0000}"/>
    <cellStyle name="40% - Accent1 10 2 2 2 4 2" xfId="34999" xr:uid="{2FFB4D79-5E66-4094-ADEC-C4E4B0D9A281}"/>
    <cellStyle name="40% - Accent1 10 2 2 2 5" xfId="19105" xr:uid="{00000000-0005-0000-0000-00003F2A0000}"/>
    <cellStyle name="40% - Accent1 10 2 2 2 5 2" xfId="42937" xr:uid="{B5581DC6-2DF3-414A-956F-E7CA66196632}"/>
    <cellStyle name="40% - Accent1 10 2 2 2 6" xfId="27057" xr:uid="{E201200A-49BF-4103-905D-876A10B5FBDA}"/>
    <cellStyle name="40% - Accent1 10 2 2 2_Exh G" xfId="2681" xr:uid="{00000000-0005-0000-0000-0000402A0000}"/>
    <cellStyle name="40% - Accent1 10 2 2 3" xfId="4004" xr:uid="{00000000-0005-0000-0000-0000412A0000}"/>
    <cellStyle name="40% - Accent1 10 2 2 3 2" xfId="7596" xr:uid="{00000000-0005-0000-0000-0000422A0000}"/>
    <cellStyle name="40% - Accent1 10 2 2 3 2 2" xfId="15566" xr:uid="{00000000-0005-0000-0000-0000432A0000}"/>
    <cellStyle name="40% - Accent1 10 2 2 3 2 2 2" xfId="39408" xr:uid="{8594B7DD-4B4B-4C62-84B7-D3D9975A18CA}"/>
    <cellStyle name="40% - Accent1 10 2 2 3 2 3" xfId="23512" xr:uid="{00000000-0005-0000-0000-0000442A0000}"/>
    <cellStyle name="40% - Accent1 10 2 2 3 2 3 2" xfId="47344" xr:uid="{4064FD0E-4D2F-4C90-9DDA-C7B24AE5C383}"/>
    <cellStyle name="40% - Accent1 10 2 2 3 2 4" xfId="31467" xr:uid="{DBD9DA3C-0139-4D67-9718-781ADADF02CA}"/>
    <cellStyle name="40% - Accent1 10 2 2 3 3" xfId="12028" xr:uid="{00000000-0005-0000-0000-0000452A0000}"/>
    <cellStyle name="40% - Accent1 10 2 2 3 3 2" xfId="35877" xr:uid="{9E5EDE6B-3FB3-4C1C-AF73-A496644AD86A}"/>
    <cellStyle name="40% - Accent1 10 2 2 3 4" xfId="19983" xr:uid="{00000000-0005-0000-0000-0000462A0000}"/>
    <cellStyle name="40% - Accent1 10 2 2 3 4 2" xfId="43815" xr:uid="{26EA243B-F6A9-49F1-87C5-72147A3ACC19}"/>
    <cellStyle name="40% - Accent1 10 2 2 3 5" xfId="27936" xr:uid="{40F890F6-4AF0-435C-A4B3-912151588E30}"/>
    <cellStyle name="40% - Accent1 10 2 2 4" xfId="5824" xr:uid="{00000000-0005-0000-0000-0000472A0000}"/>
    <cellStyle name="40% - Accent1 10 2 2 4 2" xfId="13807" xr:uid="{00000000-0005-0000-0000-0000482A0000}"/>
    <cellStyle name="40% - Accent1 10 2 2 4 2 2" xfId="37650" xr:uid="{B039E9E2-7CC2-4CAC-A823-CA72EC371DE4}"/>
    <cellStyle name="40% - Accent1 10 2 2 4 3" xfId="21755" xr:uid="{00000000-0005-0000-0000-0000492A0000}"/>
    <cellStyle name="40% - Accent1 10 2 2 4 3 2" xfId="45587" xr:uid="{C3497654-A512-49F1-A481-2518C4E5EF55}"/>
    <cellStyle name="40% - Accent1 10 2 2 4 4" xfId="29709" xr:uid="{B5E49171-9369-4EBF-8F17-D6E42FA8B64E}"/>
    <cellStyle name="40% - Accent1 10 2 2 5" xfId="9376" xr:uid="{00000000-0005-0000-0000-00004A2A0000}"/>
    <cellStyle name="40% - Accent1 10 2 2 5 2" xfId="17334" xr:uid="{00000000-0005-0000-0000-00004B2A0000}"/>
    <cellStyle name="40% - Accent1 10 2 2 5 2 2" xfId="41174" xr:uid="{6C9F5366-E3A4-46FD-A398-1835C6D5F93C}"/>
    <cellStyle name="40% - Accent1 10 2 2 5 3" xfId="25278" xr:uid="{00000000-0005-0000-0000-00004C2A0000}"/>
    <cellStyle name="40% - Accent1 10 2 2 5 3 2" xfId="49110" xr:uid="{B2714C42-7FC4-4846-9CF2-B6A6A826BCE6}"/>
    <cellStyle name="40% - Accent1 10 2 2 5 4" xfId="33233" xr:uid="{5ED24104-C53A-4D93-BD63-92E12054482C}"/>
    <cellStyle name="40% - Accent1 10 2 2 6" xfId="10272" xr:uid="{00000000-0005-0000-0000-00004D2A0000}"/>
    <cellStyle name="40% - Accent1 10 2 2 6 2" xfId="34121" xr:uid="{0389CB84-42AA-438D-B0A5-42B504051AF8}"/>
    <cellStyle name="40% - Accent1 10 2 2 7" xfId="18227" xr:uid="{00000000-0005-0000-0000-00004E2A0000}"/>
    <cellStyle name="40% - Accent1 10 2 2 7 2" xfId="42059" xr:uid="{69191B4D-EAE3-4F7D-9DCA-ADEC9A9DBDCD}"/>
    <cellStyle name="40% - Accent1 10 2 2 8" xfId="26179" xr:uid="{AD070066-5BDA-4861-B968-FD31EDE6291E}"/>
    <cellStyle name="40% - Accent1 10 2 2_Exh G" xfId="2680" xr:uid="{00000000-0005-0000-0000-00004F2A0000}"/>
    <cellStyle name="40% - Accent1 10 2 3" xfId="1355" xr:uid="{00000000-0005-0000-0000-0000502A0000}"/>
    <cellStyle name="40% - Accent1 10 2 3 2" xfId="4882" xr:uid="{00000000-0005-0000-0000-0000512A0000}"/>
    <cellStyle name="40% - Accent1 10 2 3 2 2" xfId="8473" xr:uid="{00000000-0005-0000-0000-0000522A0000}"/>
    <cellStyle name="40% - Accent1 10 2 3 2 2 2" xfId="16443" xr:uid="{00000000-0005-0000-0000-0000532A0000}"/>
    <cellStyle name="40% - Accent1 10 2 3 2 2 2 2" xfId="40285" xr:uid="{EDA9DDAE-4ABE-43DB-B0A7-4B6725CB7834}"/>
    <cellStyle name="40% - Accent1 10 2 3 2 2 3" xfId="24389" xr:uid="{00000000-0005-0000-0000-0000542A0000}"/>
    <cellStyle name="40% - Accent1 10 2 3 2 2 3 2" xfId="48221" xr:uid="{4BD6E3EF-9492-4FA6-9FB1-85B995915307}"/>
    <cellStyle name="40% - Accent1 10 2 3 2 2 4" xfId="32344" xr:uid="{702D06D6-2134-4F4A-92EC-C32DAB3F9F9E}"/>
    <cellStyle name="40% - Accent1 10 2 3 2 3" xfId="12905" xr:uid="{00000000-0005-0000-0000-0000552A0000}"/>
    <cellStyle name="40% - Accent1 10 2 3 2 3 2" xfId="36754" xr:uid="{C45B9AE9-9356-48A6-9871-65CFBF863762}"/>
    <cellStyle name="40% - Accent1 10 2 3 2 4" xfId="20860" xr:uid="{00000000-0005-0000-0000-0000562A0000}"/>
    <cellStyle name="40% - Accent1 10 2 3 2 4 2" xfId="44692" xr:uid="{EF0BC9A0-DCE0-44E6-BFD3-8AC2077711BF}"/>
    <cellStyle name="40% - Accent1 10 2 3 2 5" xfId="28813" xr:uid="{9A49167D-AC9D-4356-9ECC-205B00E1E332}"/>
    <cellStyle name="40% - Accent1 10 2 3 3" xfId="6714" xr:uid="{00000000-0005-0000-0000-0000572A0000}"/>
    <cellStyle name="40% - Accent1 10 2 3 3 2" xfId="14685" xr:uid="{00000000-0005-0000-0000-0000582A0000}"/>
    <cellStyle name="40% - Accent1 10 2 3 3 2 2" xfId="38527" xr:uid="{C34370CE-DD37-4D17-ACF0-EEAAFBBE87DB}"/>
    <cellStyle name="40% - Accent1 10 2 3 3 3" xfId="22632" xr:uid="{00000000-0005-0000-0000-0000592A0000}"/>
    <cellStyle name="40% - Accent1 10 2 3 3 3 2" xfId="46464" xr:uid="{32692ED4-18A9-4503-B9D5-9F68C91D1F41}"/>
    <cellStyle name="40% - Accent1 10 2 3 3 4" xfId="30586" xr:uid="{9F05B0E6-1514-4C24-8566-655671C37DBD}"/>
    <cellStyle name="40% - Accent1 10 2 3 4" xfId="11149" xr:uid="{00000000-0005-0000-0000-00005A2A0000}"/>
    <cellStyle name="40% - Accent1 10 2 3 4 2" xfId="34998" xr:uid="{5C1C1A38-BA5A-43C6-B8F8-5018A4DC75AC}"/>
    <cellStyle name="40% - Accent1 10 2 3 5" xfId="19104" xr:uid="{00000000-0005-0000-0000-00005B2A0000}"/>
    <cellStyle name="40% - Accent1 10 2 3 5 2" xfId="42936" xr:uid="{8B006678-082A-431E-AA28-0D8301C7C2E1}"/>
    <cellStyle name="40% - Accent1 10 2 3 6" xfId="27056" xr:uid="{8711210B-8BDF-41F0-BAEF-BD3C12CAA0C8}"/>
    <cellStyle name="40% - Accent1 10 2 3_Exh G" xfId="2682" xr:uid="{00000000-0005-0000-0000-00005C2A0000}"/>
    <cellStyle name="40% - Accent1 10 2 4" xfId="4003" xr:uid="{00000000-0005-0000-0000-00005D2A0000}"/>
    <cellStyle name="40% - Accent1 10 2 4 2" xfId="7595" xr:uid="{00000000-0005-0000-0000-00005E2A0000}"/>
    <cellStyle name="40% - Accent1 10 2 4 2 2" xfId="15565" xr:uid="{00000000-0005-0000-0000-00005F2A0000}"/>
    <cellStyle name="40% - Accent1 10 2 4 2 2 2" xfId="39407" xr:uid="{C66F56F0-13B0-4173-8CC2-DED1D4B6D005}"/>
    <cellStyle name="40% - Accent1 10 2 4 2 3" xfId="23511" xr:uid="{00000000-0005-0000-0000-0000602A0000}"/>
    <cellStyle name="40% - Accent1 10 2 4 2 3 2" xfId="47343" xr:uid="{D0744742-8B69-4DDB-9B3A-C61BC6B9D817}"/>
    <cellStyle name="40% - Accent1 10 2 4 2 4" xfId="31466" xr:uid="{B5EE781C-DEC1-4FBF-8320-7089CD9593BA}"/>
    <cellStyle name="40% - Accent1 10 2 4 3" xfId="12027" xr:uid="{00000000-0005-0000-0000-0000612A0000}"/>
    <cellStyle name="40% - Accent1 10 2 4 3 2" xfId="35876" xr:uid="{BBD36367-B2BD-4186-8A16-C0FED8B77A52}"/>
    <cellStyle name="40% - Accent1 10 2 4 4" xfId="19982" xr:uid="{00000000-0005-0000-0000-0000622A0000}"/>
    <cellStyle name="40% - Accent1 10 2 4 4 2" xfId="43814" xr:uid="{192AE36B-7227-49E1-AD72-589B536E901B}"/>
    <cellStyle name="40% - Accent1 10 2 4 5" xfId="27935" xr:uid="{B8533D43-D8B9-4E4E-BB1A-07ABC30F7686}"/>
    <cellStyle name="40% - Accent1 10 2 5" xfId="5823" xr:uid="{00000000-0005-0000-0000-0000632A0000}"/>
    <cellStyle name="40% - Accent1 10 2 5 2" xfId="13806" xr:uid="{00000000-0005-0000-0000-0000642A0000}"/>
    <cellStyle name="40% - Accent1 10 2 5 2 2" xfId="37649" xr:uid="{44BC2C71-3DEC-4AD0-85E5-C76DC051D724}"/>
    <cellStyle name="40% - Accent1 10 2 5 3" xfId="21754" xr:uid="{00000000-0005-0000-0000-0000652A0000}"/>
    <cellStyle name="40% - Accent1 10 2 5 3 2" xfId="45586" xr:uid="{B60179AF-C61B-4B28-9EA2-5BA3C545DD3D}"/>
    <cellStyle name="40% - Accent1 10 2 5 4" xfId="29708" xr:uid="{7102A232-BB6E-4012-8955-B20EDCE617A1}"/>
    <cellStyle name="40% - Accent1 10 2 6" xfId="9375" xr:uid="{00000000-0005-0000-0000-0000662A0000}"/>
    <cellStyle name="40% - Accent1 10 2 6 2" xfId="17333" xr:uid="{00000000-0005-0000-0000-0000672A0000}"/>
    <cellStyle name="40% - Accent1 10 2 6 2 2" xfId="41173" xr:uid="{1648D1FC-FD08-413C-A73B-57A1367D9C26}"/>
    <cellStyle name="40% - Accent1 10 2 6 3" xfId="25277" xr:uid="{00000000-0005-0000-0000-0000682A0000}"/>
    <cellStyle name="40% - Accent1 10 2 6 3 2" xfId="49109" xr:uid="{B9D48AF7-DC9C-4045-9F7D-477744BC2617}"/>
    <cellStyle name="40% - Accent1 10 2 6 4" xfId="33232" xr:uid="{D4F60164-4E02-4F87-A348-33BBBB2636C0}"/>
    <cellStyle name="40% - Accent1 10 2 7" xfId="10271" xr:uid="{00000000-0005-0000-0000-0000692A0000}"/>
    <cellStyle name="40% - Accent1 10 2 7 2" xfId="34120" xr:uid="{85A8C066-15D7-4269-8759-A390C2F6E647}"/>
    <cellStyle name="40% - Accent1 10 2 8" xfId="18226" xr:uid="{00000000-0005-0000-0000-00006A2A0000}"/>
    <cellStyle name="40% - Accent1 10 2 8 2" xfId="42058" xr:uid="{9DD60AA5-0218-4FCA-999A-504A4A494711}"/>
    <cellStyle name="40% - Accent1 10 2 9" xfId="26178" xr:uid="{759FF138-F78A-4494-ACE5-8FAD47AED39C}"/>
    <cellStyle name="40% - Accent1 10 2_Exh G" xfId="2679" xr:uid="{00000000-0005-0000-0000-00006B2A0000}"/>
    <cellStyle name="40% - Accent1 10 3" xfId="331" xr:uid="{00000000-0005-0000-0000-00006C2A0000}"/>
    <cellStyle name="40% - Accent1 10 3 2" xfId="1357" xr:uid="{00000000-0005-0000-0000-00006D2A0000}"/>
    <cellStyle name="40% - Accent1 10 3 2 2" xfId="4884" xr:uid="{00000000-0005-0000-0000-00006E2A0000}"/>
    <cellStyle name="40% - Accent1 10 3 2 2 2" xfId="8475" xr:uid="{00000000-0005-0000-0000-00006F2A0000}"/>
    <cellStyle name="40% - Accent1 10 3 2 2 2 2" xfId="16445" xr:uid="{00000000-0005-0000-0000-0000702A0000}"/>
    <cellStyle name="40% - Accent1 10 3 2 2 2 2 2" xfId="40287" xr:uid="{B61859F5-6A8B-4365-ADAA-0A733FE42EDA}"/>
    <cellStyle name="40% - Accent1 10 3 2 2 2 3" xfId="24391" xr:uid="{00000000-0005-0000-0000-0000712A0000}"/>
    <cellStyle name="40% - Accent1 10 3 2 2 2 3 2" xfId="48223" xr:uid="{70DC1FDE-8020-4B52-A97E-1678FA47FEBC}"/>
    <cellStyle name="40% - Accent1 10 3 2 2 2 4" xfId="32346" xr:uid="{E3532366-4864-4853-A984-40AF5A1D315A}"/>
    <cellStyle name="40% - Accent1 10 3 2 2 3" xfId="12907" xr:uid="{00000000-0005-0000-0000-0000722A0000}"/>
    <cellStyle name="40% - Accent1 10 3 2 2 3 2" xfId="36756" xr:uid="{018CB71D-B9E6-4FDD-8200-BCBF507A0E88}"/>
    <cellStyle name="40% - Accent1 10 3 2 2 4" xfId="20862" xr:uid="{00000000-0005-0000-0000-0000732A0000}"/>
    <cellStyle name="40% - Accent1 10 3 2 2 4 2" xfId="44694" xr:uid="{6E11E6E6-ADC3-4F99-A5A5-30A416EF9E0D}"/>
    <cellStyle name="40% - Accent1 10 3 2 2 5" xfId="28815" xr:uid="{E4435784-9A98-4933-849F-BECEBE98A6C5}"/>
    <cellStyle name="40% - Accent1 10 3 2 3" xfId="6716" xr:uid="{00000000-0005-0000-0000-0000742A0000}"/>
    <cellStyle name="40% - Accent1 10 3 2 3 2" xfId="14687" xr:uid="{00000000-0005-0000-0000-0000752A0000}"/>
    <cellStyle name="40% - Accent1 10 3 2 3 2 2" xfId="38529" xr:uid="{50994E66-75C6-42EB-B53A-017E8C1D3E20}"/>
    <cellStyle name="40% - Accent1 10 3 2 3 3" xfId="22634" xr:uid="{00000000-0005-0000-0000-0000762A0000}"/>
    <cellStyle name="40% - Accent1 10 3 2 3 3 2" xfId="46466" xr:uid="{94DCABCD-FC60-4A05-9121-791F5AF025EF}"/>
    <cellStyle name="40% - Accent1 10 3 2 3 4" xfId="30588" xr:uid="{8CA1A5C0-A76A-46D5-A8C2-F51D25FC7CF5}"/>
    <cellStyle name="40% - Accent1 10 3 2 4" xfId="11151" xr:uid="{00000000-0005-0000-0000-0000772A0000}"/>
    <cellStyle name="40% - Accent1 10 3 2 4 2" xfId="35000" xr:uid="{A03DA389-01B8-46F6-A2CD-E6B9527387D1}"/>
    <cellStyle name="40% - Accent1 10 3 2 5" xfId="19106" xr:uid="{00000000-0005-0000-0000-0000782A0000}"/>
    <cellStyle name="40% - Accent1 10 3 2 5 2" xfId="42938" xr:uid="{19B530C7-E41A-4943-8CC9-789B31B88078}"/>
    <cellStyle name="40% - Accent1 10 3 2 6" xfId="27058" xr:uid="{0BBEFD6B-9971-41A1-B80A-A26743E77023}"/>
    <cellStyle name="40% - Accent1 10 3 2_Exh G" xfId="2684" xr:uid="{00000000-0005-0000-0000-0000792A0000}"/>
    <cellStyle name="40% - Accent1 10 3 3" xfId="4005" xr:uid="{00000000-0005-0000-0000-00007A2A0000}"/>
    <cellStyle name="40% - Accent1 10 3 3 2" xfId="7597" xr:uid="{00000000-0005-0000-0000-00007B2A0000}"/>
    <cellStyle name="40% - Accent1 10 3 3 2 2" xfId="15567" xr:uid="{00000000-0005-0000-0000-00007C2A0000}"/>
    <cellStyle name="40% - Accent1 10 3 3 2 2 2" xfId="39409" xr:uid="{3C7C0880-0F03-4F8D-AB9F-1E24AAA83F22}"/>
    <cellStyle name="40% - Accent1 10 3 3 2 3" xfId="23513" xr:uid="{00000000-0005-0000-0000-00007D2A0000}"/>
    <cellStyle name="40% - Accent1 10 3 3 2 3 2" xfId="47345" xr:uid="{D3522E51-82DE-4C45-AD2D-AB98B1D05F92}"/>
    <cellStyle name="40% - Accent1 10 3 3 2 4" xfId="31468" xr:uid="{DE028ACD-FEBF-487A-9EFD-B6E217B791D8}"/>
    <cellStyle name="40% - Accent1 10 3 3 3" xfId="12029" xr:uid="{00000000-0005-0000-0000-00007E2A0000}"/>
    <cellStyle name="40% - Accent1 10 3 3 3 2" xfId="35878" xr:uid="{F117C190-CB44-4DCA-B843-46E8F6FA9931}"/>
    <cellStyle name="40% - Accent1 10 3 3 4" xfId="19984" xr:uid="{00000000-0005-0000-0000-00007F2A0000}"/>
    <cellStyle name="40% - Accent1 10 3 3 4 2" xfId="43816" xr:uid="{0E562905-9F82-4E96-9F8C-8E9C4E1F9BEC}"/>
    <cellStyle name="40% - Accent1 10 3 3 5" xfId="27937" xr:uid="{7C9A8455-3FAF-4E81-8F15-C8F7CB2070CC}"/>
    <cellStyle name="40% - Accent1 10 3 4" xfId="5825" xr:uid="{00000000-0005-0000-0000-0000802A0000}"/>
    <cellStyle name="40% - Accent1 10 3 4 2" xfId="13808" xr:uid="{00000000-0005-0000-0000-0000812A0000}"/>
    <cellStyle name="40% - Accent1 10 3 4 2 2" xfId="37651" xr:uid="{42E2976A-8FD5-43DD-8A79-347AF6B36605}"/>
    <cellStyle name="40% - Accent1 10 3 4 3" xfId="21756" xr:uid="{00000000-0005-0000-0000-0000822A0000}"/>
    <cellStyle name="40% - Accent1 10 3 4 3 2" xfId="45588" xr:uid="{B7726297-D2C0-4772-BAC2-7F5645F4981F}"/>
    <cellStyle name="40% - Accent1 10 3 4 4" xfId="29710" xr:uid="{51FE0D52-57F1-4057-9EE8-CFCDEC28D41B}"/>
    <cellStyle name="40% - Accent1 10 3 5" xfId="9377" xr:uid="{00000000-0005-0000-0000-0000832A0000}"/>
    <cellStyle name="40% - Accent1 10 3 5 2" xfId="17335" xr:uid="{00000000-0005-0000-0000-0000842A0000}"/>
    <cellStyle name="40% - Accent1 10 3 5 2 2" xfId="41175" xr:uid="{5D83967E-267E-4DA2-B468-BE564C65D03C}"/>
    <cellStyle name="40% - Accent1 10 3 5 3" xfId="25279" xr:uid="{00000000-0005-0000-0000-0000852A0000}"/>
    <cellStyle name="40% - Accent1 10 3 5 3 2" xfId="49111" xr:uid="{FF098BED-2F22-41CE-AC6E-B5CEDAC11827}"/>
    <cellStyle name="40% - Accent1 10 3 5 4" xfId="33234" xr:uid="{D2FBFFDE-7101-4085-A8EE-80EE5B52033A}"/>
    <cellStyle name="40% - Accent1 10 3 6" xfId="10273" xr:uid="{00000000-0005-0000-0000-0000862A0000}"/>
    <cellStyle name="40% - Accent1 10 3 6 2" xfId="34122" xr:uid="{EF22C09B-59B9-4AB5-94A3-2F2435A8D79E}"/>
    <cellStyle name="40% - Accent1 10 3 7" xfId="18228" xr:uid="{00000000-0005-0000-0000-0000872A0000}"/>
    <cellStyle name="40% - Accent1 10 3 7 2" xfId="42060" xr:uid="{B6E37A5C-98C3-428E-A347-D883B928ACCF}"/>
    <cellStyle name="40% - Accent1 10 3 8" xfId="26180" xr:uid="{06AC06AB-7D4E-4AC5-B692-DD5E32CDE298}"/>
    <cellStyle name="40% - Accent1 10 3_Exh G" xfId="2683" xr:uid="{00000000-0005-0000-0000-0000882A0000}"/>
    <cellStyle name="40% - Accent1 10 4" xfId="931" xr:uid="{00000000-0005-0000-0000-0000892A0000}"/>
    <cellStyle name="40% - Accent1 10 5" xfId="1354" xr:uid="{00000000-0005-0000-0000-00008A2A0000}"/>
    <cellStyle name="40% - Accent1 10 5 2" xfId="4881" xr:uid="{00000000-0005-0000-0000-00008B2A0000}"/>
    <cellStyle name="40% - Accent1 10 5 2 2" xfId="8472" xr:uid="{00000000-0005-0000-0000-00008C2A0000}"/>
    <cellStyle name="40% - Accent1 10 5 2 2 2" xfId="16442" xr:uid="{00000000-0005-0000-0000-00008D2A0000}"/>
    <cellStyle name="40% - Accent1 10 5 2 2 2 2" xfId="40284" xr:uid="{2C5580CC-649A-4B05-9F2B-07CACA81F705}"/>
    <cellStyle name="40% - Accent1 10 5 2 2 3" xfId="24388" xr:uid="{00000000-0005-0000-0000-00008E2A0000}"/>
    <cellStyle name="40% - Accent1 10 5 2 2 3 2" xfId="48220" xr:uid="{F44DA05A-BC1B-4D49-A505-870038A4A627}"/>
    <cellStyle name="40% - Accent1 10 5 2 2 4" xfId="32343" xr:uid="{A3253FFA-BB2F-4380-8EC6-734863F4A48E}"/>
    <cellStyle name="40% - Accent1 10 5 2 3" xfId="12904" xr:uid="{00000000-0005-0000-0000-00008F2A0000}"/>
    <cellStyle name="40% - Accent1 10 5 2 3 2" xfId="36753" xr:uid="{87D80B58-E288-4508-BC05-D91112A69FBE}"/>
    <cellStyle name="40% - Accent1 10 5 2 4" xfId="20859" xr:uid="{00000000-0005-0000-0000-0000902A0000}"/>
    <cellStyle name="40% - Accent1 10 5 2 4 2" xfId="44691" xr:uid="{3FA75D94-AE41-437E-A3F9-0BCC095906F8}"/>
    <cellStyle name="40% - Accent1 10 5 2 5" xfId="28812" xr:uid="{0480C8FF-FE0A-41E8-B53D-6AEF79A87C7B}"/>
    <cellStyle name="40% - Accent1 10 5 3" xfId="6713" xr:uid="{00000000-0005-0000-0000-0000912A0000}"/>
    <cellStyle name="40% - Accent1 10 5 3 2" xfId="14684" xr:uid="{00000000-0005-0000-0000-0000922A0000}"/>
    <cellStyle name="40% - Accent1 10 5 3 2 2" xfId="38526" xr:uid="{4F5D4EE5-3666-444F-856F-A566904EFC33}"/>
    <cellStyle name="40% - Accent1 10 5 3 3" xfId="22631" xr:uid="{00000000-0005-0000-0000-0000932A0000}"/>
    <cellStyle name="40% - Accent1 10 5 3 3 2" xfId="46463" xr:uid="{55077A27-A719-4CB7-A369-E9DCA4B0D7B9}"/>
    <cellStyle name="40% - Accent1 10 5 3 4" xfId="30585" xr:uid="{78BDA80F-57CB-4B70-BF3F-9C305CFB1F9C}"/>
    <cellStyle name="40% - Accent1 10 5 4" xfId="11148" xr:uid="{00000000-0005-0000-0000-0000942A0000}"/>
    <cellStyle name="40% - Accent1 10 5 4 2" xfId="34997" xr:uid="{163CC2EC-37D6-4308-BDEF-CBFB464ED21E}"/>
    <cellStyle name="40% - Accent1 10 5 5" xfId="19103" xr:uid="{00000000-0005-0000-0000-0000952A0000}"/>
    <cellStyle name="40% - Accent1 10 5 5 2" xfId="42935" xr:uid="{22C52C22-C67A-42A2-B2A2-679DAF72D0FB}"/>
    <cellStyle name="40% - Accent1 10 5 6" xfId="27055" xr:uid="{865E9EC9-F171-4971-9E10-E3F606DA37AA}"/>
    <cellStyle name="40% - Accent1 10 5_Exh G" xfId="2685" xr:uid="{00000000-0005-0000-0000-0000962A0000}"/>
    <cellStyle name="40% - Accent1 10 6" xfId="4002" xr:uid="{00000000-0005-0000-0000-0000972A0000}"/>
    <cellStyle name="40% - Accent1 10 6 2" xfId="7594" xr:uid="{00000000-0005-0000-0000-0000982A0000}"/>
    <cellStyle name="40% - Accent1 10 6 2 2" xfId="15564" xr:uid="{00000000-0005-0000-0000-0000992A0000}"/>
    <cellStyle name="40% - Accent1 10 6 2 2 2" xfId="39406" xr:uid="{165E1EAD-158C-46E4-BC8A-EBD5C7AEC905}"/>
    <cellStyle name="40% - Accent1 10 6 2 3" xfId="23510" xr:uid="{00000000-0005-0000-0000-00009A2A0000}"/>
    <cellStyle name="40% - Accent1 10 6 2 3 2" xfId="47342" xr:uid="{3FC72C12-E922-488E-814E-E517EB5139B5}"/>
    <cellStyle name="40% - Accent1 10 6 2 4" xfId="31465" xr:uid="{BAC21C14-2F78-46D5-83E5-9920481F8F0C}"/>
    <cellStyle name="40% - Accent1 10 6 3" xfId="12026" xr:uid="{00000000-0005-0000-0000-00009B2A0000}"/>
    <cellStyle name="40% - Accent1 10 6 3 2" xfId="35875" xr:uid="{45488617-D56E-4C0A-9054-F8D7841790D8}"/>
    <cellStyle name="40% - Accent1 10 6 4" xfId="19981" xr:uid="{00000000-0005-0000-0000-00009C2A0000}"/>
    <cellStyle name="40% - Accent1 10 6 4 2" xfId="43813" xr:uid="{6C16FECD-A29C-4721-A3E3-CC2CAA81C996}"/>
    <cellStyle name="40% - Accent1 10 6 5" xfId="27934" xr:uid="{ABE19A2C-9386-47EB-9C14-ACB2FC63BFA2}"/>
    <cellStyle name="40% - Accent1 10 7" xfId="5822" xr:uid="{00000000-0005-0000-0000-00009D2A0000}"/>
    <cellStyle name="40% - Accent1 10 7 2" xfId="13805" xr:uid="{00000000-0005-0000-0000-00009E2A0000}"/>
    <cellStyle name="40% - Accent1 10 7 2 2" xfId="37648" xr:uid="{2CD232CC-4851-4AA5-9FCA-8792B433C713}"/>
    <cellStyle name="40% - Accent1 10 7 3" xfId="21753" xr:uid="{00000000-0005-0000-0000-00009F2A0000}"/>
    <cellStyle name="40% - Accent1 10 7 3 2" xfId="45585" xr:uid="{4F378802-41B6-40DF-AE02-936AF1FEC3CE}"/>
    <cellStyle name="40% - Accent1 10 7 4" xfId="29707" xr:uid="{BFE613BD-7478-45F1-9A53-7AA362A76BC0}"/>
    <cellStyle name="40% - Accent1 10 8" xfId="9374" xr:uid="{00000000-0005-0000-0000-0000A02A0000}"/>
    <cellStyle name="40% - Accent1 10 8 2" xfId="17332" xr:uid="{00000000-0005-0000-0000-0000A12A0000}"/>
    <cellStyle name="40% - Accent1 10 8 2 2" xfId="41172" xr:uid="{F611E3F8-B053-43ED-A1F0-438CFDDEFDAD}"/>
    <cellStyle name="40% - Accent1 10 8 3" xfId="25276" xr:uid="{00000000-0005-0000-0000-0000A22A0000}"/>
    <cellStyle name="40% - Accent1 10 8 3 2" xfId="49108" xr:uid="{8CE0A3B3-534A-4A8F-B292-8D4124585F5B}"/>
    <cellStyle name="40% - Accent1 10 8 4" xfId="33231" xr:uid="{18F2DE9B-A364-4BF1-AD07-A5581BE2674A}"/>
    <cellStyle name="40% - Accent1 10 9" xfId="10270" xr:uid="{00000000-0005-0000-0000-0000A32A0000}"/>
    <cellStyle name="40% - Accent1 10 9 2" xfId="34119" xr:uid="{AE51B6E6-9064-4577-92BD-ED0402EAF437}"/>
    <cellStyle name="40% - Accent1 10_Exh G" xfId="2678" xr:uid="{00000000-0005-0000-0000-0000A42A0000}"/>
    <cellStyle name="40% - Accent1 11" xfId="332" xr:uid="{00000000-0005-0000-0000-0000A52A0000}"/>
    <cellStyle name="40% - Accent1 11 10" xfId="26181" xr:uid="{707C7E89-9EC9-46E5-A4E5-7898A0581BE4}"/>
    <cellStyle name="40% - Accent1 11 2" xfId="333" xr:uid="{00000000-0005-0000-0000-0000A62A0000}"/>
    <cellStyle name="40% - Accent1 11 2 2" xfId="334" xr:uid="{00000000-0005-0000-0000-0000A72A0000}"/>
    <cellStyle name="40% - Accent1 11 2 2 2" xfId="1360" xr:uid="{00000000-0005-0000-0000-0000A82A0000}"/>
    <cellStyle name="40% - Accent1 11 2 2 2 2" xfId="4887" xr:uid="{00000000-0005-0000-0000-0000A92A0000}"/>
    <cellStyle name="40% - Accent1 11 2 2 2 2 2" xfId="8478" xr:uid="{00000000-0005-0000-0000-0000AA2A0000}"/>
    <cellStyle name="40% - Accent1 11 2 2 2 2 2 2" xfId="16448" xr:uid="{00000000-0005-0000-0000-0000AB2A0000}"/>
    <cellStyle name="40% - Accent1 11 2 2 2 2 2 2 2" xfId="40290" xr:uid="{BE9F2B70-4DB5-4F9A-819F-E3CAF15A2A8E}"/>
    <cellStyle name="40% - Accent1 11 2 2 2 2 2 3" xfId="24394" xr:uid="{00000000-0005-0000-0000-0000AC2A0000}"/>
    <cellStyle name="40% - Accent1 11 2 2 2 2 2 3 2" xfId="48226" xr:uid="{24772238-51E1-4233-87C2-EE9CBF9B4584}"/>
    <cellStyle name="40% - Accent1 11 2 2 2 2 2 4" xfId="32349" xr:uid="{8C6A8F18-140F-4745-93F1-A86096DCC4EF}"/>
    <cellStyle name="40% - Accent1 11 2 2 2 2 3" xfId="12910" xr:uid="{00000000-0005-0000-0000-0000AD2A0000}"/>
    <cellStyle name="40% - Accent1 11 2 2 2 2 3 2" xfId="36759" xr:uid="{4D31B718-7C59-4CDD-8D4A-80965780EAF2}"/>
    <cellStyle name="40% - Accent1 11 2 2 2 2 4" xfId="20865" xr:uid="{00000000-0005-0000-0000-0000AE2A0000}"/>
    <cellStyle name="40% - Accent1 11 2 2 2 2 4 2" xfId="44697" xr:uid="{127E94B9-91BB-41CC-A5E0-E5C68C5380CF}"/>
    <cellStyle name="40% - Accent1 11 2 2 2 2 5" xfId="28818" xr:uid="{1E10C3A7-8EE3-4157-A055-170E4BA4EC53}"/>
    <cellStyle name="40% - Accent1 11 2 2 2 3" xfId="6719" xr:uid="{00000000-0005-0000-0000-0000AF2A0000}"/>
    <cellStyle name="40% - Accent1 11 2 2 2 3 2" xfId="14690" xr:uid="{00000000-0005-0000-0000-0000B02A0000}"/>
    <cellStyle name="40% - Accent1 11 2 2 2 3 2 2" xfId="38532" xr:uid="{6449F2C0-28F9-4816-BB01-CC0E29577EEB}"/>
    <cellStyle name="40% - Accent1 11 2 2 2 3 3" xfId="22637" xr:uid="{00000000-0005-0000-0000-0000B12A0000}"/>
    <cellStyle name="40% - Accent1 11 2 2 2 3 3 2" xfId="46469" xr:uid="{BA52E222-2400-416B-80B8-92F6DA39B220}"/>
    <cellStyle name="40% - Accent1 11 2 2 2 3 4" xfId="30591" xr:uid="{A95BBBB1-1BC9-419B-9536-C6B508261E18}"/>
    <cellStyle name="40% - Accent1 11 2 2 2 4" xfId="11154" xr:uid="{00000000-0005-0000-0000-0000B22A0000}"/>
    <cellStyle name="40% - Accent1 11 2 2 2 4 2" xfId="35003" xr:uid="{07D4915C-595B-403F-8EED-294F50909D34}"/>
    <cellStyle name="40% - Accent1 11 2 2 2 5" xfId="19109" xr:uid="{00000000-0005-0000-0000-0000B32A0000}"/>
    <cellStyle name="40% - Accent1 11 2 2 2 5 2" xfId="42941" xr:uid="{D1A33CBB-CF1D-4280-8AB4-4703AD739AC9}"/>
    <cellStyle name="40% - Accent1 11 2 2 2 6" xfId="27061" xr:uid="{5C3A5D69-92A7-428B-B322-56D3B0F18EEC}"/>
    <cellStyle name="40% - Accent1 11 2 2 2_Exh G" xfId="2689" xr:uid="{00000000-0005-0000-0000-0000B42A0000}"/>
    <cellStyle name="40% - Accent1 11 2 2 3" xfId="4008" xr:uid="{00000000-0005-0000-0000-0000B52A0000}"/>
    <cellStyle name="40% - Accent1 11 2 2 3 2" xfId="7600" xr:uid="{00000000-0005-0000-0000-0000B62A0000}"/>
    <cellStyle name="40% - Accent1 11 2 2 3 2 2" xfId="15570" xr:uid="{00000000-0005-0000-0000-0000B72A0000}"/>
    <cellStyle name="40% - Accent1 11 2 2 3 2 2 2" xfId="39412" xr:uid="{31A77995-9B3D-4E47-AD02-C8472CA0377F}"/>
    <cellStyle name="40% - Accent1 11 2 2 3 2 3" xfId="23516" xr:uid="{00000000-0005-0000-0000-0000B82A0000}"/>
    <cellStyle name="40% - Accent1 11 2 2 3 2 3 2" xfId="47348" xr:uid="{A72682EC-91C1-4A64-86BE-533E3D5696BD}"/>
    <cellStyle name="40% - Accent1 11 2 2 3 2 4" xfId="31471" xr:uid="{4688901D-D329-44E2-A777-73A278D9DD11}"/>
    <cellStyle name="40% - Accent1 11 2 2 3 3" xfId="12032" xr:uid="{00000000-0005-0000-0000-0000B92A0000}"/>
    <cellStyle name="40% - Accent1 11 2 2 3 3 2" xfId="35881" xr:uid="{8E8BDD67-44FE-4BC7-B4D2-E1A0A7604222}"/>
    <cellStyle name="40% - Accent1 11 2 2 3 4" xfId="19987" xr:uid="{00000000-0005-0000-0000-0000BA2A0000}"/>
    <cellStyle name="40% - Accent1 11 2 2 3 4 2" xfId="43819" xr:uid="{83A00FE4-42B1-4835-9120-E4E56B2F3324}"/>
    <cellStyle name="40% - Accent1 11 2 2 3 5" xfId="27940" xr:uid="{F93E253F-67DA-4090-9D3D-5B028247D686}"/>
    <cellStyle name="40% - Accent1 11 2 2 4" xfId="5828" xr:uid="{00000000-0005-0000-0000-0000BB2A0000}"/>
    <cellStyle name="40% - Accent1 11 2 2 4 2" xfId="13811" xr:uid="{00000000-0005-0000-0000-0000BC2A0000}"/>
    <cellStyle name="40% - Accent1 11 2 2 4 2 2" xfId="37654" xr:uid="{28952740-A5EF-4296-A6C8-7B3B2C816249}"/>
    <cellStyle name="40% - Accent1 11 2 2 4 3" xfId="21759" xr:uid="{00000000-0005-0000-0000-0000BD2A0000}"/>
    <cellStyle name="40% - Accent1 11 2 2 4 3 2" xfId="45591" xr:uid="{B2DE3F73-124A-431B-9611-79598C9C4122}"/>
    <cellStyle name="40% - Accent1 11 2 2 4 4" xfId="29713" xr:uid="{76ADD984-1828-4811-81FB-DEDAD7B4C13A}"/>
    <cellStyle name="40% - Accent1 11 2 2 5" xfId="9380" xr:uid="{00000000-0005-0000-0000-0000BE2A0000}"/>
    <cellStyle name="40% - Accent1 11 2 2 5 2" xfId="17338" xr:uid="{00000000-0005-0000-0000-0000BF2A0000}"/>
    <cellStyle name="40% - Accent1 11 2 2 5 2 2" xfId="41178" xr:uid="{A4FE704E-2BF1-4B6E-B4BA-B0C1B50A264B}"/>
    <cellStyle name="40% - Accent1 11 2 2 5 3" xfId="25282" xr:uid="{00000000-0005-0000-0000-0000C02A0000}"/>
    <cellStyle name="40% - Accent1 11 2 2 5 3 2" xfId="49114" xr:uid="{08877340-C933-4C00-B39B-5E75815A2C88}"/>
    <cellStyle name="40% - Accent1 11 2 2 5 4" xfId="33237" xr:uid="{F5459CB7-5BCA-442B-8112-D2013C17FFA6}"/>
    <cellStyle name="40% - Accent1 11 2 2 6" xfId="10276" xr:uid="{00000000-0005-0000-0000-0000C12A0000}"/>
    <cellStyle name="40% - Accent1 11 2 2 6 2" xfId="34125" xr:uid="{F17214DC-E98E-4B32-8204-DB8834F8B5F7}"/>
    <cellStyle name="40% - Accent1 11 2 2 7" xfId="18231" xr:uid="{00000000-0005-0000-0000-0000C22A0000}"/>
    <cellStyle name="40% - Accent1 11 2 2 7 2" xfId="42063" xr:uid="{E780428A-6C7F-4D3C-BF55-26DBFD7994C7}"/>
    <cellStyle name="40% - Accent1 11 2 2 8" xfId="26183" xr:uid="{95089F35-D3CB-4B3A-8D64-C32B90730A5D}"/>
    <cellStyle name="40% - Accent1 11 2 2_Exh G" xfId="2688" xr:uid="{00000000-0005-0000-0000-0000C32A0000}"/>
    <cellStyle name="40% - Accent1 11 2 3" xfId="1359" xr:uid="{00000000-0005-0000-0000-0000C42A0000}"/>
    <cellStyle name="40% - Accent1 11 2 3 2" xfId="4886" xr:uid="{00000000-0005-0000-0000-0000C52A0000}"/>
    <cellStyle name="40% - Accent1 11 2 3 2 2" xfId="8477" xr:uid="{00000000-0005-0000-0000-0000C62A0000}"/>
    <cellStyle name="40% - Accent1 11 2 3 2 2 2" xfId="16447" xr:uid="{00000000-0005-0000-0000-0000C72A0000}"/>
    <cellStyle name="40% - Accent1 11 2 3 2 2 2 2" xfId="40289" xr:uid="{374C604E-7CDF-498D-9411-E587330AE201}"/>
    <cellStyle name="40% - Accent1 11 2 3 2 2 3" xfId="24393" xr:uid="{00000000-0005-0000-0000-0000C82A0000}"/>
    <cellStyle name="40% - Accent1 11 2 3 2 2 3 2" xfId="48225" xr:uid="{02F21E66-9D4C-46CA-873F-7534B41D9E0E}"/>
    <cellStyle name="40% - Accent1 11 2 3 2 2 4" xfId="32348" xr:uid="{E010FEEB-659B-420B-AA6D-262E34873074}"/>
    <cellStyle name="40% - Accent1 11 2 3 2 3" xfId="12909" xr:uid="{00000000-0005-0000-0000-0000C92A0000}"/>
    <cellStyle name="40% - Accent1 11 2 3 2 3 2" xfId="36758" xr:uid="{DBC5119A-9828-4830-B6F3-BADCF7E06020}"/>
    <cellStyle name="40% - Accent1 11 2 3 2 4" xfId="20864" xr:uid="{00000000-0005-0000-0000-0000CA2A0000}"/>
    <cellStyle name="40% - Accent1 11 2 3 2 4 2" xfId="44696" xr:uid="{E87C338C-1E3C-4D5B-A1C6-5A1D337A6160}"/>
    <cellStyle name="40% - Accent1 11 2 3 2 5" xfId="28817" xr:uid="{42845891-7D84-4787-8663-0832BA6FB2D5}"/>
    <cellStyle name="40% - Accent1 11 2 3 3" xfId="6718" xr:uid="{00000000-0005-0000-0000-0000CB2A0000}"/>
    <cellStyle name="40% - Accent1 11 2 3 3 2" xfId="14689" xr:uid="{00000000-0005-0000-0000-0000CC2A0000}"/>
    <cellStyle name="40% - Accent1 11 2 3 3 2 2" xfId="38531" xr:uid="{440094FD-2F2D-4DD9-8FAB-44BB014BD4EC}"/>
    <cellStyle name="40% - Accent1 11 2 3 3 3" xfId="22636" xr:uid="{00000000-0005-0000-0000-0000CD2A0000}"/>
    <cellStyle name="40% - Accent1 11 2 3 3 3 2" xfId="46468" xr:uid="{2A621832-52FF-4243-A6F3-6068ABBDB439}"/>
    <cellStyle name="40% - Accent1 11 2 3 3 4" xfId="30590" xr:uid="{216E0D4C-E03F-4713-BBD0-3AAED86E7A1B}"/>
    <cellStyle name="40% - Accent1 11 2 3 4" xfId="11153" xr:uid="{00000000-0005-0000-0000-0000CE2A0000}"/>
    <cellStyle name="40% - Accent1 11 2 3 4 2" xfId="35002" xr:uid="{FA7C729F-DD27-401C-A16C-48F459160E51}"/>
    <cellStyle name="40% - Accent1 11 2 3 5" xfId="19108" xr:uid="{00000000-0005-0000-0000-0000CF2A0000}"/>
    <cellStyle name="40% - Accent1 11 2 3 5 2" xfId="42940" xr:uid="{EE14FC14-C77C-4BA5-9049-8199163FACAF}"/>
    <cellStyle name="40% - Accent1 11 2 3 6" xfId="27060" xr:uid="{E4AFEF46-9829-40B3-86C6-B2F8917BADB8}"/>
    <cellStyle name="40% - Accent1 11 2 3_Exh G" xfId="2690" xr:uid="{00000000-0005-0000-0000-0000D02A0000}"/>
    <cellStyle name="40% - Accent1 11 2 4" xfId="4007" xr:uid="{00000000-0005-0000-0000-0000D12A0000}"/>
    <cellStyle name="40% - Accent1 11 2 4 2" xfId="7599" xr:uid="{00000000-0005-0000-0000-0000D22A0000}"/>
    <cellStyle name="40% - Accent1 11 2 4 2 2" xfId="15569" xr:uid="{00000000-0005-0000-0000-0000D32A0000}"/>
    <cellStyle name="40% - Accent1 11 2 4 2 2 2" xfId="39411" xr:uid="{75A26144-3E7A-44E4-B38D-97DD68BCF4DA}"/>
    <cellStyle name="40% - Accent1 11 2 4 2 3" xfId="23515" xr:uid="{00000000-0005-0000-0000-0000D42A0000}"/>
    <cellStyle name="40% - Accent1 11 2 4 2 3 2" xfId="47347" xr:uid="{25FB0D39-E0E5-4C10-9C17-4231681FEA72}"/>
    <cellStyle name="40% - Accent1 11 2 4 2 4" xfId="31470" xr:uid="{6FBD5F7F-9BB4-4AA2-B01F-B03414F131D1}"/>
    <cellStyle name="40% - Accent1 11 2 4 3" xfId="12031" xr:uid="{00000000-0005-0000-0000-0000D52A0000}"/>
    <cellStyle name="40% - Accent1 11 2 4 3 2" xfId="35880" xr:uid="{023429B0-E14F-41AE-B80D-E19ADAC90070}"/>
    <cellStyle name="40% - Accent1 11 2 4 4" xfId="19986" xr:uid="{00000000-0005-0000-0000-0000D62A0000}"/>
    <cellStyle name="40% - Accent1 11 2 4 4 2" xfId="43818" xr:uid="{CBDE3825-CBF4-4414-812E-A01697482112}"/>
    <cellStyle name="40% - Accent1 11 2 4 5" xfId="27939" xr:uid="{8430C6DD-32F4-4EA3-BD86-09646B646E27}"/>
    <cellStyle name="40% - Accent1 11 2 5" xfId="5827" xr:uid="{00000000-0005-0000-0000-0000D72A0000}"/>
    <cellStyle name="40% - Accent1 11 2 5 2" xfId="13810" xr:uid="{00000000-0005-0000-0000-0000D82A0000}"/>
    <cellStyle name="40% - Accent1 11 2 5 2 2" xfId="37653" xr:uid="{130B1E91-0D42-4DF8-9387-9F3515165533}"/>
    <cellStyle name="40% - Accent1 11 2 5 3" xfId="21758" xr:uid="{00000000-0005-0000-0000-0000D92A0000}"/>
    <cellStyle name="40% - Accent1 11 2 5 3 2" xfId="45590" xr:uid="{0E9F01D6-5536-4BC9-B39F-CA846395F5FD}"/>
    <cellStyle name="40% - Accent1 11 2 5 4" xfId="29712" xr:uid="{5E452932-9EEC-4FBE-9CA2-88D8A2413BCC}"/>
    <cellStyle name="40% - Accent1 11 2 6" xfId="9379" xr:uid="{00000000-0005-0000-0000-0000DA2A0000}"/>
    <cellStyle name="40% - Accent1 11 2 6 2" xfId="17337" xr:uid="{00000000-0005-0000-0000-0000DB2A0000}"/>
    <cellStyle name="40% - Accent1 11 2 6 2 2" xfId="41177" xr:uid="{42958B25-24AE-4CD7-B6D3-18F92EE7D712}"/>
    <cellStyle name="40% - Accent1 11 2 6 3" xfId="25281" xr:uid="{00000000-0005-0000-0000-0000DC2A0000}"/>
    <cellStyle name="40% - Accent1 11 2 6 3 2" xfId="49113" xr:uid="{6C7AB376-06B2-435D-BDED-DA8719BB9590}"/>
    <cellStyle name="40% - Accent1 11 2 6 4" xfId="33236" xr:uid="{DB02A498-C2D4-410C-A372-3962A30B9AD5}"/>
    <cellStyle name="40% - Accent1 11 2 7" xfId="10275" xr:uid="{00000000-0005-0000-0000-0000DD2A0000}"/>
    <cellStyle name="40% - Accent1 11 2 7 2" xfId="34124" xr:uid="{02727727-8AE3-46F2-9B21-F7A54E34C8AC}"/>
    <cellStyle name="40% - Accent1 11 2 8" xfId="18230" xr:uid="{00000000-0005-0000-0000-0000DE2A0000}"/>
    <cellStyle name="40% - Accent1 11 2 8 2" xfId="42062" xr:uid="{C4A43F3D-C6D7-4DF7-B254-3F5FF5B5837C}"/>
    <cellStyle name="40% - Accent1 11 2 9" xfId="26182" xr:uid="{2762D9BF-5300-42A0-862E-E5670F110BB7}"/>
    <cellStyle name="40% - Accent1 11 2_Exh G" xfId="2687" xr:uid="{00000000-0005-0000-0000-0000DF2A0000}"/>
    <cellStyle name="40% - Accent1 11 3" xfId="335" xr:uid="{00000000-0005-0000-0000-0000E02A0000}"/>
    <cellStyle name="40% - Accent1 11 3 2" xfId="1361" xr:uid="{00000000-0005-0000-0000-0000E12A0000}"/>
    <cellStyle name="40% - Accent1 11 3 2 2" xfId="4888" xr:uid="{00000000-0005-0000-0000-0000E22A0000}"/>
    <cellStyle name="40% - Accent1 11 3 2 2 2" xfId="8479" xr:uid="{00000000-0005-0000-0000-0000E32A0000}"/>
    <cellStyle name="40% - Accent1 11 3 2 2 2 2" xfId="16449" xr:uid="{00000000-0005-0000-0000-0000E42A0000}"/>
    <cellStyle name="40% - Accent1 11 3 2 2 2 2 2" xfId="40291" xr:uid="{BCE71A1D-4AAD-4A06-B8BF-BD78CAFF819A}"/>
    <cellStyle name="40% - Accent1 11 3 2 2 2 3" xfId="24395" xr:uid="{00000000-0005-0000-0000-0000E52A0000}"/>
    <cellStyle name="40% - Accent1 11 3 2 2 2 3 2" xfId="48227" xr:uid="{B45E564A-6845-4F8C-A6EB-B13DDC97A90F}"/>
    <cellStyle name="40% - Accent1 11 3 2 2 2 4" xfId="32350" xr:uid="{C4A47BC8-4D0F-45C6-A045-244C090EE000}"/>
    <cellStyle name="40% - Accent1 11 3 2 2 3" xfId="12911" xr:uid="{00000000-0005-0000-0000-0000E62A0000}"/>
    <cellStyle name="40% - Accent1 11 3 2 2 3 2" xfId="36760" xr:uid="{E4170503-3156-4BB0-AA1C-30A94455E12C}"/>
    <cellStyle name="40% - Accent1 11 3 2 2 4" xfId="20866" xr:uid="{00000000-0005-0000-0000-0000E72A0000}"/>
    <cellStyle name="40% - Accent1 11 3 2 2 4 2" xfId="44698" xr:uid="{EF72D5C8-9E48-45F5-AAEC-06B4839957D9}"/>
    <cellStyle name="40% - Accent1 11 3 2 2 5" xfId="28819" xr:uid="{DBF47E12-3838-4714-8894-1D1AC0487152}"/>
    <cellStyle name="40% - Accent1 11 3 2 3" xfId="6720" xr:uid="{00000000-0005-0000-0000-0000E82A0000}"/>
    <cellStyle name="40% - Accent1 11 3 2 3 2" xfId="14691" xr:uid="{00000000-0005-0000-0000-0000E92A0000}"/>
    <cellStyle name="40% - Accent1 11 3 2 3 2 2" xfId="38533" xr:uid="{F07F6A0B-AE09-44A2-95CE-91D8EE286B13}"/>
    <cellStyle name="40% - Accent1 11 3 2 3 3" xfId="22638" xr:uid="{00000000-0005-0000-0000-0000EA2A0000}"/>
    <cellStyle name="40% - Accent1 11 3 2 3 3 2" xfId="46470" xr:uid="{79D7C6E7-8874-4EF6-B903-70B8A2F02F7D}"/>
    <cellStyle name="40% - Accent1 11 3 2 3 4" xfId="30592" xr:uid="{04FD71EE-EE16-445F-8A82-F21B77BD72F7}"/>
    <cellStyle name="40% - Accent1 11 3 2 4" xfId="11155" xr:uid="{00000000-0005-0000-0000-0000EB2A0000}"/>
    <cellStyle name="40% - Accent1 11 3 2 4 2" xfId="35004" xr:uid="{520E3AE5-3A34-4197-BF00-88AEE4F43A81}"/>
    <cellStyle name="40% - Accent1 11 3 2 5" xfId="19110" xr:uid="{00000000-0005-0000-0000-0000EC2A0000}"/>
    <cellStyle name="40% - Accent1 11 3 2 5 2" xfId="42942" xr:uid="{1572D9F8-9F5D-4DCC-9538-B970A86AE810}"/>
    <cellStyle name="40% - Accent1 11 3 2 6" xfId="27062" xr:uid="{7B80A152-CF0D-4ECB-A0EA-386E389CA236}"/>
    <cellStyle name="40% - Accent1 11 3 2_Exh G" xfId="2692" xr:uid="{00000000-0005-0000-0000-0000ED2A0000}"/>
    <cellStyle name="40% - Accent1 11 3 3" xfId="4009" xr:uid="{00000000-0005-0000-0000-0000EE2A0000}"/>
    <cellStyle name="40% - Accent1 11 3 3 2" xfId="7601" xr:uid="{00000000-0005-0000-0000-0000EF2A0000}"/>
    <cellStyle name="40% - Accent1 11 3 3 2 2" xfId="15571" xr:uid="{00000000-0005-0000-0000-0000F02A0000}"/>
    <cellStyle name="40% - Accent1 11 3 3 2 2 2" xfId="39413" xr:uid="{36FDBA56-BBB9-402F-A26C-CABC670A752A}"/>
    <cellStyle name="40% - Accent1 11 3 3 2 3" xfId="23517" xr:uid="{00000000-0005-0000-0000-0000F12A0000}"/>
    <cellStyle name="40% - Accent1 11 3 3 2 3 2" xfId="47349" xr:uid="{6FAE38D1-7962-4C0F-997C-A92A1C658559}"/>
    <cellStyle name="40% - Accent1 11 3 3 2 4" xfId="31472" xr:uid="{BE300F2D-3B2B-47FC-98F9-C6E26F305615}"/>
    <cellStyle name="40% - Accent1 11 3 3 3" xfId="12033" xr:uid="{00000000-0005-0000-0000-0000F22A0000}"/>
    <cellStyle name="40% - Accent1 11 3 3 3 2" xfId="35882" xr:uid="{397B5025-C94A-4570-89B1-507B2906B94F}"/>
    <cellStyle name="40% - Accent1 11 3 3 4" xfId="19988" xr:uid="{00000000-0005-0000-0000-0000F32A0000}"/>
    <cellStyle name="40% - Accent1 11 3 3 4 2" xfId="43820" xr:uid="{AC0CEAFE-EB7F-48C7-BEC1-D91BB1061CC3}"/>
    <cellStyle name="40% - Accent1 11 3 3 5" xfId="27941" xr:uid="{FCE3B681-69EB-4A1F-A528-FB6B9EBB2C1A}"/>
    <cellStyle name="40% - Accent1 11 3 4" xfId="5829" xr:uid="{00000000-0005-0000-0000-0000F42A0000}"/>
    <cellStyle name="40% - Accent1 11 3 4 2" xfId="13812" xr:uid="{00000000-0005-0000-0000-0000F52A0000}"/>
    <cellStyle name="40% - Accent1 11 3 4 2 2" xfId="37655" xr:uid="{5503C350-C35D-430C-A160-F7E2D89D6172}"/>
    <cellStyle name="40% - Accent1 11 3 4 3" xfId="21760" xr:uid="{00000000-0005-0000-0000-0000F62A0000}"/>
    <cellStyle name="40% - Accent1 11 3 4 3 2" xfId="45592" xr:uid="{DBBC121B-9493-4C40-B8AD-10882225C188}"/>
    <cellStyle name="40% - Accent1 11 3 4 4" xfId="29714" xr:uid="{B394561E-ED78-4733-98AC-EB81CEBDA9C0}"/>
    <cellStyle name="40% - Accent1 11 3 5" xfId="9381" xr:uid="{00000000-0005-0000-0000-0000F72A0000}"/>
    <cellStyle name="40% - Accent1 11 3 5 2" xfId="17339" xr:uid="{00000000-0005-0000-0000-0000F82A0000}"/>
    <cellStyle name="40% - Accent1 11 3 5 2 2" xfId="41179" xr:uid="{6F2A8C2B-2C71-47C1-BC46-27CAFBC29480}"/>
    <cellStyle name="40% - Accent1 11 3 5 3" xfId="25283" xr:uid="{00000000-0005-0000-0000-0000F92A0000}"/>
    <cellStyle name="40% - Accent1 11 3 5 3 2" xfId="49115" xr:uid="{7A0A012D-8F19-4445-AB5B-38FBF1830054}"/>
    <cellStyle name="40% - Accent1 11 3 5 4" xfId="33238" xr:uid="{EEBA5583-7166-4AA0-ADD3-6255252FB122}"/>
    <cellStyle name="40% - Accent1 11 3 6" xfId="10277" xr:uid="{00000000-0005-0000-0000-0000FA2A0000}"/>
    <cellStyle name="40% - Accent1 11 3 6 2" xfId="34126" xr:uid="{1BAC233D-5B97-4B8B-B7E0-23609C5F5073}"/>
    <cellStyle name="40% - Accent1 11 3 7" xfId="18232" xr:uid="{00000000-0005-0000-0000-0000FB2A0000}"/>
    <cellStyle name="40% - Accent1 11 3 7 2" xfId="42064" xr:uid="{241179A4-FF57-4375-9033-3A851BD36369}"/>
    <cellStyle name="40% - Accent1 11 3 8" xfId="26184" xr:uid="{72E8ACBA-5A1E-4B67-B14F-FEC108BB4536}"/>
    <cellStyle name="40% - Accent1 11 3_Exh G" xfId="2691" xr:uid="{00000000-0005-0000-0000-0000FC2A0000}"/>
    <cellStyle name="40% - Accent1 11 4" xfId="1358" xr:uid="{00000000-0005-0000-0000-0000FD2A0000}"/>
    <cellStyle name="40% - Accent1 11 4 2" xfId="4885" xr:uid="{00000000-0005-0000-0000-0000FE2A0000}"/>
    <cellStyle name="40% - Accent1 11 4 2 2" xfId="8476" xr:uid="{00000000-0005-0000-0000-0000FF2A0000}"/>
    <cellStyle name="40% - Accent1 11 4 2 2 2" xfId="16446" xr:uid="{00000000-0005-0000-0000-0000002B0000}"/>
    <cellStyle name="40% - Accent1 11 4 2 2 2 2" xfId="40288" xr:uid="{3E8CA59A-F8A6-4A47-85EC-901D88B25490}"/>
    <cellStyle name="40% - Accent1 11 4 2 2 3" xfId="24392" xr:uid="{00000000-0005-0000-0000-0000012B0000}"/>
    <cellStyle name="40% - Accent1 11 4 2 2 3 2" xfId="48224" xr:uid="{B2D3CF5C-0911-4F00-97AF-56726AAE175C}"/>
    <cellStyle name="40% - Accent1 11 4 2 2 4" xfId="32347" xr:uid="{80BB6CB1-9024-4F5A-9521-E0E08C8FACEC}"/>
    <cellStyle name="40% - Accent1 11 4 2 3" xfId="12908" xr:uid="{00000000-0005-0000-0000-0000022B0000}"/>
    <cellStyle name="40% - Accent1 11 4 2 3 2" xfId="36757" xr:uid="{D3A03F60-8274-4CC0-9847-8DFE3CC92307}"/>
    <cellStyle name="40% - Accent1 11 4 2 4" xfId="20863" xr:uid="{00000000-0005-0000-0000-0000032B0000}"/>
    <cellStyle name="40% - Accent1 11 4 2 4 2" xfId="44695" xr:uid="{43BEC236-748B-4A2D-971D-B906482FB834}"/>
    <cellStyle name="40% - Accent1 11 4 2 5" xfId="28816" xr:uid="{5BE80E1D-9392-4315-BEB4-4F7D1367F890}"/>
    <cellStyle name="40% - Accent1 11 4 3" xfId="6717" xr:uid="{00000000-0005-0000-0000-0000042B0000}"/>
    <cellStyle name="40% - Accent1 11 4 3 2" xfId="14688" xr:uid="{00000000-0005-0000-0000-0000052B0000}"/>
    <cellStyle name="40% - Accent1 11 4 3 2 2" xfId="38530" xr:uid="{477E640F-4A94-4A2E-96D9-D56EF6844770}"/>
    <cellStyle name="40% - Accent1 11 4 3 3" xfId="22635" xr:uid="{00000000-0005-0000-0000-0000062B0000}"/>
    <cellStyle name="40% - Accent1 11 4 3 3 2" xfId="46467" xr:uid="{75242EBD-12A6-4C41-8FF9-08850C7955F9}"/>
    <cellStyle name="40% - Accent1 11 4 3 4" xfId="30589" xr:uid="{4EA5B647-0E0B-41D4-B9DC-09FFED78E4D3}"/>
    <cellStyle name="40% - Accent1 11 4 4" xfId="11152" xr:uid="{00000000-0005-0000-0000-0000072B0000}"/>
    <cellStyle name="40% - Accent1 11 4 4 2" xfId="35001" xr:uid="{BA074AB8-4E7D-45BC-B0AF-99B5E4A493B7}"/>
    <cellStyle name="40% - Accent1 11 4 5" xfId="19107" xr:uid="{00000000-0005-0000-0000-0000082B0000}"/>
    <cellStyle name="40% - Accent1 11 4 5 2" xfId="42939" xr:uid="{B94629A7-9C3A-4430-91DA-130077023C30}"/>
    <cellStyle name="40% - Accent1 11 4 6" xfId="27059" xr:uid="{117D656B-DEFB-43D1-BABC-5D438FFA8994}"/>
    <cellStyle name="40% - Accent1 11 4_Exh G" xfId="2693" xr:uid="{00000000-0005-0000-0000-0000092B0000}"/>
    <cellStyle name="40% - Accent1 11 5" xfId="4006" xr:uid="{00000000-0005-0000-0000-00000A2B0000}"/>
    <cellStyle name="40% - Accent1 11 5 2" xfId="7598" xr:uid="{00000000-0005-0000-0000-00000B2B0000}"/>
    <cellStyle name="40% - Accent1 11 5 2 2" xfId="15568" xr:uid="{00000000-0005-0000-0000-00000C2B0000}"/>
    <cellStyle name="40% - Accent1 11 5 2 2 2" xfId="39410" xr:uid="{A71EA058-A2D0-4667-895B-7E3BEAC6842D}"/>
    <cellStyle name="40% - Accent1 11 5 2 3" xfId="23514" xr:uid="{00000000-0005-0000-0000-00000D2B0000}"/>
    <cellStyle name="40% - Accent1 11 5 2 3 2" xfId="47346" xr:uid="{014F54C9-43DA-4981-906E-6E55E8E4BFBA}"/>
    <cellStyle name="40% - Accent1 11 5 2 4" xfId="31469" xr:uid="{58B2DF34-47ED-47BE-AF17-8E843F8E73CF}"/>
    <cellStyle name="40% - Accent1 11 5 3" xfId="12030" xr:uid="{00000000-0005-0000-0000-00000E2B0000}"/>
    <cellStyle name="40% - Accent1 11 5 3 2" xfId="35879" xr:uid="{3B784523-232C-4C3D-9311-4D0DDE2C3A28}"/>
    <cellStyle name="40% - Accent1 11 5 4" xfId="19985" xr:uid="{00000000-0005-0000-0000-00000F2B0000}"/>
    <cellStyle name="40% - Accent1 11 5 4 2" xfId="43817" xr:uid="{676EDB0D-8696-4D41-9019-80A2AF6C2864}"/>
    <cellStyle name="40% - Accent1 11 5 5" xfId="27938" xr:uid="{95FB2BF1-EECF-41C8-A875-E5856E1C7A72}"/>
    <cellStyle name="40% - Accent1 11 6" xfId="5826" xr:uid="{00000000-0005-0000-0000-0000102B0000}"/>
    <cellStyle name="40% - Accent1 11 6 2" xfId="13809" xr:uid="{00000000-0005-0000-0000-0000112B0000}"/>
    <cellStyle name="40% - Accent1 11 6 2 2" xfId="37652" xr:uid="{7E8B10F1-CD93-4F37-90B1-746378854E01}"/>
    <cellStyle name="40% - Accent1 11 6 3" xfId="21757" xr:uid="{00000000-0005-0000-0000-0000122B0000}"/>
    <cellStyle name="40% - Accent1 11 6 3 2" xfId="45589" xr:uid="{7B23B7FA-EB65-466C-BD74-005CF72A50F9}"/>
    <cellStyle name="40% - Accent1 11 6 4" xfId="29711" xr:uid="{B9614461-FFF2-46D0-84F5-F6BC55800E20}"/>
    <cellStyle name="40% - Accent1 11 7" xfId="9378" xr:uid="{00000000-0005-0000-0000-0000132B0000}"/>
    <cellStyle name="40% - Accent1 11 7 2" xfId="17336" xr:uid="{00000000-0005-0000-0000-0000142B0000}"/>
    <cellStyle name="40% - Accent1 11 7 2 2" xfId="41176" xr:uid="{077F8043-4582-49B6-962B-5E2C9AF2C17E}"/>
    <cellStyle name="40% - Accent1 11 7 3" xfId="25280" xr:uid="{00000000-0005-0000-0000-0000152B0000}"/>
    <cellStyle name="40% - Accent1 11 7 3 2" xfId="49112" xr:uid="{FF401853-839D-465C-A93D-768B669228CC}"/>
    <cellStyle name="40% - Accent1 11 7 4" xfId="33235" xr:uid="{28443650-1576-44FF-9EDC-109A80CA8706}"/>
    <cellStyle name="40% - Accent1 11 8" xfId="10274" xr:uid="{00000000-0005-0000-0000-0000162B0000}"/>
    <cellStyle name="40% - Accent1 11 8 2" xfId="34123" xr:uid="{625EE659-FA0E-4918-8F81-CA70901002EC}"/>
    <cellStyle name="40% - Accent1 11 9" xfId="18229" xr:uid="{00000000-0005-0000-0000-0000172B0000}"/>
    <cellStyle name="40% - Accent1 11 9 2" xfId="42061" xr:uid="{DE0C51BA-4FCE-40EE-8E7C-369B97C02B8D}"/>
    <cellStyle name="40% - Accent1 11_Exh G" xfId="2686" xr:uid="{00000000-0005-0000-0000-0000182B0000}"/>
    <cellStyle name="40% - Accent1 12" xfId="336" xr:uid="{00000000-0005-0000-0000-0000192B0000}"/>
    <cellStyle name="40% - Accent1 12 10" xfId="26185" xr:uid="{25128521-C535-44A6-882D-3C18335B37A9}"/>
    <cellStyle name="40% - Accent1 12 2" xfId="337" xr:uid="{00000000-0005-0000-0000-00001A2B0000}"/>
    <cellStyle name="40% - Accent1 12 2 2" xfId="338" xr:uid="{00000000-0005-0000-0000-00001B2B0000}"/>
    <cellStyle name="40% - Accent1 12 2 2 2" xfId="1364" xr:uid="{00000000-0005-0000-0000-00001C2B0000}"/>
    <cellStyle name="40% - Accent1 12 2 2 2 2" xfId="4891" xr:uid="{00000000-0005-0000-0000-00001D2B0000}"/>
    <cellStyle name="40% - Accent1 12 2 2 2 2 2" xfId="8482" xr:uid="{00000000-0005-0000-0000-00001E2B0000}"/>
    <cellStyle name="40% - Accent1 12 2 2 2 2 2 2" xfId="16452" xr:uid="{00000000-0005-0000-0000-00001F2B0000}"/>
    <cellStyle name="40% - Accent1 12 2 2 2 2 2 2 2" xfId="40294" xr:uid="{B8FFF91B-D159-4CF7-A35E-0C35B6DC3E48}"/>
    <cellStyle name="40% - Accent1 12 2 2 2 2 2 3" xfId="24398" xr:uid="{00000000-0005-0000-0000-0000202B0000}"/>
    <cellStyle name="40% - Accent1 12 2 2 2 2 2 3 2" xfId="48230" xr:uid="{C402CBA0-E34C-4991-9D06-048A7FA16E12}"/>
    <cellStyle name="40% - Accent1 12 2 2 2 2 2 4" xfId="32353" xr:uid="{503B7094-A8E4-4EE2-B73B-F2C5F56F47A2}"/>
    <cellStyle name="40% - Accent1 12 2 2 2 2 3" xfId="12914" xr:uid="{00000000-0005-0000-0000-0000212B0000}"/>
    <cellStyle name="40% - Accent1 12 2 2 2 2 3 2" xfId="36763" xr:uid="{C82BFFA3-7985-4AB4-BCDE-6985BB61B7ED}"/>
    <cellStyle name="40% - Accent1 12 2 2 2 2 4" xfId="20869" xr:uid="{00000000-0005-0000-0000-0000222B0000}"/>
    <cellStyle name="40% - Accent1 12 2 2 2 2 4 2" xfId="44701" xr:uid="{C2B07D1D-B49A-4BF0-B2FF-EDDF875481A5}"/>
    <cellStyle name="40% - Accent1 12 2 2 2 2 5" xfId="28822" xr:uid="{F3433B2A-84D7-49AD-860C-7719C73C6C1A}"/>
    <cellStyle name="40% - Accent1 12 2 2 2 3" xfId="6723" xr:uid="{00000000-0005-0000-0000-0000232B0000}"/>
    <cellStyle name="40% - Accent1 12 2 2 2 3 2" xfId="14694" xr:uid="{00000000-0005-0000-0000-0000242B0000}"/>
    <cellStyle name="40% - Accent1 12 2 2 2 3 2 2" xfId="38536" xr:uid="{E01D64E3-DBBC-4106-BCD0-FF280C63C9BC}"/>
    <cellStyle name="40% - Accent1 12 2 2 2 3 3" xfId="22641" xr:uid="{00000000-0005-0000-0000-0000252B0000}"/>
    <cellStyle name="40% - Accent1 12 2 2 2 3 3 2" xfId="46473" xr:uid="{F8CB87C3-DAC7-4C94-9EBC-BEA7BFDC7035}"/>
    <cellStyle name="40% - Accent1 12 2 2 2 3 4" xfId="30595" xr:uid="{23E0D12B-8300-4C5F-8D29-FF08EE9AE0B8}"/>
    <cellStyle name="40% - Accent1 12 2 2 2 4" xfId="11158" xr:uid="{00000000-0005-0000-0000-0000262B0000}"/>
    <cellStyle name="40% - Accent1 12 2 2 2 4 2" xfId="35007" xr:uid="{1CB68A56-7A09-4FDF-824F-277B6BE7F9AB}"/>
    <cellStyle name="40% - Accent1 12 2 2 2 5" xfId="19113" xr:uid="{00000000-0005-0000-0000-0000272B0000}"/>
    <cellStyle name="40% - Accent1 12 2 2 2 5 2" xfId="42945" xr:uid="{96B9025C-8AF4-48E6-B6A7-A6841B1DE07F}"/>
    <cellStyle name="40% - Accent1 12 2 2 2 6" xfId="27065" xr:uid="{BF938B39-1611-4D9C-80CF-B6FE29033FD4}"/>
    <cellStyle name="40% - Accent1 12 2 2 2_Exh G" xfId="2697" xr:uid="{00000000-0005-0000-0000-0000282B0000}"/>
    <cellStyle name="40% - Accent1 12 2 2 3" xfId="4012" xr:uid="{00000000-0005-0000-0000-0000292B0000}"/>
    <cellStyle name="40% - Accent1 12 2 2 3 2" xfId="7604" xr:uid="{00000000-0005-0000-0000-00002A2B0000}"/>
    <cellStyle name="40% - Accent1 12 2 2 3 2 2" xfId="15574" xr:uid="{00000000-0005-0000-0000-00002B2B0000}"/>
    <cellStyle name="40% - Accent1 12 2 2 3 2 2 2" xfId="39416" xr:uid="{1B7378AC-28A3-4217-9F79-BC0AF2ED4E00}"/>
    <cellStyle name="40% - Accent1 12 2 2 3 2 3" xfId="23520" xr:uid="{00000000-0005-0000-0000-00002C2B0000}"/>
    <cellStyle name="40% - Accent1 12 2 2 3 2 3 2" xfId="47352" xr:uid="{F6848D2F-7E37-41D3-B887-6259645A942A}"/>
    <cellStyle name="40% - Accent1 12 2 2 3 2 4" xfId="31475" xr:uid="{48A224CA-1AB4-4F48-87F8-BCEAA075E3EB}"/>
    <cellStyle name="40% - Accent1 12 2 2 3 3" xfId="12036" xr:uid="{00000000-0005-0000-0000-00002D2B0000}"/>
    <cellStyle name="40% - Accent1 12 2 2 3 3 2" xfId="35885" xr:uid="{4151F367-1C22-426E-A94F-5DD57C40D5B1}"/>
    <cellStyle name="40% - Accent1 12 2 2 3 4" xfId="19991" xr:uid="{00000000-0005-0000-0000-00002E2B0000}"/>
    <cellStyle name="40% - Accent1 12 2 2 3 4 2" xfId="43823" xr:uid="{D158917E-4EC8-41DA-BF4F-00FD159B557A}"/>
    <cellStyle name="40% - Accent1 12 2 2 3 5" xfId="27944" xr:uid="{B04D27EE-34FC-4E6B-8663-DA291CDDD3E7}"/>
    <cellStyle name="40% - Accent1 12 2 2 4" xfId="5832" xr:uid="{00000000-0005-0000-0000-00002F2B0000}"/>
    <cellStyle name="40% - Accent1 12 2 2 4 2" xfId="13815" xr:uid="{00000000-0005-0000-0000-0000302B0000}"/>
    <cellStyle name="40% - Accent1 12 2 2 4 2 2" xfId="37658" xr:uid="{D9A8C9BA-F3EF-43BE-AB1D-CD9B644AD7D1}"/>
    <cellStyle name="40% - Accent1 12 2 2 4 3" xfId="21763" xr:uid="{00000000-0005-0000-0000-0000312B0000}"/>
    <cellStyle name="40% - Accent1 12 2 2 4 3 2" xfId="45595" xr:uid="{C9B3B642-32A7-4E84-A7E5-8FA40A26DB76}"/>
    <cellStyle name="40% - Accent1 12 2 2 4 4" xfId="29717" xr:uid="{3602177A-0C52-4FF6-BEF3-B61553E92621}"/>
    <cellStyle name="40% - Accent1 12 2 2 5" xfId="9384" xr:uid="{00000000-0005-0000-0000-0000322B0000}"/>
    <cellStyle name="40% - Accent1 12 2 2 5 2" xfId="17342" xr:uid="{00000000-0005-0000-0000-0000332B0000}"/>
    <cellStyle name="40% - Accent1 12 2 2 5 2 2" xfId="41182" xr:uid="{FE0F75B2-0128-4E5F-886B-BCD502C176FB}"/>
    <cellStyle name="40% - Accent1 12 2 2 5 3" xfId="25286" xr:uid="{00000000-0005-0000-0000-0000342B0000}"/>
    <cellStyle name="40% - Accent1 12 2 2 5 3 2" xfId="49118" xr:uid="{C99DDD45-DFE9-4AFC-9A96-3A889BCD620B}"/>
    <cellStyle name="40% - Accent1 12 2 2 5 4" xfId="33241" xr:uid="{878AE708-15E6-43BB-BFC3-53A1A3F20920}"/>
    <cellStyle name="40% - Accent1 12 2 2 6" xfId="10280" xr:uid="{00000000-0005-0000-0000-0000352B0000}"/>
    <cellStyle name="40% - Accent1 12 2 2 6 2" xfId="34129" xr:uid="{3C1BD2A3-B604-4076-AF69-D1A613FC0E9D}"/>
    <cellStyle name="40% - Accent1 12 2 2 7" xfId="18235" xr:uid="{00000000-0005-0000-0000-0000362B0000}"/>
    <cellStyle name="40% - Accent1 12 2 2 7 2" xfId="42067" xr:uid="{B23A94C5-EBB1-48D5-B898-574985010749}"/>
    <cellStyle name="40% - Accent1 12 2 2 8" xfId="26187" xr:uid="{03E16F82-CAB7-4A32-845C-2FEA8D40A98F}"/>
    <cellStyle name="40% - Accent1 12 2 2_Exh G" xfId="2696" xr:uid="{00000000-0005-0000-0000-0000372B0000}"/>
    <cellStyle name="40% - Accent1 12 2 3" xfId="1363" xr:uid="{00000000-0005-0000-0000-0000382B0000}"/>
    <cellStyle name="40% - Accent1 12 2 3 2" xfId="4890" xr:uid="{00000000-0005-0000-0000-0000392B0000}"/>
    <cellStyle name="40% - Accent1 12 2 3 2 2" xfId="8481" xr:uid="{00000000-0005-0000-0000-00003A2B0000}"/>
    <cellStyle name="40% - Accent1 12 2 3 2 2 2" xfId="16451" xr:uid="{00000000-0005-0000-0000-00003B2B0000}"/>
    <cellStyle name="40% - Accent1 12 2 3 2 2 2 2" xfId="40293" xr:uid="{E1E02727-8561-4E55-AEC1-3CB90FBAAD14}"/>
    <cellStyle name="40% - Accent1 12 2 3 2 2 3" xfId="24397" xr:uid="{00000000-0005-0000-0000-00003C2B0000}"/>
    <cellStyle name="40% - Accent1 12 2 3 2 2 3 2" xfId="48229" xr:uid="{E3F37CB7-9BE1-4AAD-A5CD-607384AED508}"/>
    <cellStyle name="40% - Accent1 12 2 3 2 2 4" xfId="32352" xr:uid="{D406BEFC-CC0D-4DAF-9E16-4FB24C0DDF87}"/>
    <cellStyle name="40% - Accent1 12 2 3 2 3" xfId="12913" xr:uid="{00000000-0005-0000-0000-00003D2B0000}"/>
    <cellStyle name="40% - Accent1 12 2 3 2 3 2" xfId="36762" xr:uid="{94BD52C4-B7D2-420E-A976-3FC85AB64F15}"/>
    <cellStyle name="40% - Accent1 12 2 3 2 4" xfId="20868" xr:uid="{00000000-0005-0000-0000-00003E2B0000}"/>
    <cellStyle name="40% - Accent1 12 2 3 2 4 2" xfId="44700" xr:uid="{7942268B-5C06-478E-A050-AA3CCAFFA66C}"/>
    <cellStyle name="40% - Accent1 12 2 3 2 5" xfId="28821" xr:uid="{50A11994-1AF0-45F2-8E7C-23B068BF7253}"/>
    <cellStyle name="40% - Accent1 12 2 3 3" xfId="6722" xr:uid="{00000000-0005-0000-0000-00003F2B0000}"/>
    <cellStyle name="40% - Accent1 12 2 3 3 2" xfId="14693" xr:uid="{00000000-0005-0000-0000-0000402B0000}"/>
    <cellStyle name="40% - Accent1 12 2 3 3 2 2" xfId="38535" xr:uid="{66B11180-2E6E-4BD9-9E27-1B48FBFF87B4}"/>
    <cellStyle name="40% - Accent1 12 2 3 3 3" xfId="22640" xr:uid="{00000000-0005-0000-0000-0000412B0000}"/>
    <cellStyle name="40% - Accent1 12 2 3 3 3 2" xfId="46472" xr:uid="{17FCC653-4491-4230-A609-78F04A4B3896}"/>
    <cellStyle name="40% - Accent1 12 2 3 3 4" xfId="30594" xr:uid="{1EE93DD3-C773-4EB8-B385-83A14F12D0E9}"/>
    <cellStyle name="40% - Accent1 12 2 3 4" xfId="11157" xr:uid="{00000000-0005-0000-0000-0000422B0000}"/>
    <cellStyle name="40% - Accent1 12 2 3 4 2" xfId="35006" xr:uid="{8CFE9791-17CE-4EE3-ADA5-8EED8493C0DE}"/>
    <cellStyle name="40% - Accent1 12 2 3 5" xfId="19112" xr:uid="{00000000-0005-0000-0000-0000432B0000}"/>
    <cellStyle name="40% - Accent1 12 2 3 5 2" xfId="42944" xr:uid="{69062FD6-77F9-4B37-A26B-781496D2C0F5}"/>
    <cellStyle name="40% - Accent1 12 2 3 6" xfId="27064" xr:uid="{C315B829-AD4F-495D-AF0C-E14FC8FE3521}"/>
    <cellStyle name="40% - Accent1 12 2 3_Exh G" xfId="2698" xr:uid="{00000000-0005-0000-0000-0000442B0000}"/>
    <cellStyle name="40% - Accent1 12 2 4" xfId="4011" xr:uid="{00000000-0005-0000-0000-0000452B0000}"/>
    <cellStyle name="40% - Accent1 12 2 4 2" xfId="7603" xr:uid="{00000000-0005-0000-0000-0000462B0000}"/>
    <cellStyle name="40% - Accent1 12 2 4 2 2" xfId="15573" xr:uid="{00000000-0005-0000-0000-0000472B0000}"/>
    <cellStyle name="40% - Accent1 12 2 4 2 2 2" xfId="39415" xr:uid="{9369ED0E-4DF6-4165-86F1-3CCD63C5DDB1}"/>
    <cellStyle name="40% - Accent1 12 2 4 2 3" xfId="23519" xr:uid="{00000000-0005-0000-0000-0000482B0000}"/>
    <cellStyle name="40% - Accent1 12 2 4 2 3 2" xfId="47351" xr:uid="{AD3D0634-2441-4B7D-BF65-6A64A9FD2A8A}"/>
    <cellStyle name="40% - Accent1 12 2 4 2 4" xfId="31474" xr:uid="{22AC3B23-4286-443A-A89E-98F4403B3075}"/>
    <cellStyle name="40% - Accent1 12 2 4 3" xfId="12035" xr:uid="{00000000-0005-0000-0000-0000492B0000}"/>
    <cellStyle name="40% - Accent1 12 2 4 3 2" xfId="35884" xr:uid="{FCFD9997-1E02-4118-85CB-987F305B449E}"/>
    <cellStyle name="40% - Accent1 12 2 4 4" xfId="19990" xr:uid="{00000000-0005-0000-0000-00004A2B0000}"/>
    <cellStyle name="40% - Accent1 12 2 4 4 2" xfId="43822" xr:uid="{21EA9EAA-561D-4EA6-B4A3-F2B91FE94488}"/>
    <cellStyle name="40% - Accent1 12 2 4 5" xfId="27943" xr:uid="{7562D348-85EF-4E49-8B60-6A886E75F416}"/>
    <cellStyle name="40% - Accent1 12 2 5" xfId="5831" xr:uid="{00000000-0005-0000-0000-00004B2B0000}"/>
    <cellStyle name="40% - Accent1 12 2 5 2" xfId="13814" xr:uid="{00000000-0005-0000-0000-00004C2B0000}"/>
    <cellStyle name="40% - Accent1 12 2 5 2 2" xfId="37657" xr:uid="{E6491D61-A298-466E-9EC4-38471F7BB26C}"/>
    <cellStyle name="40% - Accent1 12 2 5 3" xfId="21762" xr:uid="{00000000-0005-0000-0000-00004D2B0000}"/>
    <cellStyle name="40% - Accent1 12 2 5 3 2" xfId="45594" xr:uid="{C81F1C1C-55C2-4E5D-A1C7-123216296D08}"/>
    <cellStyle name="40% - Accent1 12 2 5 4" xfId="29716" xr:uid="{A1D08606-8026-4B65-85F4-44E48DFF93E0}"/>
    <cellStyle name="40% - Accent1 12 2 6" xfId="9383" xr:uid="{00000000-0005-0000-0000-00004E2B0000}"/>
    <cellStyle name="40% - Accent1 12 2 6 2" xfId="17341" xr:uid="{00000000-0005-0000-0000-00004F2B0000}"/>
    <cellStyle name="40% - Accent1 12 2 6 2 2" xfId="41181" xr:uid="{8C0BEE87-27FC-4018-B0AB-1B45D4FE6895}"/>
    <cellStyle name="40% - Accent1 12 2 6 3" xfId="25285" xr:uid="{00000000-0005-0000-0000-0000502B0000}"/>
    <cellStyle name="40% - Accent1 12 2 6 3 2" xfId="49117" xr:uid="{03D7A98E-FFE7-4945-B412-BF516766B8D1}"/>
    <cellStyle name="40% - Accent1 12 2 6 4" xfId="33240" xr:uid="{2256B0A5-E486-4D25-BCF8-80FDD40EDAC7}"/>
    <cellStyle name="40% - Accent1 12 2 7" xfId="10279" xr:uid="{00000000-0005-0000-0000-0000512B0000}"/>
    <cellStyle name="40% - Accent1 12 2 7 2" xfId="34128" xr:uid="{3847FCE3-27EF-4808-A108-7F36458DF179}"/>
    <cellStyle name="40% - Accent1 12 2 8" xfId="18234" xr:uid="{00000000-0005-0000-0000-0000522B0000}"/>
    <cellStyle name="40% - Accent1 12 2 8 2" xfId="42066" xr:uid="{78F74069-CF72-45CE-9B04-035673ADACD3}"/>
    <cellStyle name="40% - Accent1 12 2 9" xfId="26186" xr:uid="{CDC12D57-E9A3-4FC8-A906-6622A26EA308}"/>
    <cellStyle name="40% - Accent1 12 2_Exh G" xfId="2695" xr:uid="{00000000-0005-0000-0000-0000532B0000}"/>
    <cellStyle name="40% - Accent1 12 3" xfId="339" xr:uid="{00000000-0005-0000-0000-0000542B0000}"/>
    <cellStyle name="40% - Accent1 12 3 2" xfId="1365" xr:uid="{00000000-0005-0000-0000-0000552B0000}"/>
    <cellStyle name="40% - Accent1 12 3 2 2" xfId="4892" xr:uid="{00000000-0005-0000-0000-0000562B0000}"/>
    <cellStyle name="40% - Accent1 12 3 2 2 2" xfId="8483" xr:uid="{00000000-0005-0000-0000-0000572B0000}"/>
    <cellStyle name="40% - Accent1 12 3 2 2 2 2" xfId="16453" xr:uid="{00000000-0005-0000-0000-0000582B0000}"/>
    <cellStyle name="40% - Accent1 12 3 2 2 2 2 2" xfId="40295" xr:uid="{2CABB58C-7A8B-4F67-A20D-1E211A8C21A5}"/>
    <cellStyle name="40% - Accent1 12 3 2 2 2 3" xfId="24399" xr:uid="{00000000-0005-0000-0000-0000592B0000}"/>
    <cellStyle name="40% - Accent1 12 3 2 2 2 3 2" xfId="48231" xr:uid="{778B5314-4D49-424D-A648-2E8FDA14016E}"/>
    <cellStyle name="40% - Accent1 12 3 2 2 2 4" xfId="32354" xr:uid="{EB785149-3883-420E-92A6-DF5A80758B6E}"/>
    <cellStyle name="40% - Accent1 12 3 2 2 3" xfId="12915" xr:uid="{00000000-0005-0000-0000-00005A2B0000}"/>
    <cellStyle name="40% - Accent1 12 3 2 2 3 2" xfId="36764" xr:uid="{F3CCEA30-39DC-4A17-964C-57DA264A8728}"/>
    <cellStyle name="40% - Accent1 12 3 2 2 4" xfId="20870" xr:uid="{00000000-0005-0000-0000-00005B2B0000}"/>
    <cellStyle name="40% - Accent1 12 3 2 2 4 2" xfId="44702" xr:uid="{390C7B36-4486-4AFE-BA9E-0CEE902DB85A}"/>
    <cellStyle name="40% - Accent1 12 3 2 2 5" xfId="28823" xr:uid="{BF1F435A-D9E1-45D5-A294-07FDB90B9CE9}"/>
    <cellStyle name="40% - Accent1 12 3 2 3" xfId="6724" xr:uid="{00000000-0005-0000-0000-00005C2B0000}"/>
    <cellStyle name="40% - Accent1 12 3 2 3 2" xfId="14695" xr:uid="{00000000-0005-0000-0000-00005D2B0000}"/>
    <cellStyle name="40% - Accent1 12 3 2 3 2 2" xfId="38537" xr:uid="{F4B0982A-2A36-4B2C-8834-E0FFF5D795E2}"/>
    <cellStyle name="40% - Accent1 12 3 2 3 3" xfId="22642" xr:uid="{00000000-0005-0000-0000-00005E2B0000}"/>
    <cellStyle name="40% - Accent1 12 3 2 3 3 2" xfId="46474" xr:uid="{E77A7DF7-F8A6-46B2-9A98-148BAFB3B412}"/>
    <cellStyle name="40% - Accent1 12 3 2 3 4" xfId="30596" xr:uid="{F1E40424-36F4-4760-B329-A368799926CB}"/>
    <cellStyle name="40% - Accent1 12 3 2 4" xfId="11159" xr:uid="{00000000-0005-0000-0000-00005F2B0000}"/>
    <cellStyle name="40% - Accent1 12 3 2 4 2" xfId="35008" xr:uid="{918DA342-E550-4F5B-9B28-56140B4C19F3}"/>
    <cellStyle name="40% - Accent1 12 3 2 5" xfId="19114" xr:uid="{00000000-0005-0000-0000-0000602B0000}"/>
    <cellStyle name="40% - Accent1 12 3 2 5 2" xfId="42946" xr:uid="{002DC82D-E31B-4D32-8C0B-2A3D3D62EAF9}"/>
    <cellStyle name="40% - Accent1 12 3 2 6" xfId="27066" xr:uid="{3F0CBEFA-B6E2-40D2-8224-87F3C9C4879C}"/>
    <cellStyle name="40% - Accent1 12 3 2_Exh G" xfId="2700" xr:uid="{00000000-0005-0000-0000-0000612B0000}"/>
    <cellStyle name="40% - Accent1 12 3 3" xfId="4013" xr:uid="{00000000-0005-0000-0000-0000622B0000}"/>
    <cellStyle name="40% - Accent1 12 3 3 2" xfId="7605" xr:uid="{00000000-0005-0000-0000-0000632B0000}"/>
    <cellStyle name="40% - Accent1 12 3 3 2 2" xfId="15575" xr:uid="{00000000-0005-0000-0000-0000642B0000}"/>
    <cellStyle name="40% - Accent1 12 3 3 2 2 2" xfId="39417" xr:uid="{76BF15F3-9E61-4525-8617-E52CCC103F25}"/>
    <cellStyle name="40% - Accent1 12 3 3 2 3" xfId="23521" xr:uid="{00000000-0005-0000-0000-0000652B0000}"/>
    <cellStyle name="40% - Accent1 12 3 3 2 3 2" xfId="47353" xr:uid="{9E47AAF5-69E1-44E3-8041-3197587EC937}"/>
    <cellStyle name="40% - Accent1 12 3 3 2 4" xfId="31476" xr:uid="{81B03437-3612-4796-B0CD-8BAD1CDAFB14}"/>
    <cellStyle name="40% - Accent1 12 3 3 3" xfId="12037" xr:uid="{00000000-0005-0000-0000-0000662B0000}"/>
    <cellStyle name="40% - Accent1 12 3 3 3 2" xfId="35886" xr:uid="{0D90EA0F-5C54-481C-9352-43830F5B6722}"/>
    <cellStyle name="40% - Accent1 12 3 3 4" xfId="19992" xr:uid="{00000000-0005-0000-0000-0000672B0000}"/>
    <cellStyle name="40% - Accent1 12 3 3 4 2" xfId="43824" xr:uid="{07BA962F-997D-4C7B-8C19-10125236E187}"/>
    <cellStyle name="40% - Accent1 12 3 3 5" xfId="27945" xr:uid="{057932DB-8E29-448E-8D76-532657407673}"/>
    <cellStyle name="40% - Accent1 12 3 4" xfId="5833" xr:uid="{00000000-0005-0000-0000-0000682B0000}"/>
    <cellStyle name="40% - Accent1 12 3 4 2" xfId="13816" xr:uid="{00000000-0005-0000-0000-0000692B0000}"/>
    <cellStyle name="40% - Accent1 12 3 4 2 2" xfId="37659" xr:uid="{8D0272E6-5CCA-406D-8424-21C3FDD4A853}"/>
    <cellStyle name="40% - Accent1 12 3 4 3" xfId="21764" xr:uid="{00000000-0005-0000-0000-00006A2B0000}"/>
    <cellStyle name="40% - Accent1 12 3 4 3 2" xfId="45596" xr:uid="{17C97F00-7350-4463-AB26-C4C5AB71BDD2}"/>
    <cellStyle name="40% - Accent1 12 3 4 4" xfId="29718" xr:uid="{A65BE3B7-4FDE-41DF-87EB-54F5A916F84F}"/>
    <cellStyle name="40% - Accent1 12 3 5" xfId="9385" xr:uid="{00000000-0005-0000-0000-00006B2B0000}"/>
    <cellStyle name="40% - Accent1 12 3 5 2" xfId="17343" xr:uid="{00000000-0005-0000-0000-00006C2B0000}"/>
    <cellStyle name="40% - Accent1 12 3 5 2 2" xfId="41183" xr:uid="{EC944321-58B4-49B5-A334-36E67494892A}"/>
    <cellStyle name="40% - Accent1 12 3 5 3" xfId="25287" xr:uid="{00000000-0005-0000-0000-00006D2B0000}"/>
    <cellStyle name="40% - Accent1 12 3 5 3 2" xfId="49119" xr:uid="{78A0F900-2A32-4BEB-B0DC-367BA3CA203C}"/>
    <cellStyle name="40% - Accent1 12 3 5 4" xfId="33242" xr:uid="{1D01293A-CB2D-4518-9654-A03F6C4EAD4B}"/>
    <cellStyle name="40% - Accent1 12 3 6" xfId="10281" xr:uid="{00000000-0005-0000-0000-00006E2B0000}"/>
    <cellStyle name="40% - Accent1 12 3 6 2" xfId="34130" xr:uid="{8E5C28A5-F29C-435E-8197-AF20E14412AA}"/>
    <cellStyle name="40% - Accent1 12 3 7" xfId="18236" xr:uid="{00000000-0005-0000-0000-00006F2B0000}"/>
    <cellStyle name="40% - Accent1 12 3 7 2" xfId="42068" xr:uid="{2D163D5C-96F3-4693-A9E2-4C7D62BF6702}"/>
    <cellStyle name="40% - Accent1 12 3 8" xfId="26188" xr:uid="{F9B5B6E0-CE45-4CB0-9556-2FB220AC9950}"/>
    <cellStyle name="40% - Accent1 12 3_Exh G" xfId="2699" xr:uid="{00000000-0005-0000-0000-0000702B0000}"/>
    <cellStyle name="40% - Accent1 12 4" xfId="1362" xr:uid="{00000000-0005-0000-0000-0000712B0000}"/>
    <cellStyle name="40% - Accent1 12 4 2" xfId="4889" xr:uid="{00000000-0005-0000-0000-0000722B0000}"/>
    <cellStyle name="40% - Accent1 12 4 2 2" xfId="8480" xr:uid="{00000000-0005-0000-0000-0000732B0000}"/>
    <cellStyle name="40% - Accent1 12 4 2 2 2" xfId="16450" xr:uid="{00000000-0005-0000-0000-0000742B0000}"/>
    <cellStyle name="40% - Accent1 12 4 2 2 2 2" xfId="40292" xr:uid="{46061F55-9A78-4567-9470-6116FC8F8200}"/>
    <cellStyle name="40% - Accent1 12 4 2 2 3" xfId="24396" xr:uid="{00000000-0005-0000-0000-0000752B0000}"/>
    <cellStyle name="40% - Accent1 12 4 2 2 3 2" xfId="48228" xr:uid="{C97712C1-D889-4AEA-A6BC-D32A87588505}"/>
    <cellStyle name="40% - Accent1 12 4 2 2 4" xfId="32351" xr:uid="{928D969E-6FAF-4959-B31E-0A1ECA41BE96}"/>
    <cellStyle name="40% - Accent1 12 4 2 3" xfId="12912" xr:uid="{00000000-0005-0000-0000-0000762B0000}"/>
    <cellStyle name="40% - Accent1 12 4 2 3 2" xfId="36761" xr:uid="{29F4DC10-2029-4749-874B-E094E3931DDE}"/>
    <cellStyle name="40% - Accent1 12 4 2 4" xfId="20867" xr:uid="{00000000-0005-0000-0000-0000772B0000}"/>
    <cellStyle name="40% - Accent1 12 4 2 4 2" xfId="44699" xr:uid="{E2F9D8D9-4540-4ADB-B713-23D3CC0B6583}"/>
    <cellStyle name="40% - Accent1 12 4 2 5" xfId="28820" xr:uid="{73489031-2894-4243-BDB9-E9170D94B914}"/>
    <cellStyle name="40% - Accent1 12 4 3" xfId="6721" xr:uid="{00000000-0005-0000-0000-0000782B0000}"/>
    <cellStyle name="40% - Accent1 12 4 3 2" xfId="14692" xr:uid="{00000000-0005-0000-0000-0000792B0000}"/>
    <cellStyle name="40% - Accent1 12 4 3 2 2" xfId="38534" xr:uid="{A21C3345-2932-4D36-A578-AB0A6AD89C00}"/>
    <cellStyle name="40% - Accent1 12 4 3 3" xfId="22639" xr:uid="{00000000-0005-0000-0000-00007A2B0000}"/>
    <cellStyle name="40% - Accent1 12 4 3 3 2" xfId="46471" xr:uid="{1E6D5334-943A-4773-8628-72FEAA4C5FD9}"/>
    <cellStyle name="40% - Accent1 12 4 3 4" xfId="30593" xr:uid="{84280A14-D076-48DD-AF79-98D7F6936CC1}"/>
    <cellStyle name="40% - Accent1 12 4 4" xfId="11156" xr:uid="{00000000-0005-0000-0000-00007B2B0000}"/>
    <cellStyle name="40% - Accent1 12 4 4 2" xfId="35005" xr:uid="{76AC3F87-34B9-4188-856D-68742735CC02}"/>
    <cellStyle name="40% - Accent1 12 4 5" xfId="19111" xr:uid="{00000000-0005-0000-0000-00007C2B0000}"/>
    <cellStyle name="40% - Accent1 12 4 5 2" xfId="42943" xr:uid="{549F0378-0614-4A97-B218-9E1D58743501}"/>
    <cellStyle name="40% - Accent1 12 4 6" xfId="27063" xr:uid="{9551F7CF-EE44-4462-9408-06441A9770C4}"/>
    <cellStyle name="40% - Accent1 12 4_Exh G" xfId="2701" xr:uid="{00000000-0005-0000-0000-00007D2B0000}"/>
    <cellStyle name="40% - Accent1 12 5" xfId="4010" xr:uid="{00000000-0005-0000-0000-00007E2B0000}"/>
    <cellStyle name="40% - Accent1 12 5 2" xfId="7602" xr:uid="{00000000-0005-0000-0000-00007F2B0000}"/>
    <cellStyle name="40% - Accent1 12 5 2 2" xfId="15572" xr:uid="{00000000-0005-0000-0000-0000802B0000}"/>
    <cellStyle name="40% - Accent1 12 5 2 2 2" xfId="39414" xr:uid="{21EB9E85-70E3-4A34-B84C-B25BEE6DEA1B}"/>
    <cellStyle name="40% - Accent1 12 5 2 3" xfId="23518" xr:uid="{00000000-0005-0000-0000-0000812B0000}"/>
    <cellStyle name="40% - Accent1 12 5 2 3 2" xfId="47350" xr:uid="{353CBBCB-702D-4578-A871-0951F4D3C055}"/>
    <cellStyle name="40% - Accent1 12 5 2 4" xfId="31473" xr:uid="{53EC4EAA-3F1A-4C40-9B5A-B8A93A46AA21}"/>
    <cellStyle name="40% - Accent1 12 5 3" xfId="12034" xr:uid="{00000000-0005-0000-0000-0000822B0000}"/>
    <cellStyle name="40% - Accent1 12 5 3 2" xfId="35883" xr:uid="{F7B610E0-8687-4C08-8AF7-678863C58DD3}"/>
    <cellStyle name="40% - Accent1 12 5 4" xfId="19989" xr:uid="{00000000-0005-0000-0000-0000832B0000}"/>
    <cellStyle name="40% - Accent1 12 5 4 2" xfId="43821" xr:uid="{CE62FFE3-3A7C-4AFF-A9F4-9580BEA39FF0}"/>
    <cellStyle name="40% - Accent1 12 5 5" xfId="27942" xr:uid="{5E8159B8-123D-46FB-A366-F8FDD02ABC57}"/>
    <cellStyle name="40% - Accent1 12 6" xfId="5830" xr:uid="{00000000-0005-0000-0000-0000842B0000}"/>
    <cellStyle name="40% - Accent1 12 6 2" xfId="13813" xr:uid="{00000000-0005-0000-0000-0000852B0000}"/>
    <cellStyle name="40% - Accent1 12 6 2 2" xfId="37656" xr:uid="{8FD893D6-4793-4A33-85EA-C1065B95F6A1}"/>
    <cellStyle name="40% - Accent1 12 6 3" xfId="21761" xr:uid="{00000000-0005-0000-0000-0000862B0000}"/>
    <cellStyle name="40% - Accent1 12 6 3 2" xfId="45593" xr:uid="{5067B1CD-5A5F-4456-8DDF-16B8D31EDF82}"/>
    <cellStyle name="40% - Accent1 12 6 4" xfId="29715" xr:uid="{91061AB1-1015-4501-853C-ECA9F758BD3F}"/>
    <cellStyle name="40% - Accent1 12 7" xfId="9382" xr:uid="{00000000-0005-0000-0000-0000872B0000}"/>
    <cellStyle name="40% - Accent1 12 7 2" xfId="17340" xr:uid="{00000000-0005-0000-0000-0000882B0000}"/>
    <cellStyle name="40% - Accent1 12 7 2 2" xfId="41180" xr:uid="{84CBFEBD-FB33-4BB9-8668-61263DCEAB7E}"/>
    <cellStyle name="40% - Accent1 12 7 3" xfId="25284" xr:uid="{00000000-0005-0000-0000-0000892B0000}"/>
    <cellStyle name="40% - Accent1 12 7 3 2" xfId="49116" xr:uid="{DFE41AE0-DDF8-4F7F-89B1-76FAEFFB9B9B}"/>
    <cellStyle name="40% - Accent1 12 7 4" xfId="33239" xr:uid="{5CEBA8CA-8B3F-4CEB-81D2-BDA3B1CB9675}"/>
    <cellStyle name="40% - Accent1 12 8" xfId="10278" xr:uid="{00000000-0005-0000-0000-00008A2B0000}"/>
    <cellStyle name="40% - Accent1 12 8 2" xfId="34127" xr:uid="{86ACF1CD-301C-400D-AE76-300F4E810A83}"/>
    <cellStyle name="40% - Accent1 12 9" xfId="18233" xr:uid="{00000000-0005-0000-0000-00008B2B0000}"/>
    <cellStyle name="40% - Accent1 12 9 2" xfId="42065" xr:uid="{9BB80828-977B-418A-A372-07E64DF0AD9D}"/>
    <cellStyle name="40% - Accent1 12_Exh G" xfId="2694" xr:uid="{00000000-0005-0000-0000-00008C2B0000}"/>
    <cellStyle name="40% - Accent1 13" xfId="340" xr:uid="{00000000-0005-0000-0000-00008D2B0000}"/>
    <cellStyle name="40% - Accent1 13 10" xfId="26189" xr:uid="{2C21B766-B967-4053-845E-1CA9B5C19EED}"/>
    <cellStyle name="40% - Accent1 13 2" xfId="341" xr:uid="{00000000-0005-0000-0000-00008E2B0000}"/>
    <cellStyle name="40% - Accent1 13 2 2" xfId="342" xr:uid="{00000000-0005-0000-0000-00008F2B0000}"/>
    <cellStyle name="40% - Accent1 13 2 2 2" xfId="1368" xr:uid="{00000000-0005-0000-0000-0000902B0000}"/>
    <cellStyle name="40% - Accent1 13 2 2 2 2" xfId="4895" xr:uid="{00000000-0005-0000-0000-0000912B0000}"/>
    <cellStyle name="40% - Accent1 13 2 2 2 2 2" xfId="8486" xr:uid="{00000000-0005-0000-0000-0000922B0000}"/>
    <cellStyle name="40% - Accent1 13 2 2 2 2 2 2" xfId="16456" xr:uid="{00000000-0005-0000-0000-0000932B0000}"/>
    <cellStyle name="40% - Accent1 13 2 2 2 2 2 2 2" xfId="40298" xr:uid="{BB849AC3-DD5E-416A-B8F3-53C8CD04CA57}"/>
    <cellStyle name="40% - Accent1 13 2 2 2 2 2 3" xfId="24402" xr:uid="{00000000-0005-0000-0000-0000942B0000}"/>
    <cellStyle name="40% - Accent1 13 2 2 2 2 2 3 2" xfId="48234" xr:uid="{810C3568-4C9A-4700-AD35-37841B0DBF33}"/>
    <cellStyle name="40% - Accent1 13 2 2 2 2 2 4" xfId="32357" xr:uid="{20099A59-3B95-400F-B53E-7E0DD965DAE5}"/>
    <cellStyle name="40% - Accent1 13 2 2 2 2 3" xfId="12918" xr:uid="{00000000-0005-0000-0000-0000952B0000}"/>
    <cellStyle name="40% - Accent1 13 2 2 2 2 3 2" xfId="36767" xr:uid="{A1726E35-3E5E-48D0-871B-CB8A77DB0B6C}"/>
    <cellStyle name="40% - Accent1 13 2 2 2 2 4" xfId="20873" xr:uid="{00000000-0005-0000-0000-0000962B0000}"/>
    <cellStyle name="40% - Accent1 13 2 2 2 2 4 2" xfId="44705" xr:uid="{030FBF29-C529-4BFC-87A4-A87F56B05FAE}"/>
    <cellStyle name="40% - Accent1 13 2 2 2 2 5" xfId="28826" xr:uid="{85E58469-490D-4C1B-B8B6-79D585DB1577}"/>
    <cellStyle name="40% - Accent1 13 2 2 2 3" xfId="6727" xr:uid="{00000000-0005-0000-0000-0000972B0000}"/>
    <cellStyle name="40% - Accent1 13 2 2 2 3 2" xfId="14698" xr:uid="{00000000-0005-0000-0000-0000982B0000}"/>
    <cellStyle name="40% - Accent1 13 2 2 2 3 2 2" xfId="38540" xr:uid="{F4D07095-790A-4572-AFFF-946091C86373}"/>
    <cellStyle name="40% - Accent1 13 2 2 2 3 3" xfId="22645" xr:uid="{00000000-0005-0000-0000-0000992B0000}"/>
    <cellStyle name="40% - Accent1 13 2 2 2 3 3 2" xfId="46477" xr:uid="{C3378762-C000-4474-942F-77A79DCE60C2}"/>
    <cellStyle name="40% - Accent1 13 2 2 2 3 4" xfId="30599" xr:uid="{3F35CF47-7692-4E0B-9EAA-432E925098AE}"/>
    <cellStyle name="40% - Accent1 13 2 2 2 4" xfId="11162" xr:uid="{00000000-0005-0000-0000-00009A2B0000}"/>
    <cellStyle name="40% - Accent1 13 2 2 2 4 2" xfId="35011" xr:uid="{4587566A-ED7A-4F89-9E54-D5218BFBD168}"/>
    <cellStyle name="40% - Accent1 13 2 2 2 5" xfId="19117" xr:uid="{00000000-0005-0000-0000-00009B2B0000}"/>
    <cellStyle name="40% - Accent1 13 2 2 2 5 2" xfId="42949" xr:uid="{D7B1A5AB-A720-4B60-B679-AF1BE727462B}"/>
    <cellStyle name="40% - Accent1 13 2 2 2 6" xfId="27069" xr:uid="{977EFB63-B12B-433F-96CE-A0A5D098AF46}"/>
    <cellStyle name="40% - Accent1 13 2 2 2_Exh G" xfId="2705" xr:uid="{00000000-0005-0000-0000-00009C2B0000}"/>
    <cellStyle name="40% - Accent1 13 2 2 3" xfId="4016" xr:uid="{00000000-0005-0000-0000-00009D2B0000}"/>
    <cellStyle name="40% - Accent1 13 2 2 3 2" xfId="7608" xr:uid="{00000000-0005-0000-0000-00009E2B0000}"/>
    <cellStyle name="40% - Accent1 13 2 2 3 2 2" xfId="15578" xr:uid="{00000000-0005-0000-0000-00009F2B0000}"/>
    <cellStyle name="40% - Accent1 13 2 2 3 2 2 2" xfId="39420" xr:uid="{D3989951-0538-4CCE-8594-EDE114FE8266}"/>
    <cellStyle name="40% - Accent1 13 2 2 3 2 3" xfId="23524" xr:uid="{00000000-0005-0000-0000-0000A02B0000}"/>
    <cellStyle name="40% - Accent1 13 2 2 3 2 3 2" xfId="47356" xr:uid="{F493D0C4-D7E7-4B39-BD20-9DC4C6DD132A}"/>
    <cellStyle name="40% - Accent1 13 2 2 3 2 4" xfId="31479" xr:uid="{1CF6A0EB-9FA2-4C5B-86EC-382115D767B7}"/>
    <cellStyle name="40% - Accent1 13 2 2 3 3" xfId="12040" xr:uid="{00000000-0005-0000-0000-0000A12B0000}"/>
    <cellStyle name="40% - Accent1 13 2 2 3 3 2" xfId="35889" xr:uid="{0F808F9A-61EF-4F12-89D5-AF4D85ED0EAF}"/>
    <cellStyle name="40% - Accent1 13 2 2 3 4" xfId="19995" xr:uid="{00000000-0005-0000-0000-0000A22B0000}"/>
    <cellStyle name="40% - Accent1 13 2 2 3 4 2" xfId="43827" xr:uid="{CC0CB5EB-1BBF-4794-A4BB-5D8286375ADB}"/>
    <cellStyle name="40% - Accent1 13 2 2 3 5" xfId="27948" xr:uid="{5693054A-3752-4058-8EEF-00847961A942}"/>
    <cellStyle name="40% - Accent1 13 2 2 4" xfId="5836" xr:uid="{00000000-0005-0000-0000-0000A32B0000}"/>
    <cellStyle name="40% - Accent1 13 2 2 4 2" xfId="13819" xr:uid="{00000000-0005-0000-0000-0000A42B0000}"/>
    <cellStyle name="40% - Accent1 13 2 2 4 2 2" xfId="37662" xr:uid="{A2C68EA7-E12C-44D5-AE41-35B0984AE716}"/>
    <cellStyle name="40% - Accent1 13 2 2 4 3" xfId="21767" xr:uid="{00000000-0005-0000-0000-0000A52B0000}"/>
    <cellStyle name="40% - Accent1 13 2 2 4 3 2" xfId="45599" xr:uid="{4D462447-EC3F-4F9D-9CA4-515DEF8DC37C}"/>
    <cellStyle name="40% - Accent1 13 2 2 4 4" xfId="29721" xr:uid="{0801D0B7-A200-4EDC-95CE-3A76F07EBE2B}"/>
    <cellStyle name="40% - Accent1 13 2 2 5" xfId="9388" xr:uid="{00000000-0005-0000-0000-0000A62B0000}"/>
    <cellStyle name="40% - Accent1 13 2 2 5 2" xfId="17346" xr:uid="{00000000-0005-0000-0000-0000A72B0000}"/>
    <cellStyle name="40% - Accent1 13 2 2 5 2 2" xfId="41186" xr:uid="{D7E1C4C2-FE32-49DB-8FF2-16C6F1C8F3A3}"/>
    <cellStyle name="40% - Accent1 13 2 2 5 3" xfId="25290" xr:uid="{00000000-0005-0000-0000-0000A82B0000}"/>
    <cellStyle name="40% - Accent1 13 2 2 5 3 2" xfId="49122" xr:uid="{6555DEB4-ACE4-42C6-B00E-975CC17EB7B8}"/>
    <cellStyle name="40% - Accent1 13 2 2 5 4" xfId="33245" xr:uid="{AD9D108F-8F1B-4EC2-8E28-50F26890447B}"/>
    <cellStyle name="40% - Accent1 13 2 2 6" xfId="10284" xr:uid="{00000000-0005-0000-0000-0000A92B0000}"/>
    <cellStyle name="40% - Accent1 13 2 2 6 2" xfId="34133" xr:uid="{B25582CC-6621-44E9-8066-2DA3A915CAC4}"/>
    <cellStyle name="40% - Accent1 13 2 2 7" xfId="18239" xr:uid="{00000000-0005-0000-0000-0000AA2B0000}"/>
    <cellStyle name="40% - Accent1 13 2 2 7 2" xfId="42071" xr:uid="{70CD03C0-53E7-4C22-923A-A76FFF3E6DDE}"/>
    <cellStyle name="40% - Accent1 13 2 2 8" xfId="26191" xr:uid="{BBABA065-3982-455F-AE3B-9C0A8E34D1D2}"/>
    <cellStyle name="40% - Accent1 13 2 2_Exh G" xfId="2704" xr:uid="{00000000-0005-0000-0000-0000AB2B0000}"/>
    <cellStyle name="40% - Accent1 13 2 3" xfId="1367" xr:uid="{00000000-0005-0000-0000-0000AC2B0000}"/>
    <cellStyle name="40% - Accent1 13 2 3 2" xfId="4894" xr:uid="{00000000-0005-0000-0000-0000AD2B0000}"/>
    <cellStyle name="40% - Accent1 13 2 3 2 2" xfId="8485" xr:uid="{00000000-0005-0000-0000-0000AE2B0000}"/>
    <cellStyle name="40% - Accent1 13 2 3 2 2 2" xfId="16455" xr:uid="{00000000-0005-0000-0000-0000AF2B0000}"/>
    <cellStyle name="40% - Accent1 13 2 3 2 2 2 2" xfId="40297" xr:uid="{FBF68C03-0DC4-4424-81E8-EFB230778A79}"/>
    <cellStyle name="40% - Accent1 13 2 3 2 2 3" xfId="24401" xr:uid="{00000000-0005-0000-0000-0000B02B0000}"/>
    <cellStyle name="40% - Accent1 13 2 3 2 2 3 2" xfId="48233" xr:uid="{0B17B63E-D9B7-4EFE-8613-4C0D80D7EF33}"/>
    <cellStyle name="40% - Accent1 13 2 3 2 2 4" xfId="32356" xr:uid="{803C5EC8-978F-4068-8B9B-7E89FCA9653A}"/>
    <cellStyle name="40% - Accent1 13 2 3 2 3" xfId="12917" xr:uid="{00000000-0005-0000-0000-0000B12B0000}"/>
    <cellStyle name="40% - Accent1 13 2 3 2 3 2" xfId="36766" xr:uid="{F80A533A-EE95-4F1B-9A12-619E8053B3EA}"/>
    <cellStyle name="40% - Accent1 13 2 3 2 4" xfId="20872" xr:uid="{00000000-0005-0000-0000-0000B22B0000}"/>
    <cellStyle name="40% - Accent1 13 2 3 2 4 2" xfId="44704" xr:uid="{26A67A88-7AD1-4911-A6E2-FF06FF8581F4}"/>
    <cellStyle name="40% - Accent1 13 2 3 2 5" xfId="28825" xr:uid="{A530E86C-6F08-4D2A-AF5C-236445E92BA1}"/>
    <cellStyle name="40% - Accent1 13 2 3 3" xfId="6726" xr:uid="{00000000-0005-0000-0000-0000B32B0000}"/>
    <cellStyle name="40% - Accent1 13 2 3 3 2" xfId="14697" xr:uid="{00000000-0005-0000-0000-0000B42B0000}"/>
    <cellStyle name="40% - Accent1 13 2 3 3 2 2" xfId="38539" xr:uid="{3D7BD96A-4DBE-46CC-AA34-1EE96F58800F}"/>
    <cellStyle name="40% - Accent1 13 2 3 3 3" xfId="22644" xr:uid="{00000000-0005-0000-0000-0000B52B0000}"/>
    <cellStyle name="40% - Accent1 13 2 3 3 3 2" xfId="46476" xr:uid="{1C0D4D61-8F70-4655-95AD-E2901B546B1C}"/>
    <cellStyle name="40% - Accent1 13 2 3 3 4" xfId="30598" xr:uid="{5C7A7293-26EF-4889-856C-7CCE7A5B4B43}"/>
    <cellStyle name="40% - Accent1 13 2 3 4" xfId="11161" xr:uid="{00000000-0005-0000-0000-0000B62B0000}"/>
    <cellStyle name="40% - Accent1 13 2 3 4 2" xfId="35010" xr:uid="{897C5E3E-181D-4E1A-9833-A2F199DD21D6}"/>
    <cellStyle name="40% - Accent1 13 2 3 5" xfId="19116" xr:uid="{00000000-0005-0000-0000-0000B72B0000}"/>
    <cellStyle name="40% - Accent1 13 2 3 5 2" xfId="42948" xr:uid="{AE483599-D96B-4A8A-9495-36DAF46C5945}"/>
    <cellStyle name="40% - Accent1 13 2 3 6" xfId="27068" xr:uid="{7F0BB576-18F5-40FA-87DF-C93E46942806}"/>
    <cellStyle name="40% - Accent1 13 2 3_Exh G" xfId="2706" xr:uid="{00000000-0005-0000-0000-0000B82B0000}"/>
    <cellStyle name="40% - Accent1 13 2 4" xfId="4015" xr:uid="{00000000-0005-0000-0000-0000B92B0000}"/>
    <cellStyle name="40% - Accent1 13 2 4 2" xfId="7607" xr:uid="{00000000-0005-0000-0000-0000BA2B0000}"/>
    <cellStyle name="40% - Accent1 13 2 4 2 2" xfId="15577" xr:uid="{00000000-0005-0000-0000-0000BB2B0000}"/>
    <cellStyle name="40% - Accent1 13 2 4 2 2 2" xfId="39419" xr:uid="{3089157A-E08D-4875-B279-4F2B7104D6D9}"/>
    <cellStyle name="40% - Accent1 13 2 4 2 3" xfId="23523" xr:uid="{00000000-0005-0000-0000-0000BC2B0000}"/>
    <cellStyle name="40% - Accent1 13 2 4 2 3 2" xfId="47355" xr:uid="{CC72C3D7-E22D-46AC-A286-43428C22EC16}"/>
    <cellStyle name="40% - Accent1 13 2 4 2 4" xfId="31478" xr:uid="{F3FD648B-D7CE-4CB6-8757-43E40E495B42}"/>
    <cellStyle name="40% - Accent1 13 2 4 3" xfId="12039" xr:uid="{00000000-0005-0000-0000-0000BD2B0000}"/>
    <cellStyle name="40% - Accent1 13 2 4 3 2" xfId="35888" xr:uid="{ADA8B473-BE63-4B5C-A2E6-6B241562789C}"/>
    <cellStyle name="40% - Accent1 13 2 4 4" xfId="19994" xr:uid="{00000000-0005-0000-0000-0000BE2B0000}"/>
    <cellStyle name="40% - Accent1 13 2 4 4 2" xfId="43826" xr:uid="{713281C4-0FC4-4A8C-9DAE-80806993170F}"/>
    <cellStyle name="40% - Accent1 13 2 4 5" xfId="27947" xr:uid="{A2145C60-1776-4565-9BA3-4911C90FC571}"/>
    <cellStyle name="40% - Accent1 13 2 5" xfId="5835" xr:uid="{00000000-0005-0000-0000-0000BF2B0000}"/>
    <cellStyle name="40% - Accent1 13 2 5 2" xfId="13818" xr:uid="{00000000-0005-0000-0000-0000C02B0000}"/>
    <cellStyle name="40% - Accent1 13 2 5 2 2" xfId="37661" xr:uid="{D58389E3-A272-493F-8355-4C88E8E76DCA}"/>
    <cellStyle name="40% - Accent1 13 2 5 3" xfId="21766" xr:uid="{00000000-0005-0000-0000-0000C12B0000}"/>
    <cellStyle name="40% - Accent1 13 2 5 3 2" xfId="45598" xr:uid="{981753CD-B1B7-4033-BE3C-408969F8DA4E}"/>
    <cellStyle name="40% - Accent1 13 2 5 4" xfId="29720" xr:uid="{15703DB4-12A3-4CBE-A222-F912D91844E3}"/>
    <cellStyle name="40% - Accent1 13 2 6" xfId="9387" xr:uid="{00000000-0005-0000-0000-0000C22B0000}"/>
    <cellStyle name="40% - Accent1 13 2 6 2" xfId="17345" xr:uid="{00000000-0005-0000-0000-0000C32B0000}"/>
    <cellStyle name="40% - Accent1 13 2 6 2 2" xfId="41185" xr:uid="{36BFB176-F9CC-4B99-993A-B2198FE39780}"/>
    <cellStyle name="40% - Accent1 13 2 6 3" xfId="25289" xr:uid="{00000000-0005-0000-0000-0000C42B0000}"/>
    <cellStyle name="40% - Accent1 13 2 6 3 2" xfId="49121" xr:uid="{2257AD02-FF66-46DB-83DC-0B41AE4DA72F}"/>
    <cellStyle name="40% - Accent1 13 2 6 4" xfId="33244" xr:uid="{FB4467FF-BDA1-4E6C-ACD8-4E52F02B65AA}"/>
    <cellStyle name="40% - Accent1 13 2 7" xfId="10283" xr:uid="{00000000-0005-0000-0000-0000C52B0000}"/>
    <cellStyle name="40% - Accent1 13 2 7 2" xfId="34132" xr:uid="{31987023-ED8E-4482-BA31-84081143F987}"/>
    <cellStyle name="40% - Accent1 13 2 8" xfId="18238" xr:uid="{00000000-0005-0000-0000-0000C62B0000}"/>
    <cellStyle name="40% - Accent1 13 2 8 2" xfId="42070" xr:uid="{842CC0FD-7BE4-4934-A967-02E73F4AEF3F}"/>
    <cellStyle name="40% - Accent1 13 2 9" xfId="26190" xr:uid="{2350C1A6-453C-456E-B2C2-BDB22B15FC84}"/>
    <cellStyle name="40% - Accent1 13 2_Exh G" xfId="2703" xr:uid="{00000000-0005-0000-0000-0000C72B0000}"/>
    <cellStyle name="40% - Accent1 13 3" xfId="343" xr:uid="{00000000-0005-0000-0000-0000C82B0000}"/>
    <cellStyle name="40% - Accent1 13 3 2" xfId="1369" xr:uid="{00000000-0005-0000-0000-0000C92B0000}"/>
    <cellStyle name="40% - Accent1 13 3 2 2" xfId="4896" xr:uid="{00000000-0005-0000-0000-0000CA2B0000}"/>
    <cellStyle name="40% - Accent1 13 3 2 2 2" xfId="8487" xr:uid="{00000000-0005-0000-0000-0000CB2B0000}"/>
    <cellStyle name="40% - Accent1 13 3 2 2 2 2" xfId="16457" xr:uid="{00000000-0005-0000-0000-0000CC2B0000}"/>
    <cellStyle name="40% - Accent1 13 3 2 2 2 2 2" xfId="40299" xr:uid="{0B090B7D-E450-47F8-99F6-479FA58FAAE1}"/>
    <cellStyle name="40% - Accent1 13 3 2 2 2 3" xfId="24403" xr:uid="{00000000-0005-0000-0000-0000CD2B0000}"/>
    <cellStyle name="40% - Accent1 13 3 2 2 2 3 2" xfId="48235" xr:uid="{840F0EA7-7C48-4DB9-94A7-75C6BF799121}"/>
    <cellStyle name="40% - Accent1 13 3 2 2 2 4" xfId="32358" xr:uid="{145E36FE-C2F6-4C3A-B036-AD6B53EB2D9E}"/>
    <cellStyle name="40% - Accent1 13 3 2 2 3" xfId="12919" xr:uid="{00000000-0005-0000-0000-0000CE2B0000}"/>
    <cellStyle name="40% - Accent1 13 3 2 2 3 2" xfId="36768" xr:uid="{5740A999-EFB1-49B8-9276-60692089A51E}"/>
    <cellStyle name="40% - Accent1 13 3 2 2 4" xfId="20874" xr:uid="{00000000-0005-0000-0000-0000CF2B0000}"/>
    <cellStyle name="40% - Accent1 13 3 2 2 4 2" xfId="44706" xr:uid="{D46ABEA6-CBC5-41D6-B09A-A4BFA7B47CE9}"/>
    <cellStyle name="40% - Accent1 13 3 2 2 5" xfId="28827" xr:uid="{A48D628B-30A4-422E-9220-47087E102EC8}"/>
    <cellStyle name="40% - Accent1 13 3 2 3" xfId="6728" xr:uid="{00000000-0005-0000-0000-0000D02B0000}"/>
    <cellStyle name="40% - Accent1 13 3 2 3 2" xfId="14699" xr:uid="{00000000-0005-0000-0000-0000D12B0000}"/>
    <cellStyle name="40% - Accent1 13 3 2 3 2 2" xfId="38541" xr:uid="{7953161B-5E31-40AD-9EEB-B69A8DF42058}"/>
    <cellStyle name="40% - Accent1 13 3 2 3 3" xfId="22646" xr:uid="{00000000-0005-0000-0000-0000D22B0000}"/>
    <cellStyle name="40% - Accent1 13 3 2 3 3 2" xfId="46478" xr:uid="{889BE76B-1FBB-4EF4-B562-93D082D4B4E7}"/>
    <cellStyle name="40% - Accent1 13 3 2 3 4" xfId="30600" xr:uid="{D3E17CFF-1611-406F-8CD2-4A3C5B576D91}"/>
    <cellStyle name="40% - Accent1 13 3 2 4" xfId="11163" xr:uid="{00000000-0005-0000-0000-0000D32B0000}"/>
    <cellStyle name="40% - Accent1 13 3 2 4 2" xfId="35012" xr:uid="{48DD4CB2-9B19-4861-9B14-7E2CEC94036A}"/>
    <cellStyle name="40% - Accent1 13 3 2 5" xfId="19118" xr:uid="{00000000-0005-0000-0000-0000D42B0000}"/>
    <cellStyle name="40% - Accent1 13 3 2 5 2" xfId="42950" xr:uid="{5DF88025-F114-4A48-9033-4AB357DEBB3D}"/>
    <cellStyle name="40% - Accent1 13 3 2 6" xfId="27070" xr:uid="{EFA4F098-7185-457A-AF42-DF97C9EAC3F7}"/>
    <cellStyle name="40% - Accent1 13 3 2_Exh G" xfId="2708" xr:uid="{00000000-0005-0000-0000-0000D52B0000}"/>
    <cellStyle name="40% - Accent1 13 3 3" xfId="4017" xr:uid="{00000000-0005-0000-0000-0000D62B0000}"/>
    <cellStyle name="40% - Accent1 13 3 3 2" xfId="7609" xr:uid="{00000000-0005-0000-0000-0000D72B0000}"/>
    <cellStyle name="40% - Accent1 13 3 3 2 2" xfId="15579" xr:uid="{00000000-0005-0000-0000-0000D82B0000}"/>
    <cellStyle name="40% - Accent1 13 3 3 2 2 2" xfId="39421" xr:uid="{B103BF23-9824-4AE2-92CE-35BC70713FD7}"/>
    <cellStyle name="40% - Accent1 13 3 3 2 3" xfId="23525" xr:uid="{00000000-0005-0000-0000-0000D92B0000}"/>
    <cellStyle name="40% - Accent1 13 3 3 2 3 2" xfId="47357" xr:uid="{8FD811B3-952E-4716-ABEC-D8E637B9559A}"/>
    <cellStyle name="40% - Accent1 13 3 3 2 4" xfId="31480" xr:uid="{E8784582-2162-40DD-89BE-22DCD6DBCF16}"/>
    <cellStyle name="40% - Accent1 13 3 3 3" xfId="12041" xr:uid="{00000000-0005-0000-0000-0000DA2B0000}"/>
    <cellStyle name="40% - Accent1 13 3 3 3 2" xfId="35890" xr:uid="{B8620DF2-EEE6-41AA-8982-F0BC84BC337A}"/>
    <cellStyle name="40% - Accent1 13 3 3 4" xfId="19996" xr:uid="{00000000-0005-0000-0000-0000DB2B0000}"/>
    <cellStyle name="40% - Accent1 13 3 3 4 2" xfId="43828" xr:uid="{32A6352F-F417-4AC4-B1E0-0BF872390950}"/>
    <cellStyle name="40% - Accent1 13 3 3 5" xfId="27949" xr:uid="{6FA11932-932D-4DE0-9FC6-6564193F818C}"/>
    <cellStyle name="40% - Accent1 13 3 4" xfId="5837" xr:uid="{00000000-0005-0000-0000-0000DC2B0000}"/>
    <cellStyle name="40% - Accent1 13 3 4 2" xfId="13820" xr:uid="{00000000-0005-0000-0000-0000DD2B0000}"/>
    <cellStyle name="40% - Accent1 13 3 4 2 2" xfId="37663" xr:uid="{81646C8C-75BB-4B39-8D30-E359736F71A4}"/>
    <cellStyle name="40% - Accent1 13 3 4 3" xfId="21768" xr:uid="{00000000-0005-0000-0000-0000DE2B0000}"/>
    <cellStyle name="40% - Accent1 13 3 4 3 2" xfId="45600" xr:uid="{08DEF4A6-E917-4617-9E3A-E07F3A409465}"/>
    <cellStyle name="40% - Accent1 13 3 4 4" xfId="29722" xr:uid="{B66920E2-2D1C-45A7-8903-BF09640404EF}"/>
    <cellStyle name="40% - Accent1 13 3 5" xfId="9389" xr:uid="{00000000-0005-0000-0000-0000DF2B0000}"/>
    <cellStyle name="40% - Accent1 13 3 5 2" xfId="17347" xr:uid="{00000000-0005-0000-0000-0000E02B0000}"/>
    <cellStyle name="40% - Accent1 13 3 5 2 2" xfId="41187" xr:uid="{F2D62BBA-6DCA-45C8-A875-D02023E08D20}"/>
    <cellStyle name="40% - Accent1 13 3 5 3" xfId="25291" xr:uid="{00000000-0005-0000-0000-0000E12B0000}"/>
    <cellStyle name="40% - Accent1 13 3 5 3 2" xfId="49123" xr:uid="{B5F6D43F-E363-4F32-A27D-88B412340A13}"/>
    <cellStyle name="40% - Accent1 13 3 5 4" xfId="33246" xr:uid="{52EDDAA4-F6F6-45B4-AE43-BFA882EAB1F0}"/>
    <cellStyle name="40% - Accent1 13 3 6" xfId="10285" xr:uid="{00000000-0005-0000-0000-0000E22B0000}"/>
    <cellStyle name="40% - Accent1 13 3 6 2" xfId="34134" xr:uid="{117FAE46-B229-41B2-9BC6-388DBC4F73C1}"/>
    <cellStyle name="40% - Accent1 13 3 7" xfId="18240" xr:uid="{00000000-0005-0000-0000-0000E32B0000}"/>
    <cellStyle name="40% - Accent1 13 3 7 2" xfId="42072" xr:uid="{04F96D19-731B-4C08-861E-EB35E1070790}"/>
    <cellStyle name="40% - Accent1 13 3 8" xfId="26192" xr:uid="{F3431723-075C-4293-9D09-B68B8B0F1D64}"/>
    <cellStyle name="40% - Accent1 13 3_Exh G" xfId="2707" xr:uid="{00000000-0005-0000-0000-0000E42B0000}"/>
    <cellStyle name="40% - Accent1 13 4" xfId="1366" xr:uid="{00000000-0005-0000-0000-0000E52B0000}"/>
    <cellStyle name="40% - Accent1 13 4 2" xfId="4893" xr:uid="{00000000-0005-0000-0000-0000E62B0000}"/>
    <cellStyle name="40% - Accent1 13 4 2 2" xfId="8484" xr:uid="{00000000-0005-0000-0000-0000E72B0000}"/>
    <cellStyle name="40% - Accent1 13 4 2 2 2" xfId="16454" xr:uid="{00000000-0005-0000-0000-0000E82B0000}"/>
    <cellStyle name="40% - Accent1 13 4 2 2 2 2" xfId="40296" xr:uid="{BDABF43C-8EB8-4A53-8A2D-D0E84FBF5261}"/>
    <cellStyle name="40% - Accent1 13 4 2 2 3" xfId="24400" xr:uid="{00000000-0005-0000-0000-0000E92B0000}"/>
    <cellStyle name="40% - Accent1 13 4 2 2 3 2" xfId="48232" xr:uid="{9223A466-60C0-4386-A7F4-4015F924BE20}"/>
    <cellStyle name="40% - Accent1 13 4 2 2 4" xfId="32355" xr:uid="{CA1D1423-CC8C-4352-9D31-4E20D721608A}"/>
    <cellStyle name="40% - Accent1 13 4 2 3" xfId="12916" xr:uid="{00000000-0005-0000-0000-0000EA2B0000}"/>
    <cellStyle name="40% - Accent1 13 4 2 3 2" xfId="36765" xr:uid="{7D5228E4-4E5F-4AC5-8714-5A7BE9A99DBF}"/>
    <cellStyle name="40% - Accent1 13 4 2 4" xfId="20871" xr:uid="{00000000-0005-0000-0000-0000EB2B0000}"/>
    <cellStyle name="40% - Accent1 13 4 2 4 2" xfId="44703" xr:uid="{CB46A262-D70E-4DCC-8EB6-38049329CF38}"/>
    <cellStyle name="40% - Accent1 13 4 2 5" xfId="28824" xr:uid="{FC05D7CD-EA9B-414A-8465-62191824B876}"/>
    <cellStyle name="40% - Accent1 13 4 3" xfId="6725" xr:uid="{00000000-0005-0000-0000-0000EC2B0000}"/>
    <cellStyle name="40% - Accent1 13 4 3 2" xfId="14696" xr:uid="{00000000-0005-0000-0000-0000ED2B0000}"/>
    <cellStyle name="40% - Accent1 13 4 3 2 2" xfId="38538" xr:uid="{D4454728-E1D7-4E52-8773-60281EDAF1A4}"/>
    <cellStyle name="40% - Accent1 13 4 3 3" xfId="22643" xr:uid="{00000000-0005-0000-0000-0000EE2B0000}"/>
    <cellStyle name="40% - Accent1 13 4 3 3 2" xfId="46475" xr:uid="{14295F8A-AB74-48E8-A499-1F9EE9527532}"/>
    <cellStyle name="40% - Accent1 13 4 3 4" xfId="30597" xr:uid="{644C5A83-6E6F-4650-97D2-A4213FD74B7E}"/>
    <cellStyle name="40% - Accent1 13 4 4" xfId="11160" xr:uid="{00000000-0005-0000-0000-0000EF2B0000}"/>
    <cellStyle name="40% - Accent1 13 4 4 2" xfId="35009" xr:uid="{968FFA09-5044-4BF9-BA3B-8CC53CE3F46F}"/>
    <cellStyle name="40% - Accent1 13 4 5" xfId="19115" xr:uid="{00000000-0005-0000-0000-0000F02B0000}"/>
    <cellStyle name="40% - Accent1 13 4 5 2" xfId="42947" xr:uid="{BF3BE0BC-DE0F-4D08-BC55-5307635871F7}"/>
    <cellStyle name="40% - Accent1 13 4 6" xfId="27067" xr:uid="{4F1786F0-A750-49FC-834F-B1C634AF247C}"/>
    <cellStyle name="40% - Accent1 13 4_Exh G" xfId="2709" xr:uid="{00000000-0005-0000-0000-0000F12B0000}"/>
    <cellStyle name="40% - Accent1 13 5" xfId="4014" xr:uid="{00000000-0005-0000-0000-0000F22B0000}"/>
    <cellStyle name="40% - Accent1 13 5 2" xfId="7606" xr:uid="{00000000-0005-0000-0000-0000F32B0000}"/>
    <cellStyle name="40% - Accent1 13 5 2 2" xfId="15576" xr:uid="{00000000-0005-0000-0000-0000F42B0000}"/>
    <cellStyle name="40% - Accent1 13 5 2 2 2" xfId="39418" xr:uid="{6AB7D7D2-8AED-4618-98A8-7AD2DAE2FDF8}"/>
    <cellStyle name="40% - Accent1 13 5 2 3" xfId="23522" xr:uid="{00000000-0005-0000-0000-0000F52B0000}"/>
    <cellStyle name="40% - Accent1 13 5 2 3 2" xfId="47354" xr:uid="{20157C17-BBC4-46F2-AED5-FA36FB426943}"/>
    <cellStyle name="40% - Accent1 13 5 2 4" xfId="31477" xr:uid="{CD588764-DB34-4A71-B415-92EB52A6B60C}"/>
    <cellStyle name="40% - Accent1 13 5 3" xfId="12038" xr:uid="{00000000-0005-0000-0000-0000F62B0000}"/>
    <cellStyle name="40% - Accent1 13 5 3 2" xfId="35887" xr:uid="{115DB61A-2FD3-4106-9716-BFA5AE6665A0}"/>
    <cellStyle name="40% - Accent1 13 5 4" xfId="19993" xr:uid="{00000000-0005-0000-0000-0000F72B0000}"/>
    <cellStyle name="40% - Accent1 13 5 4 2" xfId="43825" xr:uid="{FD2DBC47-5EE1-4192-B8D7-187885C001E0}"/>
    <cellStyle name="40% - Accent1 13 5 5" xfId="27946" xr:uid="{D8BE9E2A-CBE4-4489-A429-CE96371EBCD2}"/>
    <cellStyle name="40% - Accent1 13 6" xfId="5834" xr:uid="{00000000-0005-0000-0000-0000F82B0000}"/>
    <cellStyle name="40% - Accent1 13 6 2" xfId="13817" xr:uid="{00000000-0005-0000-0000-0000F92B0000}"/>
    <cellStyle name="40% - Accent1 13 6 2 2" xfId="37660" xr:uid="{36832408-6B5D-4779-9A2F-47DB71BC4B62}"/>
    <cellStyle name="40% - Accent1 13 6 3" xfId="21765" xr:uid="{00000000-0005-0000-0000-0000FA2B0000}"/>
    <cellStyle name="40% - Accent1 13 6 3 2" xfId="45597" xr:uid="{8F4118C1-F98C-4851-9C2B-B8AD40A0AF04}"/>
    <cellStyle name="40% - Accent1 13 6 4" xfId="29719" xr:uid="{9CF5D26D-2DE1-4BB1-972A-6A417C5F1BA9}"/>
    <cellStyle name="40% - Accent1 13 7" xfId="9386" xr:uid="{00000000-0005-0000-0000-0000FB2B0000}"/>
    <cellStyle name="40% - Accent1 13 7 2" xfId="17344" xr:uid="{00000000-0005-0000-0000-0000FC2B0000}"/>
    <cellStyle name="40% - Accent1 13 7 2 2" xfId="41184" xr:uid="{64CA04ED-CC93-4A56-A105-0ADB6FF812E8}"/>
    <cellStyle name="40% - Accent1 13 7 3" xfId="25288" xr:uid="{00000000-0005-0000-0000-0000FD2B0000}"/>
    <cellStyle name="40% - Accent1 13 7 3 2" xfId="49120" xr:uid="{9B2762D8-A960-4769-AFC0-618E8DE0CC89}"/>
    <cellStyle name="40% - Accent1 13 7 4" xfId="33243" xr:uid="{4DB92423-8189-48F1-8234-C217F4C1E624}"/>
    <cellStyle name="40% - Accent1 13 8" xfId="10282" xr:uid="{00000000-0005-0000-0000-0000FE2B0000}"/>
    <cellStyle name="40% - Accent1 13 8 2" xfId="34131" xr:uid="{2DC67374-2058-40B6-8F9E-EC06F5DBD2CD}"/>
    <cellStyle name="40% - Accent1 13 9" xfId="18237" xr:uid="{00000000-0005-0000-0000-0000FF2B0000}"/>
    <cellStyle name="40% - Accent1 13 9 2" xfId="42069" xr:uid="{A04B8B70-4B97-41A9-8204-A6C83D7641F7}"/>
    <cellStyle name="40% - Accent1 13_Exh G" xfId="2702" xr:uid="{00000000-0005-0000-0000-0000002C0000}"/>
    <cellStyle name="40% - Accent1 14" xfId="344" xr:uid="{00000000-0005-0000-0000-0000012C0000}"/>
    <cellStyle name="40% - Accent1 14 2" xfId="345" xr:uid="{00000000-0005-0000-0000-0000022C0000}"/>
    <cellStyle name="40% - Accent1 14 2 2" xfId="1371" xr:uid="{00000000-0005-0000-0000-0000032C0000}"/>
    <cellStyle name="40% - Accent1 14 2 2 2" xfId="4898" xr:uid="{00000000-0005-0000-0000-0000042C0000}"/>
    <cellStyle name="40% - Accent1 14 2 2 2 2" xfId="8489" xr:uid="{00000000-0005-0000-0000-0000052C0000}"/>
    <cellStyle name="40% - Accent1 14 2 2 2 2 2" xfId="16459" xr:uid="{00000000-0005-0000-0000-0000062C0000}"/>
    <cellStyle name="40% - Accent1 14 2 2 2 2 2 2" xfId="40301" xr:uid="{87104470-A657-4AB2-B327-A51AFC763C69}"/>
    <cellStyle name="40% - Accent1 14 2 2 2 2 3" xfId="24405" xr:uid="{00000000-0005-0000-0000-0000072C0000}"/>
    <cellStyle name="40% - Accent1 14 2 2 2 2 3 2" xfId="48237" xr:uid="{E17CF2D2-14C2-4C99-A30F-EE2C8767C7B1}"/>
    <cellStyle name="40% - Accent1 14 2 2 2 2 4" xfId="32360" xr:uid="{FED0B036-C2EB-44C4-B1E8-4BC976F99A70}"/>
    <cellStyle name="40% - Accent1 14 2 2 2 3" xfId="12921" xr:uid="{00000000-0005-0000-0000-0000082C0000}"/>
    <cellStyle name="40% - Accent1 14 2 2 2 3 2" xfId="36770" xr:uid="{FDCF2673-A205-4E2E-B412-B3CFF5CE49B0}"/>
    <cellStyle name="40% - Accent1 14 2 2 2 4" xfId="20876" xr:uid="{00000000-0005-0000-0000-0000092C0000}"/>
    <cellStyle name="40% - Accent1 14 2 2 2 4 2" xfId="44708" xr:uid="{1BD2FCA3-5C04-44BE-A058-C5A55AC0C9B4}"/>
    <cellStyle name="40% - Accent1 14 2 2 2 5" xfId="28829" xr:uid="{097431BF-497A-4978-8AAD-87BD15BE4DB0}"/>
    <cellStyle name="40% - Accent1 14 2 2 3" xfId="6730" xr:uid="{00000000-0005-0000-0000-00000A2C0000}"/>
    <cellStyle name="40% - Accent1 14 2 2 3 2" xfId="14701" xr:uid="{00000000-0005-0000-0000-00000B2C0000}"/>
    <cellStyle name="40% - Accent1 14 2 2 3 2 2" xfId="38543" xr:uid="{CB781DE5-CBFE-4F2D-9126-680D9827DB86}"/>
    <cellStyle name="40% - Accent1 14 2 2 3 3" xfId="22648" xr:uid="{00000000-0005-0000-0000-00000C2C0000}"/>
    <cellStyle name="40% - Accent1 14 2 2 3 3 2" xfId="46480" xr:uid="{E3A2A9D2-47F2-421E-B951-2A5C364A228B}"/>
    <cellStyle name="40% - Accent1 14 2 2 3 4" xfId="30602" xr:uid="{AF977612-F4BC-4141-BF45-0803F88F2C16}"/>
    <cellStyle name="40% - Accent1 14 2 2 4" xfId="11165" xr:uid="{00000000-0005-0000-0000-00000D2C0000}"/>
    <cellStyle name="40% - Accent1 14 2 2 4 2" xfId="35014" xr:uid="{1AF247F2-85CE-4BD0-B338-39E4BD7B1B5B}"/>
    <cellStyle name="40% - Accent1 14 2 2 5" xfId="19120" xr:uid="{00000000-0005-0000-0000-00000E2C0000}"/>
    <cellStyle name="40% - Accent1 14 2 2 5 2" xfId="42952" xr:uid="{B1AB9826-D9BD-44E5-81B4-74B7A2B8A88E}"/>
    <cellStyle name="40% - Accent1 14 2 2 6" xfId="27072" xr:uid="{3F4FB976-C224-4088-8DFD-26936B1994D1}"/>
    <cellStyle name="40% - Accent1 14 2 2_Exh G" xfId="2712" xr:uid="{00000000-0005-0000-0000-00000F2C0000}"/>
    <cellStyle name="40% - Accent1 14 2 3" xfId="4019" xr:uid="{00000000-0005-0000-0000-0000102C0000}"/>
    <cellStyle name="40% - Accent1 14 2 3 2" xfId="7611" xr:uid="{00000000-0005-0000-0000-0000112C0000}"/>
    <cellStyle name="40% - Accent1 14 2 3 2 2" xfId="15581" xr:uid="{00000000-0005-0000-0000-0000122C0000}"/>
    <cellStyle name="40% - Accent1 14 2 3 2 2 2" xfId="39423" xr:uid="{D6C7D14D-5A16-4D93-BED6-78084697B904}"/>
    <cellStyle name="40% - Accent1 14 2 3 2 3" xfId="23527" xr:uid="{00000000-0005-0000-0000-0000132C0000}"/>
    <cellStyle name="40% - Accent1 14 2 3 2 3 2" xfId="47359" xr:uid="{52765E57-7635-4912-ABA5-52D1B1F15046}"/>
    <cellStyle name="40% - Accent1 14 2 3 2 4" xfId="31482" xr:uid="{6941F91B-2F58-4BBC-B2E3-1AD98AC5B160}"/>
    <cellStyle name="40% - Accent1 14 2 3 3" xfId="12043" xr:uid="{00000000-0005-0000-0000-0000142C0000}"/>
    <cellStyle name="40% - Accent1 14 2 3 3 2" xfId="35892" xr:uid="{3E1D42E3-D942-421F-9959-3544082875BD}"/>
    <cellStyle name="40% - Accent1 14 2 3 4" xfId="19998" xr:uid="{00000000-0005-0000-0000-0000152C0000}"/>
    <cellStyle name="40% - Accent1 14 2 3 4 2" xfId="43830" xr:uid="{F0A17CDE-8252-4B3F-8FA6-C5D898E77D1F}"/>
    <cellStyle name="40% - Accent1 14 2 3 5" xfId="27951" xr:uid="{8AF91631-632F-42FB-92FC-6B582CD44EC9}"/>
    <cellStyle name="40% - Accent1 14 2 4" xfId="5839" xr:uid="{00000000-0005-0000-0000-0000162C0000}"/>
    <cellStyle name="40% - Accent1 14 2 4 2" xfId="13822" xr:uid="{00000000-0005-0000-0000-0000172C0000}"/>
    <cellStyle name="40% - Accent1 14 2 4 2 2" xfId="37665" xr:uid="{48B9B603-755A-4322-829E-B2D36BD57F87}"/>
    <cellStyle name="40% - Accent1 14 2 4 3" xfId="21770" xr:uid="{00000000-0005-0000-0000-0000182C0000}"/>
    <cellStyle name="40% - Accent1 14 2 4 3 2" xfId="45602" xr:uid="{1B75415C-65F6-48CF-8922-F9C16AD49ED7}"/>
    <cellStyle name="40% - Accent1 14 2 4 4" xfId="29724" xr:uid="{05468922-B9C8-429C-B009-74CFD8C44847}"/>
    <cellStyle name="40% - Accent1 14 2 5" xfId="9391" xr:uid="{00000000-0005-0000-0000-0000192C0000}"/>
    <cellStyle name="40% - Accent1 14 2 5 2" xfId="17349" xr:uid="{00000000-0005-0000-0000-00001A2C0000}"/>
    <cellStyle name="40% - Accent1 14 2 5 2 2" xfId="41189" xr:uid="{CE634446-F385-4CDB-84EA-648F96ED3DCD}"/>
    <cellStyle name="40% - Accent1 14 2 5 3" xfId="25293" xr:uid="{00000000-0005-0000-0000-00001B2C0000}"/>
    <cellStyle name="40% - Accent1 14 2 5 3 2" xfId="49125" xr:uid="{BCA42AE4-6690-44C7-B05A-82BB3742CE4B}"/>
    <cellStyle name="40% - Accent1 14 2 5 4" xfId="33248" xr:uid="{3AEB5237-DB3B-479E-8A14-BEAE72DCDA50}"/>
    <cellStyle name="40% - Accent1 14 2 6" xfId="10287" xr:uid="{00000000-0005-0000-0000-00001C2C0000}"/>
    <cellStyle name="40% - Accent1 14 2 6 2" xfId="34136" xr:uid="{AF976491-FFFB-4FD3-BB7D-121F6B094A5C}"/>
    <cellStyle name="40% - Accent1 14 2 7" xfId="18242" xr:uid="{00000000-0005-0000-0000-00001D2C0000}"/>
    <cellStyle name="40% - Accent1 14 2 7 2" xfId="42074" xr:uid="{7D436649-5E58-4FCF-9EFC-8AB391437E5C}"/>
    <cellStyle name="40% - Accent1 14 2 8" xfId="26194" xr:uid="{5FAD468B-BC4E-4CA2-A4CA-8EA1C80E438E}"/>
    <cellStyle name="40% - Accent1 14 2_Exh G" xfId="2711" xr:uid="{00000000-0005-0000-0000-00001E2C0000}"/>
    <cellStyle name="40% - Accent1 14 3" xfId="1370" xr:uid="{00000000-0005-0000-0000-00001F2C0000}"/>
    <cellStyle name="40% - Accent1 14 3 2" xfId="4897" xr:uid="{00000000-0005-0000-0000-0000202C0000}"/>
    <cellStyle name="40% - Accent1 14 3 2 2" xfId="8488" xr:uid="{00000000-0005-0000-0000-0000212C0000}"/>
    <cellStyle name="40% - Accent1 14 3 2 2 2" xfId="16458" xr:uid="{00000000-0005-0000-0000-0000222C0000}"/>
    <cellStyle name="40% - Accent1 14 3 2 2 2 2" xfId="40300" xr:uid="{F40CD6F6-9342-43EE-8302-C331EDA94BD6}"/>
    <cellStyle name="40% - Accent1 14 3 2 2 3" xfId="24404" xr:uid="{00000000-0005-0000-0000-0000232C0000}"/>
    <cellStyle name="40% - Accent1 14 3 2 2 3 2" xfId="48236" xr:uid="{FD94D855-30EB-4020-A624-D59417BC7211}"/>
    <cellStyle name="40% - Accent1 14 3 2 2 4" xfId="32359" xr:uid="{C73D4BB4-F994-42CD-8ECC-E6FE93E25A58}"/>
    <cellStyle name="40% - Accent1 14 3 2 3" xfId="12920" xr:uid="{00000000-0005-0000-0000-0000242C0000}"/>
    <cellStyle name="40% - Accent1 14 3 2 3 2" xfId="36769" xr:uid="{9987ED91-8032-4C96-9301-22FD12B09FB6}"/>
    <cellStyle name="40% - Accent1 14 3 2 4" xfId="20875" xr:uid="{00000000-0005-0000-0000-0000252C0000}"/>
    <cellStyle name="40% - Accent1 14 3 2 4 2" xfId="44707" xr:uid="{F0D31AE3-A025-4477-A8C5-B76CA2EC4794}"/>
    <cellStyle name="40% - Accent1 14 3 2 5" xfId="28828" xr:uid="{BC3DE1C9-530C-48F5-AC06-700A8601B1C4}"/>
    <cellStyle name="40% - Accent1 14 3 3" xfId="6729" xr:uid="{00000000-0005-0000-0000-0000262C0000}"/>
    <cellStyle name="40% - Accent1 14 3 3 2" xfId="14700" xr:uid="{00000000-0005-0000-0000-0000272C0000}"/>
    <cellStyle name="40% - Accent1 14 3 3 2 2" xfId="38542" xr:uid="{8BDE055D-6266-47D9-B202-12E0CA2CD0DA}"/>
    <cellStyle name="40% - Accent1 14 3 3 3" xfId="22647" xr:uid="{00000000-0005-0000-0000-0000282C0000}"/>
    <cellStyle name="40% - Accent1 14 3 3 3 2" xfId="46479" xr:uid="{A1B470B7-1D02-4EB3-BF18-B6B9E0F9C5ED}"/>
    <cellStyle name="40% - Accent1 14 3 3 4" xfId="30601" xr:uid="{7D6979C0-5650-47B5-A8B5-6BB745D1809C}"/>
    <cellStyle name="40% - Accent1 14 3 4" xfId="11164" xr:uid="{00000000-0005-0000-0000-0000292C0000}"/>
    <cellStyle name="40% - Accent1 14 3 4 2" xfId="35013" xr:uid="{F02A9D24-0076-4546-8351-917F547ADD46}"/>
    <cellStyle name="40% - Accent1 14 3 5" xfId="19119" xr:uid="{00000000-0005-0000-0000-00002A2C0000}"/>
    <cellStyle name="40% - Accent1 14 3 5 2" xfId="42951" xr:uid="{857973E8-D87E-4B0C-8E23-7643050A4107}"/>
    <cellStyle name="40% - Accent1 14 3 6" xfId="27071" xr:uid="{9EAD8105-9316-4B1B-8AA1-DBC7C56D0FCA}"/>
    <cellStyle name="40% - Accent1 14 3_Exh G" xfId="2713" xr:uid="{00000000-0005-0000-0000-00002B2C0000}"/>
    <cellStyle name="40% - Accent1 14 4" xfId="4018" xr:uid="{00000000-0005-0000-0000-00002C2C0000}"/>
    <cellStyle name="40% - Accent1 14 4 2" xfId="7610" xr:uid="{00000000-0005-0000-0000-00002D2C0000}"/>
    <cellStyle name="40% - Accent1 14 4 2 2" xfId="15580" xr:uid="{00000000-0005-0000-0000-00002E2C0000}"/>
    <cellStyle name="40% - Accent1 14 4 2 2 2" xfId="39422" xr:uid="{BDBAE078-5B9B-4234-B96B-6A6B5A40F94B}"/>
    <cellStyle name="40% - Accent1 14 4 2 3" xfId="23526" xr:uid="{00000000-0005-0000-0000-00002F2C0000}"/>
    <cellStyle name="40% - Accent1 14 4 2 3 2" xfId="47358" xr:uid="{836BBA9D-1142-49C9-B68C-7544CBFAB541}"/>
    <cellStyle name="40% - Accent1 14 4 2 4" xfId="31481" xr:uid="{827634C3-CDC2-4269-B8D5-7648D5961E50}"/>
    <cellStyle name="40% - Accent1 14 4 3" xfId="12042" xr:uid="{00000000-0005-0000-0000-0000302C0000}"/>
    <cellStyle name="40% - Accent1 14 4 3 2" xfId="35891" xr:uid="{E510AE90-5336-436F-8128-49170C60DC65}"/>
    <cellStyle name="40% - Accent1 14 4 4" xfId="19997" xr:uid="{00000000-0005-0000-0000-0000312C0000}"/>
    <cellStyle name="40% - Accent1 14 4 4 2" xfId="43829" xr:uid="{1177B5D0-6F86-403E-9082-D02447EEF056}"/>
    <cellStyle name="40% - Accent1 14 4 5" xfId="27950" xr:uid="{8A64EBEC-D7F0-458D-BA5F-7DFC50A5E940}"/>
    <cellStyle name="40% - Accent1 14 5" xfId="5838" xr:uid="{00000000-0005-0000-0000-0000322C0000}"/>
    <cellStyle name="40% - Accent1 14 5 2" xfId="13821" xr:uid="{00000000-0005-0000-0000-0000332C0000}"/>
    <cellStyle name="40% - Accent1 14 5 2 2" xfId="37664" xr:uid="{CE6C5E29-8389-4253-8584-F99C68A47133}"/>
    <cellStyle name="40% - Accent1 14 5 3" xfId="21769" xr:uid="{00000000-0005-0000-0000-0000342C0000}"/>
    <cellStyle name="40% - Accent1 14 5 3 2" xfId="45601" xr:uid="{544FAE66-60C4-4B4F-830E-2E64631154BB}"/>
    <cellStyle name="40% - Accent1 14 5 4" xfId="29723" xr:uid="{F092E038-7A65-43AC-A424-94E8977C2A36}"/>
    <cellStyle name="40% - Accent1 14 6" xfId="9390" xr:uid="{00000000-0005-0000-0000-0000352C0000}"/>
    <cellStyle name="40% - Accent1 14 6 2" xfId="17348" xr:uid="{00000000-0005-0000-0000-0000362C0000}"/>
    <cellStyle name="40% - Accent1 14 6 2 2" xfId="41188" xr:uid="{D9496537-7B83-442E-B167-B6E654F89DBC}"/>
    <cellStyle name="40% - Accent1 14 6 3" xfId="25292" xr:uid="{00000000-0005-0000-0000-0000372C0000}"/>
    <cellStyle name="40% - Accent1 14 6 3 2" xfId="49124" xr:uid="{17DA15E6-34EA-4B9D-890A-C71497E553FA}"/>
    <cellStyle name="40% - Accent1 14 6 4" xfId="33247" xr:uid="{4FBBC5DA-564C-476B-854A-372463D4991E}"/>
    <cellStyle name="40% - Accent1 14 7" xfId="10286" xr:uid="{00000000-0005-0000-0000-0000382C0000}"/>
    <cellStyle name="40% - Accent1 14 7 2" xfId="34135" xr:uid="{BA5CD4A6-9EA1-4BCD-899A-6302D68B10F7}"/>
    <cellStyle name="40% - Accent1 14 8" xfId="18241" xr:uid="{00000000-0005-0000-0000-0000392C0000}"/>
    <cellStyle name="40% - Accent1 14 8 2" xfId="42073" xr:uid="{788D91CD-AFC6-4681-B061-343A004E162F}"/>
    <cellStyle name="40% - Accent1 14 9" xfId="26193" xr:uid="{696AB30C-DBB9-4897-9103-BF5B63304655}"/>
    <cellStyle name="40% - Accent1 14_Exh G" xfId="2710" xr:uid="{00000000-0005-0000-0000-00003A2C0000}"/>
    <cellStyle name="40% - Accent1 15" xfId="346" xr:uid="{00000000-0005-0000-0000-00003B2C0000}"/>
    <cellStyle name="40% - Accent1 15 2" xfId="1372" xr:uid="{00000000-0005-0000-0000-00003C2C0000}"/>
    <cellStyle name="40% - Accent1 15 2 2" xfId="4899" xr:uid="{00000000-0005-0000-0000-00003D2C0000}"/>
    <cellStyle name="40% - Accent1 15 2 2 2" xfId="8490" xr:uid="{00000000-0005-0000-0000-00003E2C0000}"/>
    <cellStyle name="40% - Accent1 15 2 2 2 2" xfId="16460" xr:uid="{00000000-0005-0000-0000-00003F2C0000}"/>
    <cellStyle name="40% - Accent1 15 2 2 2 2 2" xfId="40302" xr:uid="{2D8A777E-9204-4B5C-9CEE-97E8DBC00E55}"/>
    <cellStyle name="40% - Accent1 15 2 2 2 3" xfId="24406" xr:uid="{00000000-0005-0000-0000-0000402C0000}"/>
    <cellStyle name="40% - Accent1 15 2 2 2 3 2" xfId="48238" xr:uid="{D7DCE69E-499E-4CA5-A3BB-3ED77AF7CC31}"/>
    <cellStyle name="40% - Accent1 15 2 2 2 4" xfId="32361" xr:uid="{E7650D0D-C4F5-4DBB-8BC5-6AB257370FAD}"/>
    <cellStyle name="40% - Accent1 15 2 2 3" xfId="12922" xr:uid="{00000000-0005-0000-0000-0000412C0000}"/>
    <cellStyle name="40% - Accent1 15 2 2 3 2" xfId="36771" xr:uid="{84CF4A67-28F9-431C-AB3C-BE0CD608BF33}"/>
    <cellStyle name="40% - Accent1 15 2 2 4" xfId="20877" xr:uid="{00000000-0005-0000-0000-0000422C0000}"/>
    <cellStyle name="40% - Accent1 15 2 2 4 2" xfId="44709" xr:uid="{E4C3DDCA-8BBD-407E-BF22-B3AC09F62F18}"/>
    <cellStyle name="40% - Accent1 15 2 2 5" xfId="28830" xr:uid="{C52BA2CB-F2B9-467C-89B5-BCFC43953410}"/>
    <cellStyle name="40% - Accent1 15 2 3" xfId="6731" xr:uid="{00000000-0005-0000-0000-0000432C0000}"/>
    <cellStyle name="40% - Accent1 15 2 3 2" xfId="14702" xr:uid="{00000000-0005-0000-0000-0000442C0000}"/>
    <cellStyle name="40% - Accent1 15 2 3 2 2" xfId="38544" xr:uid="{78D1B055-808E-4DA5-99F8-A2C38C8FDCB2}"/>
    <cellStyle name="40% - Accent1 15 2 3 3" xfId="22649" xr:uid="{00000000-0005-0000-0000-0000452C0000}"/>
    <cellStyle name="40% - Accent1 15 2 3 3 2" xfId="46481" xr:uid="{E9F4219E-81F9-4707-8457-B245E3579ECE}"/>
    <cellStyle name="40% - Accent1 15 2 3 4" xfId="30603" xr:uid="{1D0D75DC-71D3-4D5A-A432-7250EB32E79E}"/>
    <cellStyle name="40% - Accent1 15 2 4" xfId="11166" xr:uid="{00000000-0005-0000-0000-0000462C0000}"/>
    <cellStyle name="40% - Accent1 15 2 4 2" xfId="35015" xr:uid="{C7A8B9BC-E9B4-43CB-B1CA-F66F65EFA689}"/>
    <cellStyle name="40% - Accent1 15 2 5" xfId="19121" xr:uid="{00000000-0005-0000-0000-0000472C0000}"/>
    <cellStyle name="40% - Accent1 15 2 5 2" xfId="42953" xr:uid="{D378FD8F-89A6-40A6-9899-278B1FC9935A}"/>
    <cellStyle name="40% - Accent1 15 2 6" xfId="27073" xr:uid="{56809605-6280-47BE-8549-17CACF5CF16A}"/>
    <cellStyle name="40% - Accent1 15 2_Exh G" xfId="2715" xr:uid="{00000000-0005-0000-0000-0000482C0000}"/>
    <cellStyle name="40% - Accent1 15 3" xfId="4020" xr:uid="{00000000-0005-0000-0000-0000492C0000}"/>
    <cellStyle name="40% - Accent1 15 3 2" xfId="7612" xr:uid="{00000000-0005-0000-0000-00004A2C0000}"/>
    <cellStyle name="40% - Accent1 15 3 2 2" xfId="15582" xr:uid="{00000000-0005-0000-0000-00004B2C0000}"/>
    <cellStyle name="40% - Accent1 15 3 2 2 2" xfId="39424" xr:uid="{16CAD086-41A9-4C27-8B95-114874055D5E}"/>
    <cellStyle name="40% - Accent1 15 3 2 3" xfId="23528" xr:uid="{00000000-0005-0000-0000-00004C2C0000}"/>
    <cellStyle name="40% - Accent1 15 3 2 3 2" xfId="47360" xr:uid="{0107536A-0690-4202-BFCB-9379610E04D7}"/>
    <cellStyle name="40% - Accent1 15 3 2 4" xfId="31483" xr:uid="{A3F455AE-CBDC-408C-A72B-053E0BB5DBBC}"/>
    <cellStyle name="40% - Accent1 15 3 3" xfId="12044" xr:uid="{00000000-0005-0000-0000-00004D2C0000}"/>
    <cellStyle name="40% - Accent1 15 3 3 2" xfId="35893" xr:uid="{262C24FD-BB2C-4C88-A74A-C5A1A6A4A6D3}"/>
    <cellStyle name="40% - Accent1 15 3 4" xfId="19999" xr:uid="{00000000-0005-0000-0000-00004E2C0000}"/>
    <cellStyle name="40% - Accent1 15 3 4 2" xfId="43831" xr:uid="{6F821D85-9449-420A-A8A9-64C90BB1A60F}"/>
    <cellStyle name="40% - Accent1 15 3 5" xfId="27952" xr:uid="{11BD0E81-6AE7-4154-947F-BE63E406033D}"/>
    <cellStyle name="40% - Accent1 15 4" xfId="5840" xr:uid="{00000000-0005-0000-0000-00004F2C0000}"/>
    <cellStyle name="40% - Accent1 15 4 2" xfId="13823" xr:uid="{00000000-0005-0000-0000-0000502C0000}"/>
    <cellStyle name="40% - Accent1 15 4 2 2" xfId="37666" xr:uid="{FF5750B6-D2B9-44AA-B3F4-4C7C19BCB453}"/>
    <cellStyle name="40% - Accent1 15 4 3" xfId="21771" xr:uid="{00000000-0005-0000-0000-0000512C0000}"/>
    <cellStyle name="40% - Accent1 15 4 3 2" xfId="45603" xr:uid="{29CF4D4B-F595-458D-A290-30F21567EBCA}"/>
    <cellStyle name="40% - Accent1 15 4 4" xfId="29725" xr:uid="{5AE558DE-1ABC-4090-905C-DEA91AABD99F}"/>
    <cellStyle name="40% - Accent1 15 5" xfId="9392" xr:uid="{00000000-0005-0000-0000-0000522C0000}"/>
    <cellStyle name="40% - Accent1 15 5 2" xfId="17350" xr:uid="{00000000-0005-0000-0000-0000532C0000}"/>
    <cellStyle name="40% - Accent1 15 5 2 2" xfId="41190" xr:uid="{37F492D2-8795-497B-935A-EE660BE3BDAC}"/>
    <cellStyle name="40% - Accent1 15 5 3" xfId="25294" xr:uid="{00000000-0005-0000-0000-0000542C0000}"/>
    <cellStyle name="40% - Accent1 15 5 3 2" xfId="49126" xr:uid="{FF7B33A9-B8F9-4F13-82A8-23F7CA0F7303}"/>
    <cellStyle name="40% - Accent1 15 5 4" xfId="33249" xr:uid="{9F02433F-DDE1-4FC3-8653-E23ECD7FFE52}"/>
    <cellStyle name="40% - Accent1 15 6" xfId="10288" xr:uid="{00000000-0005-0000-0000-0000552C0000}"/>
    <cellStyle name="40% - Accent1 15 6 2" xfId="34137" xr:uid="{191DAD3F-13FD-49AE-AFCA-04F11651161F}"/>
    <cellStyle name="40% - Accent1 15 7" xfId="18243" xr:uid="{00000000-0005-0000-0000-0000562C0000}"/>
    <cellStyle name="40% - Accent1 15 7 2" xfId="42075" xr:uid="{7BC7A201-E81E-436D-912E-B87F238F071D}"/>
    <cellStyle name="40% - Accent1 15 8" xfId="26195" xr:uid="{9B276D86-3300-44BA-A76E-CD41A95133E9}"/>
    <cellStyle name="40% - Accent1 15_Exh G" xfId="2714" xr:uid="{00000000-0005-0000-0000-0000572C0000}"/>
    <cellStyle name="40% - Accent1 16" xfId="846" xr:uid="{00000000-0005-0000-0000-0000582C0000}"/>
    <cellStyle name="40% - Accent1 16 2" xfId="1781" xr:uid="{00000000-0005-0000-0000-0000592C0000}"/>
    <cellStyle name="40% - Accent1 16 2 2" xfId="5301" xr:uid="{00000000-0005-0000-0000-00005A2C0000}"/>
    <cellStyle name="40% - Accent1 16 2 2 2" xfId="8892" xr:uid="{00000000-0005-0000-0000-00005B2C0000}"/>
    <cellStyle name="40% - Accent1 16 2 2 2 2" xfId="16862" xr:uid="{00000000-0005-0000-0000-00005C2C0000}"/>
    <cellStyle name="40% - Accent1 16 2 2 2 2 2" xfId="40704" xr:uid="{BDA3AD83-B70F-4F43-BB89-1BB6A0A24151}"/>
    <cellStyle name="40% - Accent1 16 2 2 2 3" xfId="24808" xr:uid="{00000000-0005-0000-0000-00005D2C0000}"/>
    <cellStyle name="40% - Accent1 16 2 2 2 3 2" xfId="48640" xr:uid="{D68596D9-1B98-4744-9277-D7CDF3A420C6}"/>
    <cellStyle name="40% - Accent1 16 2 2 2 4" xfId="32763" xr:uid="{2B22B5F0-F5B7-46BD-A6B6-3B658CACA9D0}"/>
    <cellStyle name="40% - Accent1 16 2 2 3" xfId="13324" xr:uid="{00000000-0005-0000-0000-00005E2C0000}"/>
    <cellStyle name="40% - Accent1 16 2 2 3 2" xfId="37173" xr:uid="{ED6E0A12-2EE4-4917-8F91-675EAA2FD57F}"/>
    <cellStyle name="40% - Accent1 16 2 2 4" xfId="21279" xr:uid="{00000000-0005-0000-0000-00005F2C0000}"/>
    <cellStyle name="40% - Accent1 16 2 2 4 2" xfId="45111" xr:uid="{3CAF8FA1-45D9-4E8B-AA97-2554821E23BC}"/>
    <cellStyle name="40% - Accent1 16 2 2 5" xfId="29232" xr:uid="{9138E89D-4FA7-4F62-B2E0-A2158E565352}"/>
    <cellStyle name="40% - Accent1 16 2 3" xfId="7133" xr:uid="{00000000-0005-0000-0000-0000602C0000}"/>
    <cellStyle name="40% - Accent1 16 2 3 2" xfId="15104" xr:uid="{00000000-0005-0000-0000-0000612C0000}"/>
    <cellStyle name="40% - Accent1 16 2 3 2 2" xfId="38946" xr:uid="{181B0488-8C22-4C5F-B165-3748A9164E1D}"/>
    <cellStyle name="40% - Accent1 16 2 3 3" xfId="23051" xr:uid="{00000000-0005-0000-0000-0000622C0000}"/>
    <cellStyle name="40% - Accent1 16 2 3 3 2" xfId="46883" xr:uid="{2BAF3631-2A74-4826-B483-2969F52B9540}"/>
    <cellStyle name="40% - Accent1 16 2 3 4" xfId="31005" xr:uid="{388DD64B-C506-43F4-85D1-86F3A8E53484}"/>
    <cellStyle name="40% - Accent1 16 2 4" xfId="11568" xr:uid="{00000000-0005-0000-0000-0000632C0000}"/>
    <cellStyle name="40% - Accent1 16 2 4 2" xfId="35417" xr:uid="{1516234B-CB44-4BEF-9AA4-5BC6755DCC13}"/>
    <cellStyle name="40% - Accent1 16 2 5" xfId="19523" xr:uid="{00000000-0005-0000-0000-0000642C0000}"/>
    <cellStyle name="40% - Accent1 16 2 5 2" xfId="43355" xr:uid="{BAFD9109-A23A-4D63-AACD-437CDDFE50BF}"/>
    <cellStyle name="40% - Accent1 16 2 6" xfId="27475" xr:uid="{14DF08FB-BEFB-48C4-A424-F6CC309BB486}"/>
    <cellStyle name="40% - Accent1 16 2_Exh G" xfId="2717" xr:uid="{00000000-0005-0000-0000-0000652C0000}"/>
    <cellStyle name="40% - Accent1 16 3" xfId="4422" xr:uid="{00000000-0005-0000-0000-0000662C0000}"/>
    <cellStyle name="40% - Accent1 16 3 2" xfId="8014" xr:uid="{00000000-0005-0000-0000-0000672C0000}"/>
    <cellStyle name="40% - Accent1 16 3 2 2" xfId="15984" xr:uid="{00000000-0005-0000-0000-0000682C0000}"/>
    <cellStyle name="40% - Accent1 16 3 2 2 2" xfId="39826" xr:uid="{76F9FDC3-428D-4505-BA8A-F1BCA474EFD4}"/>
    <cellStyle name="40% - Accent1 16 3 2 3" xfId="23930" xr:uid="{00000000-0005-0000-0000-0000692C0000}"/>
    <cellStyle name="40% - Accent1 16 3 2 3 2" xfId="47762" xr:uid="{E1946B75-2B22-4B79-920D-701672505D72}"/>
    <cellStyle name="40% - Accent1 16 3 2 4" xfId="31885" xr:uid="{15735860-4B34-4A1C-95BD-78F126C5BD71}"/>
    <cellStyle name="40% - Accent1 16 3 3" xfId="12446" xr:uid="{00000000-0005-0000-0000-00006A2C0000}"/>
    <cellStyle name="40% - Accent1 16 3 3 2" xfId="36295" xr:uid="{FE58CD97-308E-4379-94C1-C0811BABB086}"/>
    <cellStyle name="40% - Accent1 16 3 4" xfId="20401" xr:uid="{00000000-0005-0000-0000-00006B2C0000}"/>
    <cellStyle name="40% - Accent1 16 3 4 2" xfId="44233" xr:uid="{760FE7AF-AA9C-4E2D-9C63-76E31CF739A8}"/>
    <cellStyle name="40% - Accent1 16 3 5" xfId="28354" xr:uid="{6303C5F3-14B1-428A-92FA-66B630D9E254}"/>
    <cellStyle name="40% - Accent1 16 4" xfId="6252" xr:uid="{00000000-0005-0000-0000-00006C2C0000}"/>
    <cellStyle name="40% - Accent1 16 4 2" xfId="14226" xr:uid="{00000000-0005-0000-0000-00006D2C0000}"/>
    <cellStyle name="40% - Accent1 16 4 2 2" xfId="38068" xr:uid="{F31DF934-7BD8-4DC4-954B-36A90F6D3F59}"/>
    <cellStyle name="40% - Accent1 16 4 3" xfId="22173" xr:uid="{00000000-0005-0000-0000-00006E2C0000}"/>
    <cellStyle name="40% - Accent1 16 4 3 2" xfId="46005" xr:uid="{19D5F308-2A65-45D2-BA27-92CABBAB9782}"/>
    <cellStyle name="40% - Accent1 16 4 4" xfId="30127" xr:uid="{C1EE49B1-FDDD-4588-B10D-CD409EA67CA5}"/>
    <cellStyle name="40% - Accent1 16 5" xfId="9794" xr:uid="{00000000-0005-0000-0000-00006F2C0000}"/>
    <cellStyle name="40% - Accent1 16 5 2" xfId="17752" xr:uid="{00000000-0005-0000-0000-0000702C0000}"/>
    <cellStyle name="40% - Accent1 16 5 2 2" xfId="41592" xr:uid="{D9B9C7A5-9966-4013-9091-F9A790769131}"/>
    <cellStyle name="40% - Accent1 16 5 3" xfId="25696" xr:uid="{00000000-0005-0000-0000-0000712C0000}"/>
    <cellStyle name="40% - Accent1 16 5 3 2" xfId="49528" xr:uid="{56CDD400-1462-4761-8A98-5A30DD595B0F}"/>
    <cellStyle name="40% - Accent1 16 5 4" xfId="33651" xr:uid="{C2040136-54C9-4348-B630-747902CA282D}"/>
    <cellStyle name="40% - Accent1 16 6" xfId="10690" xr:uid="{00000000-0005-0000-0000-0000722C0000}"/>
    <cellStyle name="40% - Accent1 16 6 2" xfId="34539" xr:uid="{9395CB6F-39AF-46E2-A8AC-64EE253BF0F3}"/>
    <cellStyle name="40% - Accent1 16 7" xfId="18645" xr:uid="{00000000-0005-0000-0000-0000732C0000}"/>
    <cellStyle name="40% - Accent1 16 7 2" xfId="42477" xr:uid="{BB338D1B-8588-4F78-B6FF-18B520B13581}"/>
    <cellStyle name="40% - Accent1 16 8" xfId="26597" xr:uid="{93757296-1B7D-4A97-BBCA-7BF3E233B89E}"/>
    <cellStyle name="40% - Accent1 16_Exh G" xfId="2716" xr:uid="{00000000-0005-0000-0000-0000742C0000}"/>
    <cellStyle name="40% - Accent1 17" xfId="49784" xr:uid="{F62B029B-2D75-4EA3-A495-2FD429FA3D0B}"/>
    <cellStyle name="40% - Accent1 18" xfId="49824" xr:uid="{8753501D-D411-4F07-854B-A9B0F447B2DA}"/>
    <cellStyle name="40% - Accent1 2" xfId="347" xr:uid="{00000000-0005-0000-0000-0000752C0000}"/>
    <cellStyle name="40% - Accent1 2 10" xfId="18244" xr:uid="{00000000-0005-0000-0000-0000762C0000}"/>
    <cellStyle name="40% - Accent1 2 10 2" xfId="42076" xr:uid="{977A785D-7E1A-4420-9A37-56574E0845A5}"/>
    <cellStyle name="40% - Accent1 2 11" xfId="26196" xr:uid="{0E1EBE02-0BD4-41C5-B0C1-36196ED8AC60}"/>
    <cellStyle name="40% - Accent1 2 12" xfId="49769" xr:uid="{66CA3E8F-B26B-4EC7-BF6A-1F1190FF6009}"/>
    <cellStyle name="40% - Accent1 2 13" xfId="49797" xr:uid="{A53EC18E-CC7F-4DF8-8627-8B66CCBC3A52}"/>
    <cellStyle name="40% - Accent1 2 14" xfId="49838" xr:uid="{FBE15D05-F5DA-48A6-B9AE-8D6635C79801}"/>
    <cellStyle name="40% - Accent1 2 2" xfId="348" xr:uid="{00000000-0005-0000-0000-0000772C0000}"/>
    <cellStyle name="40% - Accent1 2 2 10" xfId="26197" xr:uid="{0A10AB0A-3A14-4FC4-83C6-3BF3A9CBA005}"/>
    <cellStyle name="40% - Accent1 2 2 2" xfId="349" xr:uid="{00000000-0005-0000-0000-0000782C0000}"/>
    <cellStyle name="40% - Accent1 2 2 2 2" xfId="1375" xr:uid="{00000000-0005-0000-0000-0000792C0000}"/>
    <cellStyle name="40% - Accent1 2 2 2 2 2" xfId="4902" xr:uid="{00000000-0005-0000-0000-00007A2C0000}"/>
    <cellStyle name="40% - Accent1 2 2 2 2 2 2" xfId="8493" xr:uid="{00000000-0005-0000-0000-00007B2C0000}"/>
    <cellStyle name="40% - Accent1 2 2 2 2 2 2 2" xfId="16463" xr:uid="{00000000-0005-0000-0000-00007C2C0000}"/>
    <cellStyle name="40% - Accent1 2 2 2 2 2 2 2 2" xfId="40305" xr:uid="{73DC8F9D-43EE-4863-B051-0CD679B2D440}"/>
    <cellStyle name="40% - Accent1 2 2 2 2 2 2 3" xfId="24409" xr:uid="{00000000-0005-0000-0000-00007D2C0000}"/>
    <cellStyle name="40% - Accent1 2 2 2 2 2 2 3 2" xfId="48241" xr:uid="{609B6C0F-02F6-4743-AA7A-643F5BCF5D55}"/>
    <cellStyle name="40% - Accent1 2 2 2 2 2 2 4" xfId="32364" xr:uid="{8B5E97B2-B179-4158-9D78-3E1363963983}"/>
    <cellStyle name="40% - Accent1 2 2 2 2 2 3" xfId="12925" xr:uid="{00000000-0005-0000-0000-00007E2C0000}"/>
    <cellStyle name="40% - Accent1 2 2 2 2 2 3 2" xfId="36774" xr:uid="{F7394FB2-AA0B-4B82-A871-0023C5885FCC}"/>
    <cellStyle name="40% - Accent1 2 2 2 2 2 4" xfId="20880" xr:uid="{00000000-0005-0000-0000-00007F2C0000}"/>
    <cellStyle name="40% - Accent1 2 2 2 2 2 4 2" xfId="44712" xr:uid="{A0985960-0589-4939-B507-8553835F61E3}"/>
    <cellStyle name="40% - Accent1 2 2 2 2 2 5" xfId="28833" xr:uid="{CF61C1C8-1BCB-4097-B56D-AD73ACA5BCFE}"/>
    <cellStyle name="40% - Accent1 2 2 2 2 3" xfId="6734" xr:uid="{00000000-0005-0000-0000-0000802C0000}"/>
    <cellStyle name="40% - Accent1 2 2 2 2 3 2" xfId="14705" xr:uid="{00000000-0005-0000-0000-0000812C0000}"/>
    <cellStyle name="40% - Accent1 2 2 2 2 3 2 2" xfId="38547" xr:uid="{AAF99EFC-14A8-4DE7-ABBC-F93ACCBCFA84}"/>
    <cellStyle name="40% - Accent1 2 2 2 2 3 3" xfId="22652" xr:uid="{00000000-0005-0000-0000-0000822C0000}"/>
    <cellStyle name="40% - Accent1 2 2 2 2 3 3 2" xfId="46484" xr:uid="{5E6F2646-8CD3-403D-8B1A-CD018AC21D5E}"/>
    <cellStyle name="40% - Accent1 2 2 2 2 3 4" xfId="30606" xr:uid="{1C032694-F522-4434-B4B2-324AFA85D45E}"/>
    <cellStyle name="40% - Accent1 2 2 2 2 4" xfId="11169" xr:uid="{00000000-0005-0000-0000-0000832C0000}"/>
    <cellStyle name="40% - Accent1 2 2 2 2 4 2" xfId="35018" xr:uid="{49E3AEDE-4255-491A-9067-99ADFEAFE7F8}"/>
    <cellStyle name="40% - Accent1 2 2 2 2 5" xfId="19124" xr:uid="{00000000-0005-0000-0000-0000842C0000}"/>
    <cellStyle name="40% - Accent1 2 2 2 2 5 2" xfId="42956" xr:uid="{8BE7E400-0611-48E1-9A90-2C00DDD011B8}"/>
    <cellStyle name="40% - Accent1 2 2 2 2 6" xfId="27076" xr:uid="{0284CE80-A8FA-4E16-A180-09D811D1205F}"/>
    <cellStyle name="40% - Accent1 2 2 2 2_Exh G" xfId="2721" xr:uid="{00000000-0005-0000-0000-0000852C0000}"/>
    <cellStyle name="40% - Accent1 2 2 2 3" xfId="4023" xr:uid="{00000000-0005-0000-0000-0000862C0000}"/>
    <cellStyle name="40% - Accent1 2 2 2 3 2" xfId="7615" xr:uid="{00000000-0005-0000-0000-0000872C0000}"/>
    <cellStyle name="40% - Accent1 2 2 2 3 2 2" xfId="15585" xr:uid="{00000000-0005-0000-0000-0000882C0000}"/>
    <cellStyle name="40% - Accent1 2 2 2 3 2 2 2" xfId="39427" xr:uid="{63C7BDBC-46D0-407A-B61B-A7E814CCBCA3}"/>
    <cellStyle name="40% - Accent1 2 2 2 3 2 3" xfId="23531" xr:uid="{00000000-0005-0000-0000-0000892C0000}"/>
    <cellStyle name="40% - Accent1 2 2 2 3 2 3 2" xfId="47363" xr:uid="{53AF6A8B-B18D-4434-B212-DDBEF374AC58}"/>
    <cellStyle name="40% - Accent1 2 2 2 3 2 4" xfId="31486" xr:uid="{68318727-33F9-4661-B6B7-BADC011E2A68}"/>
    <cellStyle name="40% - Accent1 2 2 2 3 3" xfId="12047" xr:uid="{00000000-0005-0000-0000-00008A2C0000}"/>
    <cellStyle name="40% - Accent1 2 2 2 3 3 2" xfId="35896" xr:uid="{7CFA1C96-52D3-4505-AD09-E07230AC468C}"/>
    <cellStyle name="40% - Accent1 2 2 2 3 4" xfId="20002" xr:uid="{00000000-0005-0000-0000-00008B2C0000}"/>
    <cellStyle name="40% - Accent1 2 2 2 3 4 2" xfId="43834" xr:uid="{3338609B-1654-4BAF-A6E0-20B51748507D}"/>
    <cellStyle name="40% - Accent1 2 2 2 3 5" xfId="27955" xr:uid="{0F2E3E79-1D71-42E7-9E49-523AD37003C4}"/>
    <cellStyle name="40% - Accent1 2 2 2 4" xfId="5843" xr:uid="{00000000-0005-0000-0000-00008C2C0000}"/>
    <cellStyle name="40% - Accent1 2 2 2 4 2" xfId="13826" xr:uid="{00000000-0005-0000-0000-00008D2C0000}"/>
    <cellStyle name="40% - Accent1 2 2 2 4 2 2" xfId="37669" xr:uid="{AD0FD8DA-3AE1-455F-A46E-63C117E428B4}"/>
    <cellStyle name="40% - Accent1 2 2 2 4 3" xfId="21774" xr:uid="{00000000-0005-0000-0000-00008E2C0000}"/>
    <cellStyle name="40% - Accent1 2 2 2 4 3 2" xfId="45606" xr:uid="{DBE5E248-B6FD-434F-ABB6-A01EA7C3086D}"/>
    <cellStyle name="40% - Accent1 2 2 2 4 4" xfId="29728" xr:uid="{FBD27365-D8AF-49B7-B61F-B5FB92D90EB4}"/>
    <cellStyle name="40% - Accent1 2 2 2 5" xfId="9395" xr:uid="{00000000-0005-0000-0000-00008F2C0000}"/>
    <cellStyle name="40% - Accent1 2 2 2 5 2" xfId="17353" xr:uid="{00000000-0005-0000-0000-0000902C0000}"/>
    <cellStyle name="40% - Accent1 2 2 2 5 2 2" xfId="41193" xr:uid="{5808E865-6DCF-4CBF-BBBF-9A4A7C639EB5}"/>
    <cellStyle name="40% - Accent1 2 2 2 5 3" xfId="25297" xr:uid="{00000000-0005-0000-0000-0000912C0000}"/>
    <cellStyle name="40% - Accent1 2 2 2 5 3 2" xfId="49129" xr:uid="{8E081AEC-D255-4910-A767-711ED9356DFB}"/>
    <cellStyle name="40% - Accent1 2 2 2 5 4" xfId="33252" xr:uid="{6C23E0DD-0A23-4878-8C45-9A1602483715}"/>
    <cellStyle name="40% - Accent1 2 2 2 6" xfId="10291" xr:uid="{00000000-0005-0000-0000-0000922C0000}"/>
    <cellStyle name="40% - Accent1 2 2 2 6 2" xfId="34140" xr:uid="{5328FD38-4A62-410B-B220-54DD361D75D9}"/>
    <cellStyle name="40% - Accent1 2 2 2 7" xfId="18246" xr:uid="{00000000-0005-0000-0000-0000932C0000}"/>
    <cellStyle name="40% - Accent1 2 2 2 7 2" xfId="42078" xr:uid="{E179B083-87FE-4891-A60C-AC96395D2EE1}"/>
    <cellStyle name="40% - Accent1 2 2 2 8" xfId="26198" xr:uid="{9E723558-6757-4FF8-B654-84DBFDCA30CE}"/>
    <cellStyle name="40% - Accent1 2 2 2_Exh G" xfId="2720" xr:uid="{00000000-0005-0000-0000-0000942C0000}"/>
    <cellStyle name="40% - Accent1 2 2 3" xfId="933" xr:uid="{00000000-0005-0000-0000-0000952C0000}"/>
    <cellStyle name="40% - Accent1 2 2 3 2" xfId="1853" xr:uid="{00000000-0005-0000-0000-0000962C0000}"/>
    <cellStyle name="40% - Accent1 2 2 3 2 2" xfId="5370" xr:uid="{00000000-0005-0000-0000-0000972C0000}"/>
    <cellStyle name="40% - Accent1 2 2 3 2 2 2" xfId="8961" xr:uid="{00000000-0005-0000-0000-0000982C0000}"/>
    <cellStyle name="40% - Accent1 2 2 3 2 2 2 2" xfId="16931" xr:uid="{00000000-0005-0000-0000-0000992C0000}"/>
    <cellStyle name="40% - Accent1 2 2 3 2 2 2 2 2" xfId="40773" xr:uid="{15C69D2B-78AC-4D23-9AFE-D513B91983FF}"/>
    <cellStyle name="40% - Accent1 2 2 3 2 2 2 3" xfId="24877" xr:uid="{00000000-0005-0000-0000-00009A2C0000}"/>
    <cellStyle name="40% - Accent1 2 2 3 2 2 2 3 2" xfId="48709" xr:uid="{039F0B0F-E2BE-40E9-9BAF-AB42684D6112}"/>
    <cellStyle name="40% - Accent1 2 2 3 2 2 2 4" xfId="32832" xr:uid="{67425376-C95E-4A34-9B27-469F4166CB15}"/>
    <cellStyle name="40% - Accent1 2 2 3 2 2 3" xfId="13393" xr:uid="{00000000-0005-0000-0000-00009B2C0000}"/>
    <cellStyle name="40% - Accent1 2 2 3 2 2 3 2" xfId="37242" xr:uid="{F9F5C719-745E-40ED-A4A7-64CEBAB09DC7}"/>
    <cellStyle name="40% - Accent1 2 2 3 2 2 4" xfId="21348" xr:uid="{00000000-0005-0000-0000-00009C2C0000}"/>
    <cellStyle name="40% - Accent1 2 2 3 2 2 4 2" xfId="45180" xr:uid="{46FA57D9-2B93-462E-A69D-31C84F014876}"/>
    <cellStyle name="40% - Accent1 2 2 3 2 2 5" xfId="29301" xr:uid="{0C9F0C35-1A91-451F-A549-B0D5D4F136EB}"/>
    <cellStyle name="40% - Accent1 2 2 3 2 3" xfId="7202" xr:uid="{00000000-0005-0000-0000-00009D2C0000}"/>
    <cellStyle name="40% - Accent1 2 2 3 2 3 2" xfId="15173" xr:uid="{00000000-0005-0000-0000-00009E2C0000}"/>
    <cellStyle name="40% - Accent1 2 2 3 2 3 2 2" xfId="39015" xr:uid="{2CE79B7C-77F6-4E2F-97DB-1663DD9A9990}"/>
    <cellStyle name="40% - Accent1 2 2 3 2 3 3" xfId="23120" xr:uid="{00000000-0005-0000-0000-00009F2C0000}"/>
    <cellStyle name="40% - Accent1 2 2 3 2 3 3 2" xfId="46952" xr:uid="{65298026-349D-48DA-AEA8-011FC29016DF}"/>
    <cellStyle name="40% - Accent1 2 2 3 2 3 4" xfId="31074" xr:uid="{9456E5B2-9A4B-4592-B99D-3DBC11622587}"/>
    <cellStyle name="40% - Accent1 2 2 3 2 4" xfId="11637" xr:uid="{00000000-0005-0000-0000-0000A02C0000}"/>
    <cellStyle name="40% - Accent1 2 2 3 2 4 2" xfId="35486" xr:uid="{6E55C69F-1634-47D5-A24B-E41922C1D6F5}"/>
    <cellStyle name="40% - Accent1 2 2 3 2 5" xfId="19592" xr:uid="{00000000-0005-0000-0000-0000A12C0000}"/>
    <cellStyle name="40% - Accent1 2 2 3 2 5 2" xfId="43424" xr:uid="{F00EB269-7251-4A18-81D5-17378E74F437}"/>
    <cellStyle name="40% - Accent1 2 2 3 2 6" xfId="27544" xr:uid="{C197DF5A-1D7D-44B7-BEC8-EB47401EBD3D}"/>
    <cellStyle name="40% - Accent1 2 2 3 2_Exh G" xfId="2723" xr:uid="{00000000-0005-0000-0000-0000A22C0000}"/>
    <cellStyle name="40% - Accent1 2 2 3 3" xfId="4491" xr:uid="{00000000-0005-0000-0000-0000A32C0000}"/>
    <cellStyle name="40% - Accent1 2 2 3 3 2" xfId="8083" xr:uid="{00000000-0005-0000-0000-0000A42C0000}"/>
    <cellStyle name="40% - Accent1 2 2 3 3 2 2" xfId="16053" xr:uid="{00000000-0005-0000-0000-0000A52C0000}"/>
    <cellStyle name="40% - Accent1 2 2 3 3 2 2 2" xfId="39895" xr:uid="{6F0D5655-87EA-449E-9115-3F4C00493823}"/>
    <cellStyle name="40% - Accent1 2 2 3 3 2 3" xfId="23999" xr:uid="{00000000-0005-0000-0000-0000A62C0000}"/>
    <cellStyle name="40% - Accent1 2 2 3 3 2 3 2" xfId="47831" xr:uid="{E0A2C749-1B1B-4252-AAE2-DA90B9039D17}"/>
    <cellStyle name="40% - Accent1 2 2 3 3 2 4" xfId="31954" xr:uid="{43A50C59-F4CB-43A7-809D-5C402294D968}"/>
    <cellStyle name="40% - Accent1 2 2 3 3 3" xfId="12515" xr:uid="{00000000-0005-0000-0000-0000A72C0000}"/>
    <cellStyle name="40% - Accent1 2 2 3 3 3 2" xfId="36364" xr:uid="{2A39C872-F05C-46AA-A8D8-A265A81235ED}"/>
    <cellStyle name="40% - Accent1 2 2 3 3 4" xfId="20470" xr:uid="{00000000-0005-0000-0000-0000A82C0000}"/>
    <cellStyle name="40% - Accent1 2 2 3 3 4 2" xfId="44302" xr:uid="{C028AA8E-DDF4-4E8C-940B-B908D79D6B13}"/>
    <cellStyle name="40% - Accent1 2 2 3 3 5" xfId="28423" xr:uid="{D1E05FD3-AF8C-456D-8346-01B1A083F685}"/>
    <cellStyle name="40% - Accent1 2 2 3 4" xfId="6321" xr:uid="{00000000-0005-0000-0000-0000A92C0000}"/>
    <cellStyle name="40% - Accent1 2 2 3 4 2" xfId="14295" xr:uid="{00000000-0005-0000-0000-0000AA2C0000}"/>
    <cellStyle name="40% - Accent1 2 2 3 4 2 2" xfId="38137" xr:uid="{E4D871E8-3A49-42DF-A92C-F8F0CD564831}"/>
    <cellStyle name="40% - Accent1 2 2 3 4 3" xfId="22242" xr:uid="{00000000-0005-0000-0000-0000AB2C0000}"/>
    <cellStyle name="40% - Accent1 2 2 3 4 3 2" xfId="46074" xr:uid="{C777410C-E9B4-4C84-ACBB-D1B4FCB3A4E0}"/>
    <cellStyle name="40% - Accent1 2 2 3 4 4" xfId="30196" xr:uid="{382517D4-B22A-45E1-9774-EC414D2E6E5D}"/>
    <cellStyle name="40% - Accent1 2 2 3 5" xfId="9863" xr:uid="{00000000-0005-0000-0000-0000AC2C0000}"/>
    <cellStyle name="40% - Accent1 2 2 3 5 2" xfId="17821" xr:uid="{00000000-0005-0000-0000-0000AD2C0000}"/>
    <cellStyle name="40% - Accent1 2 2 3 5 2 2" xfId="41661" xr:uid="{28AC4830-8C47-4D15-9C1D-70EC0C88731D}"/>
    <cellStyle name="40% - Accent1 2 2 3 5 3" xfId="25765" xr:uid="{00000000-0005-0000-0000-0000AE2C0000}"/>
    <cellStyle name="40% - Accent1 2 2 3 5 3 2" xfId="49597" xr:uid="{B533BB4B-67B5-44E3-84CD-5B4CC7AD6376}"/>
    <cellStyle name="40% - Accent1 2 2 3 5 4" xfId="33720" xr:uid="{3AD98191-B249-4C17-A562-2582C03686EA}"/>
    <cellStyle name="40% - Accent1 2 2 3 6" xfId="10759" xr:uid="{00000000-0005-0000-0000-0000AF2C0000}"/>
    <cellStyle name="40% - Accent1 2 2 3 6 2" xfId="34608" xr:uid="{C67CF8C9-8D3C-4B92-B7F0-D2D9C2AD45E9}"/>
    <cellStyle name="40% - Accent1 2 2 3 7" xfId="18714" xr:uid="{00000000-0005-0000-0000-0000B02C0000}"/>
    <cellStyle name="40% - Accent1 2 2 3 7 2" xfId="42546" xr:uid="{E75C1605-18EF-421B-A0A8-1FFB7140EF72}"/>
    <cellStyle name="40% - Accent1 2 2 3 8" xfId="26666" xr:uid="{614F831D-5383-4317-AAA9-049DD108E6CC}"/>
    <cellStyle name="40% - Accent1 2 2 3_Exh G" xfId="2722" xr:uid="{00000000-0005-0000-0000-0000B12C0000}"/>
    <cellStyle name="40% - Accent1 2 2 4" xfId="1374" xr:uid="{00000000-0005-0000-0000-0000B22C0000}"/>
    <cellStyle name="40% - Accent1 2 2 4 2" xfId="4901" xr:uid="{00000000-0005-0000-0000-0000B32C0000}"/>
    <cellStyle name="40% - Accent1 2 2 4 2 2" xfId="8492" xr:uid="{00000000-0005-0000-0000-0000B42C0000}"/>
    <cellStyle name="40% - Accent1 2 2 4 2 2 2" xfId="16462" xr:uid="{00000000-0005-0000-0000-0000B52C0000}"/>
    <cellStyle name="40% - Accent1 2 2 4 2 2 2 2" xfId="40304" xr:uid="{4BF54455-5F3E-4760-ACDD-D25CA2B1CB13}"/>
    <cellStyle name="40% - Accent1 2 2 4 2 2 3" xfId="24408" xr:uid="{00000000-0005-0000-0000-0000B62C0000}"/>
    <cellStyle name="40% - Accent1 2 2 4 2 2 3 2" xfId="48240" xr:uid="{77949361-AA27-4F0D-9790-BBA17FFE3984}"/>
    <cellStyle name="40% - Accent1 2 2 4 2 2 4" xfId="32363" xr:uid="{CA307BA6-4D4E-4665-95B2-01B448330ADB}"/>
    <cellStyle name="40% - Accent1 2 2 4 2 3" xfId="12924" xr:uid="{00000000-0005-0000-0000-0000B72C0000}"/>
    <cellStyle name="40% - Accent1 2 2 4 2 3 2" xfId="36773" xr:uid="{423081FC-47A4-4FCF-8133-B2F3750EADCE}"/>
    <cellStyle name="40% - Accent1 2 2 4 2 4" xfId="20879" xr:uid="{00000000-0005-0000-0000-0000B82C0000}"/>
    <cellStyle name="40% - Accent1 2 2 4 2 4 2" xfId="44711" xr:uid="{344BC026-D3DB-456A-B2F3-91528EC4752B}"/>
    <cellStyle name="40% - Accent1 2 2 4 2 5" xfId="28832" xr:uid="{2224D63E-658F-4169-A496-9FD4772157B8}"/>
    <cellStyle name="40% - Accent1 2 2 4 3" xfId="6733" xr:uid="{00000000-0005-0000-0000-0000B92C0000}"/>
    <cellStyle name="40% - Accent1 2 2 4 3 2" xfId="14704" xr:uid="{00000000-0005-0000-0000-0000BA2C0000}"/>
    <cellStyle name="40% - Accent1 2 2 4 3 2 2" xfId="38546" xr:uid="{EF2EFAF5-5EC9-4B8E-8DBE-54EB2FA7E59E}"/>
    <cellStyle name="40% - Accent1 2 2 4 3 3" xfId="22651" xr:uid="{00000000-0005-0000-0000-0000BB2C0000}"/>
    <cellStyle name="40% - Accent1 2 2 4 3 3 2" xfId="46483" xr:uid="{DB4BEFE8-9081-476B-A8FF-33A4553A914A}"/>
    <cellStyle name="40% - Accent1 2 2 4 3 4" xfId="30605" xr:uid="{45F5C74C-6060-4E53-8A3E-89260327CF62}"/>
    <cellStyle name="40% - Accent1 2 2 4 4" xfId="11168" xr:uid="{00000000-0005-0000-0000-0000BC2C0000}"/>
    <cellStyle name="40% - Accent1 2 2 4 4 2" xfId="35017" xr:uid="{DF9DAB48-CBE0-4BE5-BE75-3D1FAC954F6B}"/>
    <cellStyle name="40% - Accent1 2 2 4 5" xfId="19123" xr:uid="{00000000-0005-0000-0000-0000BD2C0000}"/>
    <cellStyle name="40% - Accent1 2 2 4 5 2" xfId="42955" xr:uid="{4953AAE8-A257-4F1D-890C-A79BC3CDD497}"/>
    <cellStyle name="40% - Accent1 2 2 4 6" xfId="27075" xr:uid="{D95B14F9-C74F-4058-B498-3CD9CE7A76AF}"/>
    <cellStyle name="40% - Accent1 2 2 4_Exh G" xfId="2724" xr:uid="{00000000-0005-0000-0000-0000BE2C0000}"/>
    <cellStyle name="40% - Accent1 2 2 5" xfId="4022" xr:uid="{00000000-0005-0000-0000-0000BF2C0000}"/>
    <cellStyle name="40% - Accent1 2 2 5 2" xfId="7614" xr:uid="{00000000-0005-0000-0000-0000C02C0000}"/>
    <cellStyle name="40% - Accent1 2 2 5 2 2" xfId="15584" xr:uid="{00000000-0005-0000-0000-0000C12C0000}"/>
    <cellStyle name="40% - Accent1 2 2 5 2 2 2" xfId="39426" xr:uid="{A164E0E7-4003-4900-8CB6-CB21B869BA53}"/>
    <cellStyle name="40% - Accent1 2 2 5 2 3" xfId="23530" xr:uid="{00000000-0005-0000-0000-0000C22C0000}"/>
    <cellStyle name="40% - Accent1 2 2 5 2 3 2" xfId="47362" xr:uid="{BA5A37CD-B9FB-4506-AF7D-3235E0EA5FE2}"/>
    <cellStyle name="40% - Accent1 2 2 5 2 4" xfId="31485" xr:uid="{645AE1CC-A63F-411C-8C54-889B58992848}"/>
    <cellStyle name="40% - Accent1 2 2 5 3" xfId="12046" xr:uid="{00000000-0005-0000-0000-0000C32C0000}"/>
    <cellStyle name="40% - Accent1 2 2 5 3 2" xfId="35895" xr:uid="{731929CF-9A2A-4609-B3E7-E112E7F4DCD6}"/>
    <cellStyle name="40% - Accent1 2 2 5 4" xfId="20001" xr:uid="{00000000-0005-0000-0000-0000C42C0000}"/>
    <cellStyle name="40% - Accent1 2 2 5 4 2" xfId="43833" xr:uid="{100E1568-8F7A-419C-B258-AA345BACB3EF}"/>
    <cellStyle name="40% - Accent1 2 2 5 5" xfId="27954" xr:uid="{31DED3D8-1D5E-4ADE-9557-DAC1F73F99C5}"/>
    <cellStyle name="40% - Accent1 2 2 6" xfId="5842" xr:uid="{00000000-0005-0000-0000-0000C52C0000}"/>
    <cellStyle name="40% - Accent1 2 2 6 2" xfId="13825" xr:uid="{00000000-0005-0000-0000-0000C62C0000}"/>
    <cellStyle name="40% - Accent1 2 2 6 2 2" xfId="37668" xr:uid="{C7C4BC27-C8E9-43DA-BB16-304E8D8F67D9}"/>
    <cellStyle name="40% - Accent1 2 2 6 3" xfId="21773" xr:uid="{00000000-0005-0000-0000-0000C72C0000}"/>
    <cellStyle name="40% - Accent1 2 2 6 3 2" xfId="45605" xr:uid="{3564730E-FBA5-4024-9BCA-A4D6BAFF5700}"/>
    <cellStyle name="40% - Accent1 2 2 6 4" xfId="29727" xr:uid="{7D639023-78C7-464C-B327-0702B8E195E5}"/>
    <cellStyle name="40% - Accent1 2 2 7" xfId="9394" xr:uid="{00000000-0005-0000-0000-0000C82C0000}"/>
    <cellStyle name="40% - Accent1 2 2 7 2" xfId="17352" xr:uid="{00000000-0005-0000-0000-0000C92C0000}"/>
    <cellStyle name="40% - Accent1 2 2 7 2 2" xfId="41192" xr:uid="{F071217C-9C56-41E6-9C04-32EE34787C3B}"/>
    <cellStyle name="40% - Accent1 2 2 7 3" xfId="25296" xr:uid="{00000000-0005-0000-0000-0000CA2C0000}"/>
    <cellStyle name="40% - Accent1 2 2 7 3 2" xfId="49128" xr:uid="{9E23E0EC-72F4-4748-A75E-51FBF6BD6658}"/>
    <cellStyle name="40% - Accent1 2 2 7 4" xfId="33251" xr:uid="{24595C46-9E0B-42D3-B7B6-D7359349BE73}"/>
    <cellStyle name="40% - Accent1 2 2 8" xfId="10290" xr:uid="{00000000-0005-0000-0000-0000CB2C0000}"/>
    <cellStyle name="40% - Accent1 2 2 8 2" xfId="34139" xr:uid="{D00B3D6A-4729-4416-B559-549DE79DF24C}"/>
    <cellStyle name="40% - Accent1 2 2 9" xfId="18245" xr:uid="{00000000-0005-0000-0000-0000CC2C0000}"/>
    <cellStyle name="40% - Accent1 2 2 9 2" xfId="42077" xr:uid="{95D3C290-F605-469B-88D9-075C21F70EDF}"/>
    <cellStyle name="40% - Accent1 2 2_Exh G" xfId="2719" xr:uid="{00000000-0005-0000-0000-0000CD2C0000}"/>
    <cellStyle name="40% - Accent1 2 3" xfId="350" xr:uid="{00000000-0005-0000-0000-0000CE2C0000}"/>
    <cellStyle name="40% - Accent1 2 3 2" xfId="1376" xr:uid="{00000000-0005-0000-0000-0000CF2C0000}"/>
    <cellStyle name="40% - Accent1 2 3 2 2" xfId="4903" xr:uid="{00000000-0005-0000-0000-0000D02C0000}"/>
    <cellStyle name="40% - Accent1 2 3 2 2 2" xfId="8494" xr:uid="{00000000-0005-0000-0000-0000D12C0000}"/>
    <cellStyle name="40% - Accent1 2 3 2 2 2 2" xfId="16464" xr:uid="{00000000-0005-0000-0000-0000D22C0000}"/>
    <cellStyle name="40% - Accent1 2 3 2 2 2 2 2" xfId="40306" xr:uid="{4AC5A39D-CCD1-49CE-BD7F-F111F02C9247}"/>
    <cellStyle name="40% - Accent1 2 3 2 2 2 3" xfId="24410" xr:uid="{00000000-0005-0000-0000-0000D32C0000}"/>
    <cellStyle name="40% - Accent1 2 3 2 2 2 3 2" xfId="48242" xr:uid="{4D6CFA55-217E-4B03-BEFA-23D6205012E4}"/>
    <cellStyle name="40% - Accent1 2 3 2 2 2 4" xfId="32365" xr:uid="{47ABF898-3DFE-41C5-A405-23AF8A80DF5B}"/>
    <cellStyle name="40% - Accent1 2 3 2 2 3" xfId="12926" xr:uid="{00000000-0005-0000-0000-0000D42C0000}"/>
    <cellStyle name="40% - Accent1 2 3 2 2 3 2" xfId="36775" xr:uid="{FFAEA65E-CF18-4BA4-992A-00B2651F94A1}"/>
    <cellStyle name="40% - Accent1 2 3 2 2 4" xfId="20881" xr:uid="{00000000-0005-0000-0000-0000D52C0000}"/>
    <cellStyle name="40% - Accent1 2 3 2 2 4 2" xfId="44713" xr:uid="{800E9F0E-A474-421F-8FBC-0BB27C22EC44}"/>
    <cellStyle name="40% - Accent1 2 3 2 2 5" xfId="28834" xr:uid="{5D3129B5-FED4-4181-93A4-1E7C4807809F}"/>
    <cellStyle name="40% - Accent1 2 3 2 3" xfId="6735" xr:uid="{00000000-0005-0000-0000-0000D62C0000}"/>
    <cellStyle name="40% - Accent1 2 3 2 3 2" xfId="14706" xr:uid="{00000000-0005-0000-0000-0000D72C0000}"/>
    <cellStyle name="40% - Accent1 2 3 2 3 2 2" xfId="38548" xr:uid="{A2DCBEA8-CF83-44B2-A466-2A2A32622394}"/>
    <cellStyle name="40% - Accent1 2 3 2 3 3" xfId="22653" xr:uid="{00000000-0005-0000-0000-0000D82C0000}"/>
    <cellStyle name="40% - Accent1 2 3 2 3 3 2" xfId="46485" xr:uid="{82AFC694-C51A-44CE-A307-346459974571}"/>
    <cellStyle name="40% - Accent1 2 3 2 3 4" xfId="30607" xr:uid="{61F3638A-7158-440F-9180-6387E3AC084C}"/>
    <cellStyle name="40% - Accent1 2 3 2 4" xfId="11170" xr:uid="{00000000-0005-0000-0000-0000D92C0000}"/>
    <cellStyle name="40% - Accent1 2 3 2 4 2" xfId="35019" xr:uid="{17EFE260-7258-432E-A585-F09C4F87D4D2}"/>
    <cellStyle name="40% - Accent1 2 3 2 5" xfId="19125" xr:uid="{00000000-0005-0000-0000-0000DA2C0000}"/>
    <cellStyle name="40% - Accent1 2 3 2 5 2" xfId="42957" xr:uid="{3A17A93B-466B-4DE5-B7DE-C9C5F4A8EDC7}"/>
    <cellStyle name="40% - Accent1 2 3 2 6" xfId="27077" xr:uid="{439B6B20-5785-4A04-898A-2BDB922BEE5A}"/>
    <cellStyle name="40% - Accent1 2 3 2_Exh G" xfId="2726" xr:uid="{00000000-0005-0000-0000-0000DB2C0000}"/>
    <cellStyle name="40% - Accent1 2 3 3" xfId="4024" xr:uid="{00000000-0005-0000-0000-0000DC2C0000}"/>
    <cellStyle name="40% - Accent1 2 3 3 2" xfId="7616" xr:uid="{00000000-0005-0000-0000-0000DD2C0000}"/>
    <cellStyle name="40% - Accent1 2 3 3 2 2" xfId="15586" xr:uid="{00000000-0005-0000-0000-0000DE2C0000}"/>
    <cellStyle name="40% - Accent1 2 3 3 2 2 2" xfId="39428" xr:uid="{56DD4A44-CEC1-427B-8D6D-CC36DE74B5E0}"/>
    <cellStyle name="40% - Accent1 2 3 3 2 3" xfId="23532" xr:uid="{00000000-0005-0000-0000-0000DF2C0000}"/>
    <cellStyle name="40% - Accent1 2 3 3 2 3 2" xfId="47364" xr:uid="{E2EDE807-DB96-41C4-A7DB-B6EF9A0F1A5B}"/>
    <cellStyle name="40% - Accent1 2 3 3 2 4" xfId="31487" xr:uid="{B9BFB996-C473-4BAA-9608-4B88D6B1B538}"/>
    <cellStyle name="40% - Accent1 2 3 3 3" xfId="12048" xr:uid="{00000000-0005-0000-0000-0000E02C0000}"/>
    <cellStyle name="40% - Accent1 2 3 3 3 2" xfId="35897" xr:uid="{1CA11FD2-503E-4556-82E9-16563AE323E1}"/>
    <cellStyle name="40% - Accent1 2 3 3 4" xfId="20003" xr:uid="{00000000-0005-0000-0000-0000E12C0000}"/>
    <cellStyle name="40% - Accent1 2 3 3 4 2" xfId="43835" xr:uid="{B0631AD2-6FD1-4A57-A11F-41F4ED1378ED}"/>
    <cellStyle name="40% - Accent1 2 3 3 5" xfId="27956" xr:uid="{AF5E5581-3248-4DDC-80E4-C4C8A88F4681}"/>
    <cellStyle name="40% - Accent1 2 3 4" xfId="5844" xr:uid="{00000000-0005-0000-0000-0000E22C0000}"/>
    <cellStyle name="40% - Accent1 2 3 4 2" xfId="13827" xr:uid="{00000000-0005-0000-0000-0000E32C0000}"/>
    <cellStyle name="40% - Accent1 2 3 4 2 2" xfId="37670" xr:uid="{C0B27A94-24FF-4BA8-9DBC-EC3A96717CB6}"/>
    <cellStyle name="40% - Accent1 2 3 4 3" xfId="21775" xr:uid="{00000000-0005-0000-0000-0000E42C0000}"/>
    <cellStyle name="40% - Accent1 2 3 4 3 2" xfId="45607" xr:uid="{9B3F45A9-C6B8-4983-BD00-A2AF887D86A8}"/>
    <cellStyle name="40% - Accent1 2 3 4 4" xfId="29729" xr:uid="{FB740005-0D37-4533-BFEA-92888D295D8D}"/>
    <cellStyle name="40% - Accent1 2 3 5" xfId="9396" xr:uid="{00000000-0005-0000-0000-0000E52C0000}"/>
    <cellStyle name="40% - Accent1 2 3 5 2" xfId="17354" xr:uid="{00000000-0005-0000-0000-0000E62C0000}"/>
    <cellStyle name="40% - Accent1 2 3 5 2 2" xfId="41194" xr:uid="{7F65118C-23EB-4D17-B5C1-DDC5E5A6101C}"/>
    <cellStyle name="40% - Accent1 2 3 5 3" xfId="25298" xr:uid="{00000000-0005-0000-0000-0000E72C0000}"/>
    <cellStyle name="40% - Accent1 2 3 5 3 2" xfId="49130" xr:uid="{6524D961-FB1A-49DB-A1ED-6B72689D20EF}"/>
    <cellStyle name="40% - Accent1 2 3 5 4" xfId="33253" xr:uid="{CB185479-B5FE-4F80-9C4A-3D0E530AEE97}"/>
    <cellStyle name="40% - Accent1 2 3 6" xfId="10292" xr:uid="{00000000-0005-0000-0000-0000E82C0000}"/>
    <cellStyle name="40% - Accent1 2 3 6 2" xfId="34141" xr:uid="{842DCBD2-DE86-4166-A753-59680648CD62}"/>
    <cellStyle name="40% - Accent1 2 3 7" xfId="18247" xr:uid="{00000000-0005-0000-0000-0000E92C0000}"/>
    <cellStyle name="40% - Accent1 2 3 7 2" xfId="42079" xr:uid="{832354F9-5CB6-4A17-AB3F-5F4F5B7A7A6B}"/>
    <cellStyle name="40% - Accent1 2 3 8" xfId="26199" xr:uid="{82C4D182-E95A-4227-B298-0165B19EFE69}"/>
    <cellStyle name="40% - Accent1 2 3_Exh G" xfId="2725" xr:uid="{00000000-0005-0000-0000-0000EA2C0000}"/>
    <cellStyle name="40% - Accent1 2 4" xfId="932" xr:uid="{00000000-0005-0000-0000-0000EB2C0000}"/>
    <cellStyle name="40% - Accent1 2 4 2" xfId="1852" xr:uid="{00000000-0005-0000-0000-0000EC2C0000}"/>
    <cellStyle name="40% - Accent1 2 4 2 2" xfId="5369" xr:uid="{00000000-0005-0000-0000-0000ED2C0000}"/>
    <cellStyle name="40% - Accent1 2 4 2 2 2" xfId="8960" xr:uid="{00000000-0005-0000-0000-0000EE2C0000}"/>
    <cellStyle name="40% - Accent1 2 4 2 2 2 2" xfId="16930" xr:uid="{00000000-0005-0000-0000-0000EF2C0000}"/>
    <cellStyle name="40% - Accent1 2 4 2 2 2 2 2" xfId="40772" xr:uid="{E2805DD0-D875-40B3-BF73-32280A812AFC}"/>
    <cellStyle name="40% - Accent1 2 4 2 2 2 3" xfId="24876" xr:uid="{00000000-0005-0000-0000-0000F02C0000}"/>
    <cellStyle name="40% - Accent1 2 4 2 2 2 3 2" xfId="48708" xr:uid="{C195C0DB-5D42-4A2A-AACD-544AFDD5C4CF}"/>
    <cellStyle name="40% - Accent1 2 4 2 2 2 4" xfId="32831" xr:uid="{AC895517-82EF-4642-912C-C1C46EF23E09}"/>
    <cellStyle name="40% - Accent1 2 4 2 2 3" xfId="13392" xr:uid="{00000000-0005-0000-0000-0000F12C0000}"/>
    <cellStyle name="40% - Accent1 2 4 2 2 3 2" xfId="37241" xr:uid="{A3697657-0A53-4B46-A025-B5CDB51384ED}"/>
    <cellStyle name="40% - Accent1 2 4 2 2 4" xfId="21347" xr:uid="{00000000-0005-0000-0000-0000F22C0000}"/>
    <cellStyle name="40% - Accent1 2 4 2 2 4 2" xfId="45179" xr:uid="{338650BC-75D9-4F64-B88B-06EF92EC38E3}"/>
    <cellStyle name="40% - Accent1 2 4 2 2 5" xfId="29300" xr:uid="{F5B1FAFD-017E-4C5D-9DEE-17C87094B1BB}"/>
    <cellStyle name="40% - Accent1 2 4 2 3" xfId="7201" xr:uid="{00000000-0005-0000-0000-0000F32C0000}"/>
    <cellStyle name="40% - Accent1 2 4 2 3 2" xfId="15172" xr:uid="{00000000-0005-0000-0000-0000F42C0000}"/>
    <cellStyle name="40% - Accent1 2 4 2 3 2 2" xfId="39014" xr:uid="{6B3AEA35-CADC-4B6F-8C80-01781D86B410}"/>
    <cellStyle name="40% - Accent1 2 4 2 3 3" xfId="23119" xr:uid="{00000000-0005-0000-0000-0000F52C0000}"/>
    <cellStyle name="40% - Accent1 2 4 2 3 3 2" xfId="46951" xr:uid="{9EA6AC17-90EB-48C6-BD5A-9B6937841F89}"/>
    <cellStyle name="40% - Accent1 2 4 2 3 4" xfId="31073" xr:uid="{D113E044-F1A6-40D2-915B-0A6D6A04F0E6}"/>
    <cellStyle name="40% - Accent1 2 4 2 4" xfId="11636" xr:uid="{00000000-0005-0000-0000-0000F62C0000}"/>
    <cellStyle name="40% - Accent1 2 4 2 4 2" xfId="35485" xr:uid="{4660386E-F682-409B-8A73-622D7308067B}"/>
    <cellStyle name="40% - Accent1 2 4 2 5" xfId="19591" xr:uid="{00000000-0005-0000-0000-0000F72C0000}"/>
    <cellStyle name="40% - Accent1 2 4 2 5 2" xfId="43423" xr:uid="{6C189DFC-C655-4883-A281-86216C2AF2E3}"/>
    <cellStyle name="40% - Accent1 2 4 2 6" xfId="27543" xr:uid="{104D462D-DFBB-4AF8-8A6A-19DBE29BBF46}"/>
    <cellStyle name="40% - Accent1 2 4 2_Exh G" xfId="2728" xr:uid="{00000000-0005-0000-0000-0000F82C0000}"/>
    <cellStyle name="40% - Accent1 2 4 3" xfId="4490" xr:uid="{00000000-0005-0000-0000-0000F92C0000}"/>
    <cellStyle name="40% - Accent1 2 4 3 2" xfId="8082" xr:uid="{00000000-0005-0000-0000-0000FA2C0000}"/>
    <cellStyle name="40% - Accent1 2 4 3 2 2" xfId="16052" xr:uid="{00000000-0005-0000-0000-0000FB2C0000}"/>
    <cellStyle name="40% - Accent1 2 4 3 2 2 2" xfId="39894" xr:uid="{4CC5670A-CABE-497B-A6F9-4782F26EDD43}"/>
    <cellStyle name="40% - Accent1 2 4 3 2 3" xfId="23998" xr:uid="{00000000-0005-0000-0000-0000FC2C0000}"/>
    <cellStyle name="40% - Accent1 2 4 3 2 3 2" xfId="47830" xr:uid="{9ADEFC88-6287-4D09-8F23-6BAA8C80B732}"/>
    <cellStyle name="40% - Accent1 2 4 3 2 4" xfId="31953" xr:uid="{5C43613E-5674-4463-981F-A9AA4F11FE1E}"/>
    <cellStyle name="40% - Accent1 2 4 3 3" xfId="12514" xr:uid="{00000000-0005-0000-0000-0000FD2C0000}"/>
    <cellStyle name="40% - Accent1 2 4 3 3 2" xfId="36363" xr:uid="{33096C8B-5706-4468-86CA-7069AB58F090}"/>
    <cellStyle name="40% - Accent1 2 4 3 4" xfId="20469" xr:uid="{00000000-0005-0000-0000-0000FE2C0000}"/>
    <cellStyle name="40% - Accent1 2 4 3 4 2" xfId="44301" xr:uid="{D09BF769-2839-492F-A660-3E5D9BA1B09B}"/>
    <cellStyle name="40% - Accent1 2 4 3 5" xfId="28422" xr:uid="{A0BC90DF-81B5-42A0-BFDD-16F9BAC19644}"/>
    <cellStyle name="40% - Accent1 2 4 4" xfId="6320" xr:uid="{00000000-0005-0000-0000-0000FF2C0000}"/>
    <cellStyle name="40% - Accent1 2 4 4 2" xfId="14294" xr:uid="{00000000-0005-0000-0000-0000002D0000}"/>
    <cellStyle name="40% - Accent1 2 4 4 2 2" xfId="38136" xr:uid="{7D640BFB-5485-46BA-86DF-4F8B25C549E5}"/>
    <cellStyle name="40% - Accent1 2 4 4 3" xfId="22241" xr:uid="{00000000-0005-0000-0000-0000012D0000}"/>
    <cellStyle name="40% - Accent1 2 4 4 3 2" xfId="46073" xr:uid="{2E67F8FA-A1DD-490E-8EA8-A224B7E953A0}"/>
    <cellStyle name="40% - Accent1 2 4 4 4" xfId="30195" xr:uid="{AEABD62A-FF14-4816-83A7-0B7F3568CA46}"/>
    <cellStyle name="40% - Accent1 2 4 5" xfId="9862" xr:uid="{00000000-0005-0000-0000-0000022D0000}"/>
    <cellStyle name="40% - Accent1 2 4 5 2" xfId="17820" xr:uid="{00000000-0005-0000-0000-0000032D0000}"/>
    <cellStyle name="40% - Accent1 2 4 5 2 2" xfId="41660" xr:uid="{9EA3B90F-9B56-4E0D-9937-3C4E663D1AB9}"/>
    <cellStyle name="40% - Accent1 2 4 5 3" xfId="25764" xr:uid="{00000000-0005-0000-0000-0000042D0000}"/>
    <cellStyle name="40% - Accent1 2 4 5 3 2" xfId="49596" xr:uid="{FEC2F1B7-1368-4B40-9098-E0408BBD2C55}"/>
    <cellStyle name="40% - Accent1 2 4 5 4" xfId="33719" xr:uid="{E74E56E1-A150-456B-9362-7FF9AE7811C8}"/>
    <cellStyle name="40% - Accent1 2 4 6" xfId="10758" xr:uid="{00000000-0005-0000-0000-0000052D0000}"/>
    <cellStyle name="40% - Accent1 2 4 6 2" xfId="34607" xr:uid="{D38C5D60-780B-43DD-984D-A31C134B2EBA}"/>
    <cellStyle name="40% - Accent1 2 4 7" xfId="18713" xr:uid="{00000000-0005-0000-0000-0000062D0000}"/>
    <cellStyle name="40% - Accent1 2 4 7 2" xfId="42545" xr:uid="{F4D4B247-BBFF-4CEA-9E7D-43C9EA99A49B}"/>
    <cellStyle name="40% - Accent1 2 4 8" xfId="26665" xr:uid="{DF807AC7-99FD-4FDB-8120-30FC3297EA11}"/>
    <cellStyle name="40% - Accent1 2 4_Exh G" xfId="2727" xr:uid="{00000000-0005-0000-0000-0000072D0000}"/>
    <cellStyle name="40% - Accent1 2 5" xfId="1373" xr:uid="{00000000-0005-0000-0000-0000082D0000}"/>
    <cellStyle name="40% - Accent1 2 5 2" xfId="4900" xr:uid="{00000000-0005-0000-0000-0000092D0000}"/>
    <cellStyle name="40% - Accent1 2 5 2 2" xfId="8491" xr:uid="{00000000-0005-0000-0000-00000A2D0000}"/>
    <cellStyle name="40% - Accent1 2 5 2 2 2" xfId="16461" xr:uid="{00000000-0005-0000-0000-00000B2D0000}"/>
    <cellStyle name="40% - Accent1 2 5 2 2 2 2" xfId="40303" xr:uid="{74A3950C-FBE9-4573-95E1-1228E5AEDEB8}"/>
    <cellStyle name="40% - Accent1 2 5 2 2 3" xfId="24407" xr:uid="{00000000-0005-0000-0000-00000C2D0000}"/>
    <cellStyle name="40% - Accent1 2 5 2 2 3 2" xfId="48239" xr:uid="{BAAF404A-3C6B-4D6E-A137-C70453F01DC6}"/>
    <cellStyle name="40% - Accent1 2 5 2 2 4" xfId="32362" xr:uid="{014AB447-6EF0-46A3-8C30-D5D53040C517}"/>
    <cellStyle name="40% - Accent1 2 5 2 3" xfId="12923" xr:uid="{00000000-0005-0000-0000-00000D2D0000}"/>
    <cellStyle name="40% - Accent1 2 5 2 3 2" xfId="36772" xr:uid="{5C2C2DA5-1AE5-4D7C-8EBA-FEB8BBA2428C}"/>
    <cellStyle name="40% - Accent1 2 5 2 4" xfId="20878" xr:uid="{00000000-0005-0000-0000-00000E2D0000}"/>
    <cellStyle name="40% - Accent1 2 5 2 4 2" xfId="44710" xr:uid="{351BD091-F07B-4525-A1C3-551A4EBB5BFA}"/>
    <cellStyle name="40% - Accent1 2 5 2 5" xfId="28831" xr:uid="{D049232C-3FB8-47BE-965B-A604CAFE569F}"/>
    <cellStyle name="40% - Accent1 2 5 3" xfId="6732" xr:uid="{00000000-0005-0000-0000-00000F2D0000}"/>
    <cellStyle name="40% - Accent1 2 5 3 2" xfId="14703" xr:uid="{00000000-0005-0000-0000-0000102D0000}"/>
    <cellStyle name="40% - Accent1 2 5 3 2 2" xfId="38545" xr:uid="{64CAA785-04E5-486F-A681-83AAAF05C9CA}"/>
    <cellStyle name="40% - Accent1 2 5 3 3" xfId="22650" xr:uid="{00000000-0005-0000-0000-0000112D0000}"/>
    <cellStyle name="40% - Accent1 2 5 3 3 2" xfId="46482" xr:uid="{912742DF-BEFF-4848-A55A-85557EDEDF44}"/>
    <cellStyle name="40% - Accent1 2 5 3 4" xfId="30604" xr:uid="{329BDD89-B03D-4F15-9DA5-CBC2C9545DC3}"/>
    <cellStyle name="40% - Accent1 2 5 4" xfId="11167" xr:uid="{00000000-0005-0000-0000-0000122D0000}"/>
    <cellStyle name="40% - Accent1 2 5 4 2" xfId="35016" xr:uid="{12104F93-CE7C-438A-8D07-D4C77F4A7DA2}"/>
    <cellStyle name="40% - Accent1 2 5 5" xfId="19122" xr:uid="{00000000-0005-0000-0000-0000132D0000}"/>
    <cellStyle name="40% - Accent1 2 5 5 2" xfId="42954" xr:uid="{533F61F8-B202-4A98-8A7E-37F2893587C8}"/>
    <cellStyle name="40% - Accent1 2 5 6" xfId="27074" xr:uid="{DDF796E7-485C-4136-B4F9-710D79ED7078}"/>
    <cellStyle name="40% - Accent1 2 5_Exh G" xfId="2729" xr:uid="{00000000-0005-0000-0000-0000142D0000}"/>
    <cellStyle name="40% - Accent1 2 6" xfId="4021" xr:uid="{00000000-0005-0000-0000-0000152D0000}"/>
    <cellStyle name="40% - Accent1 2 6 2" xfId="7613" xr:uid="{00000000-0005-0000-0000-0000162D0000}"/>
    <cellStyle name="40% - Accent1 2 6 2 2" xfId="15583" xr:uid="{00000000-0005-0000-0000-0000172D0000}"/>
    <cellStyle name="40% - Accent1 2 6 2 2 2" xfId="39425" xr:uid="{B792BE06-CC4E-4D1D-B616-D8CCE526F7CA}"/>
    <cellStyle name="40% - Accent1 2 6 2 3" xfId="23529" xr:uid="{00000000-0005-0000-0000-0000182D0000}"/>
    <cellStyle name="40% - Accent1 2 6 2 3 2" xfId="47361" xr:uid="{C8118BCF-A7AA-42FA-A5A8-588414C10F1E}"/>
    <cellStyle name="40% - Accent1 2 6 2 4" xfId="31484" xr:uid="{5A32E3BF-35BB-480A-BC39-708879533978}"/>
    <cellStyle name="40% - Accent1 2 6 3" xfId="12045" xr:uid="{00000000-0005-0000-0000-0000192D0000}"/>
    <cellStyle name="40% - Accent1 2 6 3 2" xfId="35894" xr:uid="{C122EF4B-0D62-4104-B277-F6FD161F9DEC}"/>
    <cellStyle name="40% - Accent1 2 6 4" xfId="20000" xr:uid="{00000000-0005-0000-0000-00001A2D0000}"/>
    <cellStyle name="40% - Accent1 2 6 4 2" xfId="43832" xr:uid="{DD1275EA-D7FB-42F2-A87A-F6CA65A9ECD3}"/>
    <cellStyle name="40% - Accent1 2 6 5" xfId="27953" xr:uid="{2CAB883E-B7B3-4916-8056-51C170FB4FBB}"/>
    <cellStyle name="40% - Accent1 2 7" xfId="5841" xr:uid="{00000000-0005-0000-0000-00001B2D0000}"/>
    <cellStyle name="40% - Accent1 2 7 2" xfId="13824" xr:uid="{00000000-0005-0000-0000-00001C2D0000}"/>
    <cellStyle name="40% - Accent1 2 7 2 2" xfId="37667" xr:uid="{BAE988B5-D8EC-4CF6-AA53-57E94D906C12}"/>
    <cellStyle name="40% - Accent1 2 7 3" xfId="21772" xr:uid="{00000000-0005-0000-0000-00001D2D0000}"/>
    <cellStyle name="40% - Accent1 2 7 3 2" xfId="45604" xr:uid="{B70C3ED4-0576-444C-B1F0-051709DFA9F1}"/>
    <cellStyle name="40% - Accent1 2 7 4" xfId="29726" xr:uid="{B8E42D8F-247F-4A38-AA89-4651D8ADA0F5}"/>
    <cellStyle name="40% - Accent1 2 8" xfId="9393" xr:uid="{00000000-0005-0000-0000-00001E2D0000}"/>
    <cellStyle name="40% - Accent1 2 8 2" xfId="17351" xr:uid="{00000000-0005-0000-0000-00001F2D0000}"/>
    <cellStyle name="40% - Accent1 2 8 2 2" xfId="41191" xr:uid="{140C7031-2A99-4536-81E1-D225B0E11382}"/>
    <cellStyle name="40% - Accent1 2 8 3" xfId="25295" xr:uid="{00000000-0005-0000-0000-0000202D0000}"/>
    <cellStyle name="40% - Accent1 2 8 3 2" xfId="49127" xr:uid="{BBA62C54-1A18-42A8-BA90-3A4D40862FF2}"/>
    <cellStyle name="40% - Accent1 2 8 4" xfId="33250" xr:uid="{29A7BCA3-F14A-46C7-B789-FD0500C70594}"/>
    <cellStyle name="40% - Accent1 2 9" xfId="10289" xr:uid="{00000000-0005-0000-0000-0000212D0000}"/>
    <cellStyle name="40% - Accent1 2 9 2" xfId="34138" xr:uid="{A996F5DC-EAC5-48D0-A68C-E82FF2325CDD}"/>
    <cellStyle name="40% - Accent1 2_Exh G" xfId="2718" xr:uid="{00000000-0005-0000-0000-0000222D0000}"/>
    <cellStyle name="40% - Accent1 3" xfId="351" xr:uid="{00000000-0005-0000-0000-0000232D0000}"/>
    <cellStyle name="40% - Accent1 3 10" xfId="18248" xr:uid="{00000000-0005-0000-0000-0000242D0000}"/>
    <cellStyle name="40% - Accent1 3 10 2" xfId="42080" xr:uid="{88C32D16-5971-4C4B-8DFD-6946D9487CA6}"/>
    <cellStyle name="40% - Accent1 3 11" xfId="26200" xr:uid="{587504AA-860A-4CE1-AA97-B67049AD925F}"/>
    <cellStyle name="40% - Accent1 3 12" xfId="49755" xr:uid="{34093A2A-A300-4429-974F-9F9A80591ECC}"/>
    <cellStyle name="40% - Accent1 3 13" xfId="49809" xr:uid="{85D4948B-FEB0-46FC-8349-D362A10CEA58}"/>
    <cellStyle name="40% - Accent1 3 2" xfId="352" xr:uid="{00000000-0005-0000-0000-0000252D0000}"/>
    <cellStyle name="40% - Accent1 3 2 10" xfId="26201" xr:uid="{EBAC224A-35DC-4BC7-B830-0EBF099B6ADA}"/>
    <cellStyle name="40% - Accent1 3 2 2" xfId="353" xr:uid="{00000000-0005-0000-0000-0000262D0000}"/>
    <cellStyle name="40% - Accent1 3 2 2 2" xfId="1379" xr:uid="{00000000-0005-0000-0000-0000272D0000}"/>
    <cellStyle name="40% - Accent1 3 2 2 2 2" xfId="4906" xr:uid="{00000000-0005-0000-0000-0000282D0000}"/>
    <cellStyle name="40% - Accent1 3 2 2 2 2 2" xfId="8497" xr:uid="{00000000-0005-0000-0000-0000292D0000}"/>
    <cellStyle name="40% - Accent1 3 2 2 2 2 2 2" xfId="16467" xr:uid="{00000000-0005-0000-0000-00002A2D0000}"/>
    <cellStyle name="40% - Accent1 3 2 2 2 2 2 2 2" xfId="40309" xr:uid="{1B84F009-46D3-4B9C-9B82-450BE6C034CB}"/>
    <cellStyle name="40% - Accent1 3 2 2 2 2 2 3" xfId="24413" xr:uid="{00000000-0005-0000-0000-00002B2D0000}"/>
    <cellStyle name="40% - Accent1 3 2 2 2 2 2 3 2" xfId="48245" xr:uid="{2ED907B4-E874-4F69-9C17-25E662F1C834}"/>
    <cellStyle name="40% - Accent1 3 2 2 2 2 2 4" xfId="32368" xr:uid="{89F82CFA-B49B-4240-B81A-A8095C79748F}"/>
    <cellStyle name="40% - Accent1 3 2 2 2 2 3" xfId="12929" xr:uid="{00000000-0005-0000-0000-00002C2D0000}"/>
    <cellStyle name="40% - Accent1 3 2 2 2 2 3 2" xfId="36778" xr:uid="{12A2F608-A1C5-40A8-833C-69E76E8A454F}"/>
    <cellStyle name="40% - Accent1 3 2 2 2 2 4" xfId="20884" xr:uid="{00000000-0005-0000-0000-00002D2D0000}"/>
    <cellStyle name="40% - Accent1 3 2 2 2 2 4 2" xfId="44716" xr:uid="{7698659B-5138-485E-8124-DDD3E7C615BD}"/>
    <cellStyle name="40% - Accent1 3 2 2 2 2 5" xfId="28837" xr:uid="{8C4C99AC-EB55-4613-923C-048751FDB322}"/>
    <cellStyle name="40% - Accent1 3 2 2 2 3" xfId="6738" xr:uid="{00000000-0005-0000-0000-00002E2D0000}"/>
    <cellStyle name="40% - Accent1 3 2 2 2 3 2" xfId="14709" xr:uid="{00000000-0005-0000-0000-00002F2D0000}"/>
    <cellStyle name="40% - Accent1 3 2 2 2 3 2 2" xfId="38551" xr:uid="{CF35FBA3-ED4D-4F3F-AC08-EAD147C6F3F1}"/>
    <cellStyle name="40% - Accent1 3 2 2 2 3 3" xfId="22656" xr:uid="{00000000-0005-0000-0000-0000302D0000}"/>
    <cellStyle name="40% - Accent1 3 2 2 2 3 3 2" xfId="46488" xr:uid="{A27232BD-FFC3-4EAC-822D-1195D9F59E6F}"/>
    <cellStyle name="40% - Accent1 3 2 2 2 3 4" xfId="30610" xr:uid="{4D59CA00-2E3A-45E0-AF4D-2CFE255904BC}"/>
    <cellStyle name="40% - Accent1 3 2 2 2 4" xfId="11173" xr:uid="{00000000-0005-0000-0000-0000312D0000}"/>
    <cellStyle name="40% - Accent1 3 2 2 2 4 2" xfId="35022" xr:uid="{07FF9199-51F0-487D-884C-DEC6B161FCF9}"/>
    <cellStyle name="40% - Accent1 3 2 2 2 5" xfId="19128" xr:uid="{00000000-0005-0000-0000-0000322D0000}"/>
    <cellStyle name="40% - Accent1 3 2 2 2 5 2" xfId="42960" xr:uid="{1544F5E1-3429-417D-8E49-21E91E364CA1}"/>
    <cellStyle name="40% - Accent1 3 2 2 2 6" xfId="27080" xr:uid="{30BC1510-2BB2-4EC2-A2C0-33B3D57377A9}"/>
    <cellStyle name="40% - Accent1 3 2 2 2_Exh G" xfId="2733" xr:uid="{00000000-0005-0000-0000-0000332D0000}"/>
    <cellStyle name="40% - Accent1 3 2 2 3" xfId="4027" xr:uid="{00000000-0005-0000-0000-0000342D0000}"/>
    <cellStyle name="40% - Accent1 3 2 2 3 2" xfId="7619" xr:uid="{00000000-0005-0000-0000-0000352D0000}"/>
    <cellStyle name="40% - Accent1 3 2 2 3 2 2" xfId="15589" xr:uid="{00000000-0005-0000-0000-0000362D0000}"/>
    <cellStyle name="40% - Accent1 3 2 2 3 2 2 2" xfId="39431" xr:uid="{48613444-DD92-4FFD-8147-E38297EF34E4}"/>
    <cellStyle name="40% - Accent1 3 2 2 3 2 3" xfId="23535" xr:uid="{00000000-0005-0000-0000-0000372D0000}"/>
    <cellStyle name="40% - Accent1 3 2 2 3 2 3 2" xfId="47367" xr:uid="{E6F69653-F3C2-4EAE-941C-8DEE2DE58CF4}"/>
    <cellStyle name="40% - Accent1 3 2 2 3 2 4" xfId="31490" xr:uid="{4BDA52B5-2745-4D79-9426-164153F6FB25}"/>
    <cellStyle name="40% - Accent1 3 2 2 3 3" xfId="12051" xr:uid="{00000000-0005-0000-0000-0000382D0000}"/>
    <cellStyle name="40% - Accent1 3 2 2 3 3 2" xfId="35900" xr:uid="{03F010E2-7632-4041-B1D6-D64D6E86A8C1}"/>
    <cellStyle name="40% - Accent1 3 2 2 3 4" xfId="20006" xr:uid="{00000000-0005-0000-0000-0000392D0000}"/>
    <cellStyle name="40% - Accent1 3 2 2 3 4 2" xfId="43838" xr:uid="{98D4BB7D-C5D2-485B-B9F7-6E90BEA2E3BC}"/>
    <cellStyle name="40% - Accent1 3 2 2 3 5" xfId="27959" xr:uid="{9C8DAAB8-901C-42C8-AD94-BFC913D821F7}"/>
    <cellStyle name="40% - Accent1 3 2 2 4" xfId="5847" xr:uid="{00000000-0005-0000-0000-00003A2D0000}"/>
    <cellStyle name="40% - Accent1 3 2 2 4 2" xfId="13830" xr:uid="{00000000-0005-0000-0000-00003B2D0000}"/>
    <cellStyle name="40% - Accent1 3 2 2 4 2 2" xfId="37673" xr:uid="{9015B360-B329-4886-B159-CC98935CB3AD}"/>
    <cellStyle name="40% - Accent1 3 2 2 4 3" xfId="21778" xr:uid="{00000000-0005-0000-0000-00003C2D0000}"/>
    <cellStyle name="40% - Accent1 3 2 2 4 3 2" xfId="45610" xr:uid="{28EC0654-D760-4872-B044-873EB809538C}"/>
    <cellStyle name="40% - Accent1 3 2 2 4 4" xfId="29732" xr:uid="{D5DA0317-4D11-46CF-BF07-BE8772ADAE52}"/>
    <cellStyle name="40% - Accent1 3 2 2 5" xfId="9399" xr:uid="{00000000-0005-0000-0000-00003D2D0000}"/>
    <cellStyle name="40% - Accent1 3 2 2 5 2" xfId="17357" xr:uid="{00000000-0005-0000-0000-00003E2D0000}"/>
    <cellStyle name="40% - Accent1 3 2 2 5 2 2" xfId="41197" xr:uid="{FFE76FC4-6D0D-432D-AEA9-E21BF85716B6}"/>
    <cellStyle name="40% - Accent1 3 2 2 5 3" xfId="25301" xr:uid="{00000000-0005-0000-0000-00003F2D0000}"/>
    <cellStyle name="40% - Accent1 3 2 2 5 3 2" xfId="49133" xr:uid="{75AB7AF5-C4CF-4CB9-824A-02042987E14A}"/>
    <cellStyle name="40% - Accent1 3 2 2 5 4" xfId="33256" xr:uid="{CEF26250-63AD-490E-918E-94DF426A666A}"/>
    <cellStyle name="40% - Accent1 3 2 2 6" xfId="10295" xr:uid="{00000000-0005-0000-0000-0000402D0000}"/>
    <cellStyle name="40% - Accent1 3 2 2 6 2" xfId="34144" xr:uid="{C4B7241E-78C8-4D17-B178-4E2915326DF3}"/>
    <cellStyle name="40% - Accent1 3 2 2 7" xfId="18250" xr:uid="{00000000-0005-0000-0000-0000412D0000}"/>
    <cellStyle name="40% - Accent1 3 2 2 7 2" xfId="42082" xr:uid="{2FD9524D-FF7E-4ABF-A09D-9F4432B91753}"/>
    <cellStyle name="40% - Accent1 3 2 2 8" xfId="26202" xr:uid="{9C55BED7-993E-4716-9775-5312C730C485}"/>
    <cellStyle name="40% - Accent1 3 2 2_Exh G" xfId="2732" xr:uid="{00000000-0005-0000-0000-0000422D0000}"/>
    <cellStyle name="40% - Accent1 3 2 3" xfId="935" xr:uid="{00000000-0005-0000-0000-0000432D0000}"/>
    <cellStyle name="40% - Accent1 3 2 3 2" xfId="1855" xr:uid="{00000000-0005-0000-0000-0000442D0000}"/>
    <cellStyle name="40% - Accent1 3 2 3 2 2" xfId="5372" xr:uid="{00000000-0005-0000-0000-0000452D0000}"/>
    <cellStyle name="40% - Accent1 3 2 3 2 2 2" xfId="8963" xr:uid="{00000000-0005-0000-0000-0000462D0000}"/>
    <cellStyle name="40% - Accent1 3 2 3 2 2 2 2" xfId="16933" xr:uid="{00000000-0005-0000-0000-0000472D0000}"/>
    <cellStyle name="40% - Accent1 3 2 3 2 2 2 2 2" xfId="40775" xr:uid="{5EBEFC2F-BEF6-4D76-AFC6-45EE919096A3}"/>
    <cellStyle name="40% - Accent1 3 2 3 2 2 2 3" xfId="24879" xr:uid="{00000000-0005-0000-0000-0000482D0000}"/>
    <cellStyle name="40% - Accent1 3 2 3 2 2 2 3 2" xfId="48711" xr:uid="{8A8A27D3-A09C-4699-8AA2-36772E1CEAD6}"/>
    <cellStyle name="40% - Accent1 3 2 3 2 2 2 4" xfId="32834" xr:uid="{8D1DCE2C-C87B-4763-B9C4-B7A07AB80492}"/>
    <cellStyle name="40% - Accent1 3 2 3 2 2 3" xfId="13395" xr:uid="{00000000-0005-0000-0000-0000492D0000}"/>
    <cellStyle name="40% - Accent1 3 2 3 2 2 3 2" xfId="37244" xr:uid="{81169A6C-3786-4F94-A37F-D853F72DE638}"/>
    <cellStyle name="40% - Accent1 3 2 3 2 2 4" xfId="21350" xr:uid="{00000000-0005-0000-0000-00004A2D0000}"/>
    <cellStyle name="40% - Accent1 3 2 3 2 2 4 2" xfId="45182" xr:uid="{C0EC95CE-48A7-4F77-8F01-1257370E64E8}"/>
    <cellStyle name="40% - Accent1 3 2 3 2 2 5" xfId="29303" xr:uid="{20BC84A7-320A-4865-B2EF-833B168C5FF5}"/>
    <cellStyle name="40% - Accent1 3 2 3 2 3" xfId="7204" xr:uid="{00000000-0005-0000-0000-00004B2D0000}"/>
    <cellStyle name="40% - Accent1 3 2 3 2 3 2" xfId="15175" xr:uid="{00000000-0005-0000-0000-00004C2D0000}"/>
    <cellStyle name="40% - Accent1 3 2 3 2 3 2 2" xfId="39017" xr:uid="{CE8FFF50-5F40-4041-964F-8A5F0549AD41}"/>
    <cellStyle name="40% - Accent1 3 2 3 2 3 3" xfId="23122" xr:uid="{00000000-0005-0000-0000-00004D2D0000}"/>
    <cellStyle name="40% - Accent1 3 2 3 2 3 3 2" xfId="46954" xr:uid="{E1D17043-33D0-4E70-BFE4-9FF924C22F60}"/>
    <cellStyle name="40% - Accent1 3 2 3 2 3 4" xfId="31076" xr:uid="{7CA370E5-E760-4273-9237-E8B532DEC16D}"/>
    <cellStyle name="40% - Accent1 3 2 3 2 4" xfId="11639" xr:uid="{00000000-0005-0000-0000-00004E2D0000}"/>
    <cellStyle name="40% - Accent1 3 2 3 2 4 2" xfId="35488" xr:uid="{F12AC818-AB6D-4951-A4D0-2930292F81E3}"/>
    <cellStyle name="40% - Accent1 3 2 3 2 5" xfId="19594" xr:uid="{00000000-0005-0000-0000-00004F2D0000}"/>
    <cellStyle name="40% - Accent1 3 2 3 2 5 2" xfId="43426" xr:uid="{9C475DFA-B467-451A-9D70-AE2CEA8B3B07}"/>
    <cellStyle name="40% - Accent1 3 2 3 2 6" xfId="27546" xr:uid="{B190624C-B93E-432E-BE21-8B04185F777D}"/>
    <cellStyle name="40% - Accent1 3 2 3 2_Exh G" xfId="2735" xr:uid="{00000000-0005-0000-0000-0000502D0000}"/>
    <cellStyle name="40% - Accent1 3 2 3 3" xfId="4493" xr:uid="{00000000-0005-0000-0000-0000512D0000}"/>
    <cellStyle name="40% - Accent1 3 2 3 3 2" xfId="8085" xr:uid="{00000000-0005-0000-0000-0000522D0000}"/>
    <cellStyle name="40% - Accent1 3 2 3 3 2 2" xfId="16055" xr:uid="{00000000-0005-0000-0000-0000532D0000}"/>
    <cellStyle name="40% - Accent1 3 2 3 3 2 2 2" xfId="39897" xr:uid="{200EAF5F-B82E-45AA-ABEF-3462BD908670}"/>
    <cellStyle name="40% - Accent1 3 2 3 3 2 3" xfId="24001" xr:uid="{00000000-0005-0000-0000-0000542D0000}"/>
    <cellStyle name="40% - Accent1 3 2 3 3 2 3 2" xfId="47833" xr:uid="{77CFC545-EEE5-4B57-B851-8E311C4DEF0E}"/>
    <cellStyle name="40% - Accent1 3 2 3 3 2 4" xfId="31956" xr:uid="{F0042D81-9855-4DDF-9332-0AC3CA6634DC}"/>
    <cellStyle name="40% - Accent1 3 2 3 3 3" xfId="12517" xr:uid="{00000000-0005-0000-0000-0000552D0000}"/>
    <cellStyle name="40% - Accent1 3 2 3 3 3 2" xfId="36366" xr:uid="{BE573B63-CC58-4C52-983D-2E9B991115A8}"/>
    <cellStyle name="40% - Accent1 3 2 3 3 4" xfId="20472" xr:uid="{00000000-0005-0000-0000-0000562D0000}"/>
    <cellStyle name="40% - Accent1 3 2 3 3 4 2" xfId="44304" xr:uid="{ADF40F6C-26DA-464B-B863-FBAEC2E20D88}"/>
    <cellStyle name="40% - Accent1 3 2 3 3 5" xfId="28425" xr:uid="{355F20B2-9E9C-4995-90F0-DA8F98910A9A}"/>
    <cellStyle name="40% - Accent1 3 2 3 4" xfId="6323" xr:uid="{00000000-0005-0000-0000-0000572D0000}"/>
    <cellStyle name="40% - Accent1 3 2 3 4 2" xfId="14297" xr:uid="{00000000-0005-0000-0000-0000582D0000}"/>
    <cellStyle name="40% - Accent1 3 2 3 4 2 2" xfId="38139" xr:uid="{58623540-7BBE-4F9F-8727-5B280FBF73C6}"/>
    <cellStyle name="40% - Accent1 3 2 3 4 3" xfId="22244" xr:uid="{00000000-0005-0000-0000-0000592D0000}"/>
    <cellStyle name="40% - Accent1 3 2 3 4 3 2" xfId="46076" xr:uid="{CE73E067-4857-4A89-B6CC-D371A0913A96}"/>
    <cellStyle name="40% - Accent1 3 2 3 4 4" xfId="30198" xr:uid="{21499C75-151F-475C-8166-914AF7DCB9E3}"/>
    <cellStyle name="40% - Accent1 3 2 3 5" xfId="9865" xr:uid="{00000000-0005-0000-0000-00005A2D0000}"/>
    <cellStyle name="40% - Accent1 3 2 3 5 2" xfId="17823" xr:uid="{00000000-0005-0000-0000-00005B2D0000}"/>
    <cellStyle name="40% - Accent1 3 2 3 5 2 2" xfId="41663" xr:uid="{6DE21360-93B6-4F5E-B0E8-07BA860112C1}"/>
    <cellStyle name="40% - Accent1 3 2 3 5 3" xfId="25767" xr:uid="{00000000-0005-0000-0000-00005C2D0000}"/>
    <cellStyle name="40% - Accent1 3 2 3 5 3 2" xfId="49599" xr:uid="{B28FEFDC-502E-408E-AC0F-1DD3FA67BE96}"/>
    <cellStyle name="40% - Accent1 3 2 3 5 4" xfId="33722" xr:uid="{63011B49-2722-4B15-B321-BDD931C4AA24}"/>
    <cellStyle name="40% - Accent1 3 2 3 6" xfId="10761" xr:uid="{00000000-0005-0000-0000-00005D2D0000}"/>
    <cellStyle name="40% - Accent1 3 2 3 6 2" xfId="34610" xr:uid="{37EB3A90-266C-4FF9-B74E-50601EAB8189}"/>
    <cellStyle name="40% - Accent1 3 2 3 7" xfId="18716" xr:uid="{00000000-0005-0000-0000-00005E2D0000}"/>
    <cellStyle name="40% - Accent1 3 2 3 7 2" xfId="42548" xr:uid="{C4123015-F521-4875-AF9D-0D0C7789D42A}"/>
    <cellStyle name="40% - Accent1 3 2 3 8" xfId="26668" xr:uid="{39BD6A0A-48E1-4627-A722-3550D5DF3882}"/>
    <cellStyle name="40% - Accent1 3 2 3_Exh G" xfId="2734" xr:uid="{00000000-0005-0000-0000-00005F2D0000}"/>
    <cellStyle name="40% - Accent1 3 2 4" xfId="1378" xr:uid="{00000000-0005-0000-0000-0000602D0000}"/>
    <cellStyle name="40% - Accent1 3 2 4 2" xfId="4905" xr:uid="{00000000-0005-0000-0000-0000612D0000}"/>
    <cellStyle name="40% - Accent1 3 2 4 2 2" xfId="8496" xr:uid="{00000000-0005-0000-0000-0000622D0000}"/>
    <cellStyle name="40% - Accent1 3 2 4 2 2 2" xfId="16466" xr:uid="{00000000-0005-0000-0000-0000632D0000}"/>
    <cellStyle name="40% - Accent1 3 2 4 2 2 2 2" xfId="40308" xr:uid="{A1A35BBF-E95C-4266-90E2-569A767726B5}"/>
    <cellStyle name="40% - Accent1 3 2 4 2 2 3" xfId="24412" xr:uid="{00000000-0005-0000-0000-0000642D0000}"/>
    <cellStyle name="40% - Accent1 3 2 4 2 2 3 2" xfId="48244" xr:uid="{46C514AA-54AA-41AF-B169-48B3A0EA8559}"/>
    <cellStyle name="40% - Accent1 3 2 4 2 2 4" xfId="32367" xr:uid="{4A21F1F5-7D6A-4594-BAD3-7D7903FA2B33}"/>
    <cellStyle name="40% - Accent1 3 2 4 2 3" xfId="12928" xr:uid="{00000000-0005-0000-0000-0000652D0000}"/>
    <cellStyle name="40% - Accent1 3 2 4 2 3 2" xfId="36777" xr:uid="{FAB703B1-17D2-4D90-BB84-C1F5C2074D63}"/>
    <cellStyle name="40% - Accent1 3 2 4 2 4" xfId="20883" xr:uid="{00000000-0005-0000-0000-0000662D0000}"/>
    <cellStyle name="40% - Accent1 3 2 4 2 4 2" xfId="44715" xr:uid="{D659DF6F-3586-4EEC-955F-A60057483875}"/>
    <cellStyle name="40% - Accent1 3 2 4 2 5" xfId="28836" xr:uid="{223F746E-C271-4DC7-ABE2-FD7D53284333}"/>
    <cellStyle name="40% - Accent1 3 2 4 3" xfId="6737" xr:uid="{00000000-0005-0000-0000-0000672D0000}"/>
    <cellStyle name="40% - Accent1 3 2 4 3 2" xfId="14708" xr:uid="{00000000-0005-0000-0000-0000682D0000}"/>
    <cellStyle name="40% - Accent1 3 2 4 3 2 2" xfId="38550" xr:uid="{A1F36158-457C-4645-BA6F-F6E13730E914}"/>
    <cellStyle name="40% - Accent1 3 2 4 3 3" xfId="22655" xr:uid="{00000000-0005-0000-0000-0000692D0000}"/>
    <cellStyle name="40% - Accent1 3 2 4 3 3 2" xfId="46487" xr:uid="{84ABB91C-A01D-4474-8AE2-4925A96CD893}"/>
    <cellStyle name="40% - Accent1 3 2 4 3 4" xfId="30609" xr:uid="{71C4C0BE-B1D6-4E92-81ED-8F9A7BFAFF53}"/>
    <cellStyle name="40% - Accent1 3 2 4 4" xfId="11172" xr:uid="{00000000-0005-0000-0000-00006A2D0000}"/>
    <cellStyle name="40% - Accent1 3 2 4 4 2" xfId="35021" xr:uid="{DD052BB1-2228-4F34-9BD0-401D5CD6183B}"/>
    <cellStyle name="40% - Accent1 3 2 4 5" xfId="19127" xr:uid="{00000000-0005-0000-0000-00006B2D0000}"/>
    <cellStyle name="40% - Accent1 3 2 4 5 2" xfId="42959" xr:uid="{B2BE58B9-311B-4791-AA87-BB4FDA1754AF}"/>
    <cellStyle name="40% - Accent1 3 2 4 6" xfId="27079" xr:uid="{911C2561-74B2-41EF-9225-90A9CE4E6883}"/>
    <cellStyle name="40% - Accent1 3 2 4_Exh G" xfId="2736" xr:uid="{00000000-0005-0000-0000-00006C2D0000}"/>
    <cellStyle name="40% - Accent1 3 2 5" xfId="4026" xr:uid="{00000000-0005-0000-0000-00006D2D0000}"/>
    <cellStyle name="40% - Accent1 3 2 5 2" xfId="7618" xr:uid="{00000000-0005-0000-0000-00006E2D0000}"/>
    <cellStyle name="40% - Accent1 3 2 5 2 2" xfId="15588" xr:uid="{00000000-0005-0000-0000-00006F2D0000}"/>
    <cellStyle name="40% - Accent1 3 2 5 2 2 2" xfId="39430" xr:uid="{1305FEEB-183B-4D5B-945E-E33E6480239B}"/>
    <cellStyle name="40% - Accent1 3 2 5 2 3" xfId="23534" xr:uid="{00000000-0005-0000-0000-0000702D0000}"/>
    <cellStyle name="40% - Accent1 3 2 5 2 3 2" xfId="47366" xr:uid="{CD491F91-050D-4076-B07E-06E201527D52}"/>
    <cellStyle name="40% - Accent1 3 2 5 2 4" xfId="31489" xr:uid="{DE605829-E4F4-4CB1-973F-1034E8AF58AB}"/>
    <cellStyle name="40% - Accent1 3 2 5 3" xfId="12050" xr:uid="{00000000-0005-0000-0000-0000712D0000}"/>
    <cellStyle name="40% - Accent1 3 2 5 3 2" xfId="35899" xr:uid="{5A7B483D-B51D-4F49-9989-152DA224FE30}"/>
    <cellStyle name="40% - Accent1 3 2 5 4" xfId="20005" xr:uid="{00000000-0005-0000-0000-0000722D0000}"/>
    <cellStyle name="40% - Accent1 3 2 5 4 2" xfId="43837" xr:uid="{996FA5D6-C0FB-4087-B19E-55B401D3F2CB}"/>
    <cellStyle name="40% - Accent1 3 2 5 5" xfId="27958" xr:uid="{03774E48-0DD5-4B7F-9F9B-ED7BAD10889B}"/>
    <cellStyle name="40% - Accent1 3 2 6" xfId="5846" xr:uid="{00000000-0005-0000-0000-0000732D0000}"/>
    <cellStyle name="40% - Accent1 3 2 6 2" xfId="13829" xr:uid="{00000000-0005-0000-0000-0000742D0000}"/>
    <cellStyle name="40% - Accent1 3 2 6 2 2" xfId="37672" xr:uid="{D691E5D1-542E-4627-B282-0CCBCB4FDF68}"/>
    <cellStyle name="40% - Accent1 3 2 6 3" xfId="21777" xr:uid="{00000000-0005-0000-0000-0000752D0000}"/>
    <cellStyle name="40% - Accent1 3 2 6 3 2" xfId="45609" xr:uid="{B66CEC74-4656-43C8-A25E-C11E21E1C6B2}"/>
    <cellStyle name="40% - Accent1 3 2 6 4" xfId="29731" xr:uid="{84651C8D-7811-46ED-A218-CCAAC7277116}"/>
    <cellStyle name="40% - Accent1 3 2 7" xfId="9398" xr:uid="{00000000-0005-0000-0000-0000762D0000}"/>
    <cellStyle name="40% - Accent1 3 2 7 2" xfId="17356" xr:uid="{00000000-0005-0000-0000-0000772D0000}"/>
    <cellStyle name="40% - Accent1 3 2 7 2 2" xfId="41196" xr:uid="{29D5CF39-77CC-45B2-B433-E66321D78269}"/>
    <cellStyle name="40% - Accent1 3 2 7 3" xfId="25300" xr:uid="{00000000-0005-0000-0000-0000782D0000}"/>
    <cellStyle name="40% - Accent1 3 2 7 3 2" xfId="49132" xr:uid="{09BD13D0-3638-40D7-81B5-BA731B8876A2}"/>
    <cellStyle name="40% - Accent1 3 2 7 4" xfId="33255" xr:uid="{C1769E09-9795-4E34-937A-6DDCB3678013}"/>
    <cellStyle name="40% - Accent1 3 2 8" xfId="10294" xr:uid="{00000000-0005-0000-0000-0000792D0000}"/>
    <cellStyle name="40% - Accent1 3 2 8 2" xfId="34143" xr:uid="{27423313-5AEC-40D0-9E27-653BD0E05433}"/>
    <cellStyle name="40% - Accent1 3 2 9" xfId="18249" xr:uid="{00000000-0005-0000-0000-00007A2D0000}"/>
    <cellStyle name="40% - Accent1 3 2 9 2" xfId="42081" xr:uid="{FA58AF15-72A5-4699-AF03-CAFF0D65A0DE}"/>
    <cellStyle name="40% - Accent1 3 2_Exh G" xfId="2731" xr:uid="{00000000-0005-0000-0000-00007B2D0000}"/>
    <cellStyle name="40% - Accent1 3 3" xfId="354" xr:uid="{00000000-0005-0000-0000-00007C2D0000}"/>
    <cellStyle name="40% - Accent1 3 3 2" xfId="1380" xr:uid="{00000000-0005-0000-0000-00007D2D0000}"/>
    <cellStyle name="40% - Accent1 3 3 2 2" xfId="4907" xr:uid="{00000000-0005-0000-0000-00007E2D0000}"/>
    <cellStyle name="40% - Accent1 3 3 2 2 2" xfId="8498" xr:uid="{00000000-0005-0000-0000-00007F2D0000}"/>
    <cellStyle name="40% - Accent1 3 3 2 2 2 2" xfId="16468" xr:uid="{00000000-0005-0000-0000-0000802D0000}"/>
    <cellStyle name="40% - Accent1 3 3 2 2 2 2 2" xfId="40310" xr:uid="{584C3C52-0C16-409A-965A-7FE42C100283}"/>
    <cellStyle name="40% - Accent1 3 3 2 2 2 3" xfId="24414" xr:uid="{00000000-0005-0000-0000-0000812D0000}"/>
    <cellStyle name="40% - Accent1 3 3 2 2 2 3 2" xfId="48246" xr:uid="{65D8EE60-F0EC-443B-9036-EBCE3D271CC5}"/>
    <cellStyle name="40% - Accent1 3 3 2 2 2 4" xfId="32369" xr:uid="{99D626EA-6C2B-42AF-8184-9A6EC87003BB}"/>
    <cellStyle name="40% - Accent1 3 3 2 2 3" xfId="12930" xr:uid="{00000000-0005-0000-0000-0000822D0000}"/>
    <cellStyle name="40% - Accent1 3 3 2 2 3 2" xfId="36779" xr:uid="{EF9DE3C2-F4AD-4E8A-B318-94C6F49C4BA8}"/>
    <cellStyle name="40% - Accent1 3 3 2 2 4" xfId="20885" xr:uid="{00000000-0005-0000-0000-0000832D0000}"/>
    <cellStyle name="40% - Accent1 3 3 2 2 4 2" xfId="44717" xr:uid="{30492CD0-239B-4AAB-9A82-589FBAB50742}"/>
    <cellStyle name="40% - Accent1 3 3 2 2 5" xfId="28838" xr:uid="{F947C933-8137-4C67-B2EE-C2717CBF02C5}"/>
    <cellStyle name="40% - Accent1 3 3 2 3" xfId="6739" xr:uid="{00000000-0005-0000-0000-0000842D0000}"/>
    <cellStyle name="40% - Accent1 3 3 2 3 2" xfId="14710" xr:uid="{00000000-0005-0000-0000-0000852D0000}"/>
    <cellStyle name="40% - Accent1 3 3 2 3 2 2" xfId="38552" xr:uid="{F41A71F8-475D-4712-9756-93DAED59E69D}"/>
    <cellStyle name="40% - Accent1 3 3 2 3 3" xfId="22657" xr:uid="{00000000-0005-0000-0000-0000862D0000}"/>
    <cellStyle name="40% - Accent1 3 3 2 3 3 2" xfId="46489" xr:uid="{A45FAF35-71CB-46D3-ABF0-651CF43D909B}"/>
    <cellStyle name="40% - Accent1 3 3 2 3 4" xfId="30611" xr:uid="{A6CC9E63-7762-490E-A6B3-7A9508A936EC}"/>
    <cellStyle name="40% - Accent1 3 3 2 4" xfId="11174" xr:uid="{00000000-0005-0000-0000-0000872D0000}"/>
    <cellStyle name="40% - Accent1 3 3 2 4 2" xfId="35023" xr:uid="{DBB99E6F-1EE4-46A1-B3A2-0787FD9070DC}"/>
    <cellStyle name="40% - Accent1 3 3 2 5" xfId="19129" xr:uid="{00000000-0005-0000-0000-0000882D0000}"/>
    <cellStyle name="40% - Accent1 3 3 2 5 2" xfId="42961" xr:uid="{24E0397E-98BA-47D1-ADBC-55CE122D16BE}"/>
    <cellStyle name="40% - Accent1 3 3 2 6" xfId="27081" xr:uid="{C03D9A8C-F32B-4A10-BE25-F4AAE1E8FCB3}"/>
    <cellStyle name="40% - Accent1 3 3 2_Exh G" xfId="2738" xr:uid="{00000000-0005-0000-0000-0000892D0000}"/>
    <cellStyle name="40% - Accent1 3 3 3" xfId="4028" xr:uid="{00000000-0005-0000-0000-00008A2D0000}"/>
    <cellStyle name="40% - Accent1 3 3 3 2" xfId="7620" xr:uid="{00000000-0005-0000-0000-00008B2D0000}"/>
    <cellStyle name="40% - Accent1 3 3 3 2 2" xfId="15590" xr:uid="{00000000-0005-0000-0000-00008C2D0000}"/>
    <cellStyle name="40% - Accent1 3 3 3 2 2 2" xfId="39432" xr:uid="{79E09D26-696B-47F4-BBBB-88845AFA6867}"/>
    <cellStyle name="40% - Accent1 3 3 3 2 3" xfId="23536" xr:uid="{00000000-0005-0000-0000-00008D2D0000}"/>
    <cellStyle name="40% - Accent1 3 3 3 2 3 2" xfId="47368" xr:uid="{F8683A3D-1B7D-4BD3-8744-F3FEA3C23DD0}"/>
    <cellStyle name="40% - Accent1 3 3 3 2 4" xfId="31491" xr:uid="{42415DEB-1B4B-4DCC-9B38-D1079496AD4F}"/>
    <cellStyle name="40% - Accent1 3 3 3 3" xfId="12052" xr:uid="{00000000-0005-0000-0000-00008E2D0000}"/>
    <cellStyle name="40% - Accent1 3 3 3 3 2" xfId="35901" xr:uid="{D8B016D9-6C3B-42EC-8F3C-991D9FA17865}"/>
    <cellStyle name="40% - Accent1 3 3 3 4" xfId="20007" xr:uid="{00000000-0005-0000-0000-00008F2D0000}"/>
    <cellStyle name="40% - Accent1 3 3 3 4 2" xfId="43839" xr:uid="{EA46A27D-9B92-4291-937B-5FE11C7B0ABC}"/>
    <cellStyle name="40% - Accent1 3 3 3 5" xfId="27960" xr:uid="{D7EFB852-95F3-453A-A833-25DA5A5B51D9}"/>
    <cellStyle name="40% - Accent1 3 3 4" xfId="5848" xr:uid="{00000000-0005-0000-0000-0000902D0000}"/>
    <cellStyle name="40% - Accent1 3 3 4 2" xfId="13831" xr:uid="{00000000-0005-0000-0000-0000912D0000}"/>
    <cellStyle name="40% - Accent1 3 3 4 2 2" xfId="37674" xr:uid="{0F1AEE26-3850-461E-9603-757E41337158}"/>
    <cellStyle name="40% - Accent1 3 3 4 3" xfId="21779" xr:uid="{00000000-0005-0000-0000-0000922D0000}"/>
    <cellStyle name="40% - Accent1 3 3 4 3 2" xfId="45611" xr:uid="{C386CC1F-32B4-4BF2-900F-E88B7DA05FB5}"/>
    <cellStyle name="40% - Accent1 3 3 4 4" xfId="29733" xr:uid="{A7202E34-C479-4E30-86E2-8FD8305A19CD}"/>
    <cellStyle name="40% - Accent1 3 3 5" xfId="9400" xr:uid="{00000000-0005-0000-0000-0000932D0000}"/>
    <cellStyle name="40% - Accent1 3 3 5 2" xfId="17358" xr:uid="{00000000-0005-0000-0000-0000942D0000}"/>
    <cellStyle name="40% - Accent1 3 3 5 2 2" xfId="41198" xr:uid="{F2644C69-4741-450C-AD4B-B09FC6E70790}"/>
    <cellStyle name="40% - Accent1 3 3 5 3" xfId="25302" xr:uid="{00000000-0005-0000-0000-0000952D0000}"/>
    <cellStyle name="40% - Accent1 3 3 5 3 2" xfId="49134" xr:uid="{BCB9E334-FD30-43D9-84A2-D9CCBFF4F2BC}"/>
    <cellStyle name="40% - Accent1 3 3 5 4" xfId="33257" xr:uid="{1B52AFD7-09E3-4634-B01B-F8EC4DCCF005}"/>
    <cellStyle name="40% - Accent1 3 3 6" xfId="10296" xr:uid="{00000000-0005-0000-0000-0000962D0000}"/>
    <cellStyle name="40% - Accent1 3 3 6 2" xfId="34145" xr:uid="{E1218658-787F-45C2-9627-8071954AAEC3}"/>
    <cellStyle name="40% - Accent1 3 3 7" xfId="18251" xr:uid="{00000000-0005-0000-0000-0000972D0000}"/>
    <cellStyle name="40% - Accent1 3 3 7 2" xfId="42083" xr:uid="{9AB5EAE9-1490-4785-B312-44A76872FB04}"/>
    <cellStyle name="40% - Accent1 3 3 8" xfId="26203" xr:uid="{2D6D9324-9CE0-40E9-AEE0-E419C374848C}"/>
    <cellStyle name="40% - Accent1 3 3_Exh G" xfId="2737" xr:uid="{00000000-0005-0000-0000-0000982D0000}"/>
    <cellStyle name="40% - Accent1 3 4" xfId="934" xr:uid="{00000000-0005-0000-0000-0000992D0000}"/>
    <cellStyle name="40% - Accent1 3 4 2" xfId="1854" xr:uid="{00000000-0005-0000-0000-00009A2D0000}"/>
    <cellStyle name="40% - Accent1 3 4 2 2" xfId="5371" xr:uid="{00000000-0005-0000-0000-00009B2D0000}"/>
    <cellStyle name="40% - Accent1 3 4 2 2 2" xfId="8962" xr:uid="{00000000-0005-0000-0000-00009C2D0000}"/>
    <cellStyle name="40% - Accent1 3 4 2 2 2 2" xfId="16932" xr:uid="{00000000-0005-0000-0000-00009D2D0000}"/>
    <cellStyle name="40% - Accent1 3 4 2 2 2 2 2" xfId="40774" xr:uid="{6FBF1E98-0074-46F1-ADD9-BA006423EF54}"/>
    <cellStyle name="40% - Accent1 3 4 2 2 2 3" xfId="24878" xr:uid="{00000000-0005-0000-0000-00009E2D0000}"/>
    <cellStyle name="40% - Accent1 3 4 2 2 2 3 2" xfId="48710" xr:uid="{7ABBA43A-1678-4536-BBDF-3718C02CF574}"/>
    <cellStyle name="40% - Accent1 3 4 2 2 2 4" xfId="32833" xr:uid="{C0385E11-40AE-49FE-9238-CA623A610BEF}"/>
    <cellStyle name="40% - Accent1 3 4 2 2 3" xfId="13394" xr:uid="{00000000-0005-0000-0000-00009F2D0000}"/>
    <cellStyle name="40% - Accent1 3 4 2 2 3 2" xfId="37243" xr:uid="{8670B94E-A858-4F99-A1ED-9B5A5D948892}"/>
    <cellStyle name="40% - Accent1 3 4 2 2 4" xfId="21349" xr:uid="{00000000-0005-0000-0000-0000A02D0000}"/>
    <cellStyle name="40% - Accent1 3 4 2 2 4 2" xfId="45181" xr:uid="{4CDE5AD1-AD1A-435C-AC30-E63BC1271A34}"/>
    <cellStyle name="40% - Accent1 3 4 2 2 5" xfId="29302" xr:uid="{62019A35-F96E-45BA-B411-0DEADE4B9E89}"/>
    <cellStyle name="40% - Accent1 3 4 2 3" xfId="7203" xr:uid="{00000000-0005-0000-0000-0000A12D0000}"/>
    <cellStyle name="40% - Accent1 3 4 2 3 2" xfId="15174" xr:uid="{00000000-0005-0000-0000-0000A22D0000}"/>
    <cellStyle name="40% - Accent1 3 4 2 3 2 2" xfId="39016" xr:uid="{41FD417C-A19C-4935-84D2-976DACC764F9}"/>
    <cellStyle name="40% - Accent1 3 4 2 3 3" xfId="23121" xr:uid="{00000000-0005-0000-0000-0000A32D0000}"/>
    <cellStyle name="40% - Accent1 3 4 2 3 3 2" xfId="46953" xr:uid="{ECE9C300-67ED-4DD4-AB4F-98114E123789}"/>
    <cellStyle name="40% - Accent1 3 4 2 3 4" xfId="31075" xr:uid="{BC9706C4-7AE8-4302-B5FD-4CDC6D1F9FE2}"/>
    <cellStyle name="40% - Accent1 3 4 2 4" xfId="11638" xr:uid="{00000000-0005-0000-0000-0000A42D0000}"/>
    <cellStyle name="40% - Accent1 3 4 2 4 2" xfId="35487" xr:uid="{3F98A41A-7BFB-4613-8C02-6E3F8311C6B9}"/>
    <cellStyle name="40% - Accent1 3 4 2 5" xfId="19593" xr:uid="{00000000-0005-0000-0000-0000A52D0000}"/>
    <cellStyle name="40% - Accent1 3 4 2 5 2" xfId="43425" xr:uid="{8E3C614C-6E70-4090-BEC3-E2A859910B58}"/>
    <cellStyle name="40% - Accent1 3 4 2 6" xfId="27545" xr:uid="{05286C57-5520-485C-AF3B-9717EEDAA293}"/>
    <cellStyle name="40% - Accent1 3 4 2_Exh G" xfId="2740" xr:uid="{00000000-0005-0000-0000-0000A62D0000}"/>
    <cellStyle name="40% - Accent1 3 4 3" xfId="4492" xr:uid="{00000000-0005-0000-0000-0000A72D0000}"/>
    <cellStyle name="40% - Accent1 3 4 3 2" xfId="8084" xr:uid="{00000000-0005-0000-0000-0000A82D0000}"/>
    <cellStyle name="40% - Accent1 3 4 3 2 2" xfId="16054" xr:uid="{00000000-0005-0000-0000-0000A92D0000}"/>
    <cellStyle name="40% - Accent1 3 4 3 2 2 2" xfId="39896" xr:uid="{6BD43D99-8694-48DE-8C5F-C99CCA82E35F}"/>
    <cellStyle name="40% - Accent1 3 4 3 2 3" xfId="24000" xr:uid="{00000000-0005-0000-0000-0000AA2D0000}"/>
    <cellStyle name="40% - Accent1 3 4 3 2 3 2" xfId="47832" xr:uid="{95663CA1-3DD9-4C30-9BC0-8A4477FD7F2A}"/>
    <cellStyle name="40% - Accent1 3 4 3 2 4" xfId="31955" xr:uid="{34C4626E-7B0C-4FC1-8A57-740462920607}"/>
    <cellStyle name="40% - Accent1 3 4 3 3" xfId="12516" xr:uid="{00000000-0005-0000-0000-0000AB2D0000}"/>
    <cellStyle name="40% - Accent1 3 4 3 3 2" xfId="36365" xr:uid="{57B18111-FF1D-49A0-BD2C-1F201888B762}"/>
    <cellStyle name="40% - Accent1 3 4 3 4" xfId="20471" xr:uid="{00000000-0005-0000-0000-0000AC2D0000}"/>
    <cellStyle name="40% - Accent1 3 4 3 4 2" xfId="44303" xr:uid="{E8E7EC87-44AC-41DA-BFA5-463508C742BD}"/>
    <cellStyle name="40% - Accent1 3 4 3 5" xfId="28424" xr:uid="{09402F69-0857-4837-B74E-4B63330AC02D}"/>
    <cellStyle name="40% - Accent1 3 4 4" xfId="6322" xr:uid="{00000000-0005-0000-0000-0000AD2D0000}"/>
    <cellStyle name="40% - Accent1 3 4 4 2" xfId="14296" xr:uid="{00000000-0005-0000-0000-0000AE2D0000}"/>
    <cellStyle name="40% - Accent1 3 4 4 2 2" xfId="38138" xr:uid="{64FD70A4-16DD-4290-BEDD-68739FB33186}"/>
    <cellStyle name="40% - Accent1 3 4 4 3" xfId="22243" xr:uid="{00000000-0005-0000-0000-0000AF2D0000}"/>
    <cellStyle name="40% - Accent1 3 4 4 3 2" xfId="46075" xr:uid="{F64494CC-A1A1-4E08-BE0C-65600BCCF2DF}"/>
    <cellStyle name="40% - Accent1 3 4 4 4" xfId="30197" xr:uid="{841DD8F1-BB7F-448F-AA1C-F15B082ACBDE}"/>
    <cellStyle name="40% - Accent1 3 4 5" xfId="9864" xr:uid="{00000000-0005-0000-0000-0000B02D0000}"/>
    <cellStyle name="40% - Accent1 3 4 5 2" xfId="17822" xr:uid="{00000000-0005-0000-0000-0000B12D0000}"/>
    <cellStyle name="40% - Accent1 3 4 5 2 2" xfId="41662" xr:uid="{5D8CFFE1-F21D-43A9-B66D-44C37E8000DE}"/>
    <cellStyle name="40% - Accent1 3 4 5 3" xfId="25766" xr:uid="{00000000-0005-0000-0000-0000B22D0000}"/>
    <cellStyle name="40% - Accent1 3 4 5 3 2" xfId="49598" xr:uid="{ED0D97D0-04CC-48E2-BD14-2A155BAE28E3}"/>
    <cellStyle name="40% - Accent1 3 4 5 4" xfId="33721" xr:uid="{F5635F5A-F038-4B70-83FB-D76554079F2B}"/>
    <cellStyle name="40% - Accent1 3 4 6" xfId="10760" xr:uid="{00000000-0005-0000-0000-0000B32D0000}"/>
    <cellStyle name="40% - Accent1 3 4 6 2" xfId="34609" xr:uid="{C6D59F08-827E-4B6F-AB7E-7BE64CB51246}"/>
    <cellStyle name="40% - Accent1 3 4 7" xfId="18715" xr:uid="{00000000-0005-0000-0000-0000B42D0000}"/>
    <cellStyle name="40% - Accent1 3 4 7 2" xfId="42547" xr:uid="{59DCD510-355A-4969-9B56-8D98430EDB48}"/>
    <cellStyle name="40% - Accent1 3 4 8" xfId="26667" xr:uid="{85C57848-8A07-48C3-8104-E9B8432E1E5C}"/>
    <cellStyle name="40% - Accent1 3 4_Exh G" xfId="2739" xr:uid="{00000000-0005-0000-0000-0000B52D0000}"/>
    <cellStyle name="40% - Accent1 3 5" xfId="1377" xr:uid="{00000000-0005-0000-0000-0000B62D0000}"/>
    <cellStyle name="40% - Accent1 3 5 2" xfId="4904" xr:uid="{00000000-0005-0000-0000-0000B72D0000}"/>
    <cellStyle name="40% - Accent1 3 5 2 2" xfId="8495" xr:uid="{00000000-0005-0000-0000-0000B82D0000}"/>
    <cellStyle name="40% - Accent1 3 5 2 2 2" xfId="16465" xr:uid="{00000000-0005-0000-0000-0000B92D0000}"/>
    <cellStyle name="40% - Accent1 3 5 2 2 2 2" xfId="40307" xr:uid="{96E98865-13E9-4DEB-9ABC-49BA54A13E00}"/>
    <cellStyle name="40% - Accent1 3 5 2 2 3" xfId="24411" xr:uid="{00000000-0005-0000-0000-0000BA2D0000}"/>
    <cellStyle name="40% - Accent1 3 5 2 2 3 2" xfId="48243" xr:uid="{2B2BA2B6-34AB-47BF-93F4-6F8C7DF8DEAD}"/>
    <cellStyle name="40% - Accent1 3 5 2 2 4" xfId="32366" xr:uid="{78F21633-CF99-44E1-B240-8724776F01FE}"/>
    <cellStyle name="40% - Accent1 3 5 2 3" xfId="12927" xr:uid="{00000000-0005-0000-0000-0000BB2D0000}"/>
    <cellStyle name="40% - Accent1 3 5 2 3 2" xfId="36776" xr:uid="{129C7091-FBA7-4624-80A5-8BC14A598963}"/>
    <cellStyle name="40% - Accent1 3 5 2 4" xfId="20882" xr:uid="{00000000-0005-0000-0000-0000BC2D0000}"/>
    <cellStyle name="40% - Accent1 3 5 2 4 2" xfId="44714" xr:uid="{CBD34E86-C4C5-4F20-A7EF-5948AF305AE3}"/>
    <cellStyle name="40% - Accent1 3 5 2 5" xfId="28835" xr:uid="{222B21B9-C44E-49B6-A8F5-75F6F2BE4FDD}"/>
    <cellStyle name="40% - Accent1 3 5 3" xfId="6736" xr:uid="{00000000-0005-0000-0000-0000BD2D0000}"/>
    <cellStyle name="40% - Accent1 3 5 3 2" xfId="14707" xr:uid="{00000000-0005-0000-0000-0000BE2D0000}"/>
    <cellStyle name="40% - Accent1 3 5 3 2 2" xfId="38549" xr:uid="{79B0E28B-FB72-4FBF-8B23-937390502E7D}"/>
    <cellStyle name="40% - Accent1 3 5 3 3" xfId="22654" xr:uid="{00000000-0005-0000-0000-0000BF2D0000}"/>
    <cellStyle name="40% - Accent1 3 5 3 3 2" xfId="46486" xr:uid="{8E6DBFC6-7BB6-45F9-8840-2206044CD22C}"/>
    <cellStyle name="40% - Accent1 3 5 3 4" xfId="30608" xr:uid="{BA42FBF4-DAE6-4B7B-8FEB-CE795F888D67}"/>
    <cellStyle name="40% - Accent1 3 5 4" xfId="11171" xr:uid="{00000000-0005-0000-0000-0000C02D0000}"/>
    <cellStyle name="40% - Accent1 3 5 4 2" xfId="35020" xr:uid="{BCD8DCBC-A337-4995-A1D4-84D4918A361E}"/>
    <cellStyle name="40% - Accent1 3 5 5" xfId="19126" xr:uid="{00000000-0005-0000-0000-0000C12D0000}"/>
    <cellStyle name="40% - Accent1 3 5 5 2" xfId="42958" xr:uid="{5245C401-50B5-472F-80EF-0C6B4412B233}"/>
    <cellStyle name="40% - Accent1 3 5 6" xfId="27078" xr:uid="{212B60BE-A1BA-4213-83C3-AB6B2566FF04}"/>
    <cellStyle name="40% - Accent1 3 5_Exh G" xfId="2741" xr:uid="{00000000-0005-0000-0000-0000C22D0000}"/>
    <cellStyle name="40% - Accent1 3 6" xfId="4025" xr:uid="{00000000-0005-0000-0000-0000C32D0000}"/>
    <cellStyle name="40% - Accent1 3 6 2" xfId="7617" xr:uid="{00000000-0005-0000-0000-0000C42D0000}"/>
    <cellStyle name="40% - Accent1 3 6 2 2" xfId="15587" xr:uid="{00000000-0005-0000-0000-0000C52D0000}"/>
    <cellStyle name="40% - Accent1 3 6 2 2 2" xfId="39429" xr:uid="{2DC37F72-BCB7-4D4D-A52B-B30BDF51FED1}"/>
    <cellStyle name="40% - Accent1 3 6 2 3" xfId="23533" xr:uid="{00000000-0005-0000-0000-0000C62D0000}"/>
    <cellStyle name="40% - Accent1 3 6 2 3 2" xfId="47365" xr:uid="{95E90F13-CA42-4E54-B6AB-CB010524C264}"/>
    <cellStyle name="40% - Accent1 3 6 2 4" xfId="31488" xr:uid="{97077011-9633-48B8-9DA2-1E47EFD735C2}"/>
    <cellStyle name="40% - Accent1 3 6 3" xfId="12049" xr:uid="{00000000-0005-0000-0000-0000C72D0000}"/>
    <cellStyle name="40% - Accent1 3 6 3 2" xfId="35898" xr:uid="{3FBD26EE-29D5-4BC4-821C-EFB693C1EE7A}"/>
    <cellStyle name="40% - Accent1 3 6 4" xfId="20004" xr:uid="{00000000-0005-0000-0000-0000C82D0000}"/>
    <cellStyle name="40% - Accent1 3 6 4 2" xfId="43836" xr:uid="{257D5ECE-F275-4AC4-BBBD-1E980390E22A}"/>
    <cellStyle name="40% - Accent1 3 6 5" xfId="27957" xr:uid="{7E33A8C5-71E3-48C4-A120-76B6D9248237}"/>
    <cellStyle name="40% - Accent1 3 7" xfId="5845" xr:uid="{00000000-0005-0000-0000-0000C92D0000}"/>
    <cellStyle name="40% - Accent1 3 7 2" xfId="13828" xr:uid="{00000000-0005-0000-0000-0000CA2D0000}"/>
    <cellStyle name="40% - Accent1 3 7 2 2" xfId="37671" xr:uid="{4C5AC106-C6C1-49F0-A533-21E706182D81}"/>
    <cellStyle name="40% - Accent1 3 7 3" xfId="21776" xr:uid="{00000000-0005-0000-0000-0000CB2D0000}"/>
    <cellStyle name="40% - Accent1 3 7 3 2" xfId="45608" xr:uid="{C638BD45-4FA8-4211-90AE-61B877CDC055}"/>
    <cellStyle name="40% - Accent1 3 7 4" xfId="29730" xr:uid="{552B31A6-D9F6-43C1-AB4C-D8EEBC45434F}"/>
    <cellStyle name="40% - Accent1 3 8" xfId="9397" xr:uid="{00000000-0005-0000-0000-0000CC2D0000}"/>
    <cellStyle name="40% - Accent1 3 8 2" xfId="17355" xr:uid="{00000000-0005-0000-0000-0000CD2D0000}"/>
    <cellStyle name="40% - Accent1 3 8 2 2" xfId="41195" xr:uid="{E4D7E7C7-6166-48A1-B5C6-620BE0AD07B7}"/>
    <cellStyle name="40% - Accent1 3 8 3" xfId="25299" xr:uid="{00000000-0005-0000-0000-0000CE2D0000}"/>
    <cellStyle name="40% - Accent1 3 8 3 2" xfId="49131" xr:uid="{5AAFBB25-3EB0-4D38-A097-578BF9A95E24}"/>
    <cellStyle name="40% - Accent1 3 8 4" xfId="33254" xr:uid="{EF5DDF55-5736-4512-814C-B78AC3A65628}"/>
    <cellStyle name="40% - Accent1 3 9" xfId="10293" xr:uid="{00000000-0005-0000-0000-0000CF2D0000}"/>
    <cellStyle name="40% - Accent1 3 9 2" xfId="34142" xr:uid="{38EAD4C6-63BD-4CF3-B78C-1B57243D54F1}"/>
    <cellStyle name="40% - Accent1 3_Exh G" xfId="2730" xr:uid="{00000000-0005-0000-0000-0000D02D0000}"/>
    <cellStyle name="40% - Accent1 4" xfId="355" xr:uid="{00000000-0005-0000-0000-0000D12D0000}"/>
    <cellStyle name="40% - Accent1 4 10" xfId="18252" xr:uid="{00000000-0005-0000-0000-0000D22D0000}"/>
    <cellStyle name="40% - Accent1 4 10 2" xfId="42084" xr:uid="{8AB15C74-AEAA-458F-A9EA-519AE586F2E7}"/>
    <cellStyle name="40% - Accent1 4 11" xfId="26204" xr:uid="{750D5D7C-7EEB-49C4-B581-8A36F7DCDDBD}"/>
    <cellStyle name="40% - Accent1 4 2" xfId="356" xr:uid="{00000000-0005-0000-0000-0000D32D0000}"/>
    <cellStyle name="40% - Accent1 4 2 10" xfId="26205" xr:uid="{4A756F2B-4B97-400E-BC73-BBDB5BD234E1}"/>
    <cellStyle name="40% - Accent1 4 2 2" xfId="357" xr:uid="{00000000-0005-0000-0000-0000D42D0000}"/>
    <cellStyle name="40% - Accent1 4 2 2 2" xfId="1383" xr:uid="{00000000-0005-0000-0000-0000D52D0000}"/>
    <cellStyle name="40% - Accent1 4 2 2 2 2" xfId="4910" xr:uid="{00000000-0005-0000-0000-0000D62D0000}"/>
    <cellStyle name="40% - Accent1 4 2 2 2 2 2" xfId="8501" xr:uid="{00000000-0005-0000-0000-0000D72D0000}"/>
    <cellStyle name="40% - Accent1 4 2 2 2 2 2 2" xfId="16471" xr:uid="{00000000-0005-0000-0000-0000D82D0000}"/>
    <cellStyle name="40% - Accent1 4 2 2 2 2 2 2 2" xfId="40313" xr:uid="{242E1FD1-E23D-4818-9140-0BBEF439BF71}"/>
    <cellStyle name="40% - Accent1 4 2 2 2 2 2 3" xfId="24417" xr:uid="{00000000-0005-0000-0000-0000D92D0000}"/>
    <cellStyle name="40% - Accent1 4 2 2 2 2 2 3 2" xfId="48249" xr:uid="{965EFBFA-C294-4660-863E-C98E1F9FCD83}"/>
    <cellStyle name="40% - Accent1 4 2 2 2 2 2 4" xfId="32372" xr:uid="{B1F199D4-886F-4611-A1DB-CBE549BF9B09}"/>
    <cellStyle name="40% - Accent1 4 2 2 2 2 3" xfId="12933" xr:uid="{00000000-0005-0000-0000-0000DA2D0000}"/>
    <cellStyle name="40% - Accent1 4 2 2 2 2 3 2" xfId="36782" xr:uid="{97267764-E862-4918-B927-5359F7D91A7C}"/>
    <cellStyle name="40% - Accent1 4 2 2 2 2 4" xfId="20888" xr:uid="{00000000-0005-0000-0000-0000DB2D0000}"/>
    <cellStyle name="40% - Accent1 4 2 2 2 2 4 2" xfId="44720" xr:uid="{6A01973C-56BE-4B88-B719-9005B98FB088}"/>
    <cellStyle name="40% - Accent1 4 2 2 2 2 5" xfId="28841" xr:uid="{96AB3F70-B792-4D9E-8650-D7FE5A7986F2}"/>
    <cellStyle name="40% - Accent1 4 2 2 2 3" xfId="6742" xr:uid="{00000000-0005-0000-0000-0000DC2D0000}"/>
    <cellStyle name="40% - Accent1 4 2 2 2 3 2" xfId="14713" xr:uid="{00000000-0005-0000-0000-0000DD2D0000}"/>
    <cellStyle name="40% - Accent1 4 2 2 2 3 2 2" xfId="38555" xr:uid="{B872B6CA-F118-4C7F-8989-55E94AD9FF8C}"/>
    <cellStyle name="40% - Accent1 4 2 2 2 3 3" xfId="22660" xr:uid="{00000000-0005-0000-0000-0000DE2D0000}"/>
    <cellStyle name="40% - Accent1 4 2 2 2 3 3 2" xfId="46492" xr:uid="{09E7D144-8013-427D-9359-7C106394A61E}"/>
    <cellStyle name="40% - Accent1 4 2 2 2 3 4" xfId="30614" xr:uid="{D141B549-795A-4126-96E8-8A0DDD484E7F}"/>
    <cellStyle name="40% - Accent1 4 2 2 2 4" xfId="11177" xr:uid="{00000000-0005-0000-0000-0000DF2D0000}"/>
    <cellStyle name="40% - Accent1 4 2 2 2 4 2" xfId="35026" xr:uid="{BD5728BD-B8F3-48E7-B59E-E616301BAD5B}"/>
    <cellStyle name="40% - Accent1 4 2 2 2 5" xfId="19132" xr:uid="{00000000-0005-0000-0000-0000E02D0000}"/>
    <cellStyle name="40% - Accent1 4 2 2 2 5 2" xfId="42964" xr:uid="{4C40201F-628A-4445-B812-9F10BF159FCE}"/>
    <cellStyle name="40% - Accent1 4 2 2 2 6" xfId="27084" xr:uid="{796FB32C-CF4B-4F0E-AD1C-6E2104588A9A}"/>
    <cellStyle name="40% - Accent1 4 2 2 2_Exh G" xfId="2745" xr:uid="{00000000-0005-0000-0000-0000E12D0000}"/>
    <cellStyle name="40% - Accent1 4 2 2 3" xfId="4031" xr:uid="{00000000-0005-0000-0000-0000E22D0000}"/>
    <cellStyle name="40% - Accent1 4 2 2 3 2" xfId="7623" xr:uid="{00000000-0005-0000-0000-0000E32D0000}"/>
    <cellStyle name="40% - Accent1 4 2 2 3 2 2" xfId="15593" xr:uid="{00000000-0005-0000-0000-0000E42D0000}"/>
    <cellStyle name="40% - Accent1 4 2 2 3 2 2 2" xfId="39435" xr:uid="{D690EB5E-9A85-47FD-BDFC-E8E6EFC2595C}"/>
    <cellStyle name="40% - Accent1 4 2 2 3 2 3" xfId="23539" xr:uid="{00000000-0005-0000-0000-0000E52D0000}"/>
    <cellStyle name="40% - Accent1 4 2 2 3 2 3 2" xfId="47371" xr:uid="{A9BBFAD7-0BF5-44E6-88EC-4BE247BF0636}"/>
    <cellStyle name="40% - Accent1 4 2 2 3 2 4" xfId="31494" xr:uid="{048A9DA3-CA25-4FD4-AF2C-B3D34C1CB7A9}"/>
    <cellStyle name="40% - Accent1 4 2 2 3 3" xfId="12055" xr:uid="{00000000-0005-0000-0000-0000E62D0000}"/>
    <cellStyle name="40% - Accent1 4 2 2 3 3 2" xfId="35904" xr:uid="{7DDA4D61-68C3-421F-BEB0-F54257C8111D}"/>
    <cellStyle name="40% - Accent1 4 2 2 3 4" xfId="20010" xr:uid="{00000000-0005-0000-0000-0000E72D0000}"/>
    <cellStyle name="40% - Accent1 4 2 2 3 4 2" xfId="43842" xr:uid="{764C200E-D4F9-4158-86B9-925F318A4B29}"/>
    <cellStyle name="40% - Accent1 4 2 2 3 5" xfId="27963" xr:uid="{D105AEAF-6D8D-4CF6-BEAA-C063581B220E}"/>
    <cellStyle name="40% - Accent1 4 2 2 4" xfId="5851" xr:uid="{00000000-0005-0000-0000-0000E82D0000}"/>
    <cellStyle name="40% - Accent1 4 2 2 4 2" xfId="13834" xr:uid="{00000000-0005-0000-0000-0000E92D0000}"/>
    <cellStyle name="40% - Accent1 4 2 2 4 2 2" xfId="37677" xr:uid="{BA0696AE-68C9-4111-81DC-9BDB71D6B44F}"/>
    <cellStyle name="40% - Accent1 4 2 2 4 3" xfId="21782" xr:uid="{00000000-0005-0000-0000-0000EA2D0000}"/>
    <cellStyle name="40% - Accent1 4 2 2 4 3 2" xfId="45614" xr:uid="{9077A030-72D1-4B36-878B-DCF54212709E}"/>
    <cellStyle name="40% - Accent1 4 2 2 4 4" xfId="29736" xr:uid="{5A207929-B19B-4F04-9CAE-CE69B5232082}"/>
    <cellStyle name="40% - Accent1 4 2 2 5" xfId="9403" xr:uid="{00000000-0005-0000-0000-0000EB2D0000}"/>
    <cellStyle name="40% - Accent1 4 2 2 5 2" xfId="17361" xr:uid="{00000000-0005-0000-0000-0000EC2D0000}"/>
    <cellStyle name="40% - Accent1 4 2 2 5 2 2" xfId="41201" xr:uid="{B0615243-E162-4491-B598-91165C860A14}"/>
    <cellStyle name="40% - Accent1 4 2 2 5 3" xfId="25305" xr:uid="{00000000-0005-0000-0000-0000ED2D0000}"/>
    <cellStyle name="40% - Accent1 4 2 2 5 3 2" xfId="49137" xr:uid="{C1B08A9D-2024-4477-8EF2-5BAB9E25E503}"/>
    <cellStyle name="40% - Accent1 4 2 2 5 4" xfId="33260" xr:uid="{ED428F9D-61B9-48BD-923F-6EE2D6FD7534}"/>
    <cellStyle name="40% - Accent1 4 2 2 6" xfId="10299" xr:uid="{00000000-0005-0000-0000-0000EE2D0000}"/>
    <cellStyle name="40% - Accent1 4 2 2 6 2" xfId="34148" xr:uid="{7C6BA1F5-6F29-49C1-8D1D-D8EC6A463ED0}"/>
    <cellStyle name="40% - Accent1 4 2 2 7" xfId="18254" xr:uid="{00000000-0005-0000-0000-0000EF2D0000}"/>
    <cellStyle name="40% - Accent1 4 2 2 7 2" xfId="42086" xr:uid="{35814A27-E2F4-4930-85C8-53F9AF0CF823}"/>
    <cellStyle name="40% - Accent1 4 2 2 8" xfId="26206" xr:uid="{06DE5383-C15B-4576-9B52-0C4A020DB0B7}"/>
    <cellStyle name="40% - Accent1 4 2 2_Exh G" xfId="2744" xr:uid="{00000000-0005-0000-0000-0000F02D0000}"/>
    <cellStyle name="40% - Accent1 4 2 3" xfId="937" xr:uid="{00000000-0005-0000-0000-0000F12D0000}"/>
    <cellStyle name="40% - Accent1 4 2 3 2" xfId="1857" xr:uid="{00000000-0005-0000-0000-0000F22D0000}"/>
    <cellStyle name="40% - Accent1 4 2 3 2 2" xfId="5374" xr:uid="{00000000-0005-0000-0000-0000F32D0000}"/>
    <cellStyle name="40% - Accent1 4 2 3 2 2 2" xfId="8965" xr:uid="{00000000-0005-0000-0000-0000F42D0000}"/>
    <cellStyle name="40% - Accent1 4 2 3 2 2 2 2" xfId="16935" xr:uid="{00000000-0005-0000-0000-0000F52D0000}"/>
    <cellStyle name="40% - Accent1 4 2 3 2 2 2 2 2" xfId="40777" xr:uid="{BA74C154-7103-4433-B716-39BC7890A004}"/>
    <cellStyle name="40% - Accent1 4 2 3 2 2 2 3" xfId="24881" xr:uid="{00000000-0005-0000-0000-0000F62D0000}"/>
    <cellStyle name="40% - Accent1 4 2 3 2 2 2 3 2" xfId="48713" xr:uid="{89D27DEC-A00A-4427-9208-383F4EAA5907}"/>
    <cellStyle name="40% - Accent1 4 2 3 2 2 2 4" xfId="32836" xr:uid="{DA76F6C7-D01E-4223-A593-512DFF23C284}"/>
    <cellStyle name="40% - Accent1 4 2 3 2 2 3" xfId="13397" xr:uid="{00000000-0005-0000-0000-0000F72D0000}"/>
    <cellStyle name="40% - Accent1 4 2 3 2 2 3 2" xfId="37246" xr:uid="{FE974967-0BB9-46EE-880A-F34338778318}"/>
    <cellStyle name="40% - Accent1 4 2 3 2 2 4" xfId="21352" xr:uid="{00000000-0005-0000-0000-0000F82D0000}"/>
    <cellStyle name="40% - Accent1 4 2 3 2 2 4 2" xfId="45184" xr:uid="{B03827E6-60B0-4B45-83C8-428F99A6F442}"/>
    <cellStyle name="40% - Accent1 4 2 3 2 2 5" xfId="29305" xr:uid="{780792B0-658F-47E4-8F65-3218E51446C4}"/>
    <cellStyle name="40% - Accent1 4 2 3 2 3" xfId="7206" xr:uid="{00000000-0005-0000-0000-0000F92D0000}"/>
    <cellStyle name="40% - Accent1 4 2 3 2 3 2" xfId="15177" xr:uid="{00000000-0005-0000-0000-0000FA2D0000}"/>
    <cellStyle name="40% - Accent1 4 2 3 2 3 2 2" xfId="39019" xr:uid="{7494817D-0FCF-4E82-B752-50B126306D4D}"/>
    <cellStyle name="40% - Accent1 4 2 3 2 3 3" xfId="23124" xr:uid="{00000000-0005-0000-0000-0000FB2D0000}"/>
    <cellStyle name="40% - Accent1 4 2 3 2 3 3 2" xfId="46956" xr:uid="{F387AFEE-E81A-4462-9946-EE64431D5142}"/>
    <cellStyle name="40% - Accent1 4 2 3 2 3 4" xfId="31078" xr:uid="{89029B58-7336-4388-B77D-F4086C221E27}"/>
    <cellStyle name="40% - Accent1 4 2 3 2 4" xfId="11641" xr:uid="{00000000-0005-0000-0000-0000FC2D0000}"/>
    <cellStyle name="40% - Accent1 4 2 3 2 4 2" xfId="35490" xr:uid="{E2697938-79BB-4E72-86FC-BD091412A515}"/>
    <cellStyle name="40% - Accent1 4 2 3 2 5" xfId="19596" xr:uid="{00000000-0005-0000-0000-0000FD2D0000}"/>
    <cellStyle name="40% - Accent1 4 2 3 2 5 2" xfId="43428" xr:uid="{7B2532D6-3776-48EE-A474-5A9F5B4E99FD}"/>
    <cellStyle name="40% - Accent1 4 2 3 2 6" xfId="27548" xr:uid="{0770A697-E642-421D-A78F-71797DAFD94F}"/>
    <cellStyle name="40% - Accent1 4 2 3 2_Exh G" xfId="2747" xr:uid="{00000000-0005-0000-0000-0000FE2D0000}"/>
    <cellStyle name="40% - Accent1 4 2 3 3" xfId="4495" xr:uid="{00000000-0005-0000-0000-0000FF2D0000}"/>
    <cellStyle name="40% - Accent1 4 2 3 3 2" xfId="8087" xr:uid="{00000000-0005-0000-0000-0000002E0000}"/>
    <cellStyle name="40% - Accent1 4 2 3 3 2 2" xfId="16057" xr:uid="{00000000-0005-0000-0000-0000012E0000}"/>
    <cellStyle name="40% - Accent1 4 2 3 3 2 2 2" xfId="39899" xr:uid="{A6672A79-CE17-4691-AD23-AA823F35264F}"/>
    <cellStyle name="40% - Accent1 4 2 3 3 2 3" xfId="24003" xr:uid="{00000000-0005-0000-0000-0000022E0000}"/>
    <cellStyle name="40% - Accent1 4 2 3 3 2 3 2" xfId="47835" xr:uid="{5CEFF0E0-5002-40DC-8C91-DDC39957427A}"/>
    <cellStyle name="40% - Accent1 4 2 3 3 2 4" xfId="31958" xr:uid="{2A86A202-6738-4F9A-AE5B-DDD59C39B1AE}"/>
    <cellStyle name="40% - Accent1 4 2 3 3 3" xfId="12519" xr:uid="{00000000-0005-0000-0000-0000032E0000}"/>
    <cellStyle name="40% - Accent1 4 2 3 3 3 2" xfId="36368" xr:uid="{3D46C1ED-D87E-44EB-A621-46E43EA2254A}"/>
    <cellStyle name="40% - Accent1 4 2 3 3 4" xfId="20474" xr:uid="{00000000-0005-0000-0000-0000042E0000}"/>
    <cellStyle name="40% - Accent1 4 2 3 3 4 2" xfId="44306" xr:uid="{8A92B07D-3FF5-42CC-9782-FA425A4BD7E0}"/>
    <cellStyle name="40% - Accent1 4 2 3 3 5" xfId="28427" xr:uid="{3810349B-4995-466E-8F39-5C0C14AE11C2}"/>
    <cellStyle name="40% - Accent1 4 2 3 4" xfId="6325" xr:uid="{00000000-0005-0000-0000-0000052E0000}"/>
    <cellStyle name="40% - Accent1 4 2 3 4 2" xfId="14299" xr:uid="{00000000-0005-0000-0000-0000062E0000}"/>
    <cellStyle name="40% - Accent1 4 2 3 4 2 2" xfId="38141" xr:uid="{37407FB6-3AA7-456A-8A9B-F3618843E56D}"/>
    <cellStyle name="40% - Accent1 4 2 3 4 3" xfId="22246" xr:uid="{00000000-0005-0000-0000-0000072E0000}"/>
    <cellStyle name="40% - Accent1 4 2 3 4 3 2" xfId="46078" xr:uid="{9A73861C-9F6B-4B89-BFBF-14AF5C4D13B0}"/>
    <cellStyle name="40% - Accent1 4 2 3 4 4" xfId="30200" xr:uid="{37C72442-5273-4220-A16F-A508023CD240}"/>
    <cellStyle name="40% - Accent1 4 2 3 5" xfId="9867" xr:uid="{00000000-0005-0000-0000-0000082E0000}"/>
    <cellStyle name="40% - Accent1 4 2 3 5 2" xfId="17825" xr:uid="{00000000-0005-0000-0000-0000092E0000}"/>
    <cellStyle name="40% - Accent1 4 2 3 5 2 2" xfId="41665" xr:uid="{20A4B931-5517-42FC-9A6D-FD0273012774}"/>
    <cellStyle name="40% - Accent1 4 2 3 5 3" xfId="25769" xr:uid="{00000000-0005-0000-0000-00000A2E0000}"/>
    <cellStyle name="40% - Accent1 4 2 3 5 3 2" xfId="49601" xr:uid="{8723D959-6323-4E56-BC39-941CE8CCF797}"/>
    <cellStyle name="40% - Accent1 4 2 3 5 4" xfId="33724" xr:uid="{DE6D472E-4B81-4E31-873F-F6F9D6A40A0B}"/>
    <cellStyle name="40% - Accent1 4 2 3 6" xfId="10763" xr:uid="{00000000-0005-0000-0000-00000B2E0000}"/>
    <cellStyle name="40% - Accent1 4 2 3 6 2" xfId="34612" xr:uid="{432EDFCA-AE75-46F9-B257-A0FAA0488A7A}"/>
    <cellStyle name="40% - Accent1 4 2 3 7" xfId="18718" xr:uid="{00000000-0005-0000-0000-00000C2E0000}"/>
    <cellStyle name="40% - Accent1 4 2 3 7 2" xfId="42550" xr:uid="{75993D4F-524E-4600-AE43-DA532F9D6EE2}"/>
    <cellStyle name="40% - Accent1 4 2 3 8" xfId="26670" xr:uid="{E176C70B-2EC5-4CD1-AF72-932273EA3A8C}"/>
    <cellStyle name="40% - Accent1 4 2 3_Exh G" xfId="2746" xr:uid="{00000000-0005-0000-0000-00000D2E0000}"/>
    <cellStyle name="40% - Accent1 4 2 4" xfId="1382" xr:uid="{00000000-0005-0000-0000-00000E2E0000}"/>
    <cellStyle name="40% - Accent1 4 2 4 2" xfId="4909" xr:uid="{00000000-0005-0000-0000-00000F2E0000}"/>
    <cellStyle name="40% - Accent1 4 2 4 2 2" xfId="8500" xr:uid="{00000000-0005-0000-0000-0000102E0000}"/>
    <cellStyle name="40% - Accent1 4 2 4 2 2 2" xfId="16470" xr:uid="{00000000-0005-0000-0000-0000112E0000}"/>
    <cellStyle name="40% - Accent1 4 2 4 2 2 2 2" xfId="40312" xr:uid="{DE614F41-0484-402E-AC64-A92A0ADEB7E0}"/>
    <cellStyle name="40% - Accent1 4 2 4 2 2 3" xfId="24416" xr:uid="{00000000-0005-0000-0000-0000122E0000}"/>
    <cellStyle name="40% - Accent1 4 2 4 2 2 3 2" xfId="48248" xr:uid="{F89DC565-FCC4-4163-8A42-503E687FB310}"/>
    <cellStyle name="40% - Accent1 4 2 4 2 2 4" xfId="32371" xr:uid="{57FCEB0F-85A0-44E3-90B1-D1BE9EB4AE51}"/>
    <cellStyle name="40% - Accent1 4 2 4 2 3" xfId="12932" xr:uid="{00000000-0005-0000-0000-0000132E0000}"/>
    <cellStyle name="40% - Accent1 4 2 4 2 3 2" xfId="36781" xr:uid="{507BF25F-D043-4C99-9DCC-F409E2130C63}"/>
    <cellStyle name="40% - Accent1 4 2 4 2 4" xfId="20887" xr:uid="{00000000-0005-0000-0000-0000142E0000}"/>
    <cellStyle name="40% - Accent1 4 2 4 2 4 2" xfId="44719" xr:uid="{AA7C9970-76D0-4EF0-8B40-817C2AEEE2B3}"/>
    <cellStyle name="40% - Accent1 4 2 4 2 5" xfId="28840" xr:uid="{2B39030B-EA7A-4D01-948C-62F047DE1924}"/>
    <cellStyle name="40% - Accent1 4 2 4 3" xfId="6741" xr:uid="{00000000-0005-0000-0000-0000152E0000}"/>
    <cellStyle name="40% - Accent1 4 2 4 3 2" xfId="14712" xr:uid="{00000000-0005-0000-0000-0000162E0000}"/>
    <cellStyle name="40% - Accent1 4 2 4 3 2 2" xfId="38554" xr:uid="{8AECF963-F808-4E3D-88E1-EE9F5855BC08}"/>
    <cellStyle name="40% - Accent1 4 2 4 3 3" xfId="22659" xr:uid="{00000000-0005-0000-0000-0000172E0000}"/>
    <cellStyle name="40% - Accent1 4 2 4 3 3 2" xfId="46491" xr:uid="{2F53A9EC-ABFE-4566-A9FF-E3E2878EA027}"/>
    <cellStyle name="40% - Accent1 4 2 4 3 4" xfId="30613" xr:uid="{959E1A58-262D-43B3-9921-40B95C224F75}"/>
    <cellStyle name="40% - Accent1 4 2 4 4" xfId="11176" xr:uid="{00000000-0005-0000-0000-0000182E0000}"/>
    <cellStyle name="40% - Accent1 4 2 4 4 2" xfId="35025" xr:uid="{95409BC9-59E7-472E-A9B4-D9D006776F68}"/>
    <cellStyle name="40% - Accent1 4 2 4 5" xfId="19131" xr:uid="{00000000-0005-0000-0000-0000192E0000}"/>
    <cellStyle name="40% - Accent1 4 2 4 5 2" xfId="42963" xr:uid="{F8B644B3-82F3-480B-A17F-701FEB90D326}"/>
    <cellStyle name="40% - Accent1 4 2 4 6" xfId="27083" xr:uid="{E43C0CBB-B236-48BF-BF60-18F1066BEE66}"/>
    <cellStyle name="40% - Accent1 4 2 4_Exh G" xfId="2748" xr:uid="{00000000-0005-0000-0000-00001A2E0000}"/>
    <cellStyle name="40% - Accent1 4 2 5" xfId="4030" xr:uid="{00000000-0005-0000-0000-00001B2E0000}"/>
    <cellStyle name="40% - Accent1 4 2 5 2" xfId="7622" xr:uid="{00000000-0005-0000-0000-00001C2E0000}"/>
    <cellStyle name="40% - Accent1 4 2 5 2 2" xfId="15592" xr:uid="{00000000-0005-0000-0000-00001D2E0000}"/>
    <cellStyle name="40% - Accent1 4 2 5 2 2 2" xfId="39434" xr:uid="{F26C1010-5465-475B-AF59-19F4ADEE4921}"/>
    <cellStyle name="40% - Accent1 4 2 5 2 3" xfId="23538" xr:uid="{00000000-0005-0000-0000-00001E2E0000}"/>
    <cellStyle name="40% - Accent1 4 2 5 2 3 2" xfId="47370" xr:uid="{8E808D66-AF9C-465A-927B-2E8F7762AAED}"/>
    <cellStyle name="40% - Accent1 4 2 5 2 4" xfId="31493" xr:uid="{3324368B-B4D1-4968-B34D-A42492F2602A}"/>
    <cellStyle name="40% - Accent1 4 2 5 3" xfId="12054" xr:uid="{00000000-0005-0000-0000-00001F2E0000}"/>
    <cellStyle name="40% - Accent1 4 2 5 3 2" xfId="35903" xr:uid="{8D2FAF3A-06CC-4CD2-90FE-C9E901652FAC}"/>
    <cellStyle name="40% - Accent1 4 2 5 4" xfId="20009" xr:uid="{00000000-0005-0000-0000-0000202E0000}"/>
    <cellStyle name="40% - Accent1 4 2 5 4 2" xfId="43841" xr:uid="{C268BE00-760D-4387-9E82-23EE1089E69A}"/>
    <cellStyle name="40% - Accent1 4 2 5 5" xfId="27962" xr:uid="{19F21882-8FDD-4BA4-8C6C-923B0743E8CD}"/>
    <cellStyle name="40% - Accent1 4 2 6" xfId="5850" xr:uid="{00000000-0005-0000-0000-0000212E0000}"/>
    <cellStyle name="40% - Accent1 4 2 6 2" xfId="13833" xr:uid="{00000000-0005-0000-0000-0000222E0000}"/>
    <cellStyle name="40% - Accent1 4 2 6 2 2" xfId="37676" xr:uid="{887CB0D3-608B-4868-8AF3-B1C1988BADE4}"/>
    <cellStyle name="40% - Accent1 4 2 6 3" xfId="21781" xr:uid="{00000000-0005-0000-0000-0000232E0000}"/>
    <cellStyle name="40% - Accent1 4 2 6 3 2" xfId="45613" xr:uid="{90EA8E07-242F-4CA2-A817-DCA2A2830981}"/>
    <cellStyle name="40% - Accent1 4 2 6 4" xfId="29735" xr:uid="{0DCF0552-A1AA-482E-B339-1E5021DC2C21}"/>
    <cellStyle name="40% - Accent1 4 2 7" xfId="9402" xr:uid="{00000000-0005-0000-0000-0000242E0000}"/>
    <cellStyle name="40% - Accent1 4 2 7 2" xfId="17360" xr:uid="{00000000-0005-0000-0000-0000252E0000}"/>
    <cellStyle name="40% - Accent1 4 2 7 2 2" xfId="41200" xr:uid="{C5AD02D6-0264-4501-AFA9-E4549A413A97}"/>
    <cellStyle name="40% - Accent1 4 2 7 3" xfId="25304" xr:uid="{00000000-0005-0000-0000-0000262E0000}"/>
    <cellStyle name="40% - Accent1 4 2 7 3 2" xfId="49136" xr:uid="{6A062312-3F21-4188-A123-15BB377BE11B}"/>
    <cellStyle name="40% - Accent1 4 2 7 4" xfId="33259" xr:uid="{53E24515-2577-4A80-B67E-7C7B693296CB}"/>
    <cellStyle name="40% - Accent1 4 2 8" xfId="10298" xr:uid="{00000000-0005-0000-0000-0000272E0000}"/>
    <cellStyle name="40% - Accent1 4 2 8 2" xfId="34147" xr:uid="{AEAB8B87-5C69-4B89-9C8E-80CBFBF0FFD1}"/>
    <cellStyle name="40% - Accent1 4 2 9" xfId="18253" xr:uid="{00000000-0005-0000-0000-0000282E0000}"/>
    <cellStyle name="40% - Accent1 4 2 9 2" xfId="42085" xr:uid="{B67FC8CD-DEF5-43E8-BEE3-1ECB60534B49}"/>
    <cellStyle name="40% - Accent1 4 2_Exh G" xfId="2743" xr:uid="{00000000-0005-0000-0000-0000292E0000}"/>
    <cellStyle name="40% - Accent1 4 3" xfId="358" xr:uid="{00000000-0005-0000-0000-00002A2E0000}"/>
    <cellStyle name="40% - Accent1 4 3 2" xfId="1384" xr:uid="{00000000-0005-0000-0000-00002B2E0000}"/>
    <cellStyle name="40% - Accent1 4 3 2 2" xfId="4911" xr:uid="{00000000-0005-0000-0000-00002C2E0000}"/>
    <cellStyle name="40% - Accent1 4 3 2 2 2" xfId="8502" xr:uid="{00000000-0005-0000-0000-00002D2E0000}"/>
    <cellStyle name="40% - Accent1 4 3 2 2 2 2" xfId="16472" xr:uid="{00000000-0005-0000-0000-00002E2E0000}"/>
    <cellStyle name="40% - Accent1 4 3 2 2 2 2 2" xfId="40314" xr:uid="{536A271F-543D-4409-B31D-B59435BAFDB1}"/>
    <cellStyle name="40% - Accent1 4 3 2 2 2 3" xfId="24418" xr:uid="{00000000-0005-0000-0000-00002F2E0000}"/>
    <cellStyle name="40% - Accent1 4 3 2 2 2 3 2" xfId="48250" xr:uid="{F0C7C8F1-1F87-427E-8B38-D959408BFDE5}"/>
    <cellStyle name="40% - Accent1 4 3 2 2 2 4" xfId="32373" xr:uid="{0FA2EF1E-F6FC-4619-BAB8-15585FB12429}"/>
    <cellStyle name="40% - Accent1 4 3 2 2 3" xfId="12934" xr:uid="{00000000-0005-0000-0000-0000302E0000}"/>
    <cellStyle name="40% - Accent1 4 3 2 2 3 2" xfId="36783" xr:uid="{65907683-7A6D-4D08-904B-AA454B0BADB2}"/>
    <cellStyle name="40% - Accent1 4 3 2 2 4" xfId="20889" xr:uid="{00000000-0005-0000-0000-0000312E0000}"/>
    <cellStyle name="40% - Accent1 4 3 2 2 4 2" xfId="44721" xr:uid="{FA7F0B4A-B57E-4D83-BB2B-04993C413684}"/>
    <cellStyle name="40% - Accent1 4 3 2 2 5" xfId="28842" xr:uid="{335449B1-6F48-49B6-92A2-3114C844F136}"/>
    <cellStyle name="40% - Accent1 4 3 2 3" xfId="6743" xr:uid="{00000000-0005-0000-0000-0000322E0000}"/>
    <cellStyle name="40% - Accent1 4 3 2 3 2" xfId="14714" xr:uid="{00000000-0005-0000-0000-0000332E0000}"/>
    <cellStyle name="40% - Accent1 4 3 2 3 2 2" xfId="38556" xr:uid="{C19B7709-DA43-4DA1-B94C-502BF4E3E94F}"/>
    <cellStyle name="40% - Accent1 4 3 2 3 3" xfId="22661" xr:uid="{00000000-0005-0000-0000-0000342E0000}"/>
    <cellStyle name="40% - Accent1 4 3 2 3 3 2" xfId="46493" xr:uid="{5D0A5B88-A36E-45B3-8852-79B3BA4C96C1}"/>
    <cellStyle name="40% - Accent1 4 3 2 3 4" xfId="30615" xr:uid="{14A330B1-CDD3-4561-AFB6-5DA2AC71F00C}"/>
    <cellStyle name="40% - Accent1 4 3 2 4" xfId="11178" xr:uid="{00000000-0005-0000-0000-0000352E0000}"/>
    <cellStyle name="40% - Accent1 4 3 2 4 2" xfId="35027" xr:uid="{4D0261E2-C4D8-43A0-A460-B525B5890B6C}"/>
    <cellStyle name="40% - Accent1 4 3 2 5" xfId="19133" xr:uid="{00000000-0005-0000-0000-0000362E0000}"/>
    <cellStyle name="40% - Accent1 4 3 2 5 2" xfId="42965" xr:uid="{78B9C065-7E76-4F75-8E11-496F24BE5F18}"/>
    <cellStyle name="40% - Accent1 4 3 2 6" xfId="27085" xr:uid="{CAFC2F7B-0732-4835-BA6A-99424F8AADB2}"/>
    <cellStyle name="40% - Accent1 4 3 2_Exh G" xfId="2750" xr:uid="{00000000-0005-0000-0000-0000372E0000}"/>
    <cellStyle name="40% - Accent1 4 3 3" xfId="4032" xr:uid="{00000000-0005-0000-0000-0000382E0000}"/>
    <cellStyle name="40% - Accent1 4 3 3 2" xfId="7624" xr:uid="{00000000-0005-0000-0000-0000392E0000}"/>
    <cellStyle name="40% - Accent1 4 3 3 2 2" xfId="15594" xr:uid="{00000000-0005-0000-0000-00003A2E0000}"/>
    <cellStyle name="40% - Accent1 4 3 3 2 2 2" xfId="39436" xr:uid="{690D1705-C8C5-4DC3-BCBA-30883A46ECD1}"/>
    <cellStyle name="40% - Accent1 4 3 3 2 3" xfId="23540" xr:uid="{00000000-0005-0000-0000-00003B2E0000}"/>
    <cellStyle name="40% - Accent1 4 3 3 2 3 2" xfId="47372" xr:uid="{C2AB2407-CA94-4A6A-8CD7-F272CB75FBD3}"/>
    <cellStyle name="40% - Accent1 4 3 3 2 4" xfId="31495" xr:uid="{53190FCB-D0CD-45F8-84DA-206983EB8FC1}"/>
    <cellStyle name="40% - Accent1 4 3 3 3" xfId="12056" xr:uid="{00000000-0005-0000-0000-00003C2E0000}"/>
    <cellStyle name="40% - Accent1 4 3 3 3 2" xfId="35905" xr:uid="{B2A79AE5-6C89-471A-BE34-4DB5D61C7D99}"/>
    <cellStyle name="40% - Accent1 4 3 3 4" xfId="20011" xr:uid="{00000000-0005-0000-0000-00003D2E0000}"/>
    <cellStyle name="40% - Accent1 4 3 3 4 2" xfId="43843" xr:uid="{E51E97BB-53F5-4D3D-908C-C5BB9746FD63}"/>
    <cellStyle name="40% - Accent1 4 3 3 5" xfId="27964" xr:uid="{4A369DAE-A063-488A-A6C4-8838E2614A12}"/>
    <cellStyle name="40% - Accent1 4 3 4" xfId="5852" xr:uid="{00000000-0005-0000-0000-00003E2E0000}"/>
    <cellStyle name="40% - Accent1 4 3 4 2" xfId="13835" xr:uid="{00000000-0005-0000-0000-00003F2E0000}"/>
    <cellStyle name="40% - Accent1 4 3 4 2 2" xfId="37678" xr:uid="{E078E483-C919-4923-B9C0-AFF8A4FF89A3}"/>
    <cellStyle name="40% - Accent1 4 3 4 3" xfId="21783" xr:uid="{00000000-0005-0000-0000-0000402E0000}"/>
    <cellStyle name="40% - Accent1 4 3 4 3 2" xfId="45615" xr:uid="{4C34C3EE-CEE3-4BF3-AF31-5F028028578A}"/>
    <cellStyle name="40% - Accent1 4 3 4 4" xfId="29737" xr:uid="{92BDD455-9D8B-42DD-9DC8-1C4F543B5ED3}"/>
    <cellStyle name="40% - Accent1 4 3 5" xfId="9404" xr:uid="{00000000-0005-0000-0000-0000412E0000}"/>
    <cellStyle name="40% - Accent1 4 3 5 2" xfId="17362" xr:uid="{00000000-0005-0000-0000-0000422E0000}"/>
    <cellStyle name="40% - Accent1 4 3 5 2 2" xfId="41202" xr:uid="{2E3575A6-2DA7-4EF0-BD0D-BC5F963C699C}"/>
    <cellStyle name="40% - Accent1 4 3 5 3" xfId="25306" xr:uid="{00000000-0005-0000-0000-0000432E0000}"/>
    <cellStyle name="40% - Accent1 4 3 5 3 2" xfId="49138" xr:uid="{C0D9BF74-E0F3-44C2-9186-BCA693BBF73F}"/>
    <cellStyle name="40% - Accent1 4 3 5 4" xfId="33261" xr:uid="{CD442C0A-E488-4BD6-89FC-A37335286641}"/>
    <cellStyle name="40% - Accent1 4 3 6" xfId="10300" xr:uid="{00000000-0005-0000-0000-0000442E0000}"/>
    <cellStyle name="40% - Accent1 4 3 6 2" xfId="34149" xr:uid="{6846EB11-7B8A-480C-BC02-E372CAC40817}"/>
    <cellStyle name="40% - Accent1 4 3 7" xfId="18255" xr:uid="{00000000-0005-0000-0000-0000452E0000}"/>
    <cellStyle name="40% - Accent1 4 3 7 2" xfId="42087" xr:uid="{23EB82AA-FFE9-47C4-920B-2EDFB66AA567}"/>
    <cellStyle name="40% - Accent1 4 3 8" xfId="26207" xr:uid="{36D311BC-E08E-4CFC-982A-C9E0C0B6D79D}"/>
    <cellStyle name="40% - Accent1 4 3_Exh G" xfId="2749" xr:uid="{00000000-0005-0000-0000-0000462E0000}"/>
    <cellStyle name="40% - Accent1 4 4" xfId="936" xr:uid="{00000000-0005-0000-0000-0000472E0000}"/>
    <cellStyle name="40% - Accent1 4 4 2" xfId="1856" xr:uid="{00000000-0005-0000-0000-0000482E0000}"/>
    <cellStyle name="40% - Accent1 4 4 2 2" xfId="5373" xr:uid="{00000000-0005-0000-0000-0000492E0000}"/>
    <cellStyle name="40% - Accent1 4 4 2 2 2" xfId="8964" xr:uid="{00000000-0005-0000-0000-00004A2E0000}"/>
    <cellStyle name="40% - Accent1 4 4 2 2 2 2" xfId="16934" xr:uid="{00000000-0005-0000-0000-00004B2E0000}"/>
    <cellStyle name="40% - Accent1 4 4 2 2 2 2 2" xfId="40776" xr:uid="{E6E8E236-40BB-4726-B84F-F124374FDEBB}"/>
    <cellStyle name="40% - Accent1 4 4 2 2 2 3" xfId="24880" xr:uid="{00000000-0005-0000-0000-00004C2E0000}"/>
    <cellStyle name="40% - Accent1 4 4 2 2 2 3 2" xfId="48712" xr:uid="{A37742AD-5489-4722-A6DA-234F32F4B073}"/>
    <cellStyle name="40% - Accent1 4 4 2 2 2 4" xfId="32835" xr:uid="{C3320492-3870-431D-B251-DF2036E52574}"/>
    <cellStyle name="40% - Accent1 4 4 2 2 3" xfId="13396" xr:uid="{00000000-0005-0000-0000-00004D2E0000}"/>
    <cellStyle name="40% - Accent1 4 4 2 2 3 2" xfId="37245" xr:uid="{B16FA946-76B7-4A89-9B61-D99483A81340}"/>
    <cellStyle name="40% - Accent1 4 4 2 2 4" xfId="21351" xr:uid="{00000000-0005-0000-0000-00004E2E0000}"/>
    <cellStyle name="40% - Accent1 4 4 2 2 4 2" xfId="45183" xr:uid="{5BB486CB-37C5-45F8-A978-E76CC03437C3}"/>
    <cellStyle name="40% - Accent1 4 4 2 2 5" xfId="29304" xr:uid="{098A8C1B-C58C-4A59-A6FA-2A334844D991}"/>
    <cellStyle name="40% - Accent1 4 4 2 3" xfId="7205" xr:uid="{00000000-0005-0000-0000-00004F2E0000}"/>
    <cellStyle name="40% - Accent1 4 4 2 3 2" xfId="15176" xr:uid="{00000000-0005-0000-0000-0000502E0000}"/>
    <cellStyle name="40% - Accent1 4 4 2 3 2 2" xfId="39018" xr:uid="{092C8516-78E6-47E0-8497-5068FC50BDCE}"/>
    <cellStyle name="40% - Accent1 4 4 2 3 3" xfId="23123" xr:uid="{00000000-0005-0000-0000-0000512E0000}"/>
    <cellStyle name="40% - Accent1 4 4 2 3 3 2" xfId="46955" xr:uid="{34666B23-A0A7-479E-A358-2AB24D2D4A11}"/>
    <cellStyle name="40% - Accent1 4 4 2 3 4" xfId="31077" xr:uid="{9142E8FA-C98B-4107-ABD9-A37ED2444869}"/>
    <cellStyle name="40% - Accent1 4 4 2 4" xfId="11640" xr:uid="{00000000-0005-0000-0000-0000522E0000}"/>
    <cellStyle name="40% - Accent1 4 4 2 4 2" xfId="35489" xr:uid="{8212AC0F-A038-4BDD-B84B-0A9A2EF0DA54}"/>
    <cellStyle name="40% - Accent1 4 4 2 5" xfId="19595" xr:uid="{00000000-0005-0000-0000-0000532E0000}"/>
    <cellStyle name="40% - Accent1 4 4 2 5 2" xfId="43427" xr:uid="{03103247-18A5-440C-AD3A-45B93AE7BE26}"/>
    <cellStyle name="40% - Accent1 4 4 2 6" xfId="27547" xr:uid="{E815F873-8BA9-4F89-9D6C-82812B6F377F}"/>
    <cellStyle name="40% - Accent1 4 4 2_Exh G" xfId="2752" xr:uid="{00000000-0005-0000-0000-0000542E0000}"/>
    <cellStyle name="40% - Accent1 4 4 3" xfId="4494" xr:uid="{00000000-0005-0000-0000-0000552E0000}"/>
    <cellStyle name="40% - Accent1 4 4 3 2" xfId="8086" xr:uid="{00000000-0005-0000-0000-0000562E0000}"/>
    <cellStyle name="40% - Accent1 4 4 3 2 2" xfId="16056" xr:uid="{00000000-0005-0000-0000-0000572E0000}"/>
    <cellStyle name="40% - Accent1 4 4 3 2 2 2" xfId="39898" xr:uid="{B2C196D1-65F1-4893-BCB7-30300D1A157D}"/>
    <cellStyle name="40% - Accent1 4 4 3 2 3" xfId="24002" xr:uid="{00000000-0005-0000-0000-0000582E0000}"/>
    <cellStyle name="40% - Accent1 4 4 3 2 3 2" xfId="47834" xr:uid="{95FAD7BF-99D7-42A8-B6B1-89BC4C2D312F}"/>
    <cellStyle name="40% - Accent1 4 4 3 2 4" xfId="31957" xr:uid="{D53EB632-64B0-4958-A2BB-1C51FF73D898}"/>
    <cellStyle name="40% - Accent1 4 4 3 3" xfId="12518" xr:uid="{00000000-0005-0000-0000-0000592E0000}"/>
    <cellStyle name="40% - Accent1 4 4 3 3 2" xfId="36367" xr:uid="{055659CA-8167-4D7F-B2CD-30551B20C691}"/>
    <cellStyle name="40% - Accent1 4 4 3 4" xfId="20473" xr:uid="{00000000-0005-0000-0000-00005A2E0000}"/>
    <cellStyle name="40% - Accent1 4 4 3 4 2" xfId="44305" xr:uid="{8DCC20A4-073A-4C8D-BFC5-D3A4C10AFFFF}"/>
    <cellStyle name="40% - Accent1 4 4 3 5" xfId="28426" xr:uid="{6CF82CDA-F9B5-42A5-883C-8CBC43457C29}"/>
    <cellStyle name="40% - Accent1 4 4 4" xfId="6324" xr:uid="{00000000-0005-0000-0000-00005B2E0000}"/>
    <cellStyle name="40% - Accent1 4 4 4 2" xfId="14298" xr:uid="{00000000-0005-0000-0000-00005C2E0000}"/>
    <cellStyle name="40% - Accent1 4 4 4 2 2" xfId="38140" xr:uid="{21E27E65-AA14-497C-ABF1-E1AF8E6A3D56}"/>
    <cellStyle name="40% - Accent1 4 4 4 3" xfId="22245" xr:uid="{00000000-0005-0000-0000-00005D2E0000}"/>
    <cellStyle name="40% - Accent1 4 4 4 3 2" xfId="46077" xr:uid="{83AA426B-5484-4FA0-97E6-F1E7E63B6CBE}"/>
    <cellStyle name="40% - Accent1 4 4 4 4" xfId="30199" xr:uid="{EA3D3C94-7964-4F85-B46C-D649283AA7C6}"/>
    <cellStyle name="40% - Accent1 4 4 5" xfId="9866" xr:uid="{00000000-0005-0000-0000-00005E2E0000}"/>
    <cellStyle name="40% - Accent1 4 4 5 2" xfId="17824" xr:uid="{00000000-0005-0000-0000-00005F2E0000}"/>
    <cellStyle name="40% - Accent1 4 4 5 2 2" xfId="41664" xr:uid="{507062B6-03BF-4645-A596-228B01A8693A}"/>
    <cellStyle name="40% - Accent1 4 4 5 3" xfId="25768" xr:uid="{00000000-0005-0000-0000-0000602E0000}"/>
    <cellStyle name="40% - Accent1 4 4 5 3 2" xfId="49600" xr:uid="{18E0BEF4-2F7B-4838-8EED-880877BF93F2}"/>
    <cellStyle name="40% - Accent1 4 4 5 4" xfId="33723" xr:uid="{7C54996E-1D7B-4DEF-92A9-E40A4F74D535}"/>
    <cellStyle name="40% - Accent1 4 4 6" xfId="10762" xr:uid="{00000000-0005-0000-0000-0000612E0000}"/>
    <cellStyle name="40% - Accent1 4 4 6 2" xfId="34611" xr:uid="{254A172E-5334-450B-A63D-31FE5B27D008}"/>
    <cellStyle name="40% - Accent1 4 4 7" xfId="18717" xr:uid="{00000000-0005-0000-0000-0000622E0000}"/>
    <cellStyle name="40% - Accent1 4 4 7 2" xfId="42549" xr:uid="{E7D9F90F-3622-47A1-8CDE-955B79377083}"/>
    <cellStyle name="40% - Accent1 4 4 8" xfId="26669" xr:uid="{5EAD28B1-9781-46B9-9D19-FBBB3A9B205C}"/>
    <cellStyle name="40% - Accent1 4 4_Exh G" xfId="2751" xr:uid="{00000000-0005-0000-0000-0000632E0000}"/>
    <cellStyle name="40% - Accent1 4 5" xfId="1381" xr:uid="{00000000-0005-0000-0000-0000642E0000}"/>
    <cellStyle name="40% - Accent1 4 5 2" xfId="4908" xr:uid="{00000000-0005-0000-0000-0000652E0000}"/>
    <cellStyle name="40% - Accent1 4 5 2 2" xfId="8499" xr:uid="{00000000-0005-0000-0000-0000662E0000}"/>
    <cellStyle name="40% - Accent1 4 5 2 2 2" xfId="16469" xr:uid="{00000000-0005-0000-0000-0000672E0000}"/>
    <cellStyle name="40% - Accent1 4 5 2 2 2 2" xfId="40311" xr:uid="{645BE98A-6A27-4A17-9710-7BBFDA86C655}"/>
    <cellStyle name="40% - Accent1 4 5 2 2 3" xfId="24415" xr:uid="{00000000-0005-0000-0000-0000682E0000}"/>
    <cellStyle name="40% - Accent1 4 5 2 2 3 2" xfId="48247" xr:uid="{9EF3FD99-0CF0-4F3E-87A4-824355921F43}"/>
    <cellStyle name="40% - Accent1 4 5 2 2 4" xfId="32370" xr:uid="{06F119AF-A864-40C2-BECE-B91898B2AE74}"/>
    <cellStyle name="40% - Accent1 4 5 2 3" xfId="12931" xr:uid="{00000000-0005-0000-0000-0000692E0000}"/>
    <cellStyle name="40% - Accent1 4 5 2 3 2" xfId="36780" xr:uid="{92A76402-2096-4816-9A31-5A010897CB07}"/>
    <cellStyle name="40% - Accent1 4 5 2 4" xfId="20886" xr:uid="{00000000-0005-0000-0000-00006A2E0000}"/>
    <cellStyle name="40% - Accent1 4 5 2 4 2" xfId="44718" xr:uid="{90A2F6B3-3B39-41B0-9E8C-AB4DD771BEA2}"/>
    <cellStyle name="40% - Accent1 4 5 2 5" xfId="28839" xr:uid="{DAAA31D3-AE92-4B06-AC91-BD03709AD2E1}"/>
    <cellStyle name="40% - Accent1 4 5 3" xfId="6740" xr:uid="{00000000-0005-0000-0000-00006B2E0000}"/>
    <cellStyle name="40% - Accent1 4 5 3 2" xfId="14711" xr:uid="{00000000-0005-0000-0000-00006C2E0000}"/>
    <cellStyle name="40% - Accent1 4 5 3 2 2" xfId="38553" xr:uid="{A2FE45BB-7E9A-4D2B-8546-96A4CAD33C9D}"/>
    <cellStyle name="40% - Accent1 4 5 3 3" xfId="22658" xr:uid="{00000000-0005-0000-0000-00006D2E0000}"/>
    <cellStyle name="40% - Accent1 4 5 3 3 2" xfId="46490" xr:uid="{D8F56105-58EE-4F0F-9FE0-0A65A2E24ABE}"/>
    <cellStyle name="40% - Accent1 4 5 3 4" xfId="30612" xr:uid="{6D92D145-F404-4F35-90BB-BC227FD6E4B4}"/>
    <cellStyle name="40% - Accent1 4 5 4" xfId="11175" xr:uid="{00000000-0005-0000-0000-00006E2E0000}"/>
    <cellStyle name="40% - Accent1 4 5 4 2" xfId="35024" xr:uid="{3E357D49-7853-4D32-836B-82F350AE6801}"/>
    <cellStyle name="40% - Accent1 4 5 5" xfId="19130" xr:uid="{00000000-0005-0000-0000-00006F2E0000}"/>
    <cellStyle name="40% - Accent1 4 5 5 2" xfId="42962" xr:uid="{EACB39D7-5217-4831-AD49-F9DC2F5F97AD}"/>
    <cellStyle name="40% - Accent1 4 5 6" xfId="27082" xr:uid="{F00368F9-6D2D-40B9-8F63-F63AF290A5B5}"/>
    <cellStyle name="40% - Accent1 4 5_Exh G" xfId="2753" xr:uid="{00000000-0005-0000-0000-0000702E0000}"/>
    <cellStyle name="40% - Accent1 4 6" xfId="4029" xr:uid="{00000000-0005-0000-0000-0000712E0000}"/>
    <cellStyle name="40% - Accent1 4 6 2" xfId="7621" xr:uid="{00000000-0005-0000-0000-0000722E0000}"/>
    <cellStyle name="40% - Accent1 4 6 2 2" xfId="15591" xr:uid="{00000000-0005-0000-0000-0000732E0000}"/>
    <cellStyle name="40% - Accent1 4 6 2 2 2" xfId="39433" xr:uid="{20CC9A01-8956-4D2D-8B28-A0914A621B3D}"/>
    <cellStyle name="40% - Accent1 4 6 2 3" xfId="23537" xr:uid="{00000000-0005-0000-0000-0000742E0000}"/>
    <cellStyle name="40% - Accent1 4 6 2 3 2" xfId="47369" xr:uid="{DBD9B328-26E6-48B2-AE4F-DDCF2A988F52}"/>
    <cellStyle name="40% - Accent1 4 6 2 4" xfId="31492" xr:uid="{1AB7D069-6FCC-49EA-84E4-0BE6A5FF60DE}"/>
    <cellStyle name="40% - Accent1 4 6 3" xfId="12053" xr:uid="{00000000-0005-0000-0000-0000752E0000}"/>
    <cellStyle name="40% - Accent1 4 6 3 2" xfId="35902" xr:uid="{E2A8BE3C-1477-4B25-BDB5-9D16FB95E2B1}"/>
    <cellStyle name="40% - Accent1 4 6 4" xfId="20008" xr:uid="{00000000-0005-0000-0000-0000762E0000}"/>
    <cellStyle name="40% - Accent1 4 6 4 2" xfId="43840" xr:uid="{BE732CDC-20E6-4B2F-8236-627734D3001F}"/>
    <cellStyle name="40% - Accent1 4 6 5" xfId="27961" xr:uid="{58873098-1ABD-4519-8347-D26F06E07AE5}"/>
    <cellStyle name="40% - Accent1 4 7" xfId="5849" xr:uid="{00000000-0005-0000-0000-0000772E0000}"/>
    <cellStyle name="40% - Accent1 4 7 2" xfId="13832" xr:uid="{00000000-0005-0000-0000-0000782E0000}"/>
    <cellStyle name="40% - Accent1 4 7 2 2" xfId="37675" xr:uid="{0289BFCC-3215-4E91-8488-E5CEC9E00E68}"/>
    <cellStyle name="40% - Accent1 4 7 3" xfId="21780" xr:uid="{00000000-0005-0000-0000-0000792E0000}"/>
    <cellStyle name="40% - Accent1 4 7 3 2" xfId="45612" xr:uid="{B1A24B12-36B5-4CC1-95F9-DCA4F584B335}"/>
    <cellStyle name="40% - Accent1 4 7 4" xfId="29734" xr:uid="{953970AC-1FC7-40D3-A431-CF479C8CE656}"/>
    <cellStyle name="40% - Accent1 4 8" xfId="9401" xr:uid="{00000000-0005-0000-0000-00007A2E0000}"/>
    <cellStyle name="40% - Accent1 4 8 2" xfId="17359" xr:uid="{00000000-0005-0000-0000-00007B2E0000}"/>
    <cellStyle name="40% - Accent1 4 8 2 2" xfId="41199" xr:uid="{BA53BECC-8812-4974-B269-86A5B7958161}"/>
    <cellStyle name="40% - Accent1 4 8 3" xfId="25303" xr:uid="{00000000-0005-0000-0000-00007C2E0000}"/>
    <cellStyle name="40% - Accent1 4 8 3 2" xfId="49135" xr:uid="{2D791C13-06D2-496A-895B-37F861461450}"/>
    <cellStyle name="40% - Accent1 4 8 4" xfId="33258" xr:uid="{2EBE095F-F217-483F-B12E-F8E012449002}"/>
    <cellStyle name="40% - Accent1 4 9" xfId="10297" xr:uid="{00000000-0005-0000-0000-00007D2E0000}"/>
    <cellStyle name="40% - Accent1 4 9 2" xfId="34146" xr:uid="{189B4545-46EA-415D-8AD3-65D83B56AB38}"/>
    <cellStyle name="40% - Accent1 4_Exh G" xfId="2742" xr:uid="{00000000-0005-0000-0000-00007E2E0000}"/>
    <cellStyle name="40% - Accent1 5" xfId="359" xr:uid="{00000000-0005-0000-0000-00007F2E0000}"/>
    <cellStyle name="40% - Accent1 5 10" xfId="18256" xr:uid="{00000000-0005-0000-0000-0000802E0000}"/>
    <cellStyle name="40% - Accent1 5 10 2" xfId="42088" xr:uid="{01F4F4E9-2C8A-4B6A-817F-AA85FA0A317F}"/>
    <cellStyle name="40% - Accent1 5 11" xfId="26208" xr:uid="{3E2D2862-BCF1-44D8-AFD2-47F9DA801A61}"/>
    <cellStyle name="40% - Accent1 5 2" xfId="360" xr:uid="{00000000-0005-0000-0000-0000812E0000}"/>
    <cellStyle name="40% - Accent1 5 2 2" xfId="361" xr:uid="{00000000-0005-0000-0000-0000822E0000}"/>
    <cellStyle name="40% - Accent1 5 2 2 2" xfId="1387" xr:uid="{00000000-0005-0000-0000-0000832E0000}"/>
    <cellStyle name="40% - Accent1 5 2 2 2 2" xfId="4914" xr:uid="{00000000-0005-0000-0000-0000842E0000}"/>
    <cellStyle name="40% - Accent1 5 2 2 2 2 2" xfId="8505" xr:uid="{00000000-0005-0000-0000-0000852E0000}"/>
    <cellStyle name="40% - Accent1 5 2 2 2 2 2 2" xfId="16475" xr:uid="{00000000-0005-0000-0000-0000862E0000}"/>
    <cellStyle name="40% - Accent1 5 2 2 2 2 2 2 2" xfId="40317" xr:uid="{2508485F-A3CE-4453-9CBC-1AA8E0AADCDD}"/>
    <cellStyle name="40% - Accent1 5 2 2 2 2 2 3" xfId="24421" xr:uid="{00000000-0005-0000-0000-0000872E0000}"/>
    <cellStyle name="40% - Accent1 5 2 2 2 2 2 3 2" xfId="48253" xr:uid="{A37DE64E-3212-4574-883D-2DE6DE690DE6}"/>
    <cellStyle name="40% - Accent1 5 2 2 2 2 2 4" xfId="32376" xr:uid="{3D5C5B1F-BB32-4CAA-B1D3-E54D480447A1}"/>
    <cellStyle name="40% - Accent1 5 2 2 2 2 3" xfId="12937" xr:uid="{00000000-0005-0000-0000-0000882E0000}"/>
    <cellStyle name="40% - Accent1 5 2 2 2 2 3 2" xfId="36786" xr:uid="{F88321C1-57BA-4FE2-B93A-174383120218}"/>
    <cellStyle name="40% - Accent1 5 2 2 2 2 4" xfId="20892" xr:uid="{00000000-0005-0000-0000-0000892E0000}"/>
    <cellStyle name="40% - Accent1 5 2 2 2 2 4 2" xfId="44724" xr:uid="{AFFFE151-ECD5-4E8C-AF1A-9404FEA22DCF}"/>
    <cellStyle name="40% - Accent1 5 2 2 2 2 5" xfId="28845" xr:uid="{E14CA00E-FDFC-4CB8-8CE0-F63BAC25F73D}"/>
    <cellStyle name="40% - Accent1 5 2 2 2 3" xfId="6746" xr:uid="{00000000-0005-0000-0000-00008A2E0000}"/>
    <cellStyle name="40% - Accent1 5 2 2 2 3 2" xfId="14717" xr:uid="{00000000-0005-0000-0000-00008B2E0000}"/>
    <cellStyle name="40% - Accent1 5 2 2 2 3 2 2" xfId="38559" xr:uid="{61CE1602-69AE-46D1-B502-D21CE6083237}"/>
    <cellStyle name="40% - Accent1 5 2 2 2 3 3" xfId="22664" xr:uid="{00000000-0005-0000-0000-00008C2E0000}"/>
    <cellStyle name="40% - Accent1 5 2 2 2 3 3 2" xfId="46496" xr:uid="{8C06057F-D167-420F-87D8-2F4AC31A3FF1}"/>
    <cellStyle name="40% - Accent1 5 2 2 2 3 4" xfId="30618" xr:uid="{815232B2-8814-4AA3-BEE7-B75F5D1C033B}"/>
    <cellStyle name="40% - Accent1 5 2 2 2 4" xfId="11181" xr:uid="{00000000-0005-0000-0000-00008D2E0000}"/>
    <cellStyle name="40% - Accent1 5 2 2 2 4 2" xfId="35030" xr:uid="{DD301944-B1A2-4817-9107-0168C0694FA1}"/>
    <cellStyle name="40% - Accent1 5 2 2 2 5" xfId="19136" xr:uid="{00000000-0005-0000-0000-00008E2E0000}"/>
    <cellStyle name="40% - Accent1 5 2 2 2 5 2" xfId="42968" xr:uid="{89A8E27E-A606-4308-B5F6-8E92C893C0D8}"/>
    <cellStyle name="40% - Accent1 5 2 2 2 6" xfId="27088" xr:uid="{D5BB6DD6-696B-4E75-9F5F-9C5E652959C5}"/>
    <cellStyle name="40% - Accent1 5 2 2 2_Exh G" xfId="2757" xr:uid="{00000000-0005-0000-0000-00008F2E0000}"/>
    <cellStyle name="40% - Accent1 5 2 2 3" xfId="4035" xr:uid="{00000000-0005-0000-0000-0000902E0000}"/>
    <cellStyle name="40% - Accent1 5 2 2 3 2" xfId="7627" xr:uid="{00000000-0005-0000-0000-0000912E0000}"/>
    <cellStyle name="40% - Accent1 5 2 2 3 2 2" xfId="15597" xr:uid="{00000000-0005-0000-0000-0000922E0000}"/>
    <cellStyle name="40% - Accent1 5 2 2 3 2 2 2" xfId="39439" xr:uid="{5C2C05F7-1B20-4DF5-99A6-4A1B64D11236}"/>
    <cellStyle name="40% - Accent1 5 2 2 3 2 3" xfId="23543" xr:uid="{00000000-0005-0000-0000-0000932E0000}"/>
    <cellStyle name="40% - Accent1 5 2 2 3 2 3 2" xfId="47375" xr:uid="{334AFC2A-DF68-4DC6-98EE-2BA67069D327}"/>
    <cellStyle name="40% - Accent1 5 2 2 3 2 4" xfId="31498" xr:uid="{D984C4BD-A65E-4290-A911-736F42B42529}"/>
    <cellStyle name="40% - Accent1 5 2 2 3 3" xfId="12059" xr:uid="{00000000-0005-0000-0000-0000942E0000}"/>
    <cellStyle name="40% - Accent1 5 2 2 3 3 2" xfId="35908" xr:uid="{B680CDB2-B350-47EF-B41C-66EABF19228C}"/>
    <cellStyle name="40% - Accent1 5 2 2 3 4" xfId="20014" xr:uid="{00000000-0005-0000-0000-0000952E0000}"/>
    <cellStyle name="40% - Accent1 5 2 2 3 4 2" xfId="43846" xr:uid="{F181AA89-64D1-47F5-96AA-1ABE9A545A73}"/>
    <cellStyle name="40% - Accent1 5 2 2 3 5" xfId="27967" xr:uid="{DC1BA4A8-315F-429C-B6FA-E4A083115144}"/>
    <cellStyle name="40% - Accent1 5 2 2 4" xfId="5855" xr:uid="{00000000-0005-0000-0000-0000962E0000}"/>
    <cellStyle name="40% - Accent1 5 2 2 4 2" xfId="13838" xr:uid="{00000000-0005-0000-0000-0000972E0000}"/>
    <cellStyle name="40% - Accent1 5 2 2 4 2 2" xfId="37681" xr:uid="{4A50FA0D-0B47-4BDC-90D9-21315BC3C464}"/>
    <cellStyle name="40% - Accent1 5 2 2 4 3" xfId="21786" xr:uid="{00000000-0005-0000-0000-0000982E0000}"/>
    <cellStyle name="40% - Accent1 5 2 2 4 3 2" xfId="45618" xr:uid="{74F3709B-4CFB-4EAC-B12F-A039AD656A22}"/>
    <cellStyle name="40% - Accent1 5 2 2 4 4" xfId="29740" xr:uid="{CB8B9D45-FD90-436D-8E11-F7A6BE5634D6}"/>
    <cellStyle name="40% - Accent1 5 2 2 5" xfId="9407" xr:uid="{00000000-0005-0000-0000-0000992E0000}"/>
    <cellStyle name="40% - Accent1 5 2 2 5 2" xfId="17365" xr:uid="{00000000-0005-0000-0000-00009A2E0000}"/>
    <cellStyle name="40% - Accent1 5 2 2 5 2 2" xfId="41205" xr:uid="{487B1BD4-22E6-476B-905E-F99BA9D1C104}"/>
    <cellStyle name="40% - Accent1 5 2 2 5 3" xfId="25309" xr:uid="{00000000-0005-0000-0000-00009B2E0000}"/>
    <cellStyle name="40% - Accent1 5 2 2 5 3 2" xfId="49141" xr:uid="{B275C0A5-F7B1-48A8-A2D4-251A7522D530}"/>
    <cellStyle name="40% - Accent1 5 2 2 5 4" xfId="33264" xr:uid="{27D407DA-05C5-4CAA-87CF-BAC485089E78}"/>
    <cellStyle name="40% - Accent1 5 2 2 6" xfId="10303" xr:uid="{00000000-0005-0000-0000-00009C2E0000}"/>
    <cellStyle name="40% - Accent1 5 2 2 6 2" xfId="34152" xr:uid="{E704F2AE-7A23-48D0-916E-8745D19C4B29}"/>
    <cellStyle name="40% - Accent1 5 2 2 7" xfId="18258" xr:uid="{00000000-0005-0000-0000-00009D2E0000}"/>
    <cellStyle name="40% - Accent1 5 2 2 7 2" xfId="42090" xr:uid="{10B116BA-FB23-43C2-894D-F3854BD50355}"/>
    <cellStyle name="40% - Accent1 5 2 2 8" xfId="26210" xr:uid="{53981D6C-8D2D-4C15-B7BF-8A9EB1BD10D7}"/>
    <cellStyle name="40% - Accent1 5 2 2_Exh G" xfId="2756" xr:uid="{00000000-0005-0000-0000-00009E2E0000}"/>
    <cellStyle name="40% - Accent1 5 2 3" xfId="1386" xr:uid="{00000000-0005-0000-0000-00009F2E0000}"/>
    <cellStyle name="40% - Accent1 5 2 3 2" xfId="4913" xr:uid="{00000000-0005-0000-0000-0000A02E0000}"/>
    <cellStyle name="40% - Accent1 5 2 3 2 2" xfId="8504" xr:uid="{00000000-0005-0000-0000-0000A12E0000}"/>
    <cellStyle name="40% - Accent1 5 2 3 2 2 2" xfId="16474" xr:uid="{00000000-0005-0000-0000-0000A22E0000}"/>
    <cellStyle name="40% - Accent1 5 2 3 2 2 2 2" xfId="40316" xr:uid="{D250D782-485D-486D-98A8-443314C1BA2E}"/>
    <cellStyle name="40% - Accent1 5 2 3 2 2 3" xfId="24420" xr:uid="{00000000-0005-0000-0000-0000A32E0000}"/>
    <cellStyle name="40% - Accent1 5 2 3 2 2 3 2" xfId="48252" xr:uid="{9900F258-0238-4626-B471-7FFA090B73BC}"/>
    <cellStyle name="40% - Accent1 5 2 3 2 2 4" xfId="32375" xr:uid="{941CC0DD-AAD2-4A16-A0AD-FEEC7496341B}"/>
    <cellStyle name="40% - Accent1 5 2 3 2 3" xfId="12936" xr:uid="{00000000-0005-0000-0000-0000A42E0000}"/>
    <cellStyle name="40% - Accent1 5 2 3 2 3 2" xfId="36785" xr:uid="{BDB88805-38DE-48A1-841E-ABB47F0199E1}"/>
    <cellStyle name="40% - Accent1 5 2 3 2 4" xfId="20891" xr:uid="{00000000-0005-0000-0000-0000A52E0000}"/>
    <cellStyle name="40% - Accent1 5 2 3 2 4 2" xfId="44723" xr:uid="{F059FBBC-BA5A-468D-9CD5-D453CC1E4C93}"/>
    <cellStyle name="40% - Accent1 5 2 3 2 5" xfId="28844" xr:uid="{34C9EB77-90D3-4D8A-BB1C-2261E9E01F64}"/>
    <cellStyle name="40% - Accent1 5 2 3 3" xfId="6745" xr:uid="{00000000-0005-0000-0000-0000A62E0000}"/>
    <cellStyle name="40% - Accent1 5 2 3 3 2" xfId="14716" xr:uid="{00000000-0005-0000-0000-0000A72E0000}"/>
    <cellStyle name="40% - Accent1 5 2 3 3 2 2" xfId="38558" xr:uid="{E28C3894-F66F-4E0C-A2BB-59C74E332390}"/>
    <cellStyle name="40% - Accent1 5 2 3 3 3" xfId="22663" xr:uid="{00000000-0005-0000-0000-0000A82E0000}"/>
    <cellStyle name="40% - Accent1 5 2 3 3 3 2" xfId="46495" xr:uid="{5ED532F1-90FD-467E-A14D-0B6B68A2CB8A}"/>
    <cellStyle name="40% - Accent1 5 2 3 3 4" xfId="30617" xr:uid="{F97E0FC2-CC84-42CB-8859-5F27551FF6D5}"/>
    <cellStyle name="40% - Accent1 5 2 3 4" xfId="11180" xr:uid="{00000000-0005-0000-0000-0000A92E0000}"/>
    <cellStyle name="40% - Accent1 5 2 3 4 2" xfId="35029" xr:uid="{9100B6CE-6F0F-4B9A-9912-C04791EFE787}"/>
    <cellStyle name="40% - Accent1 5 2 3 5" xfId="19135" xr:uid="{00000000-0005-0000-0000-0000AA2E0000}"/>
    <cellStyle name="40% - Accent1 5 2 3 5 2" xfId="42967" xr:uid="{6625E04A-0907-4FD5-927A-E8CBC89EF147}"/>
    <cellStyle name="40% - Accent1 5 2 3 6" xfId="27087" xr:uid="{8AECC54F-AF48-45D1-8874-63681877E384}"/>
    <cellStyle name="40% - Accent1 5 2 3_Exh G" xfId="2758" xr:uid="{00000000-0005-0000-0000-0000AB2E0000}"/>
    <cellStyle name="40% - Accent1 5 2 4" xfId="4034" xr:uid="{00000000-0005-0000-0000-0000AC2E0000}"/>
    <cellStyle name="40% - Accent1 5 2 4 2" xfId="7626" xr:uid="{00000000-0005-0000-0000-0000AD2E0000}"/>
    <cellStyle name="40% - Accent1 5 2 4 2 2" xfId="15596" xr:uid="{00000000-0005-0000-0000-0000AE2E0000}"/>
    <cellStyle name="40% - Accent1 5 2 4 2 2 2" xfId="39438" xr:uid="{6B5BA506-D687-4134-888E-FA2582C4A157}"/>
    <cellStyle name="40% - Accent1 5 2 4 2 3" xfId="23542" xr:uid="{00000000-0005-0000-0000-0000AF2E0000}"/>
    <cellStyle name="40% - Accent1 5 2 4 2 3 2" xfId="47374" xr:uid="{4AFF1FE8-576D-4797-9009-9FD5847CD806}"/>
    <cellStyle name="40% - Accent1 5 2 4 2 4" xfId="31497" xr:uid="{EEBF150D-FF6F-42D0-A0AF-1C54BCBDCB3D}"/>
    <cellStyle name="40% - Accent1 5 2 4 3" xfId="12058" xr:uid="{00000000-0005-0000-0000-0000B02E0000}"/>
    <cellStyle name="40% - Accent1 5 2 4 3 2" xfId="35907" xr:uid="{789EC3E7-FF82-43F3-8DDC-06E18AF3F859}"/>
    <cellStyle name="40% - Accent1 5 2 4 4" xfId="20013" xr:uid="{00000000-0005-0000-0000-0000B12E0000}"/>
    <cellStyle name="40% - Accent1 5 2 4 4 2" xfId="43845" xr:uid="{FD8D4ED7-D546-4A0B-812E-8E33648036B5}"/>
    <cellStyle name="40% - Accent1 5 2 4 5" xfId="27966" xr:uid="{59D6C5B1-8603-49F9-BDFA-CB4CC12E4D2E}"/>
    <cellStyle name="40% - Accent1 5 2 5" xfId="5854" xr:uid="{00000000-0005-0000-0000-0000B22E0000}"/>
    <cellStyle name="40% - Accent1 5 2 5 2" xfId="13837" xr:uid="{00000000-0005-0000-0000-0000B32E0000}"/>
    <cellStyle name="40% - Accent1 5 2 5 2 2" xfId="37680" xr:uid="{59D547DA-22CB-4564-86C7-98D89F43E31F}"/>
    <cellStyle name="40% - Accent1 5 2 5 3" xfId="21785" xr:uid="{00000000-0005-0000-0000-0000B42E0000}"/>
    <cellStyle name="40% - Accent1 5 2 5 3 2" xfId="45617" xr:uid="{C908F712-56B5-428E-B555-1F8DC455E356}"/>
    <cellStyle name="40% - Accent1 5 2 5 4" xfId="29739" xr:uid="{84210EDF-0144-47D3-9A8A-FE55BB2C41EE}"/>
    <cellStyle name="40% - Accent1 5 2 6" xfId="9406" xr:uid="{00000000-0005-0000-0000-0000B52E0000}"/>
    <cellStyle name="40% - Accent1 5 2 6 2" xfId="17364" xr:uid="{00000000-0005-0000-0000-0000B62E0000}"/>
    <cellStyle name="40% - Accent1 5 2 6 2 2" xfId="41204" xr:uid="{9F9D731C-D837-4499-8888-FF288244D49A}"/>
    <cellStyle name="40% - Accent1 5 2 6 3" xfId="25308" xr:uid="{00000000-0005-0000-0000-0000B72E0000}"/>
    <cellStyle name="40% - Accent1 5 2 6 3 2" xfId="49140" xr:uid="{D442D805-D557-4AA2-ADDA-4A9B814F16BE}"/>
    <cellStyle name="40% - Accent1 5 2 6 4" xfId="33263" xr:uid="{DA928D3B-0184-4AF9-B809-C6B75FC2DB26}"/>
    <cellStyle name="40% - Accent1 5 2 7" xfId="10302" xr:uid="{00000000-0005-0000-0000-0000B82E0000}"/>
    <cellStyle name="40% - Accent1 5 2 7 2" xfId="34151" xr:uid="{CEB2E7A2-71BF-40D8-A471-F8B32EDF8E9B}"/>
    <cellStyle name="40% - Accent1 5 2 8" xfId="18257" xr:uid="{00000000-0005-0000-0000-0000B92E0000}"/>
    <cellStyle name="40% - Accent1 5 2 8 2" xfId="42089" xr:uid="{FC16A562-D81D-4897-94B3-C64F68D5E21F}"/>
    <cellStyle name="40% - Accent1 5 2 9" xfId="26209" xr:uid="{23FBD593-B2C3-4B76-B74D-82F22799244E}"/>
    <cellStyle name="40% - Accent1 5 2_Exh G" xfId="2755" xr:uid="{00000000-0005-0000-0000-0000BA2E0000}"/>
    <cellStyle name="40% - Accent1 5 3" xfId="362" xr:uid="{00000000-0005-0000-0000-0000BB2E0000}"/>
    <cellStyle name="40% - Accent1 5 3 2" xfId="1388" xr:uid="{00000000-0005-0000-0000-0000BC2E0000}"/>
    <cellStyle name="40% - Accent1 5 3 2 2" xfId="4915" xr:uid="{00000000-0005-0000-0000-0000BD2E0000}"/>
    <cellStyle name="40% - Accent1 5 3 2 2 2" xfId="8506" xr:uid="{00000000-0005-0000-0000-0000BE2E0000}"/>
    <cellStyle name="40% - Accent1 5 3 2 2 2 2" xfId="16476" xr:uid="{00000000-0005-0000-0000-0000BF2E0000}"/>
    <cellStyle name="40% - Accent1 5 3 2 2 2 2 2" xfId="40318" xr:uid="{11A33C1D-45C6-4DE0-87FA-9FC2E8E39D72}"/>
    <cellStyle name="40% - Accent1 5 3 2 2 2 3" xfId="24422" xr:uid="{00000000-0005-0000-0000-0000C02E0000}"/>
    <cellStyle name="40% - Accent1 5 3 2 2 2 3 2" xfId="48254" xr:uid="{85D3537A-0B44-4FFC-8E02-EE52A4FCE494}"/>
    <cellStyle name="40% - Accent1 5 3 2 2 2 4" xfId="32377" xr:uid="{053FE0F7-C99E-48A0-943E-E0991D8B4B02}"/>
    <cellStyle name="40% - Accent1 5 3 2 2 3" xfId="12938" xr:uid="{00000000-0005-0000-0000-0000C12E0000}"/>
    <cellStyle name="40% - Accent1 5 3 2 2 3 2" xfId="36787" xr:uid="{BC775E4D-7D5D-48CB-BCD7-1832D3D07107}"/>
    <cellStyle name="40% - Accent1 5 3 2 2 4" xfId="20893" xr:uid="{00000000-0005-0000-0000-0000C22E0000}"/>
    <cellStyle name="40% - Accent1 5 3 2 2 4 2" xfId="44725" xr:uid="{33702BE0-6950-4A3F-92C6-9B7537B30F85}"/>
    <cellStyle name="40% - Accent1 5 3 2 2 5" xfId="28846" xr:uid="{B407B614-9737-474F-8BCC-4936E3E5A462}"/>
    <cellStyle name="40% - Accent1 5 3 2 3" xfId="6747" xr:uid="{00000000-0005-0000-0000-0000C32E0000}"/>
    <cellStyle name="40% - Accent1 5 3 2 3 2" xfId="14718" xr:uid="{00000000-0005-0000-0000-0000C42E0000}"/>
    <cellStyle name="40% - Accent1 5 3 2 3 2 2" xfId="38560" xr:uid="{F042BBCD-5713-4858-8CEA-2328BD8F3D0D}"/>
    <cellStyle name="40% - Accent1 5 3 2 3 3" xfId="22665" xr:uid="{00000000-0005-0000-0000-0000C52E0000}"/>
    <cellStyle name="40% - Accent1 5 3 2 3 3 2" xfId="46497" xr:uid="{A2EC85A6-A42C-41B8-96C5-7283383A36A5}"/>
    <cellStyle name="40% - Accent1 5 3 2 3 4" xfId="30619" xr:uid="{A891E4CB-F708-40DB-89F8-253B3F6303DA}"/>
    <cellStyle name="40% - Accent1 5 3 2 4" xfId="11182" xr:uid="{00000000-0005-0000-0000-0000C62E0000}"/>
    <cellStyle name="40% - Accent1 5 3 2 4 2" xfId="35031" xr:uid="{434C9D12-FC52-43B0-8F1B-012F0E0170B7}"/>
    <cellStyle name="40% - Accent1 5 3 2 5" xfId="19137" xr:uid="{00000000-0005-0000-0000-0000C72E0000}"/>
    <cellStyle name="40% - Accent1 5 3 2 5 2" xfId="42969" xr:uid="{B77DE411-839D-497D-9AEB-E7289F1C3F90}"/>
    <cellStyle name="40% - Accent1 5 3 2 6" xfId="27089" xr:uid="{D3867ECB-FA62-4B31-B4A7-ED04810A0700}"/>
    <cellStyle name="40% - Accent1 5 3 2_Exh G" xfId="2760" xr:uid="{00000000-0005-0000-0000-0000C82E0000}"/>
    <cellStyle name="40% - Accent1 5 3 3" xfId="4036" xr:uid="{00000000-0005-0000-0000-0000C92E0000}"/>
    <cellStyle name="40% - Accent1 5 3 3 2" xfId="7628" xr:uid="{00000000-0005-0000-0000-0000CA2E0000}"/>
    <cellStyle name="40% - Accent1 5 3 3 2 2" xfId="15598" xr:uid="{00000000-0005-0000-0000-0000CB2E0000}"/>
    <cellStyle name="40% - Accent1 5 3 3 2 2 2" xfId="39440" xr:uid="{A176755F-1834-473A-84CE-C94E0BEFA8F2}"/>
    <cellStyle name="40% - Accent1 5 3 3 2 3" xfId="23544" xr:uid="{00000000-0005-0000-0000-0000CC2E0000}"/>
    <cellStyle name="40% - Accent1 5 3 3 2 3 2" xfId="47376" xr:uid="{DE8541A8-6D39-4ADF-873D-92FDADAE9CC4}"/>
    <cellStyle name="40% - Accent1 5 3 3 2 4" xfId="31499" xr:uid="{63CA9B91-17D0-4C20-8B84-66DEC9E1B83C}"/>
    <cellStyle name="40% - Accent1 5 3 3 3" xfId="12060" xr:uid="{00000000-0005-0000-0000-0000CD2E0000}"/>
    <cellStyle name="40% - Accent1 5 3 3 3 2" xfId="35909" xr:uid="{346F5927-E2B3-4664-A63E-9622E63F25EF}"/>
    <cellStyle name="40% - Accent1 5 3 3 4" xfId="20015" xr:uid="{00000000-0005-0000-0000-0000CE2E0000}"/>
    <cellStyle name="40% - Accent1 5 3 3 4 2" xfId="43847" xr:uid="{BB0F6024-9901-4E23-8905-953B39B43161}"/>
    <cellStyle name="40% - Accent1 5 3 3 5" xfId="27968" xr:uid="{CFD10AEB-929B-40B8-A39B-2F7C30BA8926}"/>
    <cellStyle name="40% - Accent1 5 3 4" xfId="5856" xr:uid="{00000000-0005-0000-0000-0000CF2E0000}"/>
    <cellStyle name="40% - Accent1 5 3 4 2" xfId="13839" xr:uid="{00000000-0005-0000-0000-0000D02E0000}"/>
    <cellStyle name="40% - Accent1 5 3 4 2 2" xfId="37682" xr:uid="{54D762D1-B5EE-479E-8704-B41ACACD5538}"/>
    <cellStyle name="40% - Accent1 5 3 4 3" xfId="21787" xr:uid="{00000000-0005-0000-0000-0000D12E0000}"/>
    <cellStyle name="40% - Accent1 5 3 4 3 2" xfId="45619" xr:uid="{608EA2AC-8103-434C-8176-E81B0DF05720}"/>
    <cellStyle name="40% - Accent1 5 3 4 4" xfId="29741" xr:uid="{D09A6F61-31AC-4ACF-B8E7-6B0A67A25A75}"/>
    <cellStyle name="40% - Accent1 5 3 5" xfId="9408" xr:uid="{00000000-0005-0000-0000-0000D22E0000}"/>
    <cellStyle name="40% - Accent1 5 3 5 2" xfId="17366" xr:uid="{00000000-0005-0000-0000-0000D32E0000}"/>
    <cellStyle name="40% - Accent1 5 3 5 2 2" xfId="41206" xr:uid="{F4CEBC43-242E-49F8-99E4-40CFBF4A54DC}"/>
    <cellStyle name="40% - Accent1 5 3 5 3" xfId="25310" xr:uid="{00000000-0005-0000-0000-0000D42E0000}"/>
    <cellStyle name="40% - Accent1 5 3 5 3 2" xfId="49142" xr:uid="{BBBF79D8-DB7A-4CC7-BA6B-96674FDA6A49}"/>
    <cellStyle name="40% - Accent1 5 3 5 4" xfId="33265" xr:uid="{58599FE1-72A3-4960-9BDE-9C83581A301E}"/>
    <cellStyle name="40% - Accent1 5 3 6" xfId="10304" xr:uid="{00000000-0005-0000-0000-0000D52E0000}"/>
    <cellStyle name="40% - Accent1 5 3 6 2" xfId="34153" xr:uid="{359E711F-C798-4964-975A-F9E1AF0861D9}"/>
    <cellStyle name="40% - Accent1 5 3 7" xfId="18259" xr:uid="{00000000-0005-0000-0000-0000D62E0000}"/>
    <cellStyle name="40% - Accent1 5 3 7 2" xfId="42091" xr:uid="{4030924A-D653-4633-B82B-E79CA8256BD6}"/>
    <cellStyle name="40% - Accent1 5 3 8" xfId="26211" xr:uid="{3B0F06B3-0BEE-4863-B00D-E2255432EE67}"/>
    <cellStyle name="40% - Accent1 5 3_Exh G" xfId="2759" xr:uid="{00000000-0005-0000-0000-0000D72E0000}"/>
    <cellStyle name="40% - Accent1 5 4" xfId="938" xr:uid="{00000000-0005-0000-0000-0000D82E0000}"/>
    <cellStyle name="40% - Accent1 5 5" xfId="1385" xr:uid="{00000000-0005-0000-0000-0000D92E0000}"/>
    <cellStyle name="40% - Accent1 5 5 2" xfId="4912" xr:uid="{00000000-0005-0000-0000-0000DA2E0000}"/>
    <cellStyle name="40% - Accent1 5 5 2 2" xfId="8503" xr:uid="{00000000-0005-0000-0000-0000DB2E0000}"/>
    <cellStyle name="40% - Accent1 5 5 2 2 2" xfId="16473" xr:uid="{00000000-0005-0000-0000-0000DC2E0000}"/>
    <cellStyle name="40% - Accent1 5 5 2 2 2 2" xfId="40315" xr:uid="{36CEDC68-12A5-4B72-9A6A-53DAEDED9C2C}"/>
    <cellStyle name="40% - Accent1 5 5 2 2 3" xfId="24419" xr:uid="{00000000-0005-0000-0000-0000DD2E0000}"/>
    <cellStyle name="40% - Accent1 5 5 2 2 3 2" xfId="48251" xr:uid="{1E760814-20A7-4074-B7A3-1A30BEE885E1}"/>
    <cellStyle name="40% - Accent1 5 5 2 2 4" xfId="32374" xr:uid="{49F314B7-B1A0-475D-917E-F3C9A8812EB6}"/>
    <cellStyle name="40% - Accent1 5 5 2 3" xfId="12935" xr:uid="{00000000-0005-0000-0000-0000DE2E0000}"/>
    <cellStyle name="40% - Accent1 5 5 2 3 2" xfId="36784" xr:uid="{24CD4924-0E86-484B-A67B-D24AC5BFDBC5}"/>
    <cellStyle name="40% - Accent1 5 5 2 4" xfId="20890" xr:uid="{00000000-0005-0000-0000-0000DF2E0000}"/>
    <cellStyle name="40% - Accent1 5 5 2 4 2" xfId="44722" xr:uid="{95013CCA-9176-4A4C-A811-90C2366608A6}"/>
    <cellStyle name="40% - Accent1 5 5 2 5" xfId="28843" xr:uid="{6F520B5E-A157-42A5-9B0A-CF790BF87FC9}"/>
    <cellStyle name="40% - Accent1 5 5 3" xfId="6744" xr:uid="{00000000-0005-0000-0000-0000E02E0000}"/>
    <cellStyle name="40% - Accent1 5 5 3 2" xfId="14715" xr:uid="{00000000-0005-0000-0000-0000E12E0000}"/>
    <cellStyle name="40% - Accent1 5 5 3 2 2" xfId="38557" xr:uid="{36AB0AD2-F1B1-482F-8734-21BBAD35C5A9}"/>
    <cellStyle name="40% - Accent1 5 5 3 3" xfId="22662" xr:uid="{00000000-0005-0000-0000-0000E22E0000}"/>
    <cellStyle name="40% - Accent1 5 5 3 3 2" xfId="46494" xr:uid="{1A278394-03F9-4FF5-A7BC-ADEAE49301C3}"/>
    <cellStyle name="40% - Accent1 5 5 3 4" xfId="30616" xr:uid="{2C4E6CB4-1594-4A4A-9B15-976B558FE67F}"/>
    <cellStyle name="40% - Accent1 5 5 4" xfId="11179" xr:uid="{00000000-0005-0000-0000-0000E32E0000}"/>
    <cellStyle name="40% - Accent1 5 5 4 2" xfId="35028" xr:uid="{B3B28095-3B56-414B-9D25-22DCCC453E45}"/>
    <cellStyle name="40% - Accent1 5 5 5" xfId="19134" xr:uid="{00000000-0005-0000-0000-0000E42E0000}"/>
    <cellStyle name="40% - Accent1 5 5 5 2" xfId="42966" xr:uid="{B40B2060-A5C9-4ED0-880F-CEA031418059}"/>
    <cellStyle name="40% - Accent1 5 5 6" xfId="27086" xr:uid="{46DAD5B6-F2F8-4FB4-892B-2A46B4DA5EC0}"/>
    <cellStyle name="40% - Accent1 5 5_Exh G" xfId="2761" xr:uid="{00000000-0005-0000-0000-0000E52E0000}"/>
    <cellStyle name="40% - Accent1 5 6" xfId="4033" xr:uid="{00000000-0005-0000-0000-0000E62E0000}"/>
    <cellStyle name="40% - Accent1 5 6 2" xfId="7625" xr:uid="{00000000-0005-0000-0000-0000E72E0000}"/>
    <cellStyle name="40% - Accent1 5 6 2 2" xfId="15595" xr:uid="{00000000-0005-0000-0000-0000E82E0000}"/>
    <cellStyle name="40% - Accent1 5 6 2 2 2" xfId="39437" xr:uid="{1A443F87-C9AE-4238-A799-A7882F736195}"/>
    <cellStyle name="40% - Accent1 5 6 2 3" xfId="23541" xr:uid="{00000000-0005-0000-0000-0000E92E0000}"/>
    <cellStyle name="40% - Accent1 5 6 2 3 2" xfId="47373" xr:uid="{F13255E1-84A3-42BF-858C-96A247EAE233}"/>
    <cellStyle name="40% - Accent1 5 6 2 4" xfId="31496" xr:uid="{27BC6B4A-934E-449A-A58A-7E999C2CC6BE}"/>
    <cellStyle name="40% - Accent1 5 6 3" xfId="12057" xr:uid="{00000000-0005-0000-0000-0000EA2E0000}"/>
    <cellStyle name="40% - Accent1 5 6 3 2" xfId="35906" xr:uid="{5981ED9D-431A-46DD-9E48-1E38403598B0}"/>
    <cellStyle name="40% - Accent1 5 6 4" xfId="20012" xr:uid="{00000000-0005-0000-0000-0000EB2E0000}"/>
    <cellStyle name="40% - Accent1 5 6 4 2" xfId="43844" xr:uid="{0F9540B6-26AE-4D28-8FE7-D863561E0BEB}"/>
    <cellStyle name="40% - Accent1 5 6 5" xfId="27965" xr:uid="{7DF4760F-50C8-4DF4-B25A-A7603E28017D}"/>
    <cellStyle name="40% - Accent1 5 7" xfId="5853" xr:uid="{00000000-0005-0000-0000-0000EC2E0000}"/>
    <cellStyle name="40% - Accent1 5 7 2" xfId="13836" xr:uid="{00000000-0005-0000-0000-0000ED2E0000}"/>
    <cellStyle name="40% - Accent1 5 7 2 2" xfId="37679" xr:uid="{6A2FD171-0F7F-4051-A44D-05166A58B37D}"/>
    <cellStyle name="40% - Accent1 5 7 3" xfId="21784" xr:uid="{00000000-0005-0000-0000-0000EE2E0000}"/>
    <cellStyle name="40% - Accent1 5 7 3 2" xfId="45616" xr:uid="{0EE8F377-33FA-47FD-890A-09DD29DD105A}"/>
    <cellStyle name="40% - Accent1 5 7 4" xfId="29738" xr:uid="{784AECE5-B836-46F6-A9B8-C513E875867E}"/>
    <cellStyle name="40% - Accent1 5 8" xfId="9405" xr:uid="{00000000-0005-0000-0000-0000EF2E0000}"/>
    <cellStyle name="40% - Accent1 5 8 2" xfId="17363" xr:uid="{00000000-0005-0000-0000-0000F02E0000}"/>
    <cellStyle name="40% - Accent1 5 8 2 2" xfId="41203" xr:uid="{22CAE963-E888-4849-986A-98AFD5A3584C}"/>
    <cellStyle name="40% - Accent1 5 8 3" xfId="25307" xr:uid="{00000000-0005-0000-0000-0000F12E0000}"/>
    <cellStyle name="40% - Accent1 5 8 3 2" xfId="49139" xr:uid="{7D567A1B-03F9-4FCA-8081-A5FAA5C38647}"/>
    <cellStyle name="40% - Accent1 5 8 4" xfId="33262" xr:uid="{32DAD950-42A4-45BA-AE05-DB86469521EF}"/>
    <cellStyle name="40% - Accent1 5 9" xfId="10301" xr:uid="{00000000-0005-0000-0000-0000F22E0000}"/>
    <cellStyle name="40% - Accent1 5 9 2" xfId="34150" xr:uid="{BBE2AC31-B422-4C6D-8E13-73F6D27293DE}"/>
    <cellStyle name="40% - Accent1 5_Exh G" xfId="2754" xr:uid="{00000000-0005-0000-0000-0000F32E0000}"/>
    <cellStyle name="40% - Accent1 6" xfId="363" xr:uid="{00000000-0005-0000-0000-0000F42E0000}"/>
    <cellStyle name="40% - Accent1 6 10" xfId="18260" xr:uid="{00000000-0005-0000-0000-0000F52E0000}"/>
    <cellStyle name="40% - Accent1 6 10 2" xfId="42092" xr:uid="{769835FB-5D85-4BA3-BAF4-FFB4F617A079}"/>
    <cellStyle name="40% - Accent1 6 11" xfId="26212" xr:uid="{1290CE6C-3977-40B2-A088-6BC32C3DCA04}"/>
    <cellStyle name="40% - Accent1 6 2" xfId="364" xr:uid="{00000000-0005-0000-0000-0000F62E0000}"/>
    <cellStyle name="40% - Accent1 6 2 2" xfId="365" xr:uid="{00000000-0005-0000-0000-0000F72E0000}"/>
    <cellStyle name="40% - Accent1 6 2 2 2" xfId="1391" xr:uid="{00000000-0005-0000-0000-0000F82E0000}"/>
    <cellStyle name="40% - Accent1 6 2 2 2 2" xfId="4918" xr:uid="{00000000-0005-0000-0000-0000F92E0000}"/>
    <cellStyle name="40% - Accent1 6 2 2 2 2 2" xfId="8509" xr:uid="{00000000-0005-0000-0000-0000FA2E0000}"/>
    <cellStyle name="40% - Accent1 6 2 2 2 2 2 2" xfId="16479" xr:uid="{00000000-0005-0000-0000-0000FB2E0000}"/>
    <cellStyle name="40% - Accent1 6 2 2 2 2 2 2 2" xfId="40321" xr:uid="{08F3D843-4992-4C50-AE68-E97B12661B3C}"/>
    <cellStyle name="40% - Accent1 6 2 2 2 2 2 3" xfId="24425" xr:uid="{00000000-0005-0000-0000-0000FC2E0000}"/>
    <cellStyle name="40% - Accent1 6 2 2 2 2 2 3 2" xfId="48257" xr:uid="{24165676-590E-4748-B565-7A4AB09EB3F7}"/>
    <cellStyle name="40% - Accent1 6 2 2 2 2 2 4" xfId="32380" xr:uid="{D2EBD335-41F9-46BF-BB71-B27C82B8ADBB}"/>
    <cellStyle name="40% - Accent1 6 2 2 2 2 3" xfId="12941" xr:uid="{00000000-0005-0000-0000-0000FD2E0000}"/>
    <cellStyle name="40% - Accent1 6 2 2 2 2 3 2" xfId="36790" xr:uid="{89B47A14-7ED2-4282-8550-6861EE1A9E8B}"/>
    <cellStyle name="40% - Accent1 6 2 2 2 2 4" xfId="20896" xr:uid="{00000000-0005-0000-0000-0000FE2E0000}"/>
    <cellStyle name="40% - Accent1 6 2 2 2 2 4 2" xfId="44728" xr:uid="{A29841A7-7939-4DEB-AA46-3CB5BCFEF811}"/>
    <cellStyle name="40% - Accent1 6 2 2 2 2 5" xfId="28849" xr:uid="{15A2F49B-45D3-4FB4-952E-C8F8F18BD97A}"/>
    <cellStyle name="40% - Accent1 6 2 2 2 3" xfId="6750" xr:uid="{00000000-0005-0000-0000-0000FF2E0000}"/>
    <cellStyle name="40% - Accent1 6 2 2 2 3 2" xfId="14721" xr:uid="{00000000-0005-0000-0000-0000002F0000}"/>
    <cellStyle name="40% - Accent1 6 2 2 2 3 2 2" xfId="38563" xr:uid="{10B51212-913A-42AA-AC2B-FFE319CE2207}"/>
    <cellStyle name="40% - Accent1 6 2 2 2 3 3" xfId="22668" xr:uid="{00000000-0005-0000-0000-0000012F0000}"/>
    <cellStyle name="40% - Accent1 6 2 2 2 3 3 2" xfId="46500" xr:uid="{BFBA8F70-8029-4C01-BBC0-A345EDF8BA2F}"/>
    <cellStyle name="40% - Accent1 6 2 2 2 3 4" xfId="30622" xr:uid="{00BCC8B4-9AA5-4563-AF33-0E69BFEF9F53}"/>
    <cellStyle name="40% - Accent1 6 2 2 2 4" xfId="11185" xr:uid="{00000000-0005-0000-0000-0000022F0000}"/>
    <cellStyle name="40% - Accent1 6 2 2 2 4 2" xfId="35034" xr:uid="{C418CFCB-1C1B-49CA-AAE9-A641680B9A38}"/>
    <cellStyle name="40% - Accent1 6 2 2 2 5" xfId="19140" xr:uid="{00000000-0005-0000-0000-0000032F0000}"/>
    <cellStyle name="40% - Accent1 6 2 2 2 5 2" xfId="42972" xr:uid="{943A7728-21E6-4EA3-B5E8-7401725A9E0A}"/>
    <cellStyle name="40% - Accent1 6 2 2 2 6" xfId="27092" xr:uid="{755098E7-A70E-4ADC-94EC-8AA44BA2C3A8}"/>
    <cellStyle name="40% - Accent1 6 2 2 2_Exh G" xfId="2765" xr:uid="{00000000-0005-0000-0000-0000042F0000}"/>
    <cellStyle name="40% - Accent1 6 2 2 3" xfId="4039" xr:uid="{00000000-0005-0000-0000-0000052F0000}"/>
    <cellStyle name="40% - Accent1 6 2 2 3 2" xfId="7631" xr:uid="{00000000-0005-0000-0000-0000062F0000}"/>
    <cellStyle name="40% - Accent1 6 2 2 3 2 2" xfId="15601" xr:uid="{00000000-0005-0000-0000-0000072F0000}"/>
    <cellStyle name="40% - Accent1 6 2 2 3 2 2 2" xfId="39443" xr:uid="{51058B5B-F48F-49EC-8A8D-90F49FABA408}"/>
    <cellStyle name="40% - Accent1 6 2 2 3 2 3" xfId="23547" xr:uid="{00000000-0005-0000-0000-0000082F0000}"/>
    <cellStyle name="40% - Accent1 6 2 2 3 2 3 2" xfId="47379" xr:uid="{CCE743CC-34D4-401D-9DC2-6D4652201B10}"/>
    <cellStyle name="40% - Accent1 6 2 2 3 2 4" xfId="31502" xr:uid="{81B8AE2F-2EDF-467A-BAEE-33F96D5CAB13}"/>
    <cellStyle name="40% - Accent1 6 2 2 3 3" xfId="12063" xr:uid="{00000000-0005-0000-0000-0000092F0000}"/>
    <cellStyle name="40% - Accent1 6 2 2 3 3 2" xfId="35912" xr:uid="{03AEBBEB-3AE2-4F59-8EFD-9BB6AC2D430F}"/>
    <cellStyle name="40% - Accent1 6 2 2 3 4" xfId="20018" xr:uid="{00000000-0005-0000-0000-00000A2F0000}"/>
    <cellStyle name="40% - Accent1 6 2 2 3 4 2" xfId="43850" xr:uid="{EB75DBA3-FBBE-44DD-AD08-EF2BA9A73E42}"/>
    <cellStyle name="40% - Accent1 6 2 2 3 5" xfId="27971" xr:uid="{CFD88E28-C820-4F66-885A-C9BF429E0B33}"/>
    <cellStyle name="40% - Accent1 6 2 2 4" xfId="5859" xr:uid="{00000000-0005-0000-0000-00000B2F0000}"/>
    <cellStyle name="40% - Accent1 6 2 2 4 2" xfId="13842" xr:uid="{00000000-0005-0000-0000-00000C2F0000}"/>
    <cellStyle name="40% - Accent1 6 2 2 4 2 2" xfId="37685" xr:uid="{5F836CF0-2084-4E6F-AB4D-C26E578B29DE}"/>
    <cellStyle name="40% - Accent1 6 2 2 4 3" xfId="21790" xr:uid="{00000000-0005-0000-0000-00000D2F0000}"/>
    <cellStyle name="40% - Accent1 6 2 2 4 3 2" xfId="45622" xr:uid="{9D14FBB3-E740-4648-B379-422409D8F3E7}"/>
    <cellStyle name="40% - Accent1 6 2 2 4 4" xfId="29744" xr:uid="{46A1B738-E2EC-497E-8096-A9CC3CBAE9DC}"/>
    <cellStyle name="40% - Accent1 6 2 2 5" xfId="9411" xr:uid="{00000000-0005-0000-0000-00000E2F0000}"/>
    <cellStyle name="40% - Accent1 6 2 2 5 2" xfId="17369" xr:uid="{00000000-0005-0000-0000-00000F2F0000}"/>
    <cellStyle name="40% - Accent1 6 2 2 5 2 2" xfId="41209" xr:uid="{384DE552-3A39-4A04-98E3-E4D2363725B0}"/>
    <cellStyle name="40% - Accent1 6 2 2 5 3" xfId="25313" xr:uid="{00000000-0005-0000-0000-0000102F0000}"/>
    <cellStyle name="40% - Accent1 6 2 2 5 3 2" xfId="49145" xr:uid="{14586BC5-B774-4E2D-857A-FCC9859E4432}"/>
    <cellStyle name="40% - Accent1 6 2 2 5 4" xfId="33268" xr:uid="{4856417E-4D69-4C32-9356-EC357413493F}"/>
    <cellStyle name="40% - Accent1 6 2 2 6" xfId="10307" xr:uid="{00000000-0005-0000-0000-0000112F0000}"/>
    <cellStyle name="40% - Accent1 6 2 2 6 2" xfId="34156" xr:uid="{A92F9718-B87A-489E-870D-15B0429A35AB}"/>
    <cellStyle name="40% - Accent1 6 2 2 7" xfId="18262" xr:uid="{00000000-0005-0000-0000-0000122F0000}"/>
    <cellStyle name="40% - Accent1 6 2 2 7 2" xfId="42094" xr:uid="{9C885E48-C015-4362-A67A-924EF27AF863}"/>
    <cellStyle name="40% - Accent1 6 2 2 8" xfId="26214" xr:uid="{50A2F7F8-E172-40F2-AB70-39B3C69A7A65}"/>
    <cellStyle name="40% - Accent1 6 2 2_Exh G" xfId="2764" xr:uid="{00000000-0005-0000-0000-0000132F0000}"/>
    <cellStyle name="40% - Accent1 6 2 3" xfId="1390" xr:uid="{00000000-0005-0000-0000-0000142F0000}"/>
    <cellStyle name="40% - Accent1 6 2 3 2" xfId="4917" xr:uid="{00000000-0005-0000-0000-0000152F0000}"/>
    <cellStyle name="40% - Accent1 6 2 3 2 2" xfId="8508" xr:uid="{00000000-0005-0000-0000-0000162F0000}"/>
    <cellStyle name="40% - Accent1 6 2 3 2 2 2" xfId="16478" xr:uid="{00000000-0005-0000-0000-0000172F0000}"/>
    <cellStyle name="40% - Accent1 6 2 3 2 2 2 2" xfId="40320" xr:uid="{E8D0498F-A3E3-4E1B-A17A-44CD3A4E6133}"/>
    <cellStyle name="40% - Accent1 6 2 3 2 2 3" xfId="24424" xr:uid="{00000000-0005-0000-0000-0000182F0000}"/>
    <cellStyle name="40% - Accent1 6 2 3 2 2 3 2" xfId="48256" xr:uid="{46C0B77A-ECC8-4E0B-91B7-24CB148803FA}"/>
    <cellStyle name="40% - Accent1 6 2 3 2 2 4" xfId="32379" xr:uid="{C6F75F4C-30C5-43D0-B067-EA46D60034A9}"/>
    <cellStyle name="40% - Accent1 6 2 3 2 3" xfId="12940" xr:uid="{00000000-0005-0000-0000-0000192F0000}"/>
    <cellStyle name="40% - Accent1 6 2 3 2 3 2" xfId="36789" xr:uid="{DB4E80FF-F9A2-4968-BE64-5C08391BC36F}"/>
    <cellStyle name="40% - Accent1 6 2 3 2 4" xfId="20895" xr:uid="{00000000-0005-0000-0000-00001A2F0000}"/>
    <cellStyle name="40% - Accent1 6 2 3 2 4 2" xfId="44727" xr:uid="{2EDB33D8-E642-4FF7-B352-9FDF84DD8101}"/>
    <cellStyle name="40% - Accent1 6 2 3 2 5" xfId="28848" xr:uid="{A1486206-C284-432D-BC00-520D5B918A92}"/>
    <cellStyle name="40% - Accent1 6 2 3 3" xfId="6749" xr:uid="{00000000-0005-0000-0000-00001B2F0000}"/>
    <cellStyle name="40% - Accent1 6 2 3 3 2" xfId="14720" xr:uid="{00000000-0005-0000-0000-00001C2F0000}"/>
    <cellStyle name="40% - Accent1 6 2 3 3 2 2" xfId="38562" xr:uid="{3192AEF7-DC3F-44E9-A3BD-84808CA0C207}"/>
    <cellStyle name="40% - Accent1 6 2 3 3 3" xfId="22667" xr:uid="{00000000-0005-0000-0000-00001D2F0000}"/>
    <cellStyle name="40% - Accent1 6 2 3 3 3 2" xfId="46499" xr:uid="{6ABFAFEC-00B7-4766-A48C-9973A830E405}"/>
    <cellStyle name="40% - Accent1 6 2 3 3 4" xfId="30621" xr:uid="{DDF5B369-E0CA-40D4-BA87-0ED0591CB036}"/>
    <cellStyle name="40% - Accent1 6 2 3 4" xfId="11184" xr:uid="{00000000-0005-0000-0000-00001E2F0000}"/>
    <cellStyle name="40% - Accent1 6 2 3 4 2" xfId="35033" xr:uid="{38970C70-7EC6-427F-8197-B6F376B6A6D7}"/>
    <cellStyle name="40% - Accent1 6 2 3 5" xfId="19139" xr:uid="{00000000-0005-0000-0000-00001F2F0000}"/>
    <cellStyle name="40% - Accent1 6 2 3 5 2" xfId="42971" xr:uid="{54754EAC-2451-4789-A565-6877648BCCE8}"/>
    <cellStyle name="40% - Accent1 6 2 3 6" xfId="27091" xr:uid="{3066E9B9-1BDD-46F0-94C8-9CEF0EC4D582}"/>
    <cellStyle name="40% - Accent1 6 2 3_Exh G" xfId="2766" xr:uid="{00000000-0005-0000-0000-0000202F0000}"/>
    <cellStyle name="40% - Accent1 6 2 4" xfId="4038" xr:uid="{00000000-0005-0000-0000-0000212F0000}"/>
    <cellStyle name="40% - Accent1 6 2 4 2" xfId="7630" xr:uid="{00000000-0005-0000-0000-0000222F0000}"/>
    <cellStyle name="40% - Accent1 6 2 4 2 2" xfId="15600" xr:uid="{00000000-0005-0000-0000-0000232F0000}"/>
    <cellStyle name="40% - Accent1 6 2 4 2 2 2" xfId="39442" xr:uid="{EF45BC71-A624-4FC5-9671-3910BE96DD8D}"/>
    <cellStyle name="40% - Accent1 6 2 4 2 3" xfId="23546" xr:uid="{00000000-0005-0000-0000-0000242F0000}"/>
    <cellStyle name="40% - Accent1 6 2 4 2 3 2" xfId="47378" xr:uid="{632D7022-4871-4540-B5BA-63DFBD04B403}"/>
    <cellStyle name="40% - Accent1 6 2 4 2 4" xfId="31501" xr:uid="{37B1711E-31C9-4605-9514-FC897292E15D}"/>
    <cellStyle name="40% - Accent1 6 2 4 3" xfId="12062" xr:uid="{00000000-0005-0000-0000-0000252F0000}"/>
    <cellStyle name="40% - Accent1 6 2 4 3 2" xfId="35911" xr:uid="{0CB5D87C-6128-4C7F-B649-0F15EF948B7A}"/>
    <cellStyle name="40% - Accent1 6 2 4 4" xfId="20017" xr:uid="{00000000-0005-0000-0000-0000262F0000}"/>
    <cellStyle name="40% - Accent1 6 2 4 4 2" xfId="43849" xr:uid="{57C0C074-527F-4664-AFDC-FA59F5FC036C}"/>
    <cellStyle name="40% - Accent1 6 2 4 5" xfId="27970" xr:uid="{1E6B25A3-D776-4FD8-894E-7B2D00DB8FBB}"/>
    <cellStyle name="40% - Accent1 6 2 5" xfId="5858" xr:uid="{00000000-0005-0000-0000-0000272F0000}"/>
    <cellStyle name="40% - Accent1 6 2 5 2" xfId="13841" xr:uid="{00000000-0005-0000-0000-0000282F0000}"/>
    <cellStyle name="40% - Accent1 6 2 5 2 2" xfId="37684" xr:uid="{429D6043-526D-42B1-8E15-F3B62C27B46B}"/>
    <cellStyle name="40% - Accent1 6 2 5 3" xfId="21789" xr:uid="{00000000-0005-0000-0000-0000292F0000}"/>
    <cellStyle name="40% - Accent1 6 2 5 3 2" xfId="45621" xr:uid="{59D94D09-996A-4672-8937-53C2BC6D71B6}"/>
    <cellStyle name="40% - Accent1 6 2 5 4" xfId="29743" xr:uid="{16B14BE7-290B-437C-9A8E-C025A9BB5D4F}"/>
    <cellStyle name="40% - Accent1 6 2 6" xfId="9410" xr:uid="{00000000-0005-0000-0000-00002A2F0000}"/>
    <cellStyle name="40% - Accent1 6 2 6 2" xfId="17368" xr:uid="{00000000-0005-0000-0000-00002B2F0000}"/>
    <cellStyle name="40% - Accent1 6 2 6 2 2" xfId="41208" xr:uid="{0C377E07-5437-4E66-8AEC-BDA1134C5602}"/>
    <cellStyle name="40% - Accent1 6 2 6 3" xfId="25312" xr:uid="{00000000-0005-0000-0000-00002C2F0000}"/>
    <cellStyle name="40% - Accent1 6 2 6 3 2" xfId="49144" xr:uid="{060567FA-3FA4-47CC-B62F-714CCD3EE24C}"/>
    <cellStyle name="40% - Accent1 6 2 6 4" xfId="33267" xr:uid="{69CD1718-6826-42C4-B581-178BDAB4C472}"/>
    <cellStyle name="40% - Accent1 6 2 7" xfId="10306" xr:uid="{00000000-0005-0000-0000-00002D2F0000}"/>
    <cellStyle name="40% - Accent1 6 2 7 2" xfId="34155" xr:uid="{AAC11601-E4E7-4FF0-9882-6B5E563456AB}"/>
    <cellStyle name="40% - Accent1 6 2 8" xfId="18261" xr:uid="{00000000-0005-0000-0000-00002E2F0000}"/>
    <cellStyle name="40% - Accent1 6 2 8 2" xfId="42093" xr:uid="{DC18E639-CB9C-4F36-842D-108DA31068C1}"/>
    <cellStyle name="40% - Accent1 6 2 9" xfId="26213" xr:uid="{38358CD0-79D3-4C85-8378-021639193085}"/>
    <cellStyle name="40% - Accent1 6 2_Exh G" xfId="2763" xr:uid="{00000000-0005-0000-0000-00002F2F0000}"/>
    <cellStyle name="40% - Accent1 6 3" xfId="366" xr:uid="{00000000-0005-0000-0000-0000302F0000}"/>
    <cellStyle name="40% - Accent1 6 3 2" xfId="1392" xr:uid="{00000000-0005-0000-0000-0000312F0000}"/>
    <cellStyle name="40% - Accent1 6 3 2 2" xfId="4919" xr:uid="{00000000-0005-0000-0000-0000322F0000}"/>
    <cellStyle name="40% - Accent1 6 3 2 2 2" xfId="8510" xr:uid="{00000000-0005-0000-0000-0000332F0000}"/>
    <cellStyle name="40% - Accent1 6 3 2 2 2 2" xfId="16480" xr:uid="{00000000-0005-0000-0000-0000342F0000}"/>
    <cellStyle name="40% - Accent1 6 3 2 2 2 2 2" xfId="40322" xr:uid="{C765C4C1-0763-4354-941E-B6A380495E25}"/>
    <cellStyle name="40% - Accent1 6 3 2 2 2 3" xfId="24426" xr:uid="{00000000-0005-0000-0000-0000352F0000}"/>
    <cellStyle name="40% - Accent1 6 3 2 2 2 3 2" xfId="48258" xr:uid="{08F36231-25E1-4EB1-8A07-960A5E12DE04}"/>
    <cellStyle name="40% - Accent1 6 3 2 2 2 4" xfId="32381" xr:uid="{75B9D8D3-F206-4F93-978F-E84C8FFE0583}"/>
    <cellStyle name="40% - Accent1 6 3 2 2 3" xfId="12942" xr:uid="{00000000-0005-0000-0000-0000362F0000}"/>
    <cellStyle name="40% - Accent1 6 3 2 2 3 2" xfId="36791" xr:uid="{BB8AB448-6627-4F07-9DE9-7183CD1930F8}"/>
    <cellStyle name="40% - Accent1 6 3 2 2 4" xfId="20897" xr:uid="{00000000-0005-0000-0000-0000372F0000}"/>
    <cellStyle name="40% - Accent1 6 3 2 2 4 2" xfId="44729" xr:uid="{1AE41137-1480-40E4-987A-B729FBE5176E}"/>
    <cellStyle name="40% - Accent1 6 3 2 2 5" xfId="28850" xr:uid="{4E76B35E-A1BB-44DD-A3CA-0CD70D04CF9F}"/>
    <cellStyle name="40% - Accent1 6 3 2 3" xfId="6751" xr:uid="{00000000-0005-0000-0000-0000382F0000}"/>
    <cellStyle name="40% - Accent1 6 3 2 3 2" xfId="14722" xr:uid="{00000000-0005-0000-0000-0000392F0000}"/>
    <cellStyle name="40% - Accent1 6 3 2 3 2 2" xfId="38564" xr:uid="{EE2A08C6-C5B9-412D-870F-B0D3A8FA4E94}"/>
    <cellStyle name="40% - Accent1 6 3 2 3 3" xfId="22669" xr:uid="{00000000-0005-0000-0000-00003A2F0000}"/>
    <cellStyle name="40% - Accent1 6 3 2 3 3 2" xfId="46501" xr:uid="{FEC16893-1828-4654-AA1B-6AEBE84ADCC7}"/>
    <cellStyle name="40% - Accent1 6 3 2 3 4" xfId="30623" xr:uid="{5213D39F-F804-4720-817F-D38B44326748}"/>
    <cellStyle name="40% - Accent1 6 3 2 4" xfId="11186" xr:uid="{00000000-0005-0000-0000-00003B2F0000}"/>
    <cellStyle name="40% - Accent1 6 3 2 4 2" xfId="35035" xr:uid="{783F3393-1D60-4039-A09B-D57C4A13C53D}"/>
    <cellStyle name="40% - Accent1 6 3 2 5" xfId="19141" xr:uid="{00000000-0005-0000-0000-00003C2F0000}"/>
    <cellStyle name="40% - Accent1 6 3 2 5 2" xfId="42973" xr:uid="{C0E21CB3-0127-4972-8884-BEEBB2BBD8F4}"/>
    <cellStyle name="40% - Accent1 6 3 2 6" xfId="27093" xr:uid="{72D6B13B-7E14-4B72-ADB0-9A93F980D968}"/>
    <cellStyle name="40% - Accent1 6 3 2_Exh G" xfId="2768" xr:uid="{00000000-0005-0000-0000-00003D2F0000}"/>
    <cellStyle name="40% - Accent1 6 3 3" xfId="4040" xr:uid="{00000000-0005-0000-0000-00003E2F0000}"/>
    <cellStyle name="40% - Accent1 6 3 3 2" xfId="7632" xr:uid="{00000000-0005-0000-0000-00003F2F0000}"/>
    <cellStyle name="40% - Accent1 6 3 3 2 2" xfId="15602" xr:uid="{00000000-0005-0000-0000-0000402F0000}"/>
    <cellStyle name="40% - Accent1 6 3 3 2 2 2" xfId="39444" xr:uid="{A278CE57-4EEC-40B9-8F3D-0EF900191B92}"/>
    <cellStyle name="40% - Accent1 6 3 3 2 3" xfId="23548" xr:uid="{00000000-0005-0000-0000-0000412F0000}"/>
    <cellStyle name="40% - Accent1 6 3 3 2 3 2" xfId="47380" xr:uid="{A9567D96-AAF4-478A-B104-BD63A850A888}"/>
    <cellStyle name="40% - Accent1 6 3 3 2 4" xfId="31503" xr:uid="{28DF08D9-FE50-4B5C-8B32-BED07B4032EA}"/>
    <cellStyle name="40% - Accent1 6 3 3 3" xfId="12064" xr:uid="{00000000-0005-0000-0000-0000422F0000}"/>
    <cellStyle name="40% - Accent1 6 3 3 3 2" xfId="35913" xr:uid="{12318782-E4D2-46FD-9DF3-5F6B756E4BFE}"/>
    <cellStyle name="40% - Accent1 6 3 3 4" xfId="20019" xr:uid="{00000000-0005-0000-0000-0000432F0000}"/>
    <cellStyle name="40% - Accent1 6 3 3 4 2" xfId="43851" xr:uid="{1FEE03AC-A323-4A55-9C3F-A8A990630FD9}"/>
    <cellStyle name="40% - Accent1 6 3 3 5" xfId="27972" xr:uid="{AF708728-A341-46E4-B897-B55CFC195D0F}"/>
    <cellStyle name="40% - Accent1 6 3 4" xfId="5860" xr:uid="{00000000-0005-0000-0000-0000442F0000}"/>
    <cellStyle name="40% - Accent1 6 3 4 2" xfId="13843" xr:uid="{00000000-0005-0000-0000-0000452F0000}"/>
    <cellStyle name="40% - Accent1 6 3 4 2 2" xfId="37686" xr:uid="{38FBE330-78F3-4A6B-98BE-78B7BE92C893}"/>
    <cellStyle name="40% - Accent1 6 3 4 3" xfId="21791" xr:uid="{00000000-0005-0000-0000-0000462F0000}"/>
    <cellStyle name="40% - Accent1 6 3 4 3 2" xfId="45623" xr:uid="{CBFFC2CF-09CF-4AD6-B8F2-B655E9CCD410}"/>
    <cellStyle name="40% - Accent1 6 3 4 4" xfId="29745" xr:uid="{81D4DB5B-F73D-4E7A-BAD4-514041B8C0C2}"/>
    <cellStyle name="40% - Accent1 6 3 5" xfId="9412" xr:uid="{00000000-0005-0000-0000-0000472F0000}"/>
    <cellStyle name="40% - Accent1 6 3 5 2" xfId="17370" xr:uid="{00000000-0005-0000-0000-0000482F0000}"/>
    <cellStyle name="40% - Accent1 6 3 5 2 2" xfId="41210" xr:uid="{B2B02C9D-92DC-4C39-B18C-8F18B500FB7F}"/>
    <cellStyle name="40% - Accent1 6 3 5 3" xfId="25314" xr:uid="{00000000-0005-0000-0000-0000492F0000}"/>
    <cellStyle name="40% - Accent1 6 3 5 3 2" xfId="49146" xr:uid="{3B6488A3-F01D-4A97-8B5F-B2E3CC955450}"/>
    <cellStyle name="40% - Accent1 6 3 5 4" xfId="33269" xr:uid="{CCD72E50-77E4-443C-AD6D-659F39325586}"/>
    <cellStyle name="40% - Accent1 6 3 6" xfId="10308" xr:uid="{00000000-0005-0000-0000-00004A2F0000}"/>
    <cellStyle name="40% - Accent1 6 3 6 2" xfId="34157" xr:uid="{773E0663-F552-428A-B6CE-BFCB838763D7}"/>
    <cellStyle name="40% - Accent1 6 3 7" xfId="18263" xr:uid="{00000000-0005-0000-0000-00004B2F0000}"/>
    <cellStyle name="40% - Accent1 6 3 7 2" xfId="42095" xr:uid="{75DA7F7F-139D-4039-B273-25CCB1EA3713}"/>
    <cellStyle name="40% - Accent1 6 3 8" xfId="26215" xr:uid="{9B09B36D-FE45-4760-9C20-6CC2A42D6E3B}"/>
    <cellStyle name="40% - Accent1 6 3_Exh G" xfId="2767" xr:uid="{00000000-0005-0000-0000-00004C2F0000}"/>
    <cellStyle name="40% - Accent1 6 4" xfId="939" xr:uid="{00000000-0005-0000-0000-00004D2F0000}"/>
    <cellStyle name="40% - Accent1 6 4 2" xfId="1858" xr:uid="{00000000-0005-0000-0000-00004E2F0000}"/>
    <cellStyle name="40% - Accent1 6 4 2 2" xfId="5375" xr:uid="{00000000-0005-0000-0000-00004F2F0000}"/>
    <cellStyle name="40% - Accent1 6 4 2 2 2" xfId="8966" xr:uid="{00000000-0005-0000-0000-0000502F0000}"/>
    <cellStyle name="40% - Accent1 6 4 2 2 2 2" xfId="16936" xr:uid="{00000000-0005-0000-0000-0000512F0000}"/>
    <cellStyle name="40% - Accent1 6 4 2 2 2 2 2" xfId="40778" xr:uid="{CB095D38-F243-4AF7-A3CD-BE122729CFFB}"/>
    <cellStyle name="40% - Accent1 6 4 2 2 2 3" xfId="24882" xr:uid="{00000000-0005-0000-0000-0000522F0000}"/>
    <cellStyle name="40% - Accent1 6 4 2 2 2 3 2" xfId="48714" xr:uid="{1C0EBC5D-FDA3-4E7A-8DFA-F461FCA92F96}"/>
    <cellStyle name="40% - Accent1 6 4 2 2 2 4" xfId="32837" xr:uid="{82BEE7CF-C99F-417F-966A-054B5EEA6AF7}"/>
    <cellStyle name="40% - Accent1 6 4 2 2 3" xfId="13398" xr:uid="{00000000-0005-0000-0000-0000532F0000}"/>
    <cellStyle name="40% - Accent1 6 4 2 2 3 2" xfId="37247" xr:uid="{9DC4CBDF-D100-4141-BEC4-80E28E82032A}"/>
    <cellStyle name="40% - Accent1 6 4 2 2 4" xfId="21353" xr:uid="{00000000-0005-0000-0000-0000542F0000}"/>
    <cellStyle name="40% - Accent1 6 4 2 2 4 2" xfId="45185" xr:uid="{18EF369A-6823-4377-911E-C8E6105A7C3C}"/>
    <cellStyle name="40% - Accent1 6 4 2 2 5" xfId="29306" xr:uid="{AC4FC301-F194-4DF0-BB97-6F2645E770F8}"/>
    <cellStyle name="40% - Accent1 6 4 2 3" xfId="7207" xr:uid="{00000000-0005-0000-0000-0000552F0000}"/>
    <cellStyle name="40% - Accent1 6 4 2 3 2" xfId="15178" xr:uid="{00000000-0005-0000-0000-0000562F0000}"/>
    <cellStyle name="40% - Accent1 6 4 2 3 2 2" xfId="39020" xr:uid="{1CB0C28F-39F2-446D-A5AA-6E270934FE03}"/>
    <cellStyle name="40% - Accent1 6 4 2 3 3" xfId="23125" xr:uid="{00000000-0005-0000-0000-0000572F0000}"/>
    <cellStyle name="40% - Accent1 6 4 2 3 3 2" xfId="46957" xr:uid="{29EC3FC3-3642-4152-920B-56F23E29D19C}"/>
    <cellStyle name="40% - Accent1 6 4 2 3 4" xfId="31079" xr:uid="{17A82E82-D023-46F2-9BD5-4BECB147AEB8}"/>
    <cellStyle name="40% - Accent1 6 4 2 4" xfId="11642" xr:uid="{00000000-0005-0000-0000-0000582F0000}"/>
    <cellStyle name="40% - Accent1 6 4 2 4 2" xfId="35491" xr:uid="{ED20B045-B3E2-44D8-AD0B-BC01CBC1EE7D}"/>
    <cellStyle name="40% - Accent1 6 4 2 5" xfId="19597" xr:uid="{00000000-0005-0000-0000-0000592F0000}"/>
    <cellStyle name="40% - Accent1 6 4 2 5 2" xfId="43429" xr:uid="{17FDF412-0E70-4E34-9213-3CC0CFC5C179}"/>
    <cellStyle name="40% - Accent1 6 4 2 6" xfId="27549" xr:uid="{45546952-982B-4914-93A8-BB0E9704A001}"/>
    <cellStyle name="40% - Accent1 6 4 2_Exh G" xfId="2770" xr:uid="{00000000-0005-0000-0000-00005A2F0000}"/>
    <cellStyle name="40% - Accent1 6 4 3" xfId="4496" xr:uid="{00000000-0005-0000-0000-00005B2F0000}"/>
    <cellStyle name="40% - Accent1 6 4 3 2" xfId="8088" xr:uid="{00000000-0005-0000-0000-00005C2F0000}"/>
    <cellStyle name="40% - Accent1 6 4 3 2 2" xfId="16058" xr:uid="{00000000-0005-0000-0000-00005D2F0000}"/>
    <cellStyle name="40% - Accent1 6 4 3 2 2 2" xfId="39900" xr:uid="{A3B3597A-04E6-4F60-BF60-091F3505F740}"/>
    <cellStyle name="40% - Accent1 6 4 3 2 3" xfId="24004" xr:uid="{00000000-0005-0000-0000-00005E2F0000}"/>
    <cellStyle name="40% - Accent1 6 4 3 2 3 2" xfId="47836" xr:uid="{C87DE1C1-8770-4524-AE80-B93A1D3432E8}"/>
    <cellStyle name="40% - Accent1 6 4 3 2 4" xfId="31959" xr:uid="{0532C933-7319-4394-AC64-69E5D4E286BB}"/>
    <cellStyle name="40% - Accent1 6 4 3 3" xfId="12520" xr:uid="{00000000-0005-0000-0000-00005F2F0000}"/>
    <cellStyle name="40% - Accent1 6 4 3 3 2" xfId="36369" xr:uid="{799ABBB2-41D3-4AAB-B49C-F0546F918DEE}"/>
    <cellStyle name="40% - Accent1 6 4 3 4" xfId="20475" xr:uid="{00000000-0005-0000-0000-0000602F0000}"/>
    <cellStyle name="40% - Accent1 6 4 3 4 2" xfId="44307" xr:uid="{A6D5AE44-0393-4FEA-BB67-B97B0D7E3FC0}"/>
    <cellStyle name="40% - Accent1 6 4 3 5" xfId="28428" xr:uid="{08A7036E-0F31-43FA-BFE7-E010803E9D52}"/>
    <cellStyle name="40% - Accent1 6 4 4" xfId="6326" xr:uid="{00000000-0005-0000-0000-0000612F0000}"/>
    <cellStyle name="40% - Accent1 6 4 4 2" xfId="14300" xr:uid="{00000000-0005-0000-0000-0000622F0000}"/>
    <cellStyle name="40% - Accent1 6 4 4 2 2" xfId="38142" xr:uid="{B64EF137-4BA2-428E-BB9B-EFDED5BA76CD}"/>
    <cellStyle name="40% - Accent1 6 4 4 3" xfId="22247" xr:uid="{00000000-0005-0000-0000-0000632F0000}"/>
    <cellStyle name="40% - Accent1 6 4 4 3 2" xfId="46079" xr:uid="{731FB91A-4C0B-48D8-8006-607FCA105353}"/>
    <cellStyle name="40% - Accent1 6 4 4 4" xfId="30201" xr:uid="{0D3D74D9-FB89-4C18-9A32-5947339F6877}"/>
    <cellStyle name="40% - Accent1 6 4 5" xfId="9868" xr:uid="{00000000-0005-0000-0000-0000642F0000}"/>
    <cellStyle name="40% - Accent1 6 4 5 2" xfId="17826" xr:uid="{00000000-0005-0000-0000-0000652F0000}"/>
    <cellStyle name="40% - Accent1 6 4 5 2 2" xfId="41666" xr:uid="{F5980E09-00DE-428B-A90F-20E81B8A6ACF}"/>
    <cellStyle name="40% - Accent1 6 4 5 3" xfId="25770" xr:uid="{00000000-0005-0000-0000-0000662F0000}"/>
    <cellStyle name="40% - Accent1 6 4 5 3 2" xfId="49602" xr:uid="{78F3F4BA-E3BD-494F-8EF3-B6F08E6F9CDE}"/>
    <cellStyle name="40% - Accent1 6 4 5 4" xfId="33725" xr:uid="{CD7FE1EF-029D-463A-ABE7-78202C743018}"/>
    <cellStyle name="40% - Accent1 6 4 6" xfId="10764" xr:uid="{00000000-0005-0000-0000-0000672F0000}"/>
    <cellStyle name="40% - Accent1 6 4 6 2" xfId="34613" xr:uid="{BD031F8B-49FE-48F0-9040-8DA03589A265}"/>
    <cellStyle name="40% - Accent1 6 4 7" xfId="18719" xr:uid="{00000000-0005-0000-0000-0000682F0000}"/>
    <cellStyle name="40% - Accent1 6 4 7 2" xfId="42551" xr:uid="{F21D494D-739B-4432-A526-60FEB8640C49}"/>
    <cellStyle name="40% - Accent1 6 4 8" xfId="26671" xr:uid="{F8977E6E-B283-435F-B891-2EE9420801C7}"/>
    <cellStyle name="40% - Accent1 6 4_Exh G" xfId="2769" xr:uid="{00000000-0005-0000-0000-0000692F0000}"/>
    <cellStyle name="40% - Accent1 6 5" xfId="1389" xr:uid="{00000000-0005-0000-0000-00006A2F0000}"/>
    <cellStyle name="40% - Accent1 6 5 2" xfId="4916" xr:uid="{00000000-0005-0000-0000-00006B2F0000}"/>
    <cellStyle name="40% - Accent1 6 5 2 2" xfId="8507" xr:uid="{00000000-0005-0000-0000-00006C2F0000}"/>
    <cellStyle name="40% - Accent1 6 5 2 2 2" xfId="16477" xr:uid="{00000000-0005-0000-0000-00006D2F0000}"/>
    <cellStyle name="40% - Accent1 6 5 2 2 2 2" xfId="40319" xr:uid="{CEA25DE3-6EEC-4724-A5ED-CEF3C51203D3}"/>
    <cellStyle name="40% - Accent1 6 5 2 2 3" xfId="24423" xr:uid="{00000000-0005-0000-0000-00006E2F0000}"/>
    <cellStyle name="40% - Accent1 6 5 2 2 3 2" xfId="48255" xr:uid="{76D948FF-DD78-4925-BEA0-F95DCBDA1048}"/>
    <cellStyle name="40% - Accent1 6 5 2 2 4" xfId="32378" xr:uid="{EDBEFC8F-766D-4473-AD95-6473C1B58F8D}"/>
    <cellStyle name="40% - Accent1 6 5 2 3" xfId="12939" xr:uid="{00000000-0005-0000-0000-00006F2F0000}"/>
    <cellStyle name="40% - Accent1 6 5 2 3 2" xfId="36788" xr:uid="{BAC3017F-F69A-4C82-AF75-35E727964171}"/>
    <cellStyle name="40% - Accent1 6 5 2 4" xfId="20894" xr:uid="{00000000-0005-0000-0000-0000702F0000}"/>
    <cellStyle name="40% - Accent1 6 5 2 4 2" xfId="44726" xr:uid="{E58880CE-68B5-436C-AF00-5E932077917F}"/>
    <cellStyle name="40% - Accent1 6 5 2 5" xfId="28847" xr:uid="{5B00FBC7-A66B-46AC-9348-7BF69BD9E31F}"/>
    <cellStyle name="40% - Accent1 6 5 3" xfId="6748" xr:uid="{00000000-0005-0000-0000-0000712F0000}"/>
    <cellStyle name="40% - Accent1 6 5 3 2" xfId="14719" xr:uid="{00000000-0005-0000-0000-0000722F0000}"/>
    <cellStyle name="40% - Accent1 6 5 3 2 2" xfId="38561" xr:uid="{1E31BD73-CAE5-478C-B434-A037D39E8234}"/>
    <cellStyle name="40% - Accent1 6 5 3 3" xfId="22666" xr:uid="{00000000-0005-0000-0000-0000732F0000}"/>
    <cellStyle name="40% - Accent1 6 5 3 3 2" xfId="46498" xr:uid="{60DFBAD2-F1AA-4D1B-AB07-66414541AA80}"/>
    <cellStyle name="40% - Accent1 6 5 3 4" xfId="30620" xr:uid="{CA03DD28-E29D-4BA0-AC68-79C9A6ACFAB3}"/>
    <cellStyle name="40% - Accent1 6 5 4" xfId="11183" xr:uid="{00000000-0005-0000-0000-0000742F0000}"/>
    <cellStyle name="40% - Accent1 6 5 4 2" xfId="35032" xr:uid="{42EC2E90-EC9C-4A48-85A8-E3D04C8406F5}"/>
    <cellStyle name="40% - Accent1 6 5 5" xfId="19138" xr:uid="{00000000-0005-0000-0000-0000752F0000}"/>
    <cellStyle name="40% - Accent1 6 5 5 2" xfId="42970" xr:uid="{79AC903A-222B-4E15-B089-C6D23526F035}"/>
    <cellStyle name="40% - Accent1 6 5 6" xfId="27090" xr:uid="{DAFB9171-B860-4421-AEE6-BF5FF2B9D04F}"/>
    <cellStyle name="40% - Accent1 6 5_Exh G" xfId="2771" xr:uid="{00000000-0005-0000-0000-0000762F0000}"/>
    <cellStyle name="40% - Accent1 6 6" xfId="4037" xr:uid="{00000000-0005-0000-0000-0000772F0000}"/>
    <cellStyle name="40% - Accent1 6 6 2" xfId="7629" xr:uid="{00000000-0005-0000-0000-0000782F0000}"/>
    <cellStyle name="40% - Accent1 6 6 2 2" xfId="15599" xr:uid="{00000000-0005-0000-0000-0000792F0000}"/>
    <cellStyle name="40% - Accent1 6 6 2 2 2" xfId="39441" xr:uid="{BB75E6FF-46AD-4249-9E03-1E49CF3725B2}"/>
    <cellStyle name="40% - Accent1 6 6 2 3" xfId="23545" xr:uid="{00000000-0005-0000-0000-00007A2F0000}"/>
    <cellStyle name="40% - Accent1 6 6 2 3 2" xfId="47377" xr:uid="{60AE9956-4A0C-4090-AA5C-FF0797256BCF}"/>
    <cellStyle name="40% - Accent1 6 6 2 4" xfId="31500" xr:uid="{35A1A161-C946-4605-BE15-CE0EAC2BC1B7}"/>
    <cellStyle name="40% - Accent1 6 6 3" xfId="12061" xr:uid="{00000000-0005-0000-0000-00007B2F0000}"/>
    <cellStyle name="40% - Accent1 6 6 3 2" xfId="35910" xr:uid="{A5EC3ABF-93B5-4753-9492-32FE013EF1D3}"/>
    <cellStyle name="40% - Accent1 6 6 4" xfId="20016" xr:uid="{00000000-0005-0000-0000-00007C2F0000}"/>
    <cellStyle name="40% - Accent1 6 6 4 2" xfId="43848" xr:uid="{EDFDD3C5-5420-4D64-9C2A-D3B261171101}"/>
    <cellStyle name="40% - Accent1 6 6 5" xfId="27969" xr:uid="{768FF12A-9D2D-46DC-91ED-03DF85B22E5A}"/>
    <cellStyle name="40% - Accent1 6 7" xfId="5857" xr:uid="{00000000-0005-0000-0000-00007D2F0000}"/>
    <cellStyle name="40% - Accent1 6 7 2" xfId="13840" xr:uid="{00000000-0005-0000-0000-00007E2F0000}"/>
    <cellStyle name="40% - Accent1 6 7 2 2" xfId="37683" xr:uid="{08822FDA-43D9-496B-B568-E14753DE377E}"/>
    <cellStyle name="40% - Accent1 6 7 3" xfId="21788" xr:uid="{00000000-0005-0000-0000-00007F2F0000}"/>
    <cellStyle name="40% - Accent1 6 7 3 2" xfId="45620" xr:uid="{7199EA37-B727-4BEB-8037-7995345DC5CC}"/>
    <cellStyle name="40% - Accent1 6 7 4" xfId="29742" xr:uid="{2EA9FF7F-919E-4D06-ACA1-A149F9A6F3B7}"/>
    <cellStyle name="40% - Accent1 6 8" xfId="9409" xr:uid="{00000000-0005-0000-0000-0000802F0000}"/>
    <cellStyle name="40% - Accent1 6 8 2" xfId="17367" xr:uid="{00000000-0005-0000-0000-0000812F0000}"/>
    <cellStyle name="40% - Accent1 6 8 2 2" xfId="41207" xr:uid="{8D765EB7-DE71-4257-B8DF-35701911C447}"/>
    <cellStyle name="40% - Accent1 6 8 3" xfId="25311" xr:uid="{00000000-0005-0000-0000-0000822F0000}"/>
    <cellStyle name="40% - Accent1 6 8 3 2" xfId="49143" xr:uid="{20574385-3667-4FBF-9BD2-64032B754705}"/>
    <cellStyle name="40% - Accent1 6 8 4" xfId="33266" xr:uid="{302F824E-5BDA-4812-BE1C-34578F78DB86}"/>
    <cellStyle name="40% - Accent1 6 9" xfId="10305" xr:uid="{00000000-0005-0000-0000-0000832F0000}"/>
    <cellStyle name="40% - Accent1 6 9 2" xfId="34154" xr:uid="{765FA042-6963-4605-BDA5-D20E8A011D31}"/>
    <cellStyle name="40% - Accent1 6_Exh G" xfId="2762" xr:uid="{00000000-0005-0000-0000-0000842F0000}"/>
    <cellStyle name="40% - Accent1 7" xfId="367" xr:uid="{00000000-0005-0000-0000-0000852F0000}"/>
    <cellStyle name="40% - Accent1 7 10" xfId="18264" xr:uid="{00000000-0005-0000-0000-0000862F0000}"/>
    <cellStyle name="40% - Accent1 7 10 2" xfId="42096" xr:uid="{AB40678D-EFD6-4529-95E8-B1739955B758}"/>
    <cellStyle name="40% - Accent1 7 11" xfId="26216" xr:uid="{7C3F01A5-EAE4-48D4-AFFE-B03E467AFC55}"/>
    <cellStyle name="40% - Accent1 7 2" xfId="368" xr:uid="{00000000-0005-0000-0000-0000872F0000}"/>
    <cellStyle name="40% - Accent1 7 2 2" xfId="369" xr:uid="{00000000-0005-0000-0000-0000882F0000}"/>
    <cellStyle name="40% - Accent1 7 2 2 2" xfId="1395" xr:uid="{00000000-0005-0000-0000-0000892F0000}"/>
    <cellStyle name="40% - Accent1 7 2 2 2 2" xfId="4922" xr:uid="{00000000-0005-0000-0000-00008A2F0000}"/>
    <cellStyle name="40% - Accent1 7 2 2 2 2 2" xfId="8513" xr:uid="{00000000-0005-0000-0000-00008B2F0000}"/>
    <cellStyle name="40% - Accent1 7 2 2 2 2 2 2" xfId="16483" xr:uid="{00000000-0005-0000-0000-00008C2F0000}"/>
    <cellStyle name="40% - Accent1 7 2 2 2 2 2 2 2" xfId="40325" xr:uid="{3765AF6B-036D-4A35-A051-AD1AEFD2A27F}"/>
    <cellStyle name="40% - Accent1 7 2 2 2 2 2 3" xfId="24429" xr:uid="{00000000-0005-0000-0000-00008D2F0000}"/>
    <cellStyle name="40% - Accent1 7 2 2 2 2 2 3 2" xfId="48261" xr:uid="{52DF2C65-3B57-4212-9887-C4F47A3FDB1E}"/>
    <cellStyle name="40% - Accent1 7 2 2 2 2 2 4" xfId="32384" xr:uid="{499839C3-6453-4A90-9E4A-7DB9C443C559}"/>
    <cellStyle name="40% - Accent1 7 2 2 2 2 3" xfId="12945" xr:uid="{00000000-0005-0000-0000-00008E2F0000}"/>
    <cellStyle name="40% - Accent1 7 2 2 2 2 3 2" xfId="36794" xr:uid="{A511C1C5-14B8-4BDE-A39B-11726007EA15}"/>
    <cellStyle name="40% - Accent1 7 2 2 2 2 4" xfId="20900" xr:uid="{00000000-0005-0000-0000-00008F2F0000}"/>
    <cellStyle name="40% - Accent1 7 2 2 2 2 4 2" xfId="44732" xr:uid="{723ACAC7-9F61-40BF-8E22-DDD310817D68}"/>
    <cellStyle name="40% - Accent1 7 2 2 2 2 5" xfId="28853" xr:uid="{4FD348BD-5A76-41D0-AFEF-2598D542DE20}"/>
    <cellStyle name="40% - Accent1 7 2 2 2 3" xfId="6754" xr:uid="{00000000-0005-0000-0000-0000902F0000}"/>
    <cellStyle name="40% - Accent1 7 2 2 2 3 2" xfId="14725" xr:uid="{00000000-0005-0000-0000-0000912F0000}"/>
    <cellStyle name="40% - Accent1 7 2 2 2 3 2 2" xfId="38567" xr:uid="{8129884F-6095-49D5-B9A4-4F4C3AD2ABA9}"/>
    <cellStyle name="40% - Accent1 7 2 2 2 3 3" xfId="22672" xr:uid="{00000000-0005-0000-0000-0000922F0000}"/>
    <cellStyle name="40% - Accent1 7 2 2 2 3 3 2" xfId="46504" xr:uid="{1447A32F-8E4E-411E-973A-337143483D87}"/>
    <cellStyle name="40% - Accent1 7 2 2 2 3 4" xfId="30626" xr:uid="{911825D0-BCE8-4C76-9F92-14520F72E5BB}"/>
    <cellStyle name="40% - Accent1 7 2 2 2 4" xfId="11189" xr:uid="{00000000-0005-0000-0000-0000932F0000}"/>
    <cellStyle name="40% - Accent1 7 2 2 2 4 2" xfId="35038" xr:uid="{CA8C1AC9-129A-48F3-9238-5EDD0E7201D4}"/>
    <cellStyle name="40% - Accent1 7 2 2 2 5" xfId="19144" xr:uid="{00000000-0005-0000-0000-0000942F0000}"/>
    <cellStyle name="40% - Accent1 7 2 2 2 5 2" xfId="42976" xr:uid="{DB020B98-05AF-4605-9843-161B1E2715D1}"/>
    <cellStyle name="40% - Accent1 7 2 2 2 6" xfId="27096" xr:uid="{8B8230E6-47C0-46DE-8B33-DEF960C9E4F0}"/>
    <cellStyle name="40% - Accent1 7 2 2 2_Exh G" xfId="2775" xr:uid="{00000000-0005-0000-0000-0000952F0000}"/>
    <cellStyle name="40% - Accent1 7 2 2 3" xfId="4043" xr:uid="{00000000-0005-0000-0000-0000962F0000}"/>
    <cellStyle name="40% - Accent1 7 2 2 3 2" xfId="7635" xr:uid="{00000000-0005-0000-0000-0000972F0000}"/>
    <cellStyle name="40% - Accent1 7 2 2 3 2 2" xfId="15605" xr:uid="{00000000-0005-0000-0000-0000982F0000}"/>
    <cellStyle name="40% - Accent1 7 2 2 3 2 2 2" xfId="39447" xr:uid="{3D8A4C05-4FBF-4A0C-BBE2-1126912A5D42}"/>
    <cellStyle name="40% - Accent1 7 2 2 3 2 3" xfId="23551" xr:uid="{00000000-0005-0000-0000-0000992F0000}"/>
    <cellStyle name="40% - Accent1 7 2 2 3 2 3 2" xfId="47383" xr:uid="{0930307C-3E92-4413-A13A-475357718606}"/>
    <cellStyle name="40% - Accent1 7 2 2 3 2 4" xfId="31506" xr:uid="{4D156501-E896-443B-BD97-D3FC3123660F}"/>
    <cellStyle name="40% - Accent1 7 2 2 3 3" xfId="12067" xr:uid="{00000000-0005-0000-0000-00009A2F0000}"/>
    <cellStyle name="40% - Accent1 7 2 2 3 3 2" xfId="35916" xr:uid="{3B875F5B-7231-46F4-9AF6-A6FF7F8C7317}"/>
    <cellStyle name="40% - Accent1 7 2 2 3 4" xfId="20022" xr:uid="{00000000-0005-0000-0000-00009B2F0000}"/>
    <cellStyle name="40% - Accent1 7 2 2 3 4 2" xfId="43854" xr:uid="{EE866C20-3488-4A43-ABB7-4E99568AC367}"/>
    <cellStyle name="40% - Accent1 7 2 2 3 5" xfId="27975" xr:uid="{223A0F75-374F-4804-8C5D-F91900734973}"/>
    <cellStyle name="40% - Accent1 7 2 2 4" xfId="5863" xr:uid="{00000000-0005-0000-0000-00009C2F0000}"/>
    <cellStyle name="40% - Accent1 7 2 2 4 2" xfId="13846" xr:uid="{00000000-0005-0000-0000-00009D2F0000}"/>
    <cellStyle name="40% - Accent1 7 2 2 4 2 2" xfId="37689" xr:uid="{E378D693-B938-4F90-B525-10694D98969C}"/>
    <cellStyle name="40% - Accent1 7 2 2 4 3" xfId="21794" xr:uid="{00000000-0005-0000-0000-00009E2F0000}"/>
    <cellStyle name="40% - Accent1 7 2 2 4 3 2" xfId="45626" xr:uid="{E1812A73-CC87-4CDA-B510-D73F77AA34B8}"/>
    <cellStyle name="40% - Accent1 7 2 2 4 4" xfId="29748" xr:uid="{B1683265-1715-44BF-9B24-9D9BD1772F3F}"/>
    <cellStyle name="40% - Accent1 7 2 2 5" xfId="9415" xr:uid="{00000000-0005-0000-0000-00009F2F0000}"/>
    <cellStyle name="40% - Accent1 7 2 2 5 2" xfId="17373" xr:uid="{00000000-0005-0000-0000-0000A02F0000}"/>
    <cellStyle name="40% - Accent1 7 2 2 5 2 2" xfId="41213" xr:uid="{2918955C-F467-4F16-97FD-C791A94EA25B}"/>
    <cellStyle name="40% - Accent1 7 2 2 5 3" xfId="25317" xr:uid="{00000000-0005-0000-0000-0000A12F0000}"/>
    <cellStyle name="40% - Accent1 7 2 2 5 3 2" xfId="49149" xr:uid="{2006AF41-D9DF-4AEF-A76C-A8B0A20191BF}"/>
    <cellStyle name="40% - Accent1 7 2 2 5 4" xfId="33272" xr:uid="{4DBE0277-0141-45D4-AB7B-5D4CE3C677C6}"/>
    <cellStyle name="40% - Accent1 7 2 2 6" xfId="10311" xr:uid="{00000000-0005-0000-0000-0000A22F0000}"/>
    <cellStyle name="40% - Accent1 7 2 2 6 2" xfId="34160" xr:uid="{4F88F01D-E9C2-437B-BC66-F475E044975E}"/>
    <cellStyle name="40% - Accent1 7 2 2 7" xfId="18266" xr:uid="{00000000-0005-0000-0000-0000A32F0000}"/>
    <cellStyle name="40% - Accent1 7 2 2 7 2" xfId="42098" xr:uid="{F0B08718-9663-41BD-9AE6-3CB358899E08}"/>
    <cellStyle name="40% - Accent1 7 2 2 8" xfId="26218" xr:uid="{B4AE4DAE-D3EF-49DC-828E-1791F43B7B64}"/>
    <cellStyle name="40% - Accent1 7 2 2_Exh G" xfId="2774" xr:uid="{00000000-0005-0000-0000-0000A42F0000}"/>
    <cellStyle name="40% - Accent1 7 2 3" xfId="1394" xr:uid="{00000000-0005-0000-0000-0000A52F0000}"/>
    <cellStyle name="40% - Accent1 7 2 3 2" xfId="4921" xr:uid="{00000000-0005-0000-0000-0000A62F0000}"/>
    <cellStyle name="40% - Accent1 7 2 3 2 2" xfId="8512" xr:uid="{00000000-0005-0000-0000-0000A72F0000}"/>
    <cellStyle name="40% - Accent1 7 2 3 2 2 2" xfId="16482" xr:uid="{00000000-0005-0000-0000-0000A82F0000}"/>
    <cellStyle name="40% - Accent1 7 2 3 2 2 2 2" xfId="40324" xr:uid="{C13A8896-108E-4935-A785-9D7FC5476603}"/>
    <cellStyle name="40% - Accent1 7 2 3 2 2 3" xfId="24428" xr:uid="{00000000-0005-0000-0000-0000A92F0000}"/>
    <cellStyle name="40% - Accent1 7 2 3 2 2 3 2" xfId="48260" xr:uid="{8E466E0D-C02A-4375-9D34-6AE4828E42C7}"/>
    <cellStyle name="40% - Accent1 7 2 3 2 2 4" xfId="32383" xr:uid="{69EA0DF3-7B72-4BBF-B103-5B686D1FBA83}"/>
    <cellStyle name="40% - Accent1 7 2 3 2 3" xfId="12944" xr:uid="{00000000-0005-0000-0000-0000AA2F0000}"/>
    <cellStyle name="40% - Accent1 7 2 3 2 3 2" xfId="36793" xr:uid="{BAC6175F-6B12-4C4C-A91F-F3364A0EDDF3}"/>
    <cellStyle name="40% - Accent1 7 2 3 2 4" xfId="20899" xr:uid="{00000000-0005-0000-0000-0000AB2F0000}"/>
    <cellStyle name="40% - Accent1 7 2 3 2 4 2" xfId="44731" xr:uid="{D0E9C65A-EAD4-4115-94E4-400E83AE0571}"/>
    <cellStyle name="40% - Accent1 7 2 3 2 5" xfId="28852" xr:uid="{E3514B5F-EB70-46BA-8415-06E34D2CDF87}"/>
    <cellStyle name="40% - Accent1 7 2 3 3" xfId="6753" xr:uid="{00000000-0005-0000-0000-0000AC2F0000}"/>
    <cellStyle name="40% - Accent1 7 2 3 3 2" xfId="14724" xr:uid="{00000000-0005-0000-0000-0000AD2F0000}"/>
    <cellStyle name="40% - Accent1 7 2 3 3 2 2" xfId="38566" xr:uid="{270C4055-DC2D-485B-A9D4-4164853D2E98}"/>
    <cellStyle name="40% - Accent1 7 2 3 3 3" xfId="22671" xr:uid="{00000000-0005-0000-0000-0000AE2F0000}"/>
    <cellStyle name="40% - Accent1 7 2 3 3 3 2" xfId="46503" xr:uid="{4E4CC153-4795-48C6-BC1D-4C77FBF05E32}"/>
    <cellStyle name="40% - Accent1 7 2 3 3 4" xfId="30625" xr:uid="{8D4CFA42-1452-4C73-8DB7-1C1A3DF58600}"/>
    <cellStyle name="40% - Accent1 7 2 3 4" xfId="11188" xr:uid="{00000000-0005-0000-0000-0000AF2F0000}"/>
    <cellStyle name="40% - Accent1 7 2 3 4 2" xfId="35037" xr:uid="{862AEE47-9A0E-4A10-8B31-C669E8AC7B30}"/>
    <cellStyle name="40% - Accent1 7 2 3 5" xfId="19143" xr:uid="{00000000-0005-0000-0000-0000B02F0000}"/>
    <cellStyle name="40% - Accent1 7 2 3 5 2" xfId="42975" xr:uid="{24B87977-F41C-411C-A27B-BD48ECB94C5C}"/>
    <cellStyle name="40% - Accent1 7 2 3 6" xfId="27095" xr:uid="{BC254F71-D760-4F73-BED6-72E78C104BDC}"/>
    <cellStyle name="40% - Accent1 7 2 3_Exh G" xfId="2776" xr:uid="{00000000-0005-0000-0000-0000B12F0000}"/>
    <cellStyle name="40% - Accent1 7 2 4" xfId="4042" xr:uid="{00000000-0005-0000-0000-0000B22F0000}"/>
    <cellStyle name="40% - Accent1 7 2 4 2" xfId="7634" xr:uid="{00000000-0005-0000-0000-0000B32F0000}"/>
    <cellStyle name="40% - Accent1 7 2 4 2 2" xfId="15604" xr:uid="{00000000-0005-0000-0000-0000B42F0000}"/>
    <cellStyle name="40% - Accent1 7 2 4 2 2 2" xfId="39446" xr:uid="{1D33A179-AADE-43DF-9662-5CFD8FB61B44}"/>
    <cellStyle name="40% - Accent1 7 2 4 2 3" xfId="23550" xr:uid="{00000000-0005-0000-0000-0000B52F0000}"/>
    <cellStyle name="40% - Accent1 7 2 4 2 3 2" xfId="47382" xr:uid="{922FB618-5CCD-4CFB-AC5B-FC5389DDF471}"/>
    <cellStyle name="40% - Accent1 7 2 4 2 4" xfId="31505" xr:uid="{BCBC4A64-4B32-48C9-ADEB-730E8BC90E8D}"/>
    <cellStyle name="40% - Accent1 7 2 4 3" xfId="12066" xr:uid="{00000000-0005-0000-0000-0000B62F0000}"/>
    <cellStyle name="40% - Accent1 7 2 4 3 2" xfId="35915" xr:uid="{41EEA1D2-62B5-4654-8551-CCFA3185442C}"/>
    <cellStyle name="40% - Accent1 7 2 4 4" xfId="20021" xr:uid="{00000000-0005-0000-0000-0000B72F0000}"/>
    <cellStyle name="40% - Accent1 7 2 4 4 2" xfId="43853" xr:uid="{95C82854-FFEA-447B-9958-496431F58F4C}"/>
    <cellStyle name="40% - Accent1 7 2 4 5" xfId="27974" xr:uid="{05445E5A-EBCE-47AC-9A56-24B66B204F1F}"/>
    <cellStyle name="40% - Accent1 7 2 5" xfId="5862" xr:uid="{00000000-0005-0000-0000-0000B82F0000}"/>
    <cellStyle name="40% - Accent1 7 2 5 2" xfId="13845" xr:uid="{00000000-0005-0000-0000-0000B92F0000}"/>
    <cellStyle name="40% - Accent1 7 2 5 2 2" xfId="37688" xr:uid="{93D54CDD-F832-4BA6-8E28-A3938E43F7B2}"/>
    <cellStyle name="40% - Accent1 7 2 5 3" xfId="21793" xr:uid="{00000000-0005-0000-0000-0000BA2F0000}"/>
    <cellStyle name="40% - Accent1 7 2 5 3 2" xfId="45625" xr:uid="{EC4EC6FB-119B-4924-A9EB-71836C16B6D4}"/>
    <cellStyle name="40% - Accent1 7 2 5 4" xfId="29747" xr:uid="{CCAB4C51-C153-4037-9A28-A4BADED83127}"/>
    <cellStyle name="40% - Accent1 7 2 6" xfId="9414" xr:uid="{00000000-0005-0000-0000-0000BB2F0000}"/>
    <cellStyle name="40% - Accent1 7 2 6 2" xfId="17372" xr:uid="{00000000-0005-0000-0000-0000BC2F0000}"/>
    <cellStyle name="40% - Accent1 7 2 6 2 2" xfId="41212" xr:uid="{20A784DF-E162-4909-B210-DE0F4C0E49B4}"/>
    <cellStyle name="40% - Accent1 7 2 6 3" xfId="25316" xr:uid="{00000000-0005-0000-0000-0000BD2F0000}"/>
    <cellStyle name="40% - Accent1 7 2 6 3 2" xfId="49148" xr:uid="{B4E9DCB4-98A4-4AA8-8CC4-D0F2CB67AF0C}"/>
    <cellStyle name="40% - Accent1 7 2 6 4" xfId="33271" xr:uid="{429246A7-209F-42DB-A98C-2F8A34CCE0F5}"/>
    <cellStyle name="40% - Accent1 7 2 7" xfId="10310" xr:uid="{00000000-0005-0000-0000-0000BE2F0000}"/>
    <cellStyle name="40% - Accent1 7 2 7 2" xfId="34159" xr:uid="{B34518ED-324D-4AD3-B4E8-2277D6FC4C37}"/>
    <cellStyle name="40% - Accent1 7 2 8" xfId="18265" xr:uid="{00000000-0005-0000-0000-0000BF2F0000}"/>
    <cellStyle name="40% - Accent1 7 2 8 2" xfId="42097" xr:uid="{B65BA73D-7B31-4E7F-AADB-92BB20CCB74B}"/>
    <cellStyle name="40% - Accent1 7 2 9" xfId="26217" xr:uid="{DE5266F3-4E33-493D-B90B-276D70CCFC34}"/>
    <cellStyle name="40% - Accent1 7 2_Exh G" xfId="2773" xr:uid="{00000000-0005-0000-0000-0000C02F0000}"/>
    <cellStyle name="40% - Accent1 7 3" xfId="370" xr:uid="{00000000-0005-0000-0000-0000C12F0000}"/>
    <cellStyle name="40% - Accent1 7 3 2" xfId="1396" xr:uid="{00000000-0005-0000-0000-0000C22F0000}"/>
    <cellStyle name="40% - Accent1 7 3 2 2" xfId="4923" xr:uid="{00000000-0005-0000-0000-0000C32F0000}"/>
    <cellStyle name="40% - Accent1 7 3 2 2 2" xfId="8514" xr:uid="{00000000-0005-0000-0000-0000C42F0000}"/>
    <cellStyle name="40% - Accent1 7 3 2 2 2 2" xfId="16484" xr:uid="{00000000-0005-0000-0000-0000C52F0000}"/>
    <cellStyle name="40% - Accent1 7 3 2 2 2 2 2" xfId="40326" xr:uid="{B5C3ACB5-C3E3-4EBC-B784-52288D6F1625}"/>
    <cellStyle name="40% - Accent1 7 3 2 2 2 3" xfId="24430" xr:uid="{00000000-0005-0000-0000-0000C62F0000}"/>
    <cellStyle name="40% - Accent1 7 3 2 2 2 3 2" xfId="48262" xr:uid="{1F996818-508E-4571-B488-C33CA4D81F1B}"/>
    <cellStyle name="40% - Accent1 7 3 2 2 2 4" xfId="32385" xr:uid="{6A83E903-100D-4316-9DEE-8884C5B2BDF7}"/>
    <cellStyle name="40% - Accent1 7 3 2 2 3" xfId="12946" xr:uid="{00000000-0005-0000-0000-0000C72F0000}"/>
    <cellStyle name="40% - Accent1 7 3 2 2 3 2" xfId="36795" xr:uid="{C77267FB-84A6-4018-BCC1-216917A415AC}"/>
    <cellStyle name="40% - Accent1 7 3 2 2 4" xfId="20901" xr:uid="{00000000-0005-0000-0000-0000C82F0000}"/>
    <cellStyle name="40% - Accent1 7 3 2 2 4 2" xfId="44733" xr:uid="{67D215EA-AB56-484D-BCA5-9F492A012FAC}"/>
    <cellStyle name="40% - Accent1 7 3 2 2 5" xfId="28854" xr:uid="{6B73A0E3-0348-45EE-A11C-4FD0A573846A}"/>
    <cellStyle name="40% - Accent1 7 3 2 3" xfId="6755" xr:uid="{00000000-0005-0000-0000-0000C92F0000}"/>
    <cellStyle name="40% - Accent1 7 3 2 3 2" xfId="14726" xr:uid="{00000000-0005-0000-0000-0000CA2F0000}"/>
    <cellStyle name="40% - Accent1 7 3 2 3 2 2" xfId="38568" xr:uid="{0575661F-500B-4178-B5B7-01F6B38CC654}"/>
    <cellStyle name="40% - Accent1 7 3 2 3 3" xfId="22673" xr:uid="{00000000-0005-0000-0000-0000CB2F0000}"/>
    <cellStyle name="40% - Accent1 7 3 2 3 3 2" xfId="46505" xr:uid="{D2A43B7F-A73A-41D2-A3FD-27D835D5F01E}"/>
    <cellStyle name="40% - Accent1 7 3 2 3 4" xfId="30627" xr:uid="{57CEBD28-78CA-429B-BC98-AE8BEC13070F}"/>
    <cellStyle name="40% - Accent1 7 3 2 4" xfId="11190" xr:uid="{00000000-0005-0000-0000-0000CC2F0000}"/>
    <cellStyle name="40% - Accent1 7 3 2 4 2" xfId="35039" xr:uid="{2676DC62-603D-4632-BC31-B9AB246A3E35}"/>
    <cellStyle name="40% - Accent1 7 3 2 5" xfId="19145" xr:uid="{00000000-0005-0000-0000-0000CD2F0000}"/>
    <cellStyle name="40% - Accent1 7 3 2 5 2" xfId="42977" xr:uid="{ADCAA19B-CA15-405D-9C69-96A856D234D6}"/>
    <cellStyle name="40% - Accent1 7 3 2 6" xfId="27097" xr:uid="{024C892B-4128-4B6F-87B3-5C3A297DB6E1}"/>
    <cellStyle name="40% - Accent1 7 3 2_Exh G" xfId="2778" xr:uid="{00000000-0005-0000-0000-0000CE2F0000}"/>
    <cellStyle name="40% - Accent1 7 3 3" xfId="4044" xr:uid="{00000000-0005-0000-0000-0000CF2F0000}"/>
    <cellStyle name="40% - Accent1 7 3 3 2" xfId="7636" xr:uid="{00000000-0005-0000-0000-0000D02F0000}"/>
    <cellStyle name="40% - Accent1 7 3 3 2 2" xfId="15606" xr:uid="{00000000-0005-0000-0000-0000D12F0000}"/>
    <cellStyle name="40% - Accent1 7 3 3 2 2 2" xfId="39448" xr:uid="{61864EF7-55BC-4EC2-8AFC-C096ED0FF5CE}"/>
    <cellStyle name="40% - Accent1 7 3 3 2 3" xfId="23552" xr:uid="{00000000-0005-0000-0000-0000D22F0000}"/>
    <cellStyle name="40% - Accent1 7 3 3 2 3 2" xfId="47384" xr:uid="{ED97C0DC-3042-45D9-A0E1-EBDE19412F26}"/>
    <cellStyle name="40% - Accent1 7 3 3 2 4" xfId="31507" xr:uid="{C0D1CF80-7AFB-44FF-85C6-A3BCE71FCE6A}"/>
    <cellStyle name="40% - Accent1 7 3 3 3" xfId="12068" xr:uid="{00000000-0005-0000-0000-0000D32F0000}"/>
    <cellStyle name="40% - Accent1 7 3 3 3 2" xfId="35917" xr:uid="{3570CD8B-2658-4DFC-84EA-8A5606502974}"/>
    <cellStyle name="40% - Accent1 7 3 3 4" xfId="20023" xr:uid="{00000000-0005-0000-0000-0000D42F0000}"/>
    <cellStyle name="40% - Accent1 7 3 3 4 2" xfId="43855" xr:uid="{DD3C2A3C-CF55-4D64-9A6D-C89CED1E5824}"/>
    <cellStyle name="40% - Accent1 7 3 3 5" xfId="27976" xr:uid="{C9B52E6C-4540-493A-BABD-4BF3C9B3051E}"/>
    <cellStyle name="40% - Accent1 7 3 4" xfId="5864" xr:uid="{00000000-0005-0000-0000-0000D52F0000}"/>
    <cellStyle name="40% - Accent1 7 3 4 2" xfId="13847" xr:uid="{00000000-0005-0000-0000-0000D62F0000}"/>
    <cellStyle name="40% - Accent1 7 3 4 2 2" xfId="37690" xr:uid="{D0EFE474-88DD-40EA-B2DE-501A35D85E66}"/>
    <cellStyle name="40% - Accent1 7 3 4 3" xfId="21795" xr:uid="{00000000-0005-0000-0000-0000D72F0000}"/>
    <cellStyle name="40% - Accent1 7 3 4 3 2" xfId="45627" xr:uid="{8EF70A5D-F9D3-4680-BE01-C1939322FA24}"/>
    <cellStyle name="40% - Accent1 7 3 4 4" xfId="29749" xr:uid="{E52AD620-6FE7-4F1F-9566-73876FC872DB}"/>
    <cellStyle name="40% - Accent1 7 3 5" xfId="9416" xr:uid="{00000000-0005-0000-0000-0000D82F0000}"/>
    <cellStyle name="40% - Accent1 7 3 5 2" xfId="17374" xr:uid="{00000000-0005-0000-0000-0000D92F0000}"/>
    <cellStyle name="40% - Accent1 7 3 5 2 2" xfId="41214" xr:uid="{F2ECB5DB-C527-4AB8-9DBC-B5E2227A8949}"/>
    <cellStyle name="40% - Accent1 7 3 5 3" xfId="25318" xr:uid="{00000000-0005-0000-0000-0000DA2F0000}"/>
    <cellStyle name="40% - Accent1 7 3 5 3 2" xfId="49150" xr:uid="{5D68CD01-7296-498C-B94E-0F32B405F2E2}"/>
    <cellStyle name="40% - Accent1 7 3 5 4" xfId="33273" xr:uid="{53EA7486-B487-4F85-95FE-DEF975AF365C}"/>
    <cellStyle name="40% - Accent1 7 3 6" xfId="10312" xr:uid="{00000000-0005-0000-0000-0000DB2F0000}"/>
    <cellStyle name="40% - Accent1 7 3 6 2" xfId="34161" xr:uid="{B9778074-8B13-4D2F-892A-EA8E279FC692}"/>
    <cellStyle name="40% - Accent1 7 3 7" xfId="18267" xr:uid="{00000000-0005-0000-0000-0000DC2F0000}"/>
    <cellStyle name="40% - Accent1 7 3 7 2" xfId="42099" xr:uid="{D041DAF8-BE59-4F3A-BE4F-B0ACD418C95E}"/>
    <cellStyle name="40% - Accent1 7 3 8" xfId="26219" xr:uid="{46E3092F-91F6-4944-9EBF-BC023864170C}"/>
    <cellStyle name="40% - Accent1 7 3_Exh G" xfId="2777" xr:uid="{00000000-0005-0000-0000-0000DD2F0000}"/>
    <cellStyle name="40% - Accent1 7 4" xfId="940" xr:uid="{00000000-0005-0000-0000-0000DE2F0000}"/>
    <cellStyle name="40% - Accent1 7 4 2" xfId="1859" xr:uid="{00000000-0005-0000-0000-0000DF2F0000}"/>
    <cellStyle name="40% - Accent1 7 4 2 2" xfId="5376" xr:uid="{00000000-0005-0000-0000-0000E02F0000}"/>
    <cellStyle name="40% - Accent1 7 4 2 2 2" xfId="8967" xr:uid="{00000000-0005-0000-0000-0000E12F0000}"/>
    <cellStyle name="40% - Accent1 7 4 2 2 2 2" xfId="16937" xr:uid="{00000000-0005-0000-0000-0000E22F0000}"/>
    <cellStyle name="40% - Accent1 7 4 2 2 2 2 2" xfId="40779" xr:uid="{E9691A57-9627-4535-8D54-B6C0FABF850A}"/>
    <cellStyle name="40% - Accent1 7 4 2 2 2 3" xfId="24883" xr:uid="{00000000-0005-0000-0000-0000E32F0000}"/>
    <cellStyle name="40% - Accent1 7 4 2 2 2 3 2" xfId="48715" xr:uid="{69726ABB-7CC1-41CE-90C3-892212B7AC01}"/>
    <cellStyle name="40% - Accent1 7 4 2 2 2 4" xfId="32838" xr:uid="{00B2F538-9D91-4C2D-B3C2-54DF90C4EE4C}"/>
    <cellStyle name="40% - Accent1 7 4 2 2 3" xfId="13399" xr:uid="{00000000-0005-0000-0000-0000E42F0000}"/>
    <cellStyle name="40% - Accent1 7 4 2 2 3 2" xfId="37248" xr:uid="{0526B4B3-C4D6-4D61-A6E0-75FB99ABE195}"/>
    <cellStyle name="40% - Accent1 7 4 2 2 4" xfId="21354" xr:uid="{00000000-0005-0000-0000-0000E52F0000}"/>
    <cellStyle name="40% - Accent1 7 4 2 2 4 2" xfId="45186" xr:uid="{F44DE658-F7CA-40E7-943E-618D95C162B4}"/>
    <cellStyle name="40% - Accent1 7 4 2 2 5" xfId="29307" xr:uid="{FF22AE25-C995-4F09-8358-64CF3AE156C3}"/>
    <cellStyle name="40% - Accent1 7 4 2 3" xfId="7208" xr:uid="{00000000-0005-0000-0000-0000E62F0000}"/>
    <cellStyle name="40% - Accent1 7 4 2 3 2" xfId="15179" xr:uid="{00000000-0005-0000-0000-0000E72F0000}"/>
    <cellStyle name="40% - Accent1 7 4 2 3 2 2" xfId="39021" xr:uid="{FB3053A4-2019-41AA-88D8-0880455A1AB4}"/>
    <cellStyle name="40% - Accent1 7 4 2 3 3" xfId="23126" xr:uid="{00000000-0005-0000-0000-0000E82F0000}"/>
    <cellStyle name="40% - Accent1 7 4 2 3 3 2" xfId="46958" xr:uid="{5A93C4C8-9D94-451B-880D-10219DE78FB3}"/>
    <cellStyle name="40% - Accent1 7 4 2 3 4" xfId="31080" xr:uid="{C9E256E3-4C40-4795-9131-6FAF95901102}"/>
    <cellStyle name="40% - Accent1 7 4 2 4" xfId="11643" xr:uid="{00000000-0005-0000-0000-0000E92F0000}"/>
    <cellStyle name="40% - Accent1 7 4 2 4 2" xfId="35492" xr:uid="{2AA9BA0C-C934-4D51-9488-59135739F590}"/>
    <cellStyle name="40% - Accent1 7 4 2 5" xfId="19598" xr:uid="{00000000-0005-0000-0000-0000EA2F0000}"/>
    <cellStyle name="40% - Accent1 7 4 2 5 2" xfId="43430" xr:uid="{A3622C76-745E-49A1-B4CA-26B38D55777A}"/>
    <cellStyle name="40% - Accent1 7 4 2 6" xfId="27550" xr:uid="{8455785E-0000-452C-8266-40527382C981}"/>
    <cellStyle name="40% - Accent1 7 4 2_Exh G" xfId="2780" xr:uid="{00000000-0005-0000-0000-0000EB2F0000}"/>
    <cellStyle name="40% - Accent1 7 4 3" xfId="4497" xr:uid="{00000000-0005-0000-0000-0000EC2F0000}"/>
    <cellStyle name="40% - Accent1 7 4 3 2" xfId="8089" xr:uid="{00000000-0005-0000-0000-0000ED2F0000}"/>
    <cellStyle name="40% - Accent1 7 4 3 2 2" xfId="16059" xr:uid="{00000000-0005-0000-0000-0000EE2F0000}"/>
    <cellStyle name="40% - Accent1 7 4 3 2 2 2" xfId="39901" xr:uid="{DAD69624-4401-42A3-88BB-38A36572A825}"/>
    <cellStyle name="40% - Accent1 7 4 3 2 3" xfId="24005" xr:uid="{00000000-0005-0000-0000-0000EF2F0000}"/>
    <cellStyle name="40% - Accent1 7 4 3 2 3 2" xfId="47837" xr:uid="{8364CC05-77A6-4C36-A8FA-63C81AB011AE}"/>
    <cellStyle name="40% - Accent1 7 4 3 2 4" xfId="31960" xr:uid="{90A8C2A0-0649-480C-9A42-9F0C2C322FB5}"/>
    <cellStyle name="40% - Accent1 7 4 3 3" xfId="12521" xr:uid="{00000000-0005-0000-0000-0000F02F0000}"/>
    <cellStyle name="40% - Accent1 7 4 3 3 2" xfId="36370" xr:uid="{F8804E91-921A-42FF-A66A-59479324249E}"/>
    <cellStyle name="40% - Accent1 7 4 3 4" xfId="20476" xr:uid="{00000000-0005-0000-0000-0000F12F0000}"/>
    <cellStyle name="40% - Accent1 7 4 3 4 2" xfId="44308" xr:uid="{0AB69A17-A30E-405A-8FDD-CCC8A2C8DF5E}"/>
    <cellStyle name="40% - Accent1 7 4 3 5" xfId="28429" xr:uid="{C9462C7B-24D4-4462-BD9C-5A2C248B668E}"/>
    <cellStyle name="40% - Accent1 7 4 4" xfId="6327" xr:uid="{00000000-0005-0000-0000-0000F22F0000}"/>
    <cellStyle name="40% - Accent1 7 4 4 2" xfId="14301" xr:uid="{00000000-0005-0000-0000-0000F32F0000}"/>
    <cellStyle name="40% - Accent1 7 4 4 2 2" xfId="38143" xr:uid="{C4516035-CDBE-4DD2-95F3-41EE5CC2538D}"/>
    <cellStyle name="40% - Accent1 7 4 4 3" xfId="22248" xr:uid="{00000000-0005-0000-0000-0000F42F0000}"/>
    <cellStyle name="40% - Accent1 7 4 4 3 2" xfId="46080" xr:uid="{AEA68594-2866-459F-BC5B-DB0E6282767A}"/>
    <cellStyle name="40% - Accent1 7 4 4 4" xfId="30202" xr:uid="{9781B242-9102-4829-BEC6-2B106A524EC3}"/>
    <cellStyle name="40% - Accent1 7 4 5" xfId="9869" xr:uid="{00000000-0005-0000-0000-0000F52F0000}"/>
    <cellStyle name="40% - Accent1 7 4 5 2" xfId="17827" xr:uid="{00000000-0005-0000-0000-0000F62F0000}"/>
    <cellStyle name="40% - Accent1 7 4 5 2 2" xfId="41667" xr:uid="{E790F68F-FE11-4FA3-922F-CD648221BED5}"/>
    <cellStyle name="40% - Accent1 7 4 5 3" xfId="25771" xr:uid="{00000000-0005-0000-0000-0000F72F0000}"/>
    <cellStyle name="40% - Accent1 7 4 5 3 2" xfId="49603" xr:uid="{B46665E3-697D-4F41-9DD7-690606D007BD}"/>
    <cellStyle name="40% - Accent1 7 4 5 4" xfId="33726" xr:uid="{45232DC9-389C-48AB-9F12-B5DFF279D121}"/>
    <cellStyle name="40% - Accent1 7 4 6" xfId="10765" xr:uid="{00000000-0005-0000-0000-0000F82F0000}"/>
    <cellStyle name="40% - Accent1 7 4 6 2" xfId="34614" xr:uid="{86D2C246-F41D-4FCE-A924-27D1490C4D9C}"/>
    <cellStyle name="40% - Accent1 7 4 7" xfId="18720" xr:uid="{00000000-0005-0000-0000-0000F92F0000}"/>
    <cellStyle name="40% - Accent1 7 4 7 2" xfId="42552" xr:uid="{2225217F-42A7-4AD1-8DD2-421D36377C86}"/>
    <cellStyle name="40% - Accent1 7 4 8" xfId="26672" xr:uid="{A33E810F-ECC5-4609-B628-5CD8338BE898}"/>
    <cellStyle name="40% - Accent1 7 4_Exh G" xfId="2779" xr:uid="{00000000-0005-0000-0000-0000FA2F0000}"/>
    <cellStyle name="40% - Accent1 7 5" xfId="1393" xr:uid="{00000000-0005-0000-0000-0000FB2F0000}"/>
    <cellStyle name="40% - Accent1 7 5 2" xfId="4920" xr:uid="{00000000-0005-0000-0000-0000FC2F0000}"/>
    <cellStyle name="40% - Accent1 7 5 2 2" xfId="8511" xr:uid="{00000000-0005-0000-0000-0000FD2F0000}"/>
    <cellStyle name="40% - Accent1 7 5 2 2 2" xfId="16481" xr:uid="{00000000-0005-0000-0000-0000FE2F0000}"/>
    <cellStyle name="40% - Accent1 7 5 2 2 2 2" xfId="40323" xr:uid="{99E4B688-CE2E-4089-A2D1-4378CAD98FF7}"/>
    <cellStyle name="40% - Accent1 7 5 2 2 3" xfId="24427" xr:uid="{00000000-0005-0000-0000-0000FF2F0000}"/>
    <cellStyle name="40% - Accent1 7 5 2 2 3 2" xfId="48259" xr:uid="{5DA6DE2D-7E88-4F9B-B30C-6FEC9AD36940}"/>
    <cellStyle name="40% - Accent1 7 5 2 2 4" xfId="32382" xr:uid="{95C4825C-07FB-496F-99D6-0280C2A10CCC}"/>
    <cellStyle name="40% - Accent1 7 5 2 3" xfId="12943" xr:uid="{00000000-0005-0000-0000-000000300000}"/>
    <cellStyle name="40% - Accent1 7 5 2 3 2" xfId="36792" xr:uid="{C7DF71ED-D639-4048-A64C-42B72D91A852}"/>
    <cellStyle name="40% - Accent1 7 5 2 4" xfId="20898" xr:uid="{00000000-0005-0000-0000-000001300000}"/>
    <cellStyle name="40% - Accent1 7 5 2 4 2" xfId="44730" xr:uid="{62DFDD5A-EFAD-4A59-B83F-32813481286E}"/>
    <cellStyle name="40% - Accent1 7 5 2 5" xfId="28851" xr:uid="{927D2F6C-5B5B-4EB2-B97D-89D78D01F57A}"/>
    <cellStyle name="40% - Accent1 7 5 3" xfId="6752" xr:uid="{00000000-0005-0000-0000-000002300000}"/>
    <cellStyle name="40% - Accent1 7 5 3 2" xfId="14723" xr:uid="{00000000-0005-0000-0000-000003300000}"/>
    <cellStyle name="40% - Accent1 7 5 3 2 2" xfId="38565" xr:uid="{F36744F5-0E5E-45DE-A69F-E99680EB2E78}"/>
    <cellStyle name="40% - Accent1 7 5 3 3" xfId="22670" xr:uid="{00000000-0005-0000-0000-000004300000}"/>
    <cellStyle name="40% - Accent1 7 5 3 3 2" xfId="46502" xr:uid="{30A37CE0-B149-42AA-9702-4D1A483EC496}"/>
    <cellStyle name="40% - Accent1 7 5 3 4" xfId="30624" xr:uid="{87C56FFB-2952-4042-A29E-B666B9D999FA}"/>
    <cellStyle name="40% - Accent1 7 5 4" xfId="11187" xr:uid="{00000000-0005-0000-0000-000005300000}"/>
    <cellStyle name="40% - Accent1 7 5 4 2" xfId="35036" xr:uid="{04C0D183-D727-41BC-A292-9D43D8F708E9}"/>
    <cellStyle name="40% - Accent1 7 5 5" xfId="19142" xr:uid="{00000000-0005-0000-0000-000006300000}"/>
    <cellStyle name="40% - Accent1 7 5 5 2" xfId="42974" xr:uid="{A88485A5-477C-45DB-9FAD-FD5138E3F8DA}"/>
    <cellStyle name="40% - Accent1 7 5 6" xfId="27094" xr:uid="{3071FA92-174A-4237-A578-46B18B696F7D}"/>
    <cellStyle name="40% - Accent1 7 5_Exh G" xfId="2781" xr:uid="{00000000-0005-0000-0000-000007300000}"/>
    <cellStyle name="40% - Accent1 7 6" xfId="4041" xr:uid="{00000000-0005-0000-0000-000008300000}"/>
    <cellStyle name="40% - Accent1 7 6 2" xfId="7633" xr:uid="{00000000-0005-0000-0000-000009300000}"/>
    <cellStyle name="40% - Accent1 7 6 2 2" xfId="15603" xr:uid="{00000000-0005-0000-0000-00000A300000}"/>
    <cellStyle name="40% - Accent1 7 6 2 2 2" xfId="39445" xr:uid="{680DC8CD-0F93-4ABA-BB24-1A1CF1CFB8EF}"/>
    <cellStyle name="40% - Accent1 7 6 2 3" xfId="23549" xr:uid="{00000000-0005-0000-0000-00000B300000}"/>
    <cellStyle name="40% - Accent1 7 6 2 3 2" xfId="47381" xr:uid="{4DC35A4D-A74B-482A-A6A0-E2F6209FC7E6}"/>
    <cellStyle name="40% - Accent1 7 6 2 4" xfId="31504" xr:uid="{3B62271B-B06D-4331-8935-68FDD318E037}"/>
    <cellStyle name="40% - Accent1 7 6 3" xfId="12065" xr:uid="{00000000-0005-0000-0000-00000C300000}"/>
    <cellStyle name="40% - Accent1 7 6 3 2" xfId="35914" xr:uid="{F56C15DA-A8CC-49AB-A2FB-BD26E6BB7345}"/>
    <cellStyle name="40% - Accent1 7 6 4" xfId="20020" xr:uid="{00000000-0005-0000-0000-00000D300000}"/>
    <cellStyle name="40% - Accent1 7 6 4 2" xfId="43852" xr:uid="{C7CEE2E6-195B-42F2-9B5F-4CB54EF750D3}"/>
    <cellStyle name="40% - Accent1 7 6 5" xfId="27973" xr:uid="{A9CF2F5F-50BC-4E7B-A926-3BF299BE6A7C}"/>
    <cellStyle name="40% - Accent1 7 7" xfId="5861" xr:uid="{00000000-0005-0000-0000-00000E300000}"/>
    <cellStyle name="40% - Accent1 7 7 2" xfId="13844" xr:uid="{00000000-0005-0000-0000-00000F300000}"/>
    <cellStyle name="40% - Accent1 7 7 2 2" xfId="37687" xr:uid="{C21F1211-2E41-447A-ACE6-802B7B8E47FA}"/>
    <cellStyle name="40% - Accent1 7 7 3" xfId="21792" xr:uid="{00000000-0005-0000-0000-000010300000}"/>
    <cellStyle name="40% - Accent1 7 7 3 2" xfId="45624" xr:uid="{F728B920-F414-4332-A54B-D27A5065BF79}"/>
    <cellStyle name="40% - Accent1 7 7 4" xfId="29746" xr:uid="{67D6529B-6B80-4B5C-966B-8DB356D75BC3}"/>
    <cellStyle name="40% - Accent1 7 8" xfId="9413" xr:uid="{00000000-0005-0000-0000-000011300000}"/>
    <cellStyle name="40% - Accent1 7 8 2" xfId="17371" xr:uid="{00000000-0005-0000-0000-000012300000}"/>
    <cellStyle name="40% - Accent1 7 8 2 2" xfId="41211" xr:uid="{6BD6D598-B248-44AC-9478-260B009F13E4}"/>
    <cellStyle name="40% - Accent1 7 8 3" xfId="25315" xr:uid="{00000000-0005-0000-0000-000013300000}"/>
    <cellStyle name="40% - Accent1 7 8 3 2" xfId="49147" xr:uid="{692949AF-DAD8-42FF-81E1-E89E09EFFDC6}"/>
    <cellStyle name="40% - Accent1 7 8 4" xfId="33270" xr:uid="{6D7B633B-00A5-4564-B494-43B122A0BB1D}"/>
    <cellStyle name="40% - Accent1 7 9" xfId="10309" xr:uid="{00000000-0005-0000-0000-000014300000}"/>
    <cellStyle name="40% - Accent1 7 9 2" xfId="34158" xr:uid="{95D793BA-0F4F-4D0E-BFB4-546F76914CF1}"/>
    <cellStyle name="40% - Accent1 7_Exh G" xfId="2772" xr:uid="{00000000-0005-0000-0000-000015300000}"/>
    <cellStyle name="40% - Accent1 8" xfId="371" xr:uid="{00000000-0005-0000-0000-000016300000}"/>
    <cellStyle name="40% - Accent1 8 10" xfId="18268" xr:uid="{00000000-0005-0000-0000-000017300000}"/>
    <cellStyle name="40% - Accent1 8 10 2" xfId="42100" xr:uid="{54AB38C7-35DE-456C-84F2-D2D3CE75D0FA}"/>
    <cellStyle name="40% - Accent1 8 11" xfId="26220" xr:uid="{4218CD80-979F-442D-B0AA-E23BD441405F}"/>
    <cellStyle name="40% - Accent1 8 2" xfId="372" xr:uid="{00000000-0005-0000-0000-000018300000}"/>
    <cellStyle name="40% - Accent1 8 2 2" xfId="373" xr:uid="{00000000-0005-0000-0000-000019300000}"/>
    <cellStyle name="40% - Accent1 8 2 2 2" xfId="1399" xr:uid="{00000000-0005-0000-0000-00001A300000}"/>
    <cellStyle name="40% - Accent1 8 2 2 2 2" xfId="4926" xr:uid="{00000000-0005-0000-0000-00001B300000}"/>
    <cellStyle name="40% - Accent1 8 2 2 2 2 2" xfId="8517" xr:uid="{00000000-0005-0000-0000-00001C300000}"/>
    <cellStyle name="40% - Accent1 8 2 2 2 2 2 2" xfId="16487" xr:uid="{00000000-0005-0000-0000-00001D300000}"/>
    <cellStyle name="40% - Accent1 8 2 2 2 2 2 2 2" xfId="40329" xr:uid="{ADAAE90E-B37E-420D-885F-DCC66DBC9A22}"/>
    <cellStyle name="40% - Accent1 8 2 2 2 2 2 3" xfId="24433" xr:uid="{00000000-0005-0000-0000-00001E300000}"/>
    <cellStyle name="40% - Accent1 8 2 2 2 2 2 3 2" xfId="48265" xr:uid="{937E099C-3110-4E7F-BD02-BECC4DE2B000}"/>
    <cellStyle name="40% - Accent1 8 2 2 2 2 2 4" xfId="32388" xr:uid="{DDA6A8DC-2AED-4CAD-BD7E-F674947FCCBB}"/>
    <cellStyle name="40% - Accent1 8 2 2 2 2 3" xfId="12949" xr:uid="{00000000-0005-0000-0000-00001F300000}"/>
    <cellStyle name="40% - Accent1 8 2 2 2 2 3 2" xfId="36798" xr:uid="{C62AFB69-0D48-48B8-AC56-2A31821C53EA}"/>
    <cellStyle name="40% - Accent1 8 2 2 2 2 4" xfId="20904" xr:uid="{00000000-0005-0000-0000-000020300000}"/>
    <cellStyle name="40% - Accent1 8 2 2 2 2 4 2" xfId="44736" xr:uid="{1F3232A7-F2A8-4E4D-A997-EA5F1125CAFD}"/>
    <cellStyle name="40% - Accent1 8 2 2 2 2 5" xfId="28857" xr:uid="{749E4322-F9C8-4EE6-9AF7-66563EF3BBB3}"/>
    <cellStyle name="40% - Accent1 8 2 2 2 3" xfId="6758" xr:uid="{00000000-0005-0000-0000-000021300000}"/>
    <cellStyle name="40% - Accent1 8 2 2 2 3 2" xfId="14729" xr:uid="{00000000-0005-0000-0000-000022300000}"/>
    <cellStyle name="40% - Accent1 8 2 2 2 3 2 2" xfId="38571" xr:uid="{3F27D284-5EA2-44A7-B30F-9B54125AEBD6}"/>
    <cellStyle name="40% - Accent1 8 2 2 2 3 3" xfId="22676" xr:uid="{00000000-0005-0000-0000-000023300000}"/>
    <cellStyle name="40% - Accent1 8 2 2 2 3 3 2" xfId="46508" xr:uid="{82DD645C-9690-432C-9B99-C38E5165510A}"/>
    <cellStyle name="40% - Accent1 8 2 2 2 3 4" xfId="30630" xr:uid="{A19F2797-7B59-4A6B-9582-1C62F1FA598D}"/>
    <cellStyle name="40% - Accent1 8 2 2 2 4" xfId="11193" xr:uid="{00000000-0005-0000-0000-000024300000}"/>
    <cellStyle name="40% - Accent1 8 2 2 2 4 2" xfId="35042" xr:uid="{7053428A-BFA8-4AB5-BFEB-E80BE69094C4}"/>
    <cellStyle name="40% - Accent1 8 2 2 2 5" xfId="19148" xr:uid="{00000000-0005-0000-0000-000025300000}"/>
    <cellStyle name="40% - Accent1 8 2 2 2 5 2" xfId="42980" xr:uid="{B483E2FC-20F0-4B6C-ACCE-0F586C0429A1}"/>
    <cellStyle name="40% - Accent1 8 2 2 2 6" xfId="27100" xr:uid="{A00C5AD4-A4DC-4085-951D-F40C2228B834}"/>
    <cellStyle name="40% - Accent1 8 2 2 2_Exh G" xfId="2785" xr:uid="{00000000-0005-0000-0000-000026300000}"/>
    <cellStyle name="40% - Accent1 8 2 2 3" xfId="4047" xr:uid="{00000000-0005-0000-0000-000027300000}"/>
    <cellStyle name="40% - Accent1 8 2 2 3 2" xfId="7639" xr:uid="{00000000-0005-0000-0000-000028300000}"/>
    <cellStyle name="40% - Accent1 8 2 2 3 2 2" xfId="15609" xr:uid="{00000000-0005-0000-0000-000029300000}"/>
    <cellStyle name="40% - Accent1 8 2 2 3 2 2 2" xfId="39451" xr:uid="{9B57358F-92FD-4064-BAB8-A395E5F693D9}"/>
    <cellStyle name="40% - Accent1 8 2 2 3 2 3" xfId="23555" xr:uid="{00000000-0005-0000-0000-00002A300000}"/>
    <cellStyle name="40% - Accent1 8 2 2 3 2 3 2" xfId="47387" xr:uid="{89A31828-C488-4854-99F2-0A8A4E0F155E}"/>
    <cellStyle name="40% - Accent1 8 2 2 3 2 4" xfId="31510" xr:uid="{EED5357F-D327-42C1-A859-B5AA26AB426F}"/>
    <cellStyle name="40% - Accent1 8 2 2 3 3" xfId="12071" xr:uid="{00000000-0005-0000-0000-00002B300000}"/>
    <cellStyle name="40% - Accent1 8 2 2 3 3 2" xfId="35920" xr:uid="{2267A184-1F84-4B66-8627-54F1641A03E7}"/>
    <cellStyle name="40% - Accent1 8 2 2 3 4" xfId="20026" xr:uid="{00000000-0005-0000-0000-00002C300000}"/>
    <cellStyle name="40% - Accent1 8 2 2 3 4 2" xfId="43858" xr:uid="{3F1AD32A-8AB9-4302-AB4A-ED6B097389E7}"/>
    <cellStyle name="40% - Accent1 8 2 2 3 5" xfId="27979" xr:uid="{66CC7F3A-D293-43E3-893C-733D0DF7889C}"/>
    <cellStyle name="40% - Accent1 8 2 2 4" xfId="5867" xr:uid="{00000000-0005-0000-0000-00002D300000}"/>
    <cellStyle name="40% - Accent1 8 2 2 4 2" xfId="13850" xr:uid="{00000000-0005-0000-0000-00002E300000}"/>
    <cellStyle name="40% - Accent1 8 2 2 4 2 2" xfId="37693" xr:uid="{6FDD36DF-20CF-49C5-8FB3-322C98B41A6D}"/>
    <cellStyle name="40% - Accent1 8 2 2 4 3" xfId="21798" xr:uid="{00000000-0005-0000-0000-00002F300000}"/>
    <cellStyle name="40% - Accent1 8 2 2 4 3 2" xfId="45630" xr:uid="{C6D1B22C-1E03-4DB0-ADFA-D5FAE4B364A4}"/>
    <cellStyle name="40% - Accent1 8 2 2 4 4" xfId="29752" xr:uid="{4E7159E0-461A-412E-AA78-FDA3C39F6BE0}"/>
    <cellStyle name="40% - Accent1 8 2 2 5" xfId="9419" xr:uid="{00000000-0005-0000-0000-000030300000}"/>
    <cellStyle name="40% - Accent1 8 2 2 5 2" xfId="17377" xr:uid="{00000000-0005-0000-0000-000031300000}"/>
    <cellStyle name="40% - Accent1 8 2 2 5 2 2" xfId="41217" xr:uid="{60D36C8B-EF4D-4270-86A0-BEE829663D49}"/>
    <cellStyle name="40% - Accent1 8 2 2 5 3" xfId="25321" xr:uid="{00000000-0005-0000-0000-000032300000}"/>
    <cellStyle name="40% - Accent1 8 2 2 5 3 2" xfId="49153" xr:uid="{46B86941-22AF-4242-B739-CA1B5C1326F8}"/>
    <cellStyle name="40% - Accent1 8 2 2 5 4" xfId="33276" xr:uid="{765A0FE1-F0FE-4156-BE61-077C19E06B98}"/>
    <cellStyle name="40% - Accent1 8 2 2 6" xfId="10315" xr:uid="{00000000-0005-0000-0000-000033300000}"/>
    <cellStyle name="40% - Accent1 8 2 2 6 2" xfId="34164" xr:uid="{8544415D-701A-43AB-86F2-21015B997DE6}"/>
    <cellStyle name="40% - Accent1 8 2 2 7" xfId="18270" xr:uid="{00000000-0005-0000-0000-000034300000}"/>
    <cellStyle name="40% - Accent1 8 2 2 7 2" xfId="42102" xr:uid="{C98A5181-B30F-4DF4-BE31-9902D2720B10}"/>
    <cellStyle name="40% - Accent1 8 2 2 8" xfId="26222" xr:uid="{E799A89F-C41D-4037-B881-426062704D19}"/>
    <cellStyle name="40% - Accent1 8 2 2_Exh G" xfId="2784" xr:uid="{00000000-0005-0000-0000-000035300000}"/>
    <cellStyle name="40% - Accent1 8 2 3" xfId="1398" xr:uid="{00000000-0005-0000-0000-000036300000}"/>
    <cellStyle name="40% - Accent1 8 2 3 2" xfId="4925" xr:uid="{00000000-0005-0000-0000-000037300000}"/>
    <cellStyle name="40% - Accent1 8 2 3 2 2" xfId="8516" xr:uid="{00000000-0005-0000-0000-000038300000}"/>
    <cellStyle name="40% - Accent1 8 2 3 2 2 2" xfId="16486" xr:uid="{00000000-0005-0000-0000-000039300000}"/>
    <cellStyle name="40% - Accent1 8 2 3 2 2 2 2" xfId="40328" xr:uid="{1F78E3ED-E944-4EA9-9933-931FAFB9C45D}"/>
    <cellStyle name="40% - Accent1 8 2 3 2 2 3" xfId="24432" xr:uid="{00000000-0005-0000-0000-00003A300000}"/>
    <cellStyle name="40% - Accent1 8 2 3 2 2 3 2" xfId="48264" xr:uid="{90945C7F-74BD-44B1-A788-8114E8B4269D}"/>
    <cellStyle name="40% - Accent1 8 2 3 2 2 4" xfId="32387" xr:uid="{9E349F7A-86C9-4550-BA2A-2D5FEA4FECF0}"/>
    <cellStyle name="40% - Accent1 8 2 3 2 3" xfId="12948" xr:uid="{00000000-0005-0000-0000-00003B300000}"/>
    <cellStyle name="40% - Accent1 8 2 3 2 3 2" xfId="36797" xr:uid="{078F466E-DEF9-4788-848C-F2B63FBB5E38}"/>
    <cellStyle name="40% - Accent1 8 2 3 2 4" xfId="20903" xr:uid="{00000000-0005-0000-0000-00003C300000}"/>
    <cellStyle name="40% - Accent1 8 2 3 2 4 2" xfId="44735" xr:uid="{8F7772F7-4FA4-4050-8B45-575323B7A312}"/>
    <cellStyle name="40% - Accent1 8 2 3 2 5" xfId="28856" xr:uid="{A3F74314-7A71-497C-BCA1-99A7396AA720}"/>
    <cellStyle name="40% - Accent1 8 2 3 3" xfId="6757" xr:uid="{00000000-0005-0000-0000-00003D300000}"/>
    <cellStyle name="40% - Accent1 8 2 3 3 2" xfId="14728" xr:uid="{00000000-0005-0000-0000-00003E300000}"/>
    <cellStyle name="40% - Accent1 8 2 3 3 2 2" xfId="38570" xr:uid="{289B4CFE-CF68-4C05-B1E7-29E4F337BB8E}"/>
    <cellStyle name="40% - Accent1 8 2 3 3 3" xfId="22675" xr:uid="{00000000-0005-0000-0000-00003F300000}"/>
    <cellStyle name="40% - Accent1 8 2 3 3 3 2" xfId="46507" xr:uid="{E56C9C1B-1FDD-4FA6-9D40-19176F88039B}"/>
    <cellStyle name="40% - Accent1 8 2 3 3 4" xfId="30629" xr:uid="{320119AC-DF47-4A19-B6E6-D27684A02887}"/>
    <cellStyle name="40% - Accent1 8 2 3 4" xfId="11192" xr:uid="{00000000-0005-0000-0000-000040300000}"/>
    <cellStyle name="40% - Accent1 8 2 3 4 2" xfId="35041" xr:uid="{143339A0-8104-4143-9EC9-E4F20EAA29DD}"/>
    <cellStyle name="40% - Accent1 8 2 3 5" xfId="19147" xr:uid="{00000000-0005-0000-0000-000041300000}"/>
    <cellStyle name="40% - Accent1 8 2 3 5 2" xfId="42979" xr:uid="{14C5DC56-9F36-4D10-AB95-7B7E25562108}"/>
    <cellStyle name="40% - Accent1 8 2 3 6" xfId="27099" xr:uid="{7B9079C5-BABC-4700-A3EF-9AD95C6C342E}"/>
    <cellStyle name="40% - Accent1 8 2 3_Exh G" xfId="2786" xr:uid="{00000000-0005-0000-0000-000042300000}"/>
    <cellStyle name="40% - Accent1 8 2 4" xfId="4046" xr:uid="{00000000-0005-0000-0000-000043300000}"/>
    <cellStyle name="40% - Accent1 8 2 4 2" xfId="7638" xr:uid="{00000000-0005-0000-0000-000044300000}"/>
    <cellStyle name="40% - Accent1 8 2 4 2 2" xfId="15608" xr:uid="{00000000-0005-0000-0000-000045300000}"/>
    <cellStyle name="40% - Accent1 8 2 4 2 2 2" xfId="39450" xr:uid="{C1C23CF7-66A3-4E99-ADF1-ABEFF8BDBBDC}"/>
    <cellStyle name="40% - Accent1 8 2 4 2 3" xfId="23554" xr:uid="{00000000-0005-0000-0000-000046300000}"/>
    <cellStyle name="40% - Accent1 8 2 4 2 3 2" xfId="47386" xr:uid="{108A4443-161B-4804-81F7-5C8838CA060A}"/>
    <cellStyle name="40% - Accent1 8 2 4 2 4" xfId="31509" xr:uid="{F24C8C99-6A81-425F-BB40-72794B1889FC}"/>
    <cellStyle name="40% - Accent1 8 2 4 3" xfId="12070" xr:uid="{00000000-0005-0000-0000-000047300000}"/>
    <cellStyle name="40% - Accent1 8 2 4 3 2" xfId="35919" xr:uid="{13E36A6F-DEFA-4BA5-B17F-4D3B6B2384E4}"/>
    <cellStyle name="40% - Accent1 8 2 4 4" xfId="20025" xr:uid="{00000000-0005-0000-0000-000048300000}"/>
    <cellStyle name="40% - Accent1 8 2 4 4 2" xfId="43857" xr:uid="{5378E14C-2469-44FD-B1ED-0EEE3F3DB469}"/>
    <cellStyle name="40% - Accent1 8 2 4 5" xfId="27978" xr:uid="{A06CB2E8-A280-4347-93E6-C551E1D184D6}"/>
    <cellStyle name="40% - Accent1 8 2 5" xfId="5866" xr:uid="{00000000-0005-0000-0000-000049300000}"/>
    <cellStyle name="40% - Accent1 8 2 5 2" xfId="13849" xr:uid="{00000000-0005-0000-0000-00004A300000}"/>
    <cellStyle name="40% - Accent1 8 2 5 2 2" xfId="37692" xr:uid="{21C35B2F-A9A8-45DC-968D-88A8CC31DB7C}"/>
    <cellStyle name="40% - Accent1 8 2 5 3" xfId="21797" xr:uid="{00000000-0005-0000-0000-00004B300000}"/>
    <cellStyle name="40% - Accent1 8 2 5 3 2" xfId="45629" xr:uid="{47E155CA-B11F-4DC8-B9D9-11EA6B2B12A7}"/>
    <cellStyle name="40% - Accent1 8 2 5 4" xfId="29751" xr:uid="{F1A5DFD8-A634-4A4D-AA2B-C7E16BE6FCF8}"/>
    <cellStyle name="40% - Accent1 8 2 6" xfId="9418" xr:uid="{00000000-0005-0000-0000-00004C300000}"/>
    <cellStyle name="40% - Accent1 8 2 6 2" xfId="17376" xr:uid="{00000000-0005-0000-0000-00004D300000}"/>
    <cellStyle name="40% - Accent1 8 2 6 2 2" xfId="41216" xr:uid="{C92094D0-BDAA-4204-8452-3D3DC1487A02}"/>
    <cellStyle name="40% - Accent1 8 2 6 3" xfId="25320" xr:uid="{00000000-0005-0000-0000-00004E300000}"/>
    <cellStyle name="40% - Accent1 8 2 6 3 2" xfId="49152" xr:uid="{38585C6D-4BB8-4B48-A988-95F526302608}"/>
    <cellStyle name="40% - Accent1 8 2 6 4" xfId="33275" xr:uid="{1B4F4609-BDAC-47A0-9380-385531B17D61}"/>
    <cellStyle name="40% - Accent1 8 2 7" xfId="10314" xr:uid="{00000000-0005-0000-0000-00004F300000}"/>
    <cellStyle name="40% - Accent1 8 2 7 2" xfId="34163" xr:uid="{AC45A32A-27D7-47E9-BACA-9E7F398C02E7}"/>
    <cellStyle name="40% - Accent1 8 2 8" xfId="18269" xr:uid="{00000000-0005-0000-0000-000050300000}"/>
    <cellStyle name="40% - Accent1 8 2 8 2" xfId="42101" xr:uid="{AEBEDBE5-1006-4A18-B15D-CEA51FFB48F2}"/>
    <cellStyle name="40% - Accent1 8 2 9" xfId="26221" xr:uid="{23BB4EE7-61BD-43F9-A6BD-EE02DBE8AA51}"/>
    <cellStyle name="40% - Accent1 8 2_Exh G" xfId="2783" xr:uid="{00000000-0005-0000-0000-000051300000}"/>
    <cellStyle name="40% - Accent1 8 3" xfId="374" xr:uid="{00000000-0005-0000-0000-000052300000}"/>
    <cellStyle name="40% - Accent1 8 3 2" xfId="1400" xr:uid="{00000000-0005-0000-0000-000053300000}"/>
    <cellStyle name="40% - Accent1 8 3 2 2" xfId="4927" xr:uid="{00000000-0005-0000-0000-000054300000}"/>
    <cellStyle name="40% - Accent1 8 3 2 2 2" xfId="8518" xr:uid="{00000000-0005-0000-0000-000055300000}"/>
    <cellStyle name="40% - Accent1 8 3 2 2 2 2" xfId="16488" xr:uid="{00000000-0005-0000-0000-000056300000}"/>
    <cellStyle name="40% - Accent1 8 3 2 2 2 2 2" xfId="40330" xr:uid="{EF9F887E-3826-4645-81DF-6D2144BE6552}"/>
    <cellStyle name="40% - Accent1 8 3 2 2 2 3" xfId="24434" xr:uid="{00000000-0005-0000-0000-000057300000}"/>
    <cellStyle name="40% - Accent1 8 3 2 2 2 3 2" xfId="48266" xr:uid="{488EE78C-D040-4014-9FE4-AFF997D970FF}"/>
    <cellStyle name="40% - Accent1 8 3 2 2 2 4" xfId="32389" xr:uid="{6B2122FC-9EB1-4206-B27A-514856FF48B6}"/>
    <cellStyle name="40% - Accent1 8 3 2 2 3" xfId="12950" xr:uid="{00000000-0005-0000-0000-000058300000}"/>
    <cellStyle name="40% - Accent1 8 3 2 2 3 2" xfId="36799" xr:uid="{3D5C65A2-8691-4B81-836B-79EFE5116D7A}"/>
    <cellStyle name="40% - Accent1 8 3 2 2 4" xfId="20905" xr:uid="{00000000-0005-0000-0000-000059300000}"/>
    <cellStyle name="40% - Accent1 8 3 2 2 4 2" xfId="44737" xr:uid="{676E5ADB-F583-4F51-B857-2838C7FE7080}"/>
    <cellStyle name="40% - Accent1 8 3 2 2 5" xfId="28858" xr:uid="{8DDBEA66-E229-4057-B436-0FD4FDAF2254}"/>
    <cellStyle name="40% - Accent1 8 3 2 3" xfId="6759" xr:uid="{00000000-0005-0000-0000-00005A300000}"/>
    <cellStyle name="40% - Accent1 8 3 2 3 2" xfId="14730" xr:uid="{00000000-0005-0000-0000-00005B300000}"/>
    <cellStyle name="40% - Accent1 8 3 2 3 2 2" xfId="38572" xr:uid="{2CF981BC-8805-4A4B-8624-6E3600FC2500}"/>
    <cellStyle name="40% - Accent1 8 3 2 3 3" xfId="22677" xr:uid="{00000000-0005-0000-0000-00005C300000}"/>
    <cellStyle name="40% - Accent1 8 3 2 3 3 2" xfId="46509" xr:uid="{7B8E6D45-5C7C-443B-ACAC-57B822AA5A99}"/>
    <cellStyle name="40% - Accent1 8 3 2 3 4" xfId="30631" xr:uid="{944E3D2F-8FCA-4C7A-80B4-66C988D2834A}"/>
    <cellStyle name="40% - Accent1 8 3 2 4" xfId="11194" xr:uid="{00000000-0005-0000-0000-00005D300000}"/>
    <cellStyle name="40% - Accent1 8 3 2 4 2" xfId="35043" xr:uid="{49023E62-9A02-4239-8BBD-DEE8E29AF621}"/>
    <cellStyle name="40% - Accent1 8 3 2 5" xfId="19149" xr:uid="{00000000-0005-0000-0000-00005E300000}"/>
    <cellStyle name="40% - Accent1 8 3 2 5 2" xfId="42981" xr:uid="{F830072A-38B5-44A5-9CCE-7319DE6C8125}"/>
    <cellStyle name="40% - Accent1 8 3 2 6" xfId="27101" xr:uid="{615C8D83-C62F-4E60-B335-36D3920E18F6}"/>
    <cellStyle name="40% - Accent1 8 3 2_Exh G" xfId="2788" xr:uid="{00000000-0005-0000-0000-00005F300000}"/>
    <cellStyle name="40% - Accent1 8 3 3" xfId="4048" xr:uid="{00000000-0005-0000-0000-000060300000}"/>
    <cellStyle name="40% - Accent1 8 3 3 2" xfId="7640" xr:uid="{00000000-0005-0000-0000-000061300000}"/>
    <cellStyle name="40% - Accent1 8 3 3 2 2" xfId="15610" xr:uid="{00000000-0005-0000-0000-000062300000}"/>
    <cellStyle name="40% - Accent1 8 3 3 2 2 2" xfId="39452" xr:uid="{916FCB34-6D06-4D85-A542-919413911804}"/>
    <cellStyle name="40% - Accent1 8 3 3 2 3" xfId="23556" xr:uid="{00000000-0005-0000-0000-000063300000}"/>
    <cellStyle name="40% - Accent1 8 3 3 2 3 2" xfId="47388" xr:uid="{7CA6F346-1CEE-4B64-9968-60D8BFEB178B}"/>
    <cellStyle name="40% - Accent1 8 3 3 2 4" xfId="31511" xr:uid="{3FCBF402-3243-4C1C-ADE1-FBB69BFBC891}"/>
    <cellStyle name="40% - Accent1 8 3 3 3" xfId="12072" xr:uid="{00000000-0005-0000-0000-000064300000}"/>
    <cellStyle name="40% - Accent1 8 3 3 3 2" xfId="35921" xr:uid="{762FF98B-8915-42D9-8C04-FAD0AE7AAB5D}"/>
    <cellStyle name="40% - Accent1 8 3 3 4" xfId="20027" xr:uid="{00000000-0005-0000-0000-000065300000}"/>
    <cellStyle name="40% - Accent1 8 3 3 4 2" xfId="43859" xr:uid="{DAF77472-CF62-4EC9-B46A-85B632E936D5}"/>
    <cellStyle name="40% - Accent1 8 3 3 5" xfId="27980" xr:uid="{E75A466E-9879-4253-A593-1477F6C8DD39}"/>
    <cellStyle name="40% - Accent1 8 3 4" xfId="5868" xr:uid="{00000000-0005-0000-0000-000066300000}"/>
    <cellStyle name="40% - Accent1 8 3 4 2" xfId="13851" xr:uid="{00000000-0005-0000-0000-000067300000}"/>
    <cellStyle name="40% - Accent1 8 3 4 2 2" xfId="37694" xr:uid="{FC695B15-64D1-4A23-BAD8-25454C5C9412}"/>
    <cellStyle name="40% - Accent1 8 3 4 3" xfId="21799" xr:uid="{00000000-0005-0000-0000-000068300000}"/>
    <cellStyle name="40% - Accent1 8 3 4 3 2" xfId="45631" xr:uid="{D2850EF7-C9F1-457B-B2E9-1D951128C3E8}"/>
    <cellStyle name="40% - Accent1 8 3 4 4" xfId="29753" xr:uid="{B05C3F5C-9FEB-4054-8E5D-7CB5E608E530}"/>
    <cellStyle name="40% - Accent1 8 3 5" xfId="9420" xr:uid="{00000000-0005-0000-0000-000069300000}"/>
    <cellStyle name="40% - Accent1 8 3 5 2" xfId="17378" xr:uid="{00000000-0005-0000-0000-00006A300000}"/>
    <cellStyle name="40% - Accent1 8 3 5 2 2" xfId="41218" xr:uid="{896FF0FB-1001-403B-9137-CD7A876D814D}"/>
    <cellStyle name="40% - Accent1 8 3 5 3" xfId="25322" xr:uid="{00000000-0005-0000-0000-00006B300000}"/>
    <cellStyle name="40% - Accent1 8 3 5 3 2" xfId="49154" xr:uid="{8B5D4051-20F5-47AE-9E5B-000C6BF958E0}"/>
    <cellStyle name="40% - Accent1 8 3 5 4" xfId="33277" xr:uid="{6BDE2AA5-AC0A-4E0F-9492-B9FC7A962066}"/>
    <cellStyle name="40% - Accent1 8 3 6" xfId="10316" xr:uid="{00000000-0005-0000-0000-00006C300000}"/>
    <cellStyle name="40% - Accent1 8 3 6 2" xfId="34165" xr:uid="{FA3A0F36-96CF-4696-8E30-D7C31207B100}"/>
    <cellStyle name="40% - Accent1 8 3 7" xfId="18271" xr:uid="{00000000-0005-0000-0000-00006D300000}"/>
    <cellStyle name="40% - Accent1 8 3 7 2" xfId="42103" xr:uid="{8325C306-F5C0-4A9F-978D-92AD1A17DEA9}"/>
    <cellStyle name="40% - Accent1 8 3 8" xfId="26223" xr:uid="{00DA4FF2-19E0-43ED-BB45-D5B59B0B2043}"/>
    <cellStyle name="40% - Accent1 8 3_Exh G" xfId="2787" xr:uid="{00000000-0005-0000-0000-00006E300000}"/>
    <cellStyle name="40% - Accent1 8 4" xfId="941" xr:uid="{00000000-0005-0000-0000-00006F300000}"/>
    <cellStyle name="40% - Accent1 8 4 2" xfId="1860" xr:uid="{00000000-0005-0000-0000-000070300000}"/>
    <cellStyle name="40% - Accent1 8 4 2 2" xfId="5377" xr:uid="{00000000-0005-0000-0000-000071300000}"/>
    <cellStyle name="40% - Accent1 8 4 2 2 2" xfId="8968" xr:uid="{00000000-0005-0000-0000-000072300000}"/>
    <cellStyle name="40% - Accent1 8 4 2 2 2 2" xfId="16938" xr:uid="{00000000-0005-0000-0000-000073300000}"/>
    <cellStyle name="40% - Accent1 8 4 2 2 2 2 2" xfId="40780" xr:uid="{8E3DA0EE-E811-41F4-AE02-277E51FEE4FF}"/>
    <cellStyle name="40% - Accent1 8 4 2 2 2 3" xfId="24884" xr:uid="{00000000-0005-0000-0000-000074300000}"/>
    <cellStyle name="40% - Accent1 8 4 2 2 2 3 2" xfId="48716" xr:uid="{C9AC0920-E6E7-4A17-BDF4-13C01084E926}"/>
    <cellStyle name="40% - Accent1 8 4 2 2 2 4" xfId="32839" xr:uid="{F835088F-9315-461C-8059-C87EE949500E}"/>
    <cellStyle name="40% - Accent1 8 4 2 2 3" xfId="13400" xr:uid="{00000000-0005-0000-0000-000075300000}"/>
    <cellStyle name="40% - Accent1 8 4 2 2 3 2" xfId="37249" xr:uid="{8EE8AAC2-03A4-4C3B-B8B1-001D9814884A}"/>
    <cellStyle name="40% - Accent1 8 4 2 2 4" xfId="21355" xr:uid="{00000000-0005-0000-0000-000076300000}"/>
    <cellStyle name="40% - Accent1 8 4 2 2 4 2" xfId="45187" xr:uid="{1FC5BE7B-4A6F-44CA-8F29-410AADF402F1}"/>
    <cellStyle name="40% - Accent1 8 4 2 2 5" xfId="29308" xr:uid="{E80A7F58-1738-4323-9B6B-F062F668818C}"/>
    <cellStyle name="40% - Accent1 8 4 2 3" xfId="7209" xr:uid="{00000000-0005-0000-0000-000077300000}"/>
    <cellStyle name="40% - Accent1 8 4 2 3 2" xfId="15180" xr:uid="{00000000-0005-0000-0000-000078300000}"/>
    <cellStyle name="40% - Accent1 8 4 2 3 2 2" xfId="39022" xr:uid="{074B9D04-F6F1-4A37-99AC-FBF55A38E575}"/>
    <cellStyle name="40% - Accent1 8 4 2 3 3" xfId="23127" xr:uid="{00000000-0005-0000-0000-000079300000}"/>
    <cellStyle name="40% - Accent1 8 4 2 3 3 2" xfId="46959" xr:uid="{3A495C13-483B-4E0B-9714-37ADBD5EAD00}"/>
    <cellStyle name="40% - Accent1 8 4 2 3 4" xfId="31081" xr:uid="{2EDF3F0F-E8EA-4135-9C1B-764AF8115D7B}"/>
    <cellStyle name="40% - Accent1 8 4 2 4" xfId="11644" xr:uid="{00000000-0005-0000-0000-00007A300000}"/>
    <cellStyle name="40% - Accent1 8 4 2 4 2" xfId="35493" xr:uid="{7B16A1E2-EC61-4DB7-BD98-83C0408A3BC3}"/>
    <cellStyle name="40% - Accent1 8 4 2 5" xfId="19599" xr:uid="{00000000-0005-0000-0000-00007B300000}"/>
    <cellStyle name="40% - Accent1 8 4 2 5 2" xfId="43431" xr:uid="{9D6D003E-CB94-4F01-AE28-E6300CF7978C}"/>
    <cellStyle name="40% - Accent1 8 4 2 6" xfId="27551" xr:uid="{7AC50535-928A-4F97-BF36-2673CC27B9EF}"/>
    <cellStyle name="40% - Accent1 8 4 2_Exh G" xfId="2790" xr:uid="{00000000-0005-0000-0000-00007C300000}"/>
    <cellStyle name="40% - Accent1 8 4 3" xfId="4498" xr:uid="{00000000-0005-0000-0000-00007D300000}"/>
    <cellStyle name="40% - Accent1 8 4 3 2" xfId="8090" xr:uid="{00000000-0005-0000-0000-00007E300000}"/>
    <cellStyle name="40% - Accent1 8 4 3 2 2" xfId="16060" xr:uid="{00000000-0005-0000-0000-00007F300000}"/>
    <cellStyle name="40% - Accent1 8 4 3 2 2 2" xfId="39902" xr:uid="{7935495A-FB9B-43F0-B31B-5AA0EC63459D}"/>
    <cellStyle name="40% - Accent1 8 4 3 2 3" xfId="24006" xr:uid="{00000000-0005-0000-0000-000080300000}"/>
    <cellStyle name="40% - Accent1 8 4 3 2 3 2" xfId="47838" xr:uid="{DC2B5B71-CA6A-4835-BB86-12E3C8A2B300}"/>
    <cellStyle name="40% - Accent1 8 4 3 2 4" xfId="31961" xr:uid="{4E2B78D9-1126-4BF5-8F3D-40B087712FBD}"/>
    <cellStyle name="40% - Accent1 8 4 3 3" xfId="12522" xr:uid="{00000000-0005-0000-0000-000081300000}"/>
    <cellStyle name="40% - Accent1 8 4 3 3 2" xfId="36371" xr:uid="{57FDEDBF-29E2-492B-A4FD-4F3EDBCC8293}"/>
    <cellStyle name="40% - Accent1 8 4 3 4" xfId="20477" xr:uid="{00000000-0005-0000-0000-000082300000}"/>
    <cellStyle name="40% - Accent1 8 4 3 4 2" xfId="44309" xr:uid="{F9B02860-48CF-430E-9DFA-1BFC8E26BFE3}"/>
    <cellStyle name="40% - Accent1 8 4 3 5" xfId="28430" xr:uid="{C0D60774-1ABB-4DD0-9722-E7897E92D910}"/>
    <cellStyle name="40% - Accent1 8 4 4" xfId="6328" xr:uid="{00000000-0005-0000-0000-000083300000}"/>
    <cellStyle name="40% - Accent1 8 4 4 2" xfId="14302" xr:uid="{00000000-0005-0000-0000-000084300000}"/>
    <cellStyle name="40% - Accent1 8 4 4 2 2" xfId="38144" xr:uid="{C6BE0222-9D91-4243-ABFB-AEFE6A7A7B88}"/>
    <cellStyle name="40% - Accent1 8 4 4 3" xfId="22249" xr:uid="{00000000-0005-0000-0000-000085300000}"/>
    <cellStyle name="40% - Accent1 8 4 4 3 2" xfId="46081" xr:uid="{E3F671E6-6859-416F-9125-096A821259A7}"/>
    <cellStyle name="40% - Accent1 8 4 4 4" xfId="30203" xr:uid="{9977BBA9-AA38-45BD-B3F9-6093C4E1481F}"/>
    <cellStyle name="40% - Accent1 8 4 5" xfId="9870" xr:uid="{00000000-0005-0000-0000-000086300000}"/>
    <cellStyle name="40% - Accent1 8 4 5 2" xfId="17828" xr:uid="{00000000-0005-0000-0000-000087300000}"/>
    <cellStyle name="40% - Accent1 8 4 5 2 2" xfId="41668" xr:uid="{1DAE4D89-7CCD-41AF-BEE2-A9EC467A7E89}"/>
    <cellStyle name="40% - Accent1 8 4 5 3" xfId="25772" xr:uid="{00000000-0005-0000-0000-000088300000}"/>
    <cellStyle name="40% - Accent1 8 4 5 3 2" xfId="49604" xr:uid="{B663906F-4EC6-46C6-9C5C-95AF71854391}"/>
    <cellStyle name="40% - Accent1 8 4 5 4" xfId="33727" xr:uid="{4F332C4A-9BCA-4C0C-8FFA-575E30FEF6ED}"/>
    <cellStyle name="40% - Accent1 8 4 6" xfId="10766" xr:uid="{00000000-0005-0000-0000-000089300000}"/>
    <cellStyle name="40% - Accent1 8 4 6 2" xfId="34615" xr:uid="{1D03A9BB-DF35-4C84-94E1-901F01575E13}"/>
    <cellStyle name="40% - Accent1 8 4 7" xfId="18721" xr:uid="{00000000-0005-0000-0000-00008A300000}"/>
    <cellStyle name="40% - Accent1 8 4 7 2" xfId="42553" xr:uid="{726A5D3E-DC9E-463D-BC63-0ED660229A37}"/>
    <cellStyle name="40% - Accent1 8 4 8" xfId="26673" xr:uid="{1FD7393A-393C-424F-85B0-08BB8268C313}"/>
    <cellStyle name="40% - Accent1 8 4_Exh G" xfId="2789" xr:uid="{00000000-0005-0000-0000-00008B300000}"/>
    <cellStyle name="40% - Accent1 8 5" xfId="1397" xr:uid="{00000000-0005-0000-0000-00008C300000}"/>
    <cellStyle name="40% - Accent1 8 5 2" xfId="4924" xr:uid="{00000000-0005-0000-0000-00008D300000}"/>
    <cellStyle name="40% - Accent1 8 5 2 2" xfId="8515" xr:uid="{00000000-0005-0000-0000-00008E300000}"/>
    <cellStyle name="40% - Accent1 8 5 2 2 2" xfId="16485" xr:uid="{00000000-0005-0000-0000-00008F300000}"/>
    <cellStyle name="40% - Accent1 8 5 2 2 2 2" xfId="40327" xr:uid="{B920D2EE-BFF3-44E7-80C7-20BA176B394C}"/>
    <cellStyle name="40% - Accent1 8 5 2 2 3" xfId="24431" xr:uid="{00000000-0005-0000-0000-000090300000}"/>
    <cellStyle name="40% - Accent1 8 5 2 2 3 2" xfId="48263" xr:uid="{EBD0BE0E-7899-4988-8E07-B23B7C5AA315}"/>
    <cellStyle name="40% - Accent1 8 5 2 2 4" xfId="32386" xr:uid="{1FCAB527-467E-44AA-8F66-4E61AE0293AB}"/>
    <cellStyle name="40% - Accent1 8 5 2 3" xfId="12947" xr:uid="{00000000-0005-0000-0000-000091300000}"/>
    <cellStyle name="40% - Accent1 8 5 2 3 2" xfId="36796" xr:uid="{82EB7EDB-A2F6-4721-A8A5-604CC17809EF}"/>
    <cellStyle name="40% - Accent1 8 5 2 4" xfId="20902" xr:uid="{00000000-0005-0000-0000-000092300000}"/>
    <cellStyle name="40% - Accent1 8 5 2 4 2" xfId="44734" xr:uid="{1E2CB84D-BF43-4B1B-858F-8F39A6BC5D11}"/>
    <cellStyle name="40% - Accent1 8 5 2 5" xfId="28855" xr:uid="{F8C4A08C-B175-4107-B245-6416490932C7}"/>
    <cellStyle name="40% - Accent1 8 5 3" xfId="6756" xr:uid="{00000000-0005-0000-0000-000093300000}"/>
    <cellStyle name="40% - Accent1 8 5 3 2" xfId="14727" xr:uid="{00000000-0005-0000-0000-000094300000}"/>
    <cellStyle name="40% - Accent1 8 5 3 2 2" xfId="38569" xr:uid="{C2AB691E-FB93-4530-9694-B2E9650354A5}"/>
    <cellStyle name="40% - Accent1 8 5 3 3" xfId="22674" xr:uid="{00000000-0005-0000-0000-000095300000}"/>
    <cellStyle name="40% - Accent1 8 5 3 3 2" xfId="46506" xr:uid="{47149F5A-74A2-4BA7-A412-E1FBAC7E84C2}"/>
    <cellStyle name="40% - Accent1 8 5 3 4" xfId="30628" xr:uid="{A1E4EEC2-D49F-402C-A463-73457807E4A3}"/>
    <cellStyle name="40% - Accent1 8 5 4" xfId="11191" xr:uid="{00000000-0005-0000-0000-000096300000}"/>
    <cellStyle name="40% - Accent1 8 5 4 2" xfId="35040" xr:uid="{96E4C272-3C4D-4B5F-A802-EC609DA9415C}"/>
    <cellStyle name="40% - Accent1 8 5 5" xfId="19146" xr:uid="{00000000-0005-0000-0000-000097300000}"/>
    <cellStyle name="40% - Accent1 8 5 5 2" xfId="42978" xr:uid="{A4BC06E5-0DE7-4300-BE7F-514118B71890}"/>
    <cellStyle name="40% - Accent1 8 5 6" xfId="27098" xr:uid="{EEB8136D-E031-4DD6-9BD2-FE0CA2C03459}"/>
    <cellStyle name="40% - Accent1 8 5_Exh G" xfId="2791" xr:uid="{00000000-0005-0000-0000-000098300000}"/>
    <cellStyle name="40% - Accent1 8 6" xfId="4045" xr:uid="{00000000-0005-0000-0000-000099300000}"/>
    <cellStyle name="40% - Accent1 8 6 2" xfId="7637" xr:uid="{00000000-0005-0000-0000-00009A300000}"/>
    <cellStyle name="40% - Accent1 8 6 2 2" xfId="15607" xr:uid="{00000000-0005-0000-0000-00009B300000}"/>
    <cellStyle name="40% - Accent1 8 6 2 2 2" xfId="39449" xr:uid="{46F5FBE6-5C83-4C5D-BB4C-B6CC0F8D1A5B}"/>
    <cellStyle name="40% - Accent1 8 6 2 3" xfId="23553" xr:uid="{00000000-0005-0000-0000-00009C300000}"/>
    <cellStyle name="40% - Accent1 8 6 2 3 2" xfId="47385" xr:uid="{59664B3F-0102-4C53-AD7C-0FDA7A8B2386}"/>
    <cellStyle name="40% - Accent1 8 6 2 4" xfId="31508" xr:uid="{F3D0B469-4177-4C36-90D0-26AEF084DC8B}"/>
    <cellStyle name="40% - Accent1 8 6 3" xfId="12069" xr:uid="{00000000-0005-0000-0000-00009D300000}"/>
    <cellStyle name="40% - Accent1 8 6 3 2" xfId="35918" xr:uid="{307C929C-EA15-43E4-9ECA-5666BD2DCC70}"/>
    <cellStyle name="40% - Accent1 8 6 4" xfId="20024" xr:uid="{00000000-0005-0000-0000-00009E300000}"/>
    <cellStyle name="40% - Accent1 8 6 4 2" xfId="43856" xr:uid="{E422627E-113D-41BD-9801-640F745FA920}"/>
    <cellStyle name="40% - Accent1 8 6 5" xfId="27977" xr:uid="{349307BF-E644-4379-B739-116F025D8755}"/>
    <cellStyle name="40% - Accent1 8 7" xfId="5865" xr:uid="{00000000-0005-0000-0000-00009F300000}"/>
    <cellStyle name="40% - Accent1 8 7 2" xfId="13848" xr:uid="{00000000-0005-0000-0000-0000A0300000}"/>
    <cellStyle name="40% - Accent1 8 7 2 2" xfId="37691" xr:uid="{77B3D360-76D9-4F24-9FE9-BCF58499EE1E}"/>
    <cellStyle name="40% - Accent1 8 7 3" xfId="21796" xr:uid="{00000000-0005-0000-0000-0000A1300000}"/>
    <cellStyle name="40% - Accent1 8 7 3 2" xfId="45628" xr:uid="{CAA9F9A3-A358-4D33-B041-28D05DDF5178}"/>
    <cellStyle name="40% - Accent1 8 7 4" xfId="29750" xr:uid="{D5FF8960-6330-4776-9CA6-06F6943A6F43}"/>
    <cellStyle name="40% - Accent1 8 8" xfId="9417" xr:uid="{00000000-0005-0000-0000-0000A2300000}"/>
    <cellStyle name="40% - Accent1 8 8 2" xfId="17375" xr:uid="{00000000-0005-0000-0000-0000A3300000}"/>
    <cellStyle name="40% - Accent1 8 8 2 2" xfId="41215" xr:uid="{77A8DCE7-4575-40D1-B752-7AC32E8C2FD5}"/>
    <cellStyle name="40% - Accent1 8 8 3" xfId="25319" xr:uid="{00000000-0005-0000-0000-0000A4300000}"/>
    <cellStyle name="40% - Accent1 8 8 3 2" xfId="49151" xr:uid="{3CE57328-FB64-4402-BA8B-BBF6EDD5EF50}"/>
    <cellStyle name="40% - Accent1 8 8 4" xfId="33274" xr:uid="{3DC00321-B8F8-436C-8422-FDA35F515E09}"/>
    <cellStyle name="40% - Accent1 8 9" xfId="10313" xr:uid="{00000000-0005-0000-0000-0000A5300000}"/>
    <cellStyle name="40% - Accent1 8 9 2" xfId="34162" xr:uid="{01E14FBB-C4DF-4935-BEA4-24DC65C40969}"/>
    <cellStyle name="40% - Accent1 8_Exh G" xfId="2782" xr:uid="{00000000-0005-0000-0000-0000A6300000}"/>
    <cellStyle name="40% - Accent1 9" xfId="375" xr:uid="{00000000-0005-0000-0000-0000A7300000}"/>
    <cellStyle name="40% - Accent1 9 10" xfId="18272" xr:uid="{00000000-0005-0000-0000-0000A8300000}"/>
    <cellStyle name="40% - Accent1 9 10 2" xfId="42104" xr:uid="{E89E55CA-4790-47CF-BD28-363CDFFF22C1}"/>
    <cellStyle name="40% - Accent1 9 11" xfId="26224" xr:uid="{8076E4C5-501E-4475-9357-0A3DF812CA3E}"/>
    <cellStyle name="40% - Accent1 9 2" xfId="376" xr:uid="{00000000-0005-0000-0000-0000A9300000}"/>
    <cellStyle name="40% - Accent1 9 2 2" xfId="377" xr:uid="{00000000-0005-0000-0000-0000AA300000}"/>
    <cellStyle name="40% - Accent1 9 2 2 2" xfId="1403" xr:uid="{00000000-0005-0000-0000-0000AB300000}"/>
    <cellStyle name="40% - Accent1 9 2 2 2 2" xfId="4930" xr:uid="{00000000-0005-0000-0000-0000AC300000}"/>
    <cellStyle name="40% - Accent1 9 2 2 2 2 2" xfId="8521" xr:uid="{00000000-0005-0000-0000-0000AD300000}"/>
    <cellStyle name="40% - Accent1 9 2 2 2 2 2 2" xfId="16491" xr:uid="{00000000-0005-0000-0000-0000AE300000}"/>
    <cellStyle name="40% - Accent1 9 2 2 2 2 2 2 2" xfId="40333" xr:uid="{26F7BBC4-E721-4B55-8D64-5E4FBB4027CA}"/>
    <cellStyle name="40% - Accent1 9 2 2 2 2 2 3" xfId="24437" xr:uid="{00000000-0005-0000-0000-0000AF300000}"/>
    <cellStyle name="40% - Accent1 9 2 2 2 2 2 3 2" xfId="48269" xr:uid="{1BE91D17-B5FF-4A6B-A9FA-541997928F78}"/>
    <cellStyle name="40% - Accent1 9 2 2 2 2 2 4" xfId="32392" xr:uid="{5688844A-46E6-4A62-A3EA-8C2F464B02D0}"/>
    <cellStyle name="40% - Accent1 9 2 2 2 2 3" xfId="12953" xr:uid="{00000000-0005-0000-0000-0000B0300000}"/>
    <cellStyle name="40% - Accent1 9 2 2 2 2 3 2" xfId="36802" xr:uid="{CFE5FD01-2206-44B0-8242-F3AE67B6866D}"/>
    <cellStyle name="40% - Accent1 9 2 2 2 2 4" xfId="20908" xr:uid="{00000000-0005-0000-0000-0000B1300000}"/>
    <cellStyle name="40% - Accent1 9 2 2 2 2 4 2" xfId="44740" xr:uid="{73D293F8-B16C-4F5D-8741-490622AA655D}"/>
    <cellStyle name="40% - Accent1 9 2 2 2 2 5" xfId="28861" xr:uid="{2D1C6665-7EDD-43DA-8079-E8296612CE2D}"/>
    <cellStyle name="40% - Accent1 9 2 2 2 3" xfId="6762" xr:uid="{00000000-0005-0000-0000-0000B2300000}"/>
    <cellStyle name="40% - Accent1 9 2 2 2 3 2" xfId="14733" xr:uid="{00000000-0005-0000-0000-0000B3300000}"/>
    <cellStyle name="40% - Accent1 9 2 2 2 3 2 2" xfId="38575" xr:uid="{B3E051AB-8ACB-4133-ABF3-DF7CC307D27A}"/>
    <cellStyle name="40% - Accent1 9 2 2 2 3 3" xfId="22680" xr:uid="{00000000-0005-0000-0000-0000B4300000}"/>
    <cellStyle name="40% - Accent1 9 2 2 2 3 3 2" xfId="46512" xr:uid="{2DCFE1D2-AEDF-4A10-98E4-F6B189DF6983}"/>
    <cellStyle name="40% - Accent1 9 2 2 2 3 4" xfId="30634" xr:uid="{4CDDC887-4A7E-4C54-9ED6-F207E74FCB1A}"/>
    <cellStyle name="40% - Accent1 9 2 2 2 4" xfId="11197" xr:uid="{00000000-0005-0000-0000-0000B5300000}"/>
    <cellStyle name="40% - Accent1 9 2 2 2 4 2" xfId="35046" xr:uid="{DD18F320-923B-4D77-97C7-9C80D5A4591A}"/>
    <cellStyle name="40% - Accent1 9 2 2 2 5" xfId="19152" xr:uid="{00000000-0005-0000-0000-0000B6300000}"/>
    <cellStyle name="40% - Accent1 9 2 2 2 5 2" xfId="42984" xr:uid="{0F027FAE-2658-41E5-A330-2C86006F3B1B}"/>
    <cellStyle name="40% - Accent1 9 2 2 2 6" xfId="27104" xr:uid="{99DA9D92-FCB9-4D5C-A5A5-0359CB2F3941}"/>
    <cellStyle name="40% - Accent1 9 2 2 2_Exh G" xfId="2795" xr:uid="{00000000-0005-0000-0000-0000B7300000}"/>
    <cellStyle name="40% - Accent1 9 2 2 3" xfId="4051" xr:uid="{00000000-0005-0000-0000-0000B8300000}"/>
    <cellStyle name="40% - Accent1 9 2 2 3 2" xfId="7643" xr:uid="{00000000-0005-0000-0000-0000B9300000}"/>
    <cellStyle name="40% - Accent1 9 2 2 3 2 2" xfId="15613" xr:uid="{00000000-0005-0000-0000-0000BA300000}"/>
    <cellStyle name="40% - Accent1 9 2 2 3 2 2 2" xfId="39455" xr:uid="{F23F1A05-5497-4BA5-ACEC-EC8CEA0F01DC}"/>
    <cellStyle name="40% - Accent1 9 2 2 3 2 3" xfId="23559" xr:uid="{00000000-0005-0000-0000-0000BB300000}"/>
    <cellStyle name="40% - Accent1 9 2 2 3 2 3 2" xfId="47391" xr:uid="{35443D9C-C4E7-45EE-88FB-001106F2B468}"/>
    <cellStyle name="40% - Accent1 9 2 2 3 2 4" xfId="31514" xr:uid="{0F745104-B66E-4818-B6F9-5A2B436EF85A}"/>
    <cellStyle name="40% - Accent1 9 2 2 3 3" xfId="12075" xr:uid="{00000000-0005-0000-0000-0000BC300000}"/>
    <cellStyle name="40% - Accent1 9 2 2 3 3 2" xfId="35924" xr:uid="{7FF75368-9843-4CEA-BD18-1C0BC54B40D9}"/>
    <cellStyle name="40% - Accent1 9 2 2 3 4" xfId="20030" xr:uid="{00000000-0005-0000-0000-0000BD300000}"/>
    <cellStyle name="40% - Accent1 9 2 2 3 4 2" xfId="43862" xr:uid="{E874BE79-411A-4294-A868-0971E41ABB38}"/>
    <cellStyle name="40% - Accent1 9 2 2 3 5" xfId="27983" xr:uid="{9A287B50-AEA5-44BE-9A22-E87D55884283}"/>
    <cellStyle name="40% - Accent1 9 2 2 4" xfId="5871" xr:uid="{00000000-0005-0000-0000-0000BE300000}"/>
    <cellStyle name="40% - Accent1 9 2 2 4 2" xfId="13854" xr:uid="{00000000-0005-0000-0000-0000BF300000}"/>
    <cellStyle name="40% - Accent1 9 2 2 4 2 2" xfId="37697" xr:uid="{3A180271-3B8F-44A4-A631-549F9D21F871}"/>
    <cellStyle name="40% - Accent1 9 2 2 4 3" xfId="21802" xr:uid="{00000000-0005-0000-0000-0000C0300000}"/>
    <cellStyle name="40% - Accent1 9 2 2 4 3 2" xfId="45634" xr:uid="{CB961AB9-5AC8-4E0A-B117-E63D4FC09C5D}"/>
    <cellStyle name="40% - Accent1 9 2 2 4 4" xfId="29756" xr:uid="{F23724EC-4AC0-4B3E-978E-68B7565C1705}"/>
    <cellStyle name="40% - Accent1 9 2 2 5" xfId="9423" xr:uid="{00000000-0005-0000-0000-0000C1300000}"/>
    <cellStyle name="40% - Accent1 9 2 2 5 2" xfId="17381" xr:uid="{00000000-0005-0000-0000-0000C2300000}"/>
    <cellStyle name="40% - Accent1 9 2 2 5 2 2" xfId="41221" xr:uid="{72EDE576-D215-4FF2-80DB-350FCAED9FD7}"/>
    <cellStyle name="40% - Accent1 9 2 2 5 3" xfId="25325" xr:uid="{00000000-0005-0000-0000-0000C3300000}"/>
    <cellStyle name="40% - Accent1 9 2 2 5 3 2" xfId="49157" xr:uid="{FC85BDCA-1875-4053-9A09-6990704B5EAD}"/>
    <cellStyle name="40% - Accent1 9 2 2 5 4" xfId="33280" xr:uid="{D0915BE5-C146-4327-B1C3-92DEE4421A53}"/>
    <cellStyle name="40% - Accent1 9 2 2 6" xfId="10319" xr:uid="{00000000-0005-0000-0000-0000C4300000}"/>
    <cellStyle name="40% - Accent1 9 2 2 6 2" xfId="34168" xr:uid="{B3B9F602-1852-4058-8F85-60632782098D}"/>
    <cellStyle name="40% - Accent1 9 2 2 7" xfId="18274" xr:uid="{00000000-0005-0000-0000-0000C5300000}"/>
    <cellStyle name="40% - Accent1 9 2 2 7 2" xfId="42106" xr:uid="{FCC8F664-CE01-4F5E-B036-27E2CD9B763A}"/>
    <cellStyle name="40% - Accent1 9 2 2 8" xfId="26226" xr:uid="{5B795EB7-006A-4CD5-A3AA-5B475C7FB306}"/>
    <cellStyle name="40% - Accent1 9 2 2_Exh G" xfId="2794" xr:uid="{00000000-0005-0000-0000-0000C6300000}"/>
    <cellStyle name="40% - Accent1 9 2 3" xfId="1402" xr:uid="{00000000-0005-0000-0000-0000C7300000}"/>
    <cellStyle name="40% - Accent1 9 2 3 2" xfId="4929" xr:uid="{00000000-0005-0000-0000-0000C8300000}"/>
    <cellStyle name="40% - Accent1 9 2 3 2 2" xfId="8520" xr:uid="{00000000-0005-0000-0000-0000C9300000}"/>
    <cellStyle name="40% - Accent1 9 2 3 2 2 2" xfId="16490" xr:uid="{00000000-0005-0000-0000-0000CA300000}"/>
    <cellStyle name="40% - Accent1 9 2 3 2 2 2 2" xfId="40332" xr:uid="{58535D58-14E7-45B8-AB53-3C06DAABE3D9}"/>
    <cellStyle name="40% - Accent1 9 2 3 2 2 3" xfId="24436" xr:uid="{00000000-0005-0000-0000-0000CB300000}"/>
    <cellStyle name="40% - Accent1 9 2 3 2 2 3 2" xfId="48268" xr:uid="{E9078FA2-CFCD-4B6F-9C62-3C12C5FCC708}"/>
    <cellStyle name="40% - Accent1 9 2 3 2 2 4" xfId="32391" xr:uid="{91F73C7F-BFF2-4B96-B836-FC0F80A41BF2}"/>
    <cellStyle name="40% - Accent1 9 2 3 2 3" xfId="12952" xr:uid="{00000000-0005-0000-0000-0000CC300000}"/>
    <cellStyle name="40% - Accent1 9 2 3 2 3 2" xfId="36801" xr:uid="{C0AEBE93-B110-40AF-80E3-C40EE9603A69}"/>
    <cellStyle name="40% - Accent1 9 2 3 2 4" xfId="20907" xr:uid="{00000000-0005-0000-0000-0000CD300000}"/>
    <cellStyle name="40% - Accent1 9 2 3 2 4 2" xfId="44739" xr:uid="{EFE4220B-EAE8-4BCC-A2CF-F24BF0247619}"/>
    <cellStyle name="40% - Accent1 9 2 3 2 5" xfId="28860" xr:uid="{0ADA0350-B3DD-4AD8-820D-17A0B9912091}"/>
    <cellStyle name="40% - Accent1 9 2 3 3" xfId="6761" xr:uid="{00000000-0005-0000-0000-0000CE300000}"/>
    <cellStyle name="40% - Accent1 9 2 3 3 2" xfId="14732" xr:uid="{00000000-0005-0000-0000-0000CF300000}"/>
    <cellStyle name="40% - Accent1 9 2 3 3 2 2" xfId="38574" xr:uid="{F3293531-C1EB-4EE4-A8D4-FE6A25A6EE21}"/>
    <cellStyle name="40% - Accent1 9 2 3 3 3" xfId="22679" xr:uid="{00000000-0005-0000-0000-0000D0300000}"/>
    <cellStyle name="40% - Accent1 9 2 3 3 3 2" xfId="46511" xr:uid="{8501EF98-071C-46D9-9EE0-E330E0FB6C89}"/>
    <cellStyle name="40% - Accent1 9 2 3 3 4" xfId="30633" xr:uid="{589B41E4-23F6-4576-AAB5-4E08B7C84717}"/>
    <cellStyle name="40% - Accent1 9 2 3 4" xfId="11196" xr:uid="{00000000-0005-0000-0000-0000D1300000}"/>
    <cellStyle name="40% - Accent1 9 2 3 4 2" xfId="35045" xr:uid="{F08DFADA-675F-43EF-AD62-0D3C072DE3E8}"/>
    <cellStyle name="40% - Accent1 9 2 3 5" xfId="19151" xr:uid="{00000000-0005-0000-0000-0000D2300000}"/>
    <cellStyle name="40% - Accent1 9 2 3 5 2" xfId="42983" xr:uid="{6BF80C2D-5615-4F80-9437-976DCBFE32F7}"/>
    <cellStyle name="40% - Accent1 9 2 3 6" xfId="27103" xr:uid="{9DFEF171-BE8E-4F68-B5D2-0959506B2F2F}"/>
    <cellStyle name="40% - Accent1 9 2 3_Exh G" xfId="2796" xr:uid="{00000000-0005-0000-0000-0000D3300000}"/>
    <cellStyle name="40% - Accent1 9 2 4" xfId="4050" xr:uid="{00000000-0005-0000-0000-0000D4300000}"/>
    <cellStyle name="40% - Accent1 9 2 4 2" xfId="7642" xr:uid="{00000000-0005-0000-0000-0000D5300000}"/>
    <cellStyle name="40% - Accent1 9 2 4 2 2" xfId="15612" xr:uid="{00000000-0005-0000-0000-0000D6300000}"/>
    <cellStyle name="40% - Accent1 9 2 4 2 2 2" xfId="39454" xr:uid="{5A501C1C-312C-4ABC-91FE-F8FD73F6A863}"/>
    <cellStyle name="40% - Accent1 9 2 4 2 3" xfId="23558" xr:uid="{00000000-0005-0000-0000-0000D7300000}"/>
    <cellStyle name="40% - Accent1 9 2 4 2 3 2" xfId="47390" xr:uid="{6241FE7A-616A-4F75-9E83-6B22DD56CB7B}"/>
    <cellStyle name="40% - Accent1 9 2 4 2 4" xfId="31513" xr:uid="{DAC321E0-C587-4FB7-827A-B558CC742374}"/>
    <cellStyle name="40% - Accent1 9 2 4 3" xfId="12074" xr:uid="{00000000-0005-0000-0000-0000D8300000}"/>
    <cellStyle name="40% - Accent1 9 2 4 3 2" xfId="35923" xr:uid="{B18A44BC-2B21-4935-B6B1-F2B7D892B114}"/>
    <cellStyle name="40% - Accent1 9 2 4 4" xfId="20029" xr:uid="{00000000-0005-0000-0000-0000D9300000}"/>
    <cellStyle name="40% - Accent1 9 2 4 4 2" xfId="43861" xr:uid="{3996122E-DA19-48F7-9A61-0B16885DA5C6}"/>
    <cellStyle name="40% - Accent1 9 2 4 5" xfId="27982" xr:uid="{80536FD9-2BDB-4918-8DA8-0B367E552386}"/>
    <cellStyle name="40% - Accent1 9 2 5" xfId="5870" xr:uid="{00000000-0005-0000-0000-0000DA300000}"/>
    <cellStyle name="40% - Accent1 9 2 5 2" xfId="13853" xr:uid="{00000000-0005-0000-0000-0000DB300000}"/>
    <cellStyle name="40% - Accent1 9 2 5 2 2" xfId="37696" xr:uid="{A7A46262-BB70-42C8-9F3D-544C68382FDB}"/>
    <cellStyle name="40% - Accent1 9 2 5 3" xfId="21801" xr:uid="{00000000-0005-0000-0000-0000DC300000}"/>
    <cellStyle name="40% - Accent1 9 2 5 3 2" xfId="45633" xr:uid="{794D23CC-E857-40C6-8C48-E9D2C3E35C86}"/>
    <cellStyle name="40% - Accent1 9 2 5 4" xfId="29755" xr:uid="{BE6C4805-DD78-4719-AE04-85BBF00E51D3}"/>
    <cellStyle name="40% - Accent1 9 2 6" xfId="9422" xr:uid="{00000000-0005-0000-0000-0000DD300000}"/>
    <cellStyle name="40% - Accent1 9 2 6 2" xfId="17380" xr:uid="{00000000-0005-0000-0000-0000DE300000}"/>
    <cellStyle name="40% - Accent1 9 2 6 2 2" xfId="41220" xr:uid="{653AACE2-235F-4E79-BEEF-0B0EEE2F6590}"/>
    <cellStyle name="40% - Accent1 9 2 6 3" xfId="25324" xr:uid="{00000000-0005-0000-0000-0000DF300000}"/>
    <cellStyle name="40% - Accent1 9 2 6 3 2" xfId="49156" xr:uid="{71C39451-BE25-4960-B938-72C4B21099FA}"/>
    <cellStyle name="40% - Accent1 9 2 6 4" xfId="33279" xr:uid="{37EC0304-53D5-4EA5-8060-047A0F8E5EE5}"/>
    <cellStyle name="40% - Accent1 9 2 7" xfId="10318" xr:uid="{00000000-0005-0000-0000-0000E0300000}"/>
    <cellStyle name="40% - Accent1 9 2 7 2" xfId="34167" xr:uid="{00773E69-6F72-407B-83D2-FBB7964B131C}"/>
    <cellStyle name="40% - Accent1 9 2 8" xfId="18273" xr:uid="{00000000-0005-0000-0000-0000E1300000}"/>
    <cellStyle name="40% - Accent1 9 2 8 2" xfId="42105" xr:uid="{3FF560E8-096B-4D9E-8611-39CCFC4B6735}"/>
    <cellStyle name="40% - Accent1 9 2 9" xfId="26225" xr:uid="{B5BABDE7-5841-4AA5-8EA9-7B4C70C8989D}"/>
    <cellStyle name="40% - Accent1 9 2_Exh G" xfId="2793" xr:uid="{00000000-0005-0000-0000-0000E2300000}"/>
    <cellStyle name="40% - Accent1 9 3" xfId="378" xr:uid="{00000000-0005-0000-0000-0000E3300000}"/>
    <cellStyle name="40% - Accent1 9 3 2" xfId="1404" xr:uid="{00000000-0005-0000-0000-0000E4300000}"/>
    <cellStyle name="40% - Accent1 9 3 2 2" xfId="4931" xr:uid="{00000000-0005-0000-0000-0000E5300000}"/>
    <cellStyle name="40% - Accent1 9 3 2 2 2" xfId="8522" xr:uid="{00000000-0005-0000-0000-0000E6300000}"/>
    <cellStyle name="40% - Accent1 9 3 2 2 2 2" xfId="16492" xr:uid="{00000000-0005-0000-0000-0000E7300000}"/>
    <cellStyle name="40% - Accent1 9 3 2 2 2 2 2" xfId="40334" xr:uid="{918C8713-DECA-4DD6-AA91-A9A387338C83}"/>
    <cellStyle name="40% - Accent1 9 3 2 2 2 3" xfId="24438" xr:uid="{00000000-0005-0000-0000-0000E8300000}"/>
    <cellStyle name="40% - Accent1 9 3 2 2 2 3 2" xfId="48270" xr:uid="{C4B1DCD0-413C-4230-A1B4-3F81DEF9B025}"/>
    <cellStyle name="40% - Accent1 9 3 2 2 2 4" xfId="32393" xr:uid="{74453579-10B2-4D93-9960-6E4E3D0864E3}"/>
    <cellStyle name="40% - Accent1 9 3 2 2 3" xfId="12954" xr:uid="{00000000-0005-0000-0000-0000E9300000}"/>
    <cellStyle name="40% - Accent1 9 3 2 2 3 2" xfId="36803" xr:uid="{D88B493C-4FFF-4858-917E-A7091DD78AF2}"/>
    <cellStyle name="40% - Accent1 9 3 2 2 4" xfId="20909" xr:uid="{00000000-0005-0000-0000-0000EA300000}"/>
    <cellStyle name="40% - Accent1 9 3 2 2 4 2" xfId="44741" xr:uid="{83B5BCF0-3309-4524-AC48-13CD388DB436}"/>
    <cellStyle name="40% - Accent1 9 3 2 2 5" xfId="28862" xr:uid="{F3F3A605-D532-435A-BD46-B370BE0D48C5}"/>
    <cellStyle name="40% - Accent1 9 3 2 3" xfId="6763" xr:uid="{00000000-0005-0000-0000-0000EB300000}"/>
    <cellStyle name="40% - Accent1 9 3 2 3 2" xfId="14734" xr:uid="{00000000-0005-0000-0000-0000EC300000}"/>
    <cellStyle name="40% - Accent1 9 3 2 3 2 2" xfId="38576" xr:uid="{A955FD89-13DC-4B2E-9353-AF1FDF5A91CD}"/>
    <cellStyle name="40% - Accent1 9 3 2 3 3" xfId="22681" xr:uid="{00000000-0005-0000-0000-0000ED300000}"/>
    <cellStyle name="40% - Accent1 9 3 2 3 3 2" xfId="46513" xr:uid="{4538FAE3-59B1-495B-94D5-ED044D14D474}"/>
    <cellStyle name="40% - Accent1 9 3 2 3 4" xfId="30635" xr:uid="{494E3C89-78B4-4CBE-A777-5D40A75D5D2B}"/>
    <cellStyle name="40% - Accent1 9 3 2 4" xfId="11198" xr:uid="{00000000-0005-0000-0000-0000EE300000}"/>
    <cellStyle name="40% - Accent1 9 3 2 4 2" xfId="35047" xr:uid="{E5926B42-6E4E-4545-959A-36B700150024}"/>
    <cellStyle name="40% - Accent1 9 3 2 5" xfId="19153" xr:uid="{00000000-0005-0000-0000-0000EF300000}"/>
    <cellStyle name="40% - Accent1 9 3 2 5 2" xfId="42985" xr:uid="{89D93322-450B-4593-B3C3-58A5D04A8EF9}"/>
    <cellStyle name="40% - Accent1 9 3 2 6" xfId="27105" xr:uid="{FB58C508-15CC-40A0-BF14-437D43684178}"/>
    <cellStyle name="40% - Accent1 9 3 2_Exh G" xfId="2798" xr:uid="{00000000-0005-0000-0000-0000F0300000}"/>
    <cellStyle name="40% - Accent1 9 3 3" xfId="4052" xr:uid="{00000000-0005-0000-0000-0000F1300000}"/>
    <cellStyle name="40% - Accent1 9 3 3 2" xfId="7644" xr:uid="{00000000-0005-0000-0000-0000F2300000}"/>
    <cellStyle name="40% - Accent1 9 3 3 2 2" xfId="15614" xr:uid="{00000000-0005-0000-0000-0000F3300000}"/>
    <cellStyle name="40% - Accent1 9 3 3 2 2 2" xfId="39456" xr:uid="{A0D28260-26AB-4EED-8174-0C2F8D65D970}"/>
    <cellStyle name="40% - Accent1 9 3 3 2 3" xfId="23560" xr:uid="{00000000-0005-0000-0000-0000F4300000}"/>
    <cellStyle name="40% - Accent1 9 3 3 2 3 2" xfId="47392" xr:uid="{354E712F-B684-4F54-A526-84DD6AAF59EC}"/>
    <cellStyle name="40% - Accent1 9 3 3 2 4" xfId="31515" xr:uid="{5B7E4264-CB74-4749-9CD4-6D842F401D69}"/>
    <cellStyle name="40% - Accent1 9 3 3 3" xfId="12076" xr:uid="{00000000-0005-0000-0000-0000F5300000}"/>
    <cellStyle name="40% - Accent1 9 3 3 3 2" xfId="35925" xr:uid="{111DE60A-C9C0-49C5-B2BE-5BFF295939C7}"/>
    <cellStyle name="40% - Accent1 9 3 3 4" xfId="20031" xr:uid="{00000000-0005-0000-0000-0000F6300000}"/>
    <cellStyle name="40% - Accent1 9 3 3 4 2" xfId="43863" xr:uid="{223CC62A-6EAF-411A-A665-34A14BB1FD46}"/>
    <cellStyle name="40% - Accent1 9 3 3 5" xfId="27984" xr:uid="{0680E6AA-0BCE-4402-B897-C56372CEBB23}"/>
    <cellStyle name="40% - Accent1 9 3 4" xfId="5872" xr:uid="{00000000-0005-0000-0000-0000F7300000}"/>
    <cellStyle name="40% - Accent1 9 3 4 2" xfId="13855" xr:uid="{00000000-0005-0000-0000-0000F8300000}"/>
    <cellStyle name="40% - Accent1 9 3 4 2 2" xfId="37698" xr:uid="{5C309894-0AA8-465D-B762-6D8964669234}"/>
    <cellStyle name="40% - Accent1 9 3 4 3" xfId="21803" xr:uid="{00000000-0005-0000-0000-0000F9300000}"/>
    <cellStyle name="40% - Accent1 9 3 4 3 2" xfId="45635" xr:uid="{0C6D67C7-E5C0-4997-8BCB-94325E514B05}"/>
    <cellStyle name="40% - Accent1 9 3 4 4" xfId="29757" xr:uid="{61B9AB84-9A30-4527-AACE-EC994A56B6B8}"/>
    <cellStyle name="40% - Accent1 9 3 5" xfId="9424" xr:uid="{00000000-0005-0000-0000-0000FA300000}"/>
    <cellStyle name="40% - Accent1 9 3 5 2" xfId="17382" xr:uid="{00000000-0005-0000-0000-0000FB300000}"/>
    <cellStyle name="40% - Accent1 9 3 5 2 2" xfId="41222" xr:uid="{2A5474BF-BB9C-4984-A47A-97599C088B81}"/>
    <cellStyle name="40% - Accent1 9 3 5 3" xfId="25326" xr:uid="{00000000-0005-0000-0000-0000FC300000}"/>
    <cellStyle name="40% - Accent1 9 3 5 3 2" xfId="49158" xr:uid="{94117A63-C6E3-48B0-9939-4301F70579C2}"/>
    <cellStyle name="40% - Accent1 9 3 5 4" xfId="33281" xr:uid="{57AB44DE-5ADF-4AC6-B622-35EE95E8785D}"/>
    <cellStyle name="40% - Accent1 9 3 6" xfId="10320" xr:uid="{00000000-0005-0000-0000-0000FD300000}"/>
    <cellStyle name="40% - Accent1 9 3 6 2" xfId="34169" xr:uid="{D5B65B95-148A-473E-9AE4-AD4A0920C93E}"/>
    <cellStyle name="40% - Accent1 9 3 7" xfId="18275" xr:uid="{00000000-0005-0000-0000-0000FE300000}"/>
    <cellStyle name="40% - Accent1 9 3 7 2" xfId="42107" xr:uid="{F87A3AA1-0C3F-44F6-B478-7A6574678663}"/>
    <cellStyle name="40% - Accent1 9 3 8" xfId="26227" xr:uid="{E16F6645-F1E9-48E5-9580-16ACE9FF2357}"/>
    <cellStyle name="40% - Accent1 9 3_Exh G" xfId="2797" xr:uid="{00000000-0005-0000-0000-0000FF300000}"/>
    <cellStyle name="40% - Accent1 9 4" xfId="942" xr:uid="{00000000-0005-0000-0000-000000310000}"/>
    <cellStyle name="40% - Accent1 9 4 2" xfId="1861" xr:uid="{00000000-0005-0000-0000-000001310000}"/>
    <cellStyle name="40% - Accent1 9 4 2 2" xfId="5378" xr:uid="{00000000-0005-0000-0000-000002310000}"/>
    <cellStyle name="40% - Accent1 9 4 2 2 2" xfId="8969" xr:uid="{00000000-0005-0000-0000-000003310000}"/>
    <cellStyle name="40% - Accent1 9 4 2 2 2 2" xfId="16939" xr:uid="{00000000-0005-0000-0000-000004310000}"/>
    <cellStyle name="40% - Accent1 9 4 2 2 2 2 2" xfId="40781" xr:uid="{11FC25FD-884A-4DC8-BF08-DA89CF1DA037}"/>
    <cellStyle name="40% - Accent1 9 4 2 2 2 3" xfId="24885" xr:uid="{00000000-0005-0000-0000-000005310000}"/>
    <cellStyle name="40% - Accent1 9 4 2 2 2 3 2" xfId="48717" xr:uid="{D391EB21-541A-4308-B97D-F635CE384607}"/>
    <cellStyle name="40% - Accent1 9 4 2 2 2 4" xfId="32840" xr:uid="{C1270A15-F766-465C-94A2-8F25F5F33E7E}"/>
    <cellStyle name="40% - Accent1 9 4 2 2 3" xfId="13401" xr:uid="{00000000-0005-0000-0000-000006310000}"/>
    <cellStyle name="40% - Accent1 9 4 2 2 3 2" xfId="37250" xr:uid="{18C11095-01D7-43C8-B566-86B06429095D}"/>
    <cellStyle name="40% - Accent1 9 4 2 2 4" xfId="21356" xr:uid="{00000000-0005-0000-0000-000007310000}"/>
    <cellStyle name="40% - Accent1 9 4 2 2 4 2" xfId="45188" xr:uid="{92289D83-F8F3-4318-A331-D62187D2D5D6}"/>
    <cellStyle name="40% - Accent1 9 4 2 2 5" xfId="29309" xr:uid="{21315D66-64AA-47BD-8E04-24BF215D1BF9}"/>
    <cellStyle name="40% - Accent1 9 4 2 3" xfId="7210" xr:uid="{00000000-0005-0000-0000-000008310000}"/>
    <cellStyle name="40% - Accent1 9 4 2 3 2" xfId="15181" xr:uid="{00000000-0005-0000-0000-000009310000}"/>
    <cellStyle name="40% - Accent1 9 4 2 3 2 2" xfId="39023" xr:uid="{371A63D0-AAC8-4165-B4E7-FC14B56B0963}"/>
    <cellStyle name="40% - Accent1 9 4 2 3 3" xfId="23128" xr:uid="{00000000-0005-0000-0000-00000A310000}"/>
    <cellStyle name="40% - Accent1 9 4 2 3 3 2" xfId="46960" xr:uid="{961C431E-0098-4C7C-AA7C-1FD8E9EC6D45}"/>
    <cellStyle name="40% - Accent1 9 4 2 3 4" xfId="31082" xr:uid="{7FDF2F15-FEB3-4076-A647-6F0B2F0FBE88}"/>
    <cellStyle name="40% - Accent1 9 4 2 4" xfId="11645" xr:uid="{00000000-0005-0000-0000-00000B310000}"/>
    <cellStyle name="40% - Accent1 9 4 2 4 2" xfId="35494" xr:uid="{8B94A804-0F2E-48E8-B1A6-769D0D64CEEA}"/>
    <cellStyle name="40% - Accent1 9 4 2 5" xfId="19600" xr:uid="{00000000-0005-0000-0000-00000C310000}"/>
    <cellStyle name="40% - Accent1 9 4 2 5 2" xfId="43432" xr:uid="{B2D33166-8413-4193-A17B-C20B51B90BBE}"/>
    <cellStyle name="40% - Accent1 9 4 2 6" xfId="27552" xr:uid="{78EFB29E-3191-4C1F-A937-C2688CE1048B}"/>
    <cellStyle name="40% - Accent1 9 4 2_Exh G" xfId="2800" xr:uid="{00000000-0005-0000-0000-00000D310000}"/>
    <cellStyle name="40% - Accent1 9 4 3" xfId="4499" xr:uid="{00000000-0005-0000-0000-00000E310000}"/>
    <cellStyle name="40% - Accent1 9 4 3 2" xfId="8091" xr:uid="{00000000-0005-0000-0000-00000F310000}"/>
    <cellStyle name="40% - Accent1 9 4 3 2 2" xfId="16061" xr:uid="{00000000-0005-0000-0000-000010310000}"/>
    <cellStyle name="40% - Accent1 9 4 3 2 2 2" xfId="39903" xr:uid="{5D153436-881F-41C8-BF4A-1164FF984086}"/>
    <cellStyle name="40% - Accent1 9 4 3 2 3" xfId="24007" xr:uid="{00000000-0005-0000-0000-000011310000}"/>
    <cellStyle name="40% - Accent1 9 4 3 2 3 2" xfId="47839" xr:uid="{67D25713-F313-4C9C-9646-19AB9771BF96}"/>
    <cellStyle name="40% - Accent1 9 4 3 2 4" xfId="31962" xr:uid="{0A5D79E7-0D3F-4C29-9EF3-AAAB6F213837}"/>
    <cellStyle name="40% - Accent1 9 4 3 3" xfId="12523" xr:uid="{00000000-0005-0000-0000-000012310000}"/>
    <cellStyle name="40% - Accent1 9 4 3 3 2" xfId="36372" xr:uid="{ABB93DAD-3375-4A15-A503-92C0C541EF97}"/>
    <cellStyle name="40% - Accent1 9 4 3 4" xfId="20478" xr:uid="{00000000-0005-0000-0000-000013310000}"/>
    <cellStyle name="40% - Accent1 9 4 3 4 2" xfId="44310" xr:uid="{073403F6-EF54-40A4-AE82-BEB0783D9139}"/>
    <cellStyle name="40% - Accent1 9 4 3 5" xfId="28431" xr:uid="{0F0953CA-910F-4C12-8AE5-26D9F85AC194}"/>
    <cellStyle name="40% - Accent1 9 4 4" xfId="6329" xr:uid="{00000000-0005-0000-0000-000014310000}"/>
    <cellStyle name="40% - Accent1 9 4 4 2" xfId="14303" xr:uid="{00000000-0005-0000-0000-000015310000}"/>
    <cellStyle name="40% - Accent1 9 4 4 2 2" xfId="38145" xr:uid="{21EB34FA-40B6-4D42-9A40-56FA6A6D492F}"/>
    <cellStyle name="40% - Accent1 9 4 4 3" xfId="22250" xr:uid="{00000000-0005-0000-0000-000016310000}"/>
    <cellStyle name="40% - Accent1 9 4 4 3 2" xfId="46082" xr:uid="{6D7C569B-577D-401F-A2D0-8A6EEFB0A91B}"/>
    <cellStyle name="40% - Accent1 9 4 4 4" xfId="30204" xr:uid="{16CCE5E5-D581-464C-8727-7097DE34A208}"/>
    <cellStyle name="40% - Accent1 9 4 5" xfId="9871" xr:uid="{00000000-0005-0000-0000-000017310000}"/>
    <cellStyle name="40% - Accent1 9 4 5 2" xfId="17829" xr:uid="{00000000-0005-0000-0000-000018310000}"/>
    <cellStyle name="40% - Accent1 9 4 5 2 2" xfId="41669" xr:uid="{26348C0F-A969-4633-BCFD-55F4B70602A6}"/>
    <cellStyle name="40% - Accent1 9 4 5 3" xfId="25773" xr:uid="{00000000-0005-0000-0000-000019310000}"/>
    <cellStyle name="40% - Accent1 9 4 5 3 2" xfId="49605" xr:uid="{1B51A562-58D0-4B00-9894-5EDEA50B52E5}"/>
    <cellStyle name="40% - Accent1 9 4 5 4" xfId="33728" xr:uid="{7CC01F79-2A8F-418D-AFA7-D1A644F894A2}"/>
    <cellStyle name="40% - Accent1 9 4 6" xfId="10767" xr:uid="{00000000-0005-0000-0000-00001A310000}"/>
    <cellStyle name="40% - Accent1 9 4 6 2" xfId="34616" xr:uid="{F334179B-BAE1-4189-ABE5-1CAC2409803B}"/>
    <cellStyle name="40% - Accent1 9 4 7" xfId="18722" xr:uid="{00000000-0005-0000-0000-00001B310000}"/>
    <cellStyle name="40% - Accent1 9 4 7 2" xfId="42554" xr:uid="{5A66F01F-AD71-4D5E-AAAF-B98E3C1041CB}"/>
    <cellStyle name="40% - Accent1 9 4 8" xfId="26674" xr:uid="{131CB495-061F-4EF1-B261-BAE264C0B7F9}"/>
    <cellStyle name="40% - Accent1 9 4_Exh G" xfId="2799" xr:uid="{00000000-0005-0000-0000-00001C310000}"/>
    <cellStyle name="40% - Accent1 9 5" xfId="1401" xr:uid="{00000000-0005-0000-0000-00001D310000}"/>
    <cellStyle name="40% - Accent1 9 5 2" xfId="4928" xr:uid="{00000000-0005-0000-0000-00001E310000}"/>
    <cellStyle name="40% - Accent1 9 5 2 2" xfId="8519" xr:uid="{00000000-0005-0000-0000-00001F310000}"/>
    <cellStyle name="40% - Accent1 9 5 2 2 2" xfId="16489" xr:uid="{00000000-0005-0000-0000-000020310000}"/>
    <cellStyle name="40% - Accent1 9 5 2 2 2 2" xfId="40331" xr:uid="{C5BF1FC5-A9D6-4E87-97CD-CFB05D32AE9E}"/>
    <cellStyle name="40% - Accent1 9 5 2 2 3" xfId="24435" xr:uid="{00000000-0005-0000-0000-000021310000}"/>
    <cellStyle name="40% - Accent1 9 5 2 2 3 2" xfId="48267" xr:uid="{D65A7057-A145-4D4C-B9EF-B13B93673CF4}"/>
    <cellStyle name="40% - Accent1 9 5 2 2 4" xfId="32390" xr:uid="{61587672-1201-4AE9-A386-E9C579E7EB4A}"/>
    <cellStyle name="40% - Accent1 9 5 2 3" xfId="12951" xr:uid="{00000000-0005-0000-0000-000022310000}"/>
    <cellStyle name="40% - Accent1 9 5 2 3 2" xfId="36800" xr:uid="{53B2FBA5-6614-469C-A67A-38F3282FA665}"/>
    <cellStyle name="40% - Accent1 9 5 2 4" xfId="20906" xr:uid="{00000000-0005-0000-0000-000023310000}"/>
    <cellStyle name="40% - Accent1 9 5 2 4 2" xfId="44738" xr:uid="{E91A3318-F3FE-43AE-879E-C4E564821573}"/>
    <cellStyle name="40% - Accent1 9 5 2 5" xfId="28859" xr:uid="{D16B8225-544E-4951-AD37-016708C9A0D8}"/>
    <cellStyle name="40% - Accent1 9 5 3" xfId="6760" xr:uid="{00000000-0005-0000-0000-000024310000}"/>
    <cellStyle name="40% - Accent1 9 5 3 2" xfId="14731" xr:uid="{00000000-0005-0000-0000-000025310000}"/>
    <cellStyle name="40% - Accent1 9 5 3 2 2" xfId="38573" xr:uid="{7F0D68FD-3989-41A7-A6D1-602EB3292C73}"/>
    <cellStyle name="40% - Accent1 9 5 3 3" xfId="22678" xr:uid="{00000000-0005-0000-0000-000026310000}"/>
    <cellStyle name="40% - Accent1 9 5 3 3 2" xfId="46510" xr:uid="{89909733-9E00-4B83-903A-7DD987E3B047}"/>
    <cellStyle name="40% - Accent1 9 5 3 4" xfId="30632" xr:uid="{55E73942-D9F5-44D8-A0C1-B49BC2A4EC7D}"/>
    <cellStyle name="40% - Accent1 9 5 4" xfId="11195" xr:uid="{00000000-0005-0000-0000-000027310000}"/>
    <cellStyle name="40% - Accent1 9 5 4 2" xfId="35044" xr:uid="{90745A6B-12CC-4180-ACD4-F7A0ECACD49E}"/>
    <cellStyle name="40% - Accent1 9 5 5" xfId="19150" xr:uid="{00000000-0005-0000-0000-000028310000}"/>
    <cellStyle name="40% - Accent1 9 5 5 2" xfId="42982" xr:uid="{7CE62A9A-8998-4F94-B762-40F471FFB43D}"/>
    <cellStyle name="40% - Accent1 9 5 6" xfId="27102" xr:uid="{A0CA4CE9-3A2F-4AA7-95F6-F8E5A97E8E91}"/>
    <cellStyle name="40% - Accent1 9 5_Exh G" xfId="2801" xr:uid="{00000000-0005-0000-0000-000029310000}"/>
    <cellStyle name="40% - Accent1 9 6" xfId="4049" xr:uid="{00000000-0005-0000-0000-00002A310000}"/>
    <cellStyle name="40% - Accent1 9 6 2" xfId="7641" xr:uid="{00000000-0005-0000-0000-00002B310000}"/>
    <cellStyle name="40% - Accent1 9 6 2 2" xfId="15611" xr:uid="{00000000-0005-0000-0000-00002C310000}"/>
    <cellStyle name="40% - Accent1 9 6 2 2 2" xfId="39453" xr:uid="{DB3A92F5-4CA4-49BD-B200-123461BD7AE4}"/>
    <cellStyle name="40% - Accent1 9 6 2 3" xfId="23557" xr:uid="{00000000-0005-0000-0000-00002D310000}"/>
    <cellStyle name="40% - Accent1 9 6 2 3 2" xfId="47389" xr:uid="{C5B1D57B-C9F7-435B-854A-989CD6D2C39B}"/>
    <cellStyle name="40% - Accent1 9 6 2 4" xfId="31512" xr:uid="{08F9FEDB-6198-4120-9A16-2964778C1213}"/>
    <cellStyle name="40% - Accent1 9 6 3" xfId="12073" xr:uid="{00000000-0005-0000-0000-00002E310000}"/>
    <cellStyle name="40% - Accent1 9 6 3 2" xfId="35922" xr:uid="{3EC0DCD7-B43C-4C34-B3C6-CE34B88A8C34}"/>
    <cellStyle name="40% - Accent1 9 6 4" xfId="20028" xr:uid="{00000000-0005-0000-0000-00002F310000}"/>
    <cellStyle name="40% - Accent1 9 6 4 2" xfId="43860" xr:uid="{D899E92E-ABC7-43EE-8ACB-F8B98BD10D52}"/>
    <cellStyle name="40% - Accent1 9 6 5" xfId="27981" xr:uid="{7F93CBDB-45D9-4F81-8BE5-2E6A69086270}"/>
    <cellStyle name="40% - Accent1 9 7" xfId="5869" xr:uid="{00000000-0005-0000-0000-000030310000}"/>
    <cellStyle name="40% - Accent1 9 7 2" xfId="13852" xr:uid="{00000000-0005-0000-0000-000031310000}"/>
    <cellStyle name="40% - Accent1 9 7 2 2" xfId="37695" xr:uid="{D4B29905-0CC4-4BB8-984A-BEA83A5F29A2}"/>
    <cellStyle name="40% - Accent1 9 7 3" xfId="21800" xr:uid="{00000000-0005-0000-0000-000032310000}"/>
    <cellStyle name="40% - Accent1 9 7 3 2" xfId="45632" xr:uid="{75AB0643-A771-46A4-9EDD-A94F4A29EF27}"/>
    <cellStyle name="40% - Accent1 9 7 4" xfId="29754" xr:uid="{BA46C102-800B-4891-8928-4D6E13D14779}"/>
    <cellStyle name="40% - Accent1 9 8" xfId="9421" xr:uid="{00000000-0005-0000-0000-000033310000}"/>
    <cellStyle name="40% - Accent1 9 8 2" xfId="17379" xr:uid="{00000000-0005-0000-0000-000034310000}"/>
    <cellStyle name="40% - Accent1 9 8 2 2" xfId="41219" xr:uid="{022493F0-26F3-461C-877A-155CBD653D84}"/>
    <cellStyle name="40% - Accent1 9 8 3" xfId="25323" xr:uid="{00000000-0005-0000-0000-000035310000}"/>
    <cellStyle name="40% - Accent1 9 8 3 2" xfId="49155" xr:uid="{8329760B-F7FC-415F-9214-642227AC25B2}"/>
    <cellStyle name="40% - Accent1 9 8 4" xfId="33278" xr:uid="{BB19D116-3BDA-4570-AE95-54C28B742F37}"/>
    <cellStyle name="40% - Accent1 9 9" xfId="10317" xr:uid="{00000000-0005-0000-0000-000036310000}"/>
    <cellStyle name="40% - Accent1 9 9 2" xfId="34166" xr:uid="{082615D7-7BB0-451D-84B9-9C7A0E6E951C}"/>
    <cellStyle name="40% - Accent1 9_Exh G" xfId="2792" xr:uid="{00000000-0005-0000-0000-000037310000}"/>
    <cellStyle name="40% - Accent2" xfId="49688" builtinId="35" customBuiltin="1"/>
    <cellStyle name="40% - Accent2 10" xfId="379" xr:uid="{00000000-0005-0000-0000-000038310000}"/>
    <cellStyle name="40% - Accent2 10 10" xfId="18276" xr:uid="{00000000-0005-0000-0000-000039310000}"/>
    <cellStyle name="40% - Accent2 10 10 2" xfId="42108" xr:uid="{70D64DB4-B8C9-4FF6-B132-F48CA97E19A3}"/>
    <cellStyle name="40% - Accent2 10 11" xfId="26228" xr:uid="{A89CFCDC-D4AA-42B6-8311-1BF93AFA47E5}"/>
    <cellStyle name="40% - Accent2 10 2" xfId="380" xr:uid="{00000000-0005-0000-0000-00003A310000}"/>
    <cellStyle name="40% - Accent2 10 2 2" xfId="381" xr:uid="{00000000-0005-0000-0000-00003B310000}"/>
    <cellStyle name="40% - Accent2 10 2 2 2" xfId="1407" xr:uid="{00000000-0005-0000-0000-00003C310000}"/>
    <cellStyle name="40% - Accent2 10 2 2 2 2" xfId="4934" xr:uid="{00000000-0005-0000-0000-00003D310000}"/>
    <cellStyle name="40% - Accent2 10 2 2 2 2 2" xfId="8525" xr:uid="{00000000-0005-0000-0000-00003E310000}"/>
    <cellStyle name="40% - Accent2 10 2 2 2 2 2 2" xfId="16495" xr:uid="{00000000-0005-0000-0000-00003F310000}"/>
    <cellStyle name="40% - Accent2 10 2 2 2 2 2 2 2" xfId="40337" xr:uid="{C289B30F-8F54-4226-95B2-CD3310E6014C}"/>
    <cellStyle name="40% - Accent2 10 2 2 2 2 2 3" xfId="24441" xr:uid="{00000000-0005-0000-0000-000040310000}"/>
    <cellStyle name="40% - Accent2 10 2 2 2 2 2 3 2" xfId="48273" xr:uid="{386F78ED-792A-49C8-9558-86F5299F9697}"/>
    <cellStyle name="40% - Accent2 10 2 2 2 2 2 4" xfId="32396" xr:uid="{41EFF96E-461F-4249-AF3E-69341F26876D}"/>
    <cellStyle name="40% - Accent2 10 2 2 2 2 3" xfId="12957" xr:uid="{00000000-0005-0000-0000-000041310000}"/>
    <cellStyle name="40% - Accent2 10 2 2 2 2 3 2" xfId="36806" xr:uid="{634E2535-3838-4E6D-A3D0-6A8F19C0B6D7}"/>
    <cellStyle name="40% - Accent2 10 2 2 2 2 4" xfId="20912" xr:uid="{00000000-0005-0000-0000-000042310000}"/>
    <cellStyle name="40% - Accent2 10 2 2 2 2 4 2" xfId="44744" xr:uid="{DA8CBB45-B58B-48AE-B5A6-775ABF4688DA}"/>
    <cellStyle name="40% - Accent2 10 2 2 2 2 5" xfId="28865" xr:uid="{0998AD8F-64A7-4319-9C8C-FA94AD8073F6}"/>
    <cellStyle name="40% - Accent2 10 2 2 2 3" xfId="6766" xr:uid="{00000000-0005-0000-0000-000043310000}"/>
    <cellStyle name="40% - Accent2 10 2 2 2 3 2" xfId="14737" xr:uid="{00000000-0005-0000-0000-000044310000}"/>
    <cellStyle name="40% - Accent2 10 2 2 2 3 2 2" xfId="38579" xr:uid="{D342521B-8ACA-4DE4-8494-E1FB774A37B2}"/>
    <cellStyle name="40% - Accent2 10 2 2 2 3 3" xfId="22684" xr:uid="{00000000-0005-0000-0000-000045310000}"/>
    <cellStyle name="40% - Accent2 10 2 2 2 3 3 2" xfId="46516" xr:uid="{1216095D-2299-405E-B257-2572DD6A3AD0}"/>
    <cellStyle name="40% - Accent2 10 2 2 2 3 4" xfId="30638" xr:uid="{5635E4A4-975C-4754-A56C-38BC119520C7}"/>
    <cellStyle name="40% - Accent2 10 2 2 2 4" xfId="11201" xr:uid="{00000000-0005-0000-0000-000046310000}"/>
    <cellStyle name="40% - Accent2 10 2 2 2 4 2" xfId="35050" xr:uid="{1510215B-A213-4FCD-AFB5-0523534B0C2B}"/>
    <cellStyle name="40% - Accent2 10 2 2 2 5" xfId="19156" xr:uid="{00000000-0005-0000-0000-000047310000}"/>
    <cellStyle name="40% - Accent2 10 2 2 2 5 2" xfId="42988" xr:uid="{7477D1E6-B747-4E93-BB33-7EE5F9371050}"/>
    <cellStyle name="40% - Accent2 10 2 2 2 6" xfId="27108" xr:uid="{8E7B1BCD-F840-48AE-952C-242B39E5B291}"/>
    <cellStyle name="40% - Accent2 10 2 2 2_Exh G" xfId="2805" xr:uid="{00000000-0005-0000-0000-000048310000}"/>
    <cellStyle name="40% - Accent2 10 2 2 3" xfId="4055" xr:uid="{00000000-0005-0000-0000-000049310000}"/>
    <cellStyle name="40% - Accent2 10 2 2 3 2" xfId="7647" xr:uid="{00000000-0005-0000-0000-00004A310000}"/>
    <cellStyle name="40% - Accent2 10 2 2 3 2 2" xfId="15617" xr:uid="{00000000-0005-0000-0000-00004B310000}"/>
    <cellStyle name="40% - Accent2 10 2 2 3 2 2 2" xfId="39459" xr:uid="{2AC63329-37E1-4DBD-BE0C-65ABD2B6C75C}"/>
    <cellStyle name="40% - Accent2 10 2 2 3 2 3" xfId="23563" xr:uid="{00000000-0005-0000-0000-00004C310000}"/>
    <cellStyle name="40% - Accent2 10 2 2 3 2 3 2" xfId="47395" xr:uid="{FF7BBBE9-9118-444E-8998-30A1572A22C1}"/>
    <cellStyle name="40% - Accent2 10 2 2 3 2 4" xfId="31518" xr:uid="{D86F2E6D-7540-4DB1-88C0-3230613FF438}"/>
    <cellStyle name="40% - Accent2 10 2 2 3 3" xfId="12079" xr:uid="{00000000-0005-0000-0000-00004D310000}"/>
    <cellStyle name="40% - Accent2 10 2 2 3 3 2" xfId="35928" xr:uid="{BB369CC7-8CC6-4CFC-8D95-7CEBA4A19BE6}"/>
    <cellStyle name="40% - Accent2 10 2 2 3 4" xfId="20034" xr:uid="{00000000-0005-0000-0000-00004E310000}"/>
    <cellStyle name="40% - Accent2 10 2 2 3 4 2" xfId="43866" xr:uid="{7D9895EA-0116-446E-B56C-D21EBAA722BC}"/>
    <cellStyle name="40% - Accent2 10 2 2 3 5" xfId="27987" xr:uid="{E5774CAE-7D5E-49D3-8C73-A43DC317A0C8}"/>
    <cellStyle name="40% - Accent2 10 2 2 4" xfId="5875" xr:uid="{00000000-0005-0000-0000-00004F310000}"/>
    <cellStyle name="40% - Accent2 10 2 2 4 2" xfId="13858" xr:uid="{00000000-0005-0000-0000-000050310000}"/>
    <cellStyle name="40% - Accent2 10 2 2 4 2 2" xfId="37701" xr:uid="{AD855680-A278-48E0-A511-8A17C39FB939}"/>
    <cellStyle name="40% - Accent2 10 2 2 4 3" xfId="21806" xr:uid="{00000000-0005-0000-0000-000051310000}"/>
    <cellStyle name="40% - Accent2 10 2 2 4 3 2" xfId="45638" xr:uid="{C62EE004-2196-49B4-8E92-94E85DA197A7}"/>
    <cellStyle name="40% - Accent2 10 2 2 4 4" xfId="29760" xr:uid="{A0F5A921-682B-4C78-A5C9-C227DF372736}"/>
    <cellStyle name="40% - Accent2 10 2 2 5" xfId="9427" xr:uid="{00000000-0005-0000-0000-000052310000}"/>
    <cellStyle name="40% - Accent2 10 2 2 5 2" xfId="17385" xr:uid="{00000000-0005-0000-0000-000053310000}"/>
    <cellStyle name="40% - Accent2 10 2 2 5 2 2" xfId="41225" xr:uid="{9955DAE0-67EE-443A-AFD5-62A92409E7FB}"/>
    <cellStyle name="40% - Accent2 10 2 2 5 3" xfId="25329" xr:uid="{00000000-0005-0000-0000-000054310000}"/>
    <cellStyle name="40% - Accent2 10 2 2 5 3 2" xfId="49161" xr:uid="{5A4E6D46-8D87-4B95-A4E3-AEE25B5285DA}"/>
    <cellStyle name="40% - Accent2 10 2 2 5 4" xfId="33284" xr:uid="{270DA43F-ECFA-4DD7-93F5-1CE05D6B977C}"/>
    <cellStyle name="40% - Accent2 10 2 2 6" xfId="10323" xr:uid="{00000000-0005-0000-0000-000055310000}"/>
    <cellStyle name="40% - Accent2 10 2 2 6 2" xfId="34172" xr:uid="{D6402C48-3FDF-42D4-9F13-715EFE34E879}"/>
    <cellStyle name="40% - Accent2 10 2 2 7" xfId="18278" xr:uid="{00000000-0005-0000-0000-000056310000}"/>
    <cellStyle name="40% - Accent2 10 2 2 7 2" xfId="42110" xr:uid="{AD0A7350-3070-49FB-9223-6A6DC2FC9CE3}"/>
    <cellStyle name="40% - Accent2 10 2 2 8" xfId="26230" xr:uid="{224BF34D-772E-4B26-9496-37D8DEAA6873}"/>
    <cellStyle name="40% - Accent2 10 2 2_Exh G" xfId="2804" xr:uid="{00000000-0005-0000-0000-000057310000}"/>
    <cellStyle name="40% - Accent2 10 2 3" xfId="1406" xr:uid="{00000000-0005-0000-0000-000058310000}"/>
    <cellStyle name="40% - Accent2 10 2 3 2" xfId="4933" xr:uid="{00000000-0005-0000-0000-000059310000}"/>
    <cellStyle name="40% - Accent2 10 2 3 2 2" xfId="8524" xr:uid="{00000000-0005-0000-0000-00005A310000}"/>
    <cellStyle name="40% - Accent2 10 2 3 2 2 2" xfId="16494" xr:uid="{00000000-0005-0000-0000-00005B310000}"/>
    <cellStyle name="40% - Accent2 10 2 3 2 2 2 2" xfId="40336" xr:uid="{0C627F1C-9948-4BAF-817F-8977DF8497DA}"/>
    <cellStyle name="40% - Accent2 10 2 3 2 2 3" xfId="24440" xr:uid="{00000000-0005-0000-0000-00005C310000}"/>
    <cellStyle name="40% - Accent2 10 2 3 2 2 3 2" xfId="48272" xr:uid="{9ADE5116-3B84-400E-B0D5-076AB76C236B}"/>
    <cellStyle name="40% - Accent2 10 2 3 2 2 4" xfId="32395" xr:uid="{92038FEF-68E2-4C7F-999C-1233088DAF40}"/>
    <cellStyle name="40% - Accent2 10 2 3 2 3" xfId="12956" xr:uid="{00000000-0005-0000-0000-00005D310000}"/>
    <cellStyle name="40% - Accent2 10 2 3 2 3 2" xfId="36805" xr:uid="{D99A74A5-A96D-4DE4-B2AB-C0E52FA872E7}"/>
    <cellStyle name="40% - Accent2 10 2 3 2 4" xfId="20911" xr:uid="{00000000-0005-0000-0000-00005E310000}"/>
    <cellStyle name="40% - Accent2 10 2 3 2 4 2" xfId="44743" xr:uid="{93F3C652-DD53-4A86-9639-CAA89EB3F0B7}"/>
    <cellStyle name="40% - Accent2 10 2 3 2 5" xfId="28864" xr:uid="{5D0E483D-ED8D-43ED-AB2C-80F7E76B98DA}"/>
    <cellStyle name="40% - Accent2 10 2 3 3" xfId="6765" xr:uid="{00000000-0005-0000-0000-00005F310000}"/>
    <cellStyle name="40% - Accent2 10 2 3 3 2" xfId="14736" xr:uid="{00000000-0005-0000-0000-000060310000}"/>
    <cellStyle name="40% - Accent2 10 2 3 3 2 2" xfId="38578" xr:uid="{A7F6B444-5A3E-4EFD-9BA6-BFA892634E74}"/>
    <cellStyle name="40% - Accent2 10 2 3 3 3" xfId="22683" xr:uid="{00000000-0005-0000-0000-000061310000}"/>
    <cellStyle name="40% - Accent2 10 2 3 3 3 2" xfId="46515" xr:uid="{3C9B7579-9E40-4C87-B735-EC25697E90E4}"/>
    <cellStyle name="40% - Accent2 10 2 3 3 4" xfId="30637" xr:uid="{D95C3F8D-0BB3-4D13-9178-35B68262218C}"/>
    <cellStyle name="40% - Accent2 10 2 3 4" xfId="11200" xr:uid="{00000000-0005-0000-0000-000062310000}"/>
    <cellStyle name="40% - Accent2 10 2 3 4 2" xfId="35049" xr:uid="{483F06FC-28D2-448E-9B84-431FA8D879C7}"/>
    <cellStyle name="40% - Accent2 10 2 3 5" xfId="19155" xr:uid="{00000000-0005-0000-0000-000063310000}"/>
    <cellStyle name="40% - Accent2 10 2 3 5 2" xfId="42987" xr:uid="{25446A1A-1E8D-4DB9-95E9-5FAC4520A32C}"/>
    <cellStyle name="40% - Accent2 10 2 3 6" xfId="27107" xr:uid="{5FF7B602-6A97-4D2C-A5B4-EF62E8B39C53}"/>
    <cellStyle name="40% - Accent2 10 2 3_Exh G" xfId="2806" xr:uid="{00000000-0005-0000-0000-000064310000}"/>
    <cellStyle name="40% - Accent2 10 2 4" xfId="4054" xr:uid="{00000000-0005-0000-0000-000065310000}"/>
    <cellStyle name="40% - Accent2 10 2 4 2" xfId="7646" xr:uid="{00000000-0005-0000-0000-000066310000}"/>
    <cellStyle name="40% - Accent2 10 2 4 2 2" xfId="15616" xr:uid="{00000000-0005-0000-0000-000067310000}"/>
    <cellStyle name="40% - Accent2 10 2 4 2 2 2" xfId="39458" xr:uid="{C4F1E9DE-6CEF-4594-98C9-024747DFE96F}"/>
    <cellStyle name="40% - Accent2 10 2 4 2 3" xfId="23562" xr:uid="{00000000-0005-0000-0000-000068310000}"/>
    <cellStyle name="40% - Accent2 10 2 4 2 3 2" xfId="47394" xr:uid="{DF4D3911-5B89-4227-A6F2-AA5EF90E91CB}"/>
    <cellStyle name="40% - Accent2 10 2 4 2 4" xfId="31517" xr:uid="{8F5D512A-6FFF-4333-9D55-911225AFB111}"/>
    <cellStyle name="40% - Accent2 10 2 4 3" xfId="12078" xr:uid="{00000000-0005-0000-0000-000069310000}"/>
    <cellStyle name="40% - Accent2 10 2 4 3 2" xfId="35927" xr:uid="{3BA94470-7773-4576-B7E1-4CD037B1B965}"/>
    <cellStyle name="40% - Accent2 10 2 4 4" xfId="20033" xr:uid="{00000000-0005-0000-0000-00006A310000}"/>
    <cellStyle name="40% - Accent2 10 2 4 4 2" xfId="43865" xr:uid="{EF251F4E-FD7A-4099-AFB5-A65EA6F50F70}"/>
    <cellStyle name="40% - Accent2 10 2 4 5" xfId="27986" xr:uid="{A34E669D-0623-473C-89A7-A8BE2DD4B835}"/>
    <cellStyle name="40% - Accent2 10 2 5" xfId="5874" xr:uid="{00000000-0005-0000-0000-00006B310000}"/>
    <cellStyle name="40% - Accent2 10 2 5 2" xfId="13857" xr:uid="{00000000-0005-0000-0000-00006C310000}"/>
    <cellStyle name="40% - Accent2 10 2 5 2 2" xfId="37700" xr:uid="{BEA6009B-38E9-4A02-8861-3A1F08BCED9C}"/>
    <cellStyle name="40% - Accent2 10 2 5 3" xfId="21805" xr:uid="{00000000-0005-0000-0000-00006D310000}"/>
    <cellStyle name="40% - Accent2 10 2 5 3 2" xfId="45637" xr:uid="{C6FDC6C5-6EA8-4A23-B5A1-3E7B4B5AF93C}"/>
    <cellStyle name="40% - Accent2 10 2 5 4" xfId="29759" xr:uid="{31549852-FAF9-4947-B326-0602666290AA}"/>
    <cellStyle name="40% - Accent2 10 2 6" xfId="9426" xr:uid="{00000000-0005-0000-0000-00006E310000}"/>
    <cellStyle name="40% - Accent2 10 2 6 2" xfId="17384" xr:uid="{00000000-0005-0000-0000-00006F310000}"/>
    <cellStyle name="40% - Accent2 10 2 6 2 2" xfId="41224" xr:uid="{CD299FC6-3990-4B40-80A9-4BC0CAC2A4A9}"/>
    <cellStyle name="40% - Accent2 10 2 6 3" xfId="25328" xr:uid="{00000000-0005-0000-0000-000070310000}"/>
    <cellStyle name="40% - Accent2 10 2 6 3 2" xfId="49160" xr:uid="{FA9AF5CE-D23A-485D-800D-11988E8054F4}"/>
    <cellStyle name="40% - Accent2 10 2 6 4" xfId="33283" xr:uid="{FF28A62A-BDF3-4C6A-8FC3-61C2AC12594C}"/>
    <cellStyle name="40% - Accent2 10 2 7" xfId="10322" xr:uid="{00000000-0005-0000-0000-000071310000}"/>
    <cellStyle name="40% - Accent2 10 2 7 2" xfId="34171" xr:uid="{DFEAE378-C836-41BF-9FD1-98D391E83A11}"/>
    <cellStyle name="40% - Accent2 10 2 8" xfId="18277" xr:uid="{00000000-0005-0000-0000-000072310000}"/>
    <cellStyle name="40% - Accent2 10 2 8 2" xfId="42109" xr:uid="{6FFC511D-C804-4933-9B27-975A3CD23C9C}"/>
    <cellStyle name="40% - Accent2 10 2 9" xfId="26229" xr:uid="{79AFD50D-3BD3-4560-9665-4C1CAC2B1844}"/>
    <cellStyle name="40% - Accent2 10 2_Exh G" xfId="2803" xr:uid="{00000000-0005-0000-0000-000073310000}"/>
    <cellStyle name="40% - Accent2 10 3" xfId="382" xr:uid="{00000000-0005-0000-0000-000074310000}"/>
    <cellStyle name="40% - Accent2 10 3 2" xfId="1408" xr:uid="{00000000-0005-0000-0000-000075310000}"/>
    <cellStyle name="40% - Accent2 10 3 2 2" xfId="4935" xr:uid="{00000000-0005-0000-0000-000076310000}"/>
    <cellStyle name="40% - Accent2 10 3 2 2 2" xfId="8526" xr:uid="{00000000-0005-0000-0000-000077310000}"/>
    <cellStyle name="40% - Accent2 10 3 2 2 2 2" xfId="16496" xr:uid="{00000000-0005-0000-0000-000078310000}"/>
    <cellStyle name="40% - Accent2 10 3 2 2 2 2 2" xfId="40338" xr:uid="{72B34B2E-2A09-40A2-95C9-F6EB1DE03A7B}"/>
    <cellStyle name="40% - Accent2 10 3 2 2 2 3" xfId="24442" xr:uid="{00000000-0005-0000-0000-000079310000}"/>
    <cellStyle name="40% - Accent2 10 3 2 2 2 3 2" xfId="48274" xr:uid="{AF8E1EBA-581A-49D9-AA4A-3E5B944D5C64}"/>
    <cellStyle name="40% - Accent2 10 3 2 2 2 4" xfId="32397" xr:uid="{39ADB3E1-4510-4D0D-B829-9B65F074AEBC}"/>
    <cellStyle name="40% - Accent2 10 3 2 2 3" xfId="12958" xr:uid="{00000000-0005-0000-0000-00007A310000}"/>
    <cellStyle name="40% - Accent2 10 3 2 2 3 2" xfId="36807" xr:uid="{448667E7-EA35-4C4C-AF50-0E2F3F08FA3A}"/>
    <cellStyle name="40% - Accent2 10 3 2 2 4" xfId="20913" xr:uid="{00000000-0005-0000-0000-00007B310000}"/>
    <cellStyle name="40% - Accent2 10 3 2 2 4 2" xfId="44745" xr:uid="{56B82E55-ED49-4527-830B-7E4AF30FC87E}"/>
    <cellStyle name="40% - Accent2 10 3 2 2 5" xfId="28866" xr:uid="{F88DBA2C-1C65-4BEF-B19B-58A9B061E3DC}"/>
    <cellStyle name="40% - Accent2 10 3 2 3" xfId="6767" xr:uid="{00000000-0005-0000-0000-00007C310000}"/>
    <cellStyle name="40% - Accent2 10 3 2 3 2" xfId="14738" xr:uid="{00000000-0005-0000-0000-00007D310000}"/>
    <cellStyle name="40% - Accent2 10 3 2 3 2 2" xfId="38580" xr:uid="{6424B57F-ED00-4AAE-B760-84A266ECFA9D}"/>
    <cellStyle name="40% - Accent2 10 3 2 3 3" xfId="22685" xr:uid="{00000000-0005-0000-0000-00007E310000}"/>
    <cellStyle name="40% - Accent2 10 3 2 3 3 2" xfId="46517" xr:uid="{9F8953D6-5048-487F-88F5-E3D4AEF3F94D}"/>
    <cellStyle name="40% - Accent2 10 3 2 3 4" xfId="30639" xr:uid="{40A820EE-5E21-462F-BEA2-9025F2E43697}"/>
    <cellStyle name="40% - Accent2 10 3 2 4" xfId="11202" xr:uid="{00000000-0005-0000-0000-00007F310000}"/>
    <cellStyle name="40% - Accent2 10 3 2 4 2" xfId="35051" xr:uid="{533DAFC7-22C6-4F91-9D0D-28BA7449FB24}"/>
    <cellStyle name="40% - Accent2 10 3 2 5" xfId="19157" xr:uid="{00000000-0005-0000-0000-000080310000}"/>
    <cellStyle name="40% - Accent2 10 3 2 5 2" xfId="42989" xr:uid="{4F31AD82-560B-47B7-9BAB-D73B7AD07F24}"/>
    <cellStyle name="40% - Accent2 10 3 2 6" xfId="27109" xr:uid="{F40BC93D-5A44-4552-BE54-9E2728CC9439}"/>
    <cellStyle name="40% - Accent2 10 3 2_Exh G" xfId="2808" xr:uid="{00000000-0005-0000-0000-000081310000}"/>
    <cellStyle name="40% - Accent2 10 3 3" xfId="4056" xr:uid="{00000000-0005-0000-0000-000082310000}"/>
    <cellStyle name="40% - Accent2 10 3 3 2" xfId="7648" xr:uid="{00000000-0005-0000-0000-000083310000}"/>
    <cellStyle name="40% - Accent2 10 3 3 2 2" xfId="15618" xr:uid="{00000000-0005-0000-0000-000084310000}"/>
    <cellStyle name="40% - Accent2 10 3 3 2 2 2" xfId="39460" xr:uid="{559BD692-2272-42A1-BD84-F53A868E976E}"/>
    <cellStyle name="40% - Accent2 10 3 3 2 3" xfId="23564" xr:uid="{00000000-0005-0000-0000-000085310000}"/>
    <cellStyle name="40% - Accent2 10 3 3 2 3 2" xfId="47396" xr:uid="{D1D629A1-0AFE-4822-8765-C7AD78E2BA17}"/>
    <cellStyle name="40% - Accent2 10 3 3 2 4" xfId="31519" xr:uid="{8D255CFE-363B-4E15-8E14-06364F339F6E}"/>
    <cellStyle name="40% - Accent2 10 3 3 3" xfId="12080" xr:uid="{00000000-0005-0000-0000-000086310000}"/>
    <cellStyle name="40% - Accent2 10 3 3 3 2" xfId="35929" xr:uid="{F8F93A72-C339-4407-AD1A-2C77C6534B60}"/>
    <cellStyle name="40% - Accent2 10 3 3 4" xfId="20035" xr:uid="{00000000-0005-0000-0000-000087310000}"/>
    <cellStyle name="40% - Accent2 10 3 3 4 2" xfId="43867" xr:uid="{27833A64-3F56-4DBA-ADB1-1FA055CEC978}"/>
    <cellStyle name="40% - Accent2 10 3 3 5" xfId="27988" xr:uid="{E821D183-8F96-460B-9180-113ABDD3308E}"/>
    <cellStyle name="40% - Accent2 10 3 4" xfId="5876" xr:uid="{00000000-0005-0000-0000-000088310000}"/>
    <cellStyle name="40% - Accent2 10 3 4 2" xfId="13859" xr:uid="{00000000-0005-0000-0000-000089310000}"/>
    <cellStyle name="40% - Accent2 10 3 4 2 2" xfId="37702" xr:uid="{7EB3D49E-FE2F-4FA3-A880-750CD49A3334}"/>
    <cellStyle name="40% - Accent2 10 3 4 3" xfId="21807" xr:uid="{00000000-0005-0000-0000-00008A310000}"/>
    <cellStyle name="40% - Accent2 10 3 4 3 2" xfId="45639" xr:uid="{FC1E19BD-AF67-491F-B04A-3A6F31441ADA}"/>
    <cellStyle name="40% - Accent2 10 3 4 4" xfId="29761" xr:uid="{8A318C04-F0DB-4FA7-83BF-EB6147DF4271}"/>
    <cellStyle name="40% - Accent2 10 3 5" xfId="9428" xr:uid="{00000000-0005-0000-0000-00008B310000}"/>
    <cellStyle name="40% - Accent2 10 3 5 2" xfId="17386" xr:uid="{00000000-0005-0000-0000-00008C310000}"/>
    <cellStyle name="40% - Accent2 10 3 5 2 2" xfId="41226" xr:uid="{95F846A2-B3E3-461B-A8A6-6F73475ACAF1}"/>
    <cellStyle name="40% - Accent2 10 3 5 3" xfId="25330" xr:uid="{00000000-0005-0000-0000-00008D310000}"/>
    <cellStyle name="40% - Accent2 10 3 5 3 2" xfId="49162" xr:uid="{977EF684-C3A5-4334-BA0F-0BC13DB5E3F0}"/>
    <cellStyle name="40% - Accent2 10 3 5 4" xfId="33285" xr:uid="{74543CDF-1AEC-40E8-B83B-AD1154EC3631}"/>
    <cellStyle name="40% - Accent2 10 3 6" xfId="10324" xr:uid="{00000000-0005-0000-0000-00008E310000}"/>
    <cellStyle name="40% - Accent2 10 3 6 2" xfId="34173" xr:uid="{CBA23BF3-A551-4AA5-880B-0AE4A6314946}"/>
    <cellStyle name="40% - Accent2 10 3 7" xfId="18279" xr:uid="{00000000-0005-0000-0000-00008F310000}"/>
    <cellStyle name="40% - Accent2 10 3 7 2" xfId="42111" xr:uid="{D0B9C5E5-2EBF-494A-9182-AF8EBBA25BD3}"/>
    <cellStyle name="40% - Accent2 10 3 8" xfId="26231" xr:uid="{DFACBAAE-49E0-417C-AC01-9167B934CC0D}"/>
    <cellStyle name="40% - Accent2 10 3_Exh G" xfId="2807" xr:uid="{00000000-0005-0000-0000-000090310000}"/>
    <cellStyle name="40% - Accent2 10 4" xfId="943" xr:uid="{00000000-0005-0000-0000-000091310000}"/>
    <cellStyle name="40% - Accent2 10 5" xfId="1405" xr:uid="{00000000-0005-0000-0000-000092310000}"/>
    <cellStyle name="40% - Accent2 10 5 2" xfId="4932" xr:uid="{00000000-0005-0000-0000-000093310000}"/>
    <cellStyle name="40% - Accent2 10 5 2 2" xfId="8523" xr:uid="{00000000-0005-0000-0000-000094310000}"/>
    <cellStyle name="40% - Accent2 10 5 2 2 2" xfId="16493" xr:uid="{00000000-0005-0000-0000-000095310000}"/>
    <cellStyle name="40% - Accent2 10 5 2 2 2 2" xfId="40335" xr:uid="{352DE82A-FBFC-496E-A111-B05ABCF0B945}"/>
    <cellStyle name="40% - Accent2 10 5 2 2 3" xfId="24439" xr:uid="{00000000-0005-0000-0000-000096310000}"/>
    <cellStyle name="40% - Accent2 10 5 2 2 3 2" xfId="48271" xr:uid="{9F2818E5-2C42-43AF-A178-3F55B1BB2C6C}"/>
    <cellStyle name="40% - Accent2 10 5 2 2 4" xfId="32394" xr:uid="{F41046BF-D3A9-4C62-A79A-824318C4AEF2}"/>
    <cellStyle name="40% - Accent2 10 5 2 3" xfId="12955" xr:uid="{00000000-0005-0000-0000-000097310000}"/>
    <cellStyle name="40% - Accent2 10 5 2 3 2" xfId="36804" xr:uid="{3777F400-AF31-42FC-A85F-8CB63823B5B7}"/>
    <cellStyle name="40% - Accent2 10 5 2 4" xfId="20910" xr:uid="{00000000-0005-0000-0000-000098310000}"/>
    <cellStyle name="40% - Accent2 10 5 2 4 2" xfId="44742" xr:uid="{6C8F7814-F420-477E-B6A3-4705CE0272FC}"/>
    <cellStyle name="40% - Accent2 10 5 2 5" xfId="28863" xr:uid="{4083307F-7461-4281-93C0-781CCA33AA84}"/>
    <cellStyle name="40% - Accent2 10 5 3" xfId="6764" xr:uid="{00000000-0005-0000-0000-000099310000}"/>
    <cellStyle name="40% - Accent2 10 5 3 2" xfId="14735" xr:uid="{00000000-0005-0000-0000-00009A310000}"/>
    <cellStyle name="40% - Accent2 10 5 3 2 2" xfId="38577" xr:uid="{3741C42D-55C3-4A89-9374-0424A886EEAA}"/>
    <cellStyle name="40% - Accent2 10 5 3 3" xfId="22682" xr:uid="{00000000-0005-0000-0000-00009B310000}"/>
    <cellStyle name="40% - Accent2 10 5 3 3 2" xfId="46514" xr:uid="{469D2C3E-77CA-484E-B7C1-CA2CCE5084EC}"/>
    <cellStyle name="40% - Accent2 10 5 3 4" xfId="30636" xr:uid="{9844BD06-7374-434A-B855-BA6676A868F9}"/>
    <cellStyle name="40% - Accent2 10 5 4" xfId="11199" xr:uid="{00000000-0005-0000-0000-00009C310000}"/>
    <cellStyle name="40% - Accent2 10 5 4 2" xfId="35048" xr:uid="{3D8B5BAC-B8D4-464E-8988-8C8688480B97}"/>
    <cellStyle name="40% - Accent2 10 5 5" xfId="19154" xr:uid="{00000000-0005-0000-0000-00009D310000}"/>
    <cellStyle name="40% - Accent2 10 5 5 2" xfId="42986" xr:uid="{D7C378E0-37E5-4996-8552-730D1337F87A}"/>
    <cellStyle name="40% - Accent2 10 5 6" xfId="27106" xr:uid="{767F17A6-8D33-4EA3-BAFC-4AF211314358}"/>
    <cellStyle name="40% - Accent2 10 5_Exh G" xfId="2809" xr:uid="{00000000-0005-0000-0000-00009E310000}"/>
    <cellStyle name="40% - Accent2 10 6" xfId="4053" xr:uid="{00000000-0005-0000-0000-00009F310000}"/>
    <cellStyle name="40% - Accent2 10 6 2" xfId="7645" xr:uid="{00000000-0005-0000-0000-0000A0310000}"/>
    <cellStyle name="40% - Accent2 10 6 2 2" xfId="15615" xr:uid="{00000000-0005-0000-0000-0000A1310000}"/>
    <cellStyle name="40% - Accent2 10 6 2 2 2" xfId="39457" xr:uid="{48DF5E7B-A8B5-48F7-A698-7A89F0FAE74F}"/>
    <cellStyle name="40% - Accent2 10 6 2 3" xfId="23561" xr:uid="{00000000-0005-0000-0000-0000A2310000}"/>
    <cellStyle name="40% - Accent2 10 6 2 3 2" xfId="47393" xr:uid="{2ACAD3B0-1826-4C47-97CC-565A4F3DED3F}"/>
    <cellStyle name="40% - Accent2 10 6 2 4" xfId="31516" xr:uid="{858721C8-AF63-4FE8-A636-600ED6AD0120}"/>
    <cellStyle name="40% - Accent2 10 6 3" xfId="12077" xr:uid="{00000000-0005-0000-0000-0000A3310000}"/>
    <cellStyle name="40% - Accent2 10 6 3 2" xfId="35926" xr:uid="{072FAEB5-1AB4-4A91-9B07-569651013465}"/>
    <cellStyle name="40% - Accent2 10 6 4" xfId="20032" xr:uid="{00000000-0005-0000-0000-0000A4310000}"/>
    <cellStyle name="40% - Accent2 10 6 4 2" xfId="43864" xr:uid="{62A75978-2D53-45C6-BF4C-16F28CAE4B3E}"/>
    <cellStyle name="40% - Accent2 10 6 5" xfId="27985" xr:uid="{02A7EF8A-974F-4CCA-9747-DAC7D4B6083F}"/>
    <cellStyle name="40% - Accent2 10 7" xfId="5873" xr:uid="{00000000-0005-0000-0000-0000A5310000}"/>
    <cellStyle name="40% - Accent2 10 7 2" xfId="13856" xr:uid="{00000000-0005-0000-0000-0000A6310000}"/>
    <cellStyle name="40% - Accent2 10 7 2 2" xfId="37699" xr:uid="{9330B93A-7DE4-45E5-909C-C68E3BAB8F18}"/>
    <cellStyle name="40% - Accent2 10 7 3" xfId="21804" xr:uid="{00000000-0005-0000-0000-0000A7310000}"/>
    <cellStyle name="40% - Accent2 10 7 3 2" xfId="45636" xr:uid="{7AEBBDFE-D415-4641-85C8-599802B89E99}"/>
    <cellStyle name="40% - Accent2 10 7 4" xfId="29758" xr:uid="{B7CAD412-DEB7-434C-B686-ADE61E605ED2}"/>
    <cellStyle name="40% - Accent2 10 8" xfId="9425" xr:uid="{00000000-0005-0000-0000-0000A8310000}"/>
    <cellStyle name="40% - Accent2 10 8 2" xfId="17383" xr:uid="{00000000-0005-0000-0000-0000A9310000}"/>
    <cellStyle name="40% - Accent2 10 8 2 2" xfId="41223" xr:uid="{DB7B518A-6300-4778-93B3-5E5C3158B781}"/>
    <cellStyle name="40% - Accent2 10 8 3" xfId="25327" xr:uid="{00000000-0005-0000-0000-0000AA310000}"/>
    <cellStyle name="40% - Accent2 10 8 3 2" xfId="49159" xr:uid="{E4E6574E-0D0E-4C2A-8C77-8626E29D3197}"/>
    <cellStyle name="40% - Accent2 10 8 4" xfId="33282" xr:uid="{A3EA0B45-4090-44F8-803F-AB1575D9D620}"/>
    <cellStyle name="40% - Accent2 10 9" xfId="10321" xr:uid="{00000000-0005-0000-0000-0000AB310000}"/>
    <cellStyle name="40% - Accent2 10 9 2" xfId="34170" xr:uid="{2CE6DBDA-11A4-430F-9937-89F38EBF64BB}"/>
    <cellStyle name="40% - Accent2 10_Exh G" xfId="2802" xr:uid="{00000000-0005-0000-0000-0000AC310000}"/>
    <cellStyle name="40% - Accent2 11" xfId="383" xr:uid="{00000000-0005-0000-0000-0000AD310000}"/>
    <cellStyle name="40% - Accent2 11 10" xfId="26232" xr:uid="{16E2BEE0-1061-4A81-92A6-F90EAB348A5E}"/>
    <cellStyle name="40% - Accent2 11 2" xfId="384" xr:uid="{00000000-0005-0000-0000-0000AE310000}"/>
    <cellStyle name="40% - Accent2 11 2 2" xfId="385" xr:uid="{00000000-0005-0000-0000-0000AF310000}"/>
    <cellStyle name="40% - Accent2 11 2 2 2" xfId="1411" xr:uid="{00000000-0005-0000-0000-0000B0310000}"/>
    <cellStyle name="40% - Accent2 11 2 2 2 2" xfId="4938" xr:uid="{00000000-0005-0000-0000-0000B1310000}"/>
    <cellStyle name="40% - Accent2 11 2 2 2 2 2" xfId="8529" xr:uid="{00000000-0005-0000-0000-0000B2310000}"/>
    <cellStyle name="40% - Accent2 11 2 2 2 2 2 2" xfId="16499" xr:uid="{00000000-0005-0000-0000-0000B3310000}"/>
    <cellStyle name="40% - Accent2 11 2 2 2 2 2 2 2" xfId="40341" xr:uid="{9802817C-64DD-4D44-B2AC-5CD2AF93EFF7}"/>
    <cellStyle name="40% - Accent2 11 2 2 2 2 2 3" xfId="24445" xr:uid="{00000000-0005-0000-0000-0000B4310000}"/>
    <cellStyle name="40% - Accent2 11 2 2 2 2 2 3 2" xfId="48277" xr:uid="{097C8A67-5077-46A4-91B7-DC78BBDB75B6}"/>
    <cellStyle name="40% - Accent2 11 2 2 2 2 2 4" xfId="32400" xr:uid="{40B8ECD9-D16E-4475-A277-C4EA17045FA6}"/>
    <cellStyle name="40% - Accent2 11 2 2 2 2 3" xfId="12961" xr:uid="{00000000-0005-0000-0000-0000B5310000}"/>
    <cellStyle name="40% - Accent2 11 2 2 2 2 3 2" xfId="36810" xr:uid="{B758E30E-5006-49F8-8010-84FAA551D651}"/>
    <cellStyle name="40% - Accent2 11 2 2 2 2 4" xfId="20916" xr:uid="{00000000-0005-0000-0000-0000B6310000}"/>
    <cellStyle name="40% - Accent2 11 2 2 2 2 4 2" xfId="44748" xr:uid="{99E1D6CA-CFCA-4D37-BD6C-540B3FD4B939}"/>
    <cellStyle name="40% - Accent2 11 2 2 2 2 5" xfId="28869" xr:uid="{F1CA7C07-032F-415A-B1B0-A7A6825B8D17}"/>
    <cellStyle name="40% - Accent2 11 2 2 2 3" xfId="6770" xr:uid="{00000000-0005-0000-0000-0000B7310000}"/>
    <cellStyle name="40% - Accent2 11 2 2 2 3 2" xfId="14741" xr:uid="{00000000-0005-0000-0000-0000B8310000}"/>
    <cellStyle name="40% - Accent2 11 2 2 2 3 2 2" xfId="38583" xr:uid="{1DB30A6B-7064-427F-89D9-CFE4A6117B82}"/>
    <cellStyle name="40% - Accent2 11 2 2 2 3 3" xfId="22688" xr:uid="{00000000-0005-0000-0000-0000B9310000}"/>
    <cellStyle name="40% - Accent2 11 2 2 2 3 3 2" xfId="46520" xr:uid="{843745F1-4E49-4061-A8EC-CCF894972F41}"/>
    <cellStyle name="40% - Accent2 11 2 2 2 3 4" xfId="30642" xr:uid="{9C50C980-5694-4DA0-9310-39E669436D6F}"/>
    <cellStyle name="40% - Accent2 11 2 2 2 4" xfId="11205" xr:uid="{00000000-0005-0000-0000-0000BA310000}"/>
    <cellStyle name="40% - Accent2 11 2 2 2 4 2" xfId="35054" xr:uid="{F86C7F67-0529-49F1-B7D0-A2D088008111}"/>
    <cellStyle name="40% - Accent2 11 2 2 2 5" xfId="19160" xr:uid="{00000000-0005-0000-0000-0000BB310000}"/>
    <cellStyle name="40% - Accent2 11 2 2 2 5 2" xfId="42992" xr:uid="{3467256D-6072-41D2-9737-01B655A9B8AE}"/>
    <cellStyle name="40% - Accent2 11 2 2 2 6" xfId="27112" xr:uid="{C02A2FD8-3CAB-4A03-BEEC-9F0E2938FA4F}"/>
    <cellStyle name="40% - Accent2 11 2 2 2_Exh G" xfId="2813" xr:uid="{00000000-0005-0000-0000-0000BC310000}"/>
    <cellStyle name="40% - Accent2 11 2 2 3" xfId="4059" xr:uid="{00000000-0005-0000-0000-0000BD310000}"/>
    <cellStyle name="40% - Accent2 11 2 2 3 2" xfId="7651" xr:uid="{00000000-0005-0000-0000-0000BE310000}"/>
    <cellStyle name="40% - Accent2 11 2 2 3 2 2" xfId="15621" xr:uid="{00000000-0005-0000-0000-0000BF310000}"/>
    <cellStyle name="40% - Accent2 11 2 2 3 2 2 2" xfId="39463" xr:uid="{E363F9FB-B1C0-434D-B1BC-7DD38BFA2FBE}"/>
    <cellStyle name="40% - Accent2 11 2 2 3 2 3" xfId="23567" xr:uid="{00000000-0005-0000-0000-0000C0310000}"/>
    <cellStyle name="40% - Accent2 11 2 2 3 2 3 2" xfId="47399" xr:uid="{00C06BC2-F64F-4FF1-9108-27426AADBC3F}"/>
    <cellStyle name="40% - Accent2 11 2 2 3 2 4" xfId="31522" xr:uid="{328B9C1C-A52D-4224-845D-F727E272E076}"/>
    <cellStyle name="40% - Accent2 11 2 2 3 3" xfId="12083" xr:uid="{00000000-0005-0000-0000-0000C1310000}"/>
    <cellStyle name="40% - Accent2 11 2 2 3 3 2" xfId="35932" xr:uid="{C40C90EA-8565-4A3E-AABA-EC792817606B}"/>
    <cellStyle name="40% - Accent2 11 2 2 3 4" xfId="20038" xr:uid="{00000000-0005-0000-0000-0000C2310000}"/>
    <cellStyle name="40% - Accent2 11 2 2 3 4 2" xfId="43870" xr:uid="{4ADBD945-DEE7-4C2D-96DB-8B03E1D48771}"/>
    <cellStyle name="40% - Accent2 11 2 2 3 5" xfId="27991" xr:uid="{A2BBAD42-124C-4E19-8616-7FDC119E0E2B}"/>
    <cellStyle name="40% - Accent2 11 2 2 4" xfId="5879" xr:uid="{00000000-0005-0000-0000-0000C3310000}"/>
    <cellStyle name="40% - Accent2 11 2 2 4 2" xfId="13862" xr:uid="{00000000-0005-0000-0000-0000C4310000}"/>
    <cellStyle name="40% - Accent2 11 2 2 4 2 2" xfId="37705" xr:uid="{3065D7AA-0273-4779-838A-E25205DD1936}"/>
    <cellStyle name="40% - Accent2 11 2 2 4 3" xfId="21810" xr:uid="{00000000-0005-0000-0000-0000C5310000}"/>
    <cellStyle name="40% - Accent2 11 2 2 4 3 2" xfId="45642" xr:uid="{DCAF9348-8F27-477D-9F1E-560679E6B8FF}"/>
    <cellStyle name="40% - Accent2 11 2 2 4 4" xfId="29764" xr:uid="{13787FF9-AC58-4666-9E49-D5DA23622E8C}"/>
    <cellStyle name="40% - Accent2 11 2 2 5" xfId="9431" xr:uid="{00000000-0005-0000-0000-0000C6310000}"/>
    <cellStyle name="40% - Accent2 11 2 2 5 2" xfId="17389" xr:uid="{00000000-0005-0000-0000-0000C7310000}"/>
    <cellStyle name="40% - Accent2 11 2 2 5 2 2" xfId="41229" xr:uid="{0C2042EB-A0EA-4141-A1B3-8A12C150CD66}"/>
    <cellStyle name="40% - Accent2 11 2 2 5 3" xfId="25333" xr:uid="{00000000-0005-0000-0000-0000C8310000}"/>
    <cellStyle name="40% - Accent2 11 2 2 5 3 2" xfId="49165" xr:uid="{D9DA5F06-49F5-40C3-A74F-CA203D58BBC9}"/>
    <cellStyle name="40% - Accent2 11 2 2 5 4" xfId="33288" xr:uid="{6B36A17D-1A3B-4C0B-AF8F-0549FFEB2211}"/>
    <cellStyle name="40% - Accent2 11 2 2 6" xfId="10327" xr:uid="{00000000-0005-0000-0000-0000C9310000}"/>
    <cellStyle name="40% - Accent2 11 2 2 6 2" xfId="34176" xr:uid="{DAA7AD96-CEAD-4D83-A283-2393BE360D8D}"/>
    <cellStyle name="40% - Accent2 11 2 2 7" xfId="18282" xr:uid="{00000000-0005-0000-0000-0000CA310000}"/>
    <cellStyle name="40% - Accent2 11 2 2 7 2" xfId="42114" xr:uid="{CDA1E0BC-B53F-4E3A-B3E3-AA1A0CC2B5E1}"/>
    <cellStyle name="40% - Accent2 11 2 2 8" xfId="26234" xr:uid="{6FA2FC99-042A-475F-AD9B-633227B39A5D}"/>
    <cellStyle name="40% - Accent2 11 2 2_Exh G" xfId="2812" xr:uid="{00000000-0005-0000-0000-0000CB310000}"/>
    <cellStyle name="40% - Accent2 11 2 3" xfId="1410" xr:uid="{00000000-0005-0000-0000-0000CC310000}"/>
    <cellStyle name="40% - Accent2 11 2 3 2" xfId="4937" xr:uid="{00000000-0005-0000-0000-0000CD310000}"/>
    <cellStyle name="40% - Accent2 11 2 3 2 2" xfId="8528" xr:uid="{00000000-0005-0000-0000-0000CE310000}"/>
    <cellStyle name="40% - Accent2 11 2 3 2 2 2" xfId="16498" xr:uid="{00000000-0005-0000-0000-0000CF310000}"/>
    <cellStyle name="40% - Accent2 11 2 3 2 2 2 2" xfId="40340" xr:uid="{CB6D1DF2-BC38-4DCA-83EE-34615E129B11}"/>
    <cellStyle name="40% - Accent2 11 2 3 2 2 3" xfId="24444" xr:uid="{00000000-0005-0000-0000-0000D0310000}"/>
    <cellStyle name="40% - Accent2 11 2 3 2 2 3 2" xfId="48276" xr:uid="{F669FB85-B767-49DA-8BC4-E68BC1B1C16E}"/>
    <cellStyle name="40% - Accent2 11 2 3 2 2 4" xfId="32399" xr:uid="{EE1B7800-901E-421D-926B-2D68F92E67F3}"/>
    <cellStyle name="40% - Accent2 11 2 3 2 3" xfId="12960" xr:uid="{00000000-0005-0000-0000-0000D1310000}"/>
    <cellStyle name="40% - Accent2 11 2 3 2 3 2" xfId="36809" xr:uid="{16A27FCB-A3B7-4251-B0F7-850F3C42D1AA}"/>
    <cellStyle name="40% - Accent2 11 2 3 2 4" xfId="20915" xr:uid="{00000000-0005-0000-0000-0000D2310000}"/>
    <cellStyle name="40% - Accent2 11 2 3 2 4 2" xfId="44747" xr:uid="{F946BC50-7B25-4166-A655-EF03A45F51EF}"/>
    <cellStyle name="40% - Accent2 11 2 3 2 5" xfId="28868" xr:uid="{2D515C5A-DD1F-432E-B06B-2E700E71A4FE}"/>
    <cellStyle name="40% - Accent2 11 2 3 3" xfId="6769" xr:uid="{00000000-0005-0000-0000-0000D3310000}"/>
    <cellStyle name="40% - Accent2 11 2 3 3 2" xfId="14740" xr:uid="{00000000-0005-0000-0000-0000D4310000}"/>
    <cellStyle name="40% - Accent2 11 2 3 3 2 2" xfId="38582" xr:uid="{DDD0BA77-E3BE-42B3-9218-E5750FF303B9}"/>
    <cellStyle name="40% - Accent2 11 2 3 3 3" xfId="22687" xr:uid="{00000000-0005-0000-0000-0000D5310000}"/>
    <cellStyle name="40% - Accent2 11 2 3 3 3 2" xfId="46519" xr:uid="{E039901B-AA53-4CD8-BA7B-68763F3AA1A0}"/>
    <cellStyle name="40% - Accent2 11 2 3 3 4" xfId="30641" xr:uid="{3073875A-110D-4AB0-BB3C-40AE791E146E}"/>
    <cellStyle name="40% - Accent2 11 2 3 4" xfId="11204" xr:uid="{00000000-0005-0000-0000-0000D6310000}"/>
    <cellStyle name="40% - Accent2 11 2 3 4 2" xfId="35053" xr:uid="{30C55099-096C-4DCF-BBDE-7A97133D256D}"/>
    <cellStyle name="40% - Accent2 11 2 3 5" xfId="19159" xr:uid="{00000000-0005-0000-0000-0000D7310000}"/>
    <cellStyle name="40% - Accent2 11 2 3 5 2" xfId="42991" xr:uid="{A18107D8-D576-418F-9D04-0781DED80310}"/>
    <cellStyle name="40% - Accent2 11 2 3 6" xfId="27111" xr:uid="{F843BB27-CE9C-4D16-A853-655513B7597B}"/>
    <cellStyle name="40% - Accent2 11 2 3_Exh G" xfId="2814" xr:uid="{00000000-0005-0000-0000-0000D8310000}"/>
    <cellStyle name="40% - Accent2 11 2 4" xfId="4058" xr:uid="{00000000-0005-0000-0000-0000D9310000}"/>
    <cellStyle name="40% - Accent2 11 2 4 2" xfId="7650" xr:uid="{00000000-0005-0000-0000-0000DA310000}"/>
    <cellStyle name="40% - Accent2 11 2 4 2 2" xfId="15620" xr:uid="{00000000-0005-0000-0000-0000DB310000}"/>
    <cellStyle name="40% - Accent2 11 2 4 2 2 2" xfId="39462" xr:uid="{E2F8B5A3-CF11-433D-95E1-55D0DE3EB61A}"/>
    <cellStyle name="40% - Accent2 11 2 4 2 3" xfId="23566" xr:uid="{00000000-0005-0000-0000-0000DC310000}"/>
    <cellStyle name="40% - Accent2 11 2 4 2 3 2" xfId="47398" xr:uid="{76E415C5-28E9-40C1-AF1A-953715516F22}"/>
    <cellStyle name="40% - Accent2 11 2 4 2 4" xfId="31521" xr:uid="{5A36C1F0-C1FD-4AE0-9766-B966666A7457}"/>
    <cellStyle name="40% - Accent2 11 2 4 3" xfId="12082" xr:uid="{00000000-0005-0000-0000-0000DD310000}"/>
    <cellStyle name="40% - Accent2 11 2 4 3 2" xfId="35931" xr:uid="{96BCEF71-A485-4C04-8BF4-F9352B1305EF}"/>
    <cellStyle name="40% - Accent2 11 2 4 4" xfId="20037" xr:uid="{00000000-0005-0000-0000-0000DE310000}"/>
    <cellStyle name="40% - Accent2 11 2 4 4 2" xfId="43869" xr:uid="{0390E031-4014-435D-A67E-54F0754CB072}"/>
    <cellStyle name="40% - Accent2 11 2 4 5" xfId="27990" xr:uid="{7BBE5554-E78C-4988-A309-0A42C4C8001A}"/>
    <cellStyle name="40% - Accent2 11 2 5" xfId="5878" xr:uid="{00000000-0005-0000-0000-0000DF310000}"/>
    <cellStyle name="40% - Accent2 11 2 5 2" xfId="13861" xr:uid="{00000000-0005-0000-0000-0000E0310000}"/>
    <cellStyle name="40% - Accent2 11 2 5 2 2" xfId="37704" xr:uid="{347004D6-B8A6-4F0F-9AEB-EE1936637C16}"/>
    <cellStyle name="40% - Accent2 11 2 5 3" xfId="21809" xr:uid="{00000000-0005-0000-0000-0000E1310000}"/>
    <cellStyle name="40% - Accent2 11 2 5 3 2" xfId="45641" xr:uid="{75C0C64C-B4B7-4C57-9C31-3CAC3A6D4421}"/>
    <cellStyle name="40% - Accent2 11 2 5 4" xfId="29763" xr:uid="{FE4303C3-81CE-407B-ACB8-341DC0A3572D}"/>
    <cellStyle name="40% - Accent2 11 2 6" xfId="9430" xr:uid="{00000000-0005-0000-0000-0000E2310000}"/>
    <cellStyle name="40% - Accent2 11 2 6 2" xfId="17388" xr:uid="{00000000-0005-0000-0000-0000E3310000}"/>
    <cellStyle name="40% - Accent2 11 2 6 2 2" xfId="41228" xr:uid="{175E76D9-1EB3-4596-BD46-CB8DEDF16BD1}"/>
    <cellStyle name="40% - Accent2 11 2 6 3" xfId="25332" xr:uid="{00000000-0005-0000-0000-0000E4310000}"/>
    <cellStyle name="40% - Accent2 11 2 6 3 2" xfId="49164" xr:uid="{553A28CD-A0C2-4635-840F-881B9A6CE529}"/>
    <cellStyle name="40% - Accent2 11 2 6 4" xfId="33287" xr:uid="{E05EC1DC-F195-4C0A-BC4F-DF9F9A50D41D}"/>
    <cellStyle name="40% - Accent2 11 2 7" xfId="10326" xr:uid="{00000000-0005-0000-0000-0000E5310000}"/>
    <cellStyle name="40% - Accent2 11 2 7 2" xfId="34175" xr:uid="{FABB62EA-3755-4E62-9F95-0FE83DCF2E3B}"/>
    <cellStyle name="40% - Accent2 11 2 8" xfId="18281" xr:uid="{00000000-0005-0000-0000-0000E6310000}"/>
    <cellStyle name="40% - Accent2 11 2 8 2" xfId="42113" xr:uid="{CF42698B-CB61-412F-9B02-B63B5F6A0F3B}"/>
    <cellStyle name="40% - Accent2 11 2 9" xfId="26233" xr:uid="{D059AACE-477F-4F99-AB77-1B43ECE873EF}"/>
    <cellStyle name="40% - Accent2 11 2_Exh G" xfId="2811" xr:uid="{00000000-0005-0000-0000-0000E7310000}"/>
    <cellStyle name="40% - Accent2 11 3" xfId="386" xr:uid="{00000000-0005-0000-0000-0000E8310000}"/>
    <cellStyle name="40% - Accent2 11 3 2" xfId="1412" xr:uid="{00000000-0005-0000-0000-0000E9310000}"/>
    <cellStyle name="40% - Accent2 11 3 2 2" xfId="4939" xr:uid="{00000000-0005-0000-0000-0000EA310000}"/>
    <cellStyle name="40% - Accent2 11 3 2 2 2" xfId="8530" xr:uid="{00000000-0005-0000-0000-0000EB310000}"/>
    <cellStyle name="40% - Accent2 11 3 2 2 2 2" xfId="16500" xr:uid="{00000000-0005-0000-0000-0000EC310000}"/>
    <cellStyle name="40% - Accent2 11 3 2 2 2 2 2" xfId="40342" xr:uid="{581E8C7C-19D6-4FE4-9E16-400A40B3C1BA}"/>
    <cellStyle name="40% - Accent2 11 3 2 2 2 3" xfId="24446" xr:uid="{00000000-0005-0000-0000-0000ED310000}"/>
    <cellStyle name="40% - Accent2 11 3 2 2 2 3 2" xfId="48278" xr:uid="{B5D0842B-EDF2-4766-84A7-96F192B42745}"/>
    <cellStyle name="40% - Accent2 11 3 2 2 2 4" xfId="32401" xr:uid="{5E72FDDD-C8BC-434B-9811-40AF93F4F06D}"/>
    <cellStyle name="40% - Accent2 11 3 2 2 3" xfId="12962" xr:uid="{00000000-0005-0000-0000-0000EE310000}"/>
    <cellStyle name="40% - Accent2 11 3 2 2 3 2" xfId="36811" xr:uid="{C3CD1716-D1E5-4723-A6F6-3BE52AC8B35C}"/>
    <cellStyle name="40% - Accent2 11 3 2 2 4" xfId="20917" xr:uid="{00000000-0005-0000-0000-0000EF310000}"/>
    <cellStyle name="40% - Accent2 11 3 2 2 4 2" xfId="44749" xr:uid="{1D62B50C-E3AF-463B-A39F-7210EC3556C1}"/>
    <cellStyle name="40% - Accent2 11 3 2 2 5" xfId="28870" xr:uid="{0F64E554-3EE1-448F-9364-9434FF4E5F0C}"/>
    <cellStyle name="40% - Accent2 11 3 2 3" xfId="6771" xr:uid="{00000000-0005-0000-0000-0000F0310000}"/>
    <cellStyle name="40% - Accent2 11 3 2 3 2" xfId="14742" xr:uid="{00000000-0005-0000-0000-0000F1310000}"/>
    <cellStyle name="40% - Accent2 11 3 2 3 2 2" xfId="38584" xr:uid="{87E9B55B-F6E4-454F-B49E-A6F7D33CA0C6}"/>
    <cellStyle name="40% - Accent2 11 3 2 3 3" xfId="22689" xr:uid="{00000000-0005-0000-0000-0000F2310000}"/>
    <cellStyle name="40% - Accent2 11 3 2 3 3 2" xfId="46521" xr:uid="{C0876B93-E1D4-4348-9316-EA47A7CF97E3}"/>
    <cellStyle name="40% - Accent2 11 3 2 3 4" xfId="30643" xr:uid="{37703C80-9EF8-407F-AA46-CFCC390CA8BD}"/>
    <cellStyle name="40% - Accent2 11 3 2 4" xfId="11206" xr:uid="{00000000-0005-0000-0000-0000F3310000}"/>
    <cellStyle name="40% - Accent2 11 3 2 4 2" xfId="35055" xr:uid="{2878D6DF-933F-4E1B-821C-B564E604487F}"/>
    <cellStyle name="40% - Accent2 11 3 2 5" xfId="19161" xr:uid="{00000000-0005-0000-0000-0000F4310000}"/>
    <cellStyle name="40% - Accent2 11 3 2 5 2" xfId="42993" xr:uid="{56B86E12-39D8-499E-98FC-929BDC5EC6EB}"/>
    <cellStyle name="40% - Accent2 11 3 2 6" xfId="27113" xr:uid="{AEAE8AAB-3C1F-405F-9B59-9CAB3A25D288}"/>
    <cellStyle name="40% - Accent2 11 3 2_Exh G" xfId="2816" xr:uid="{00000000-0005-0000-0000-0000F5310000}"/>
    <cellStyle name="40% - Accent2 11 3 3" xfId="4060" xr:uid="{00000000-0005-0000-0000-0000F6310000}"/>
    <cellStyle name="40% - Accent2 11 3 3 2" xfId="7652" xr:uid="{00000000-0005-0000-0000-0000F7310000}"/>
    <cellStyle name="40% - Accent2 11 3 3 2 2" xfId="15622" xr:uid="{00000000-0005-0000-0000-0000F8310000}"/>
    <cellStyle name="40% - Accent2 11 3 3 2 2 2" xfId="39464" xr:uid="{92214C04-9431-4393-A8E0-7BD1EF7D8DF2}"/>
    <cellStyle name="40% - Accent2 11 3 3 2 3" xfId="23568" xr:uid="{00000000-0005-0000-0000-0000F9310000}"/>
    <cellStyle name="40% - Accent2 11 3 3 2 3 2" xfId="47400" xr:uid="{4AF1B704-65A2-476D-BA9B-5022D5FA17CD}"/>
    <cellStyle name="40% - Accent2 11 3 3 2 4" xfId="31523" xr:uid="{A705D0B8-8DE1-47A9-935A-906F8A2072FA}"/>
    <cellStyle name="40% - Accent2 11 3 3 3" xfId="12084" xr:uid="{00000000-0005-0000-0000-0000FA310000}"/>
    <cellStyle name="40% - Accent2 11 3 3 3 2" xfId="35933" xr:uid="{C625CC45-63D1-4F8A-9DBC-B9EDADBA2CEB}"/>
    <cellStyle name="40% - Accent2 11 3 3 4" xfId="20039" xr:uid="{00000000-0005-0000-0000-0000FB310000}"/>
    <cellStyle name="40% - Accent2 11 3 3 4 2" xfId="43871" xr:uid="{DC0D312E-3ACE-4B49-95B4-F896AD1917E2}"/>
    <cellStyle name="40% - Accent2 11 3 3 5" xfId="27992" xr:uid="{C50E5219-9C68-4E75-86FF-B2AE9D29B4F2}"/>
    <cellStyle name="40% - Accent2 11 3 4" xfId="5880" xr:uid="{00000000-0005-0000-0000-0000FC310000}"/>
    <cellStyle name="40% - Accent2 11 3 4 2" xfId="13863" xr:uid="{00000000-0005-0000-0000-0000FD310000}"/>
    <cellStyle name="40% - Accent2 11 3 4 2 2" xfId="37706" xr:uid="{21487056-E182-4365-818A-091B2A3ACA99}"/>
    <cellStyle name="40% - Accent2 11 3 4 3" xfId="21811" xr:uid="{00000000-0005-0000-0000-0000FE310000}"/>
    <cellStyle name="40% - Accent2 11 3 4 3 2" xfId="45643" xr:uid="{AE6EE265-58DE-411C-8F1D-CCA2FA1AF7CE}"/>
    <cellStyle name="40% - Accent2 11 3 4 4" xfId="29765" xr:uid="{429AA3F0-72B5-4171-A950-16E1B1CA9DA1}"/>
    <cellStyle name="40% - Accent2 11 3 5" xfId="9432" xr:uid="{00000000-0005-0000-0000-0000FF310000}"/>
    <cellStyle name="40% - Accent2 11 3 5 2" xfId="17390" xr:uid="{00000000-0005-0000-0000-000000320000}"/>
    <cellStyle name="40% - Accent2 11 3 5 2 2" xfId="41230" xr:uid="{8771FE24-BD6E-4ECB-B3C9-86F8A41A051B}"/>
    <cellStyle name="40% - Accent2 11 3 5 3" xfId="25334" xr:uid="{00000000-0005-0000-0000-000001320000}"/>
    <cellStyle name="40% - Accent2 11 3 5 3 2" xfId="49166" xr:uid="{2DACDB6C-029F-4A3D-A655-AFD5BAD2364B}"/>
    <cellStyle name="40% - Accent2 11 3 5 4" xfId="33289" xr:uid="{FFE95CA2-482C-495C-851D-32E58BC5B6C7}"/>
    <cellStyle name="40% - Accent2 11 3 6" xfId="10328" xr:uid="{00000000-0005-0000-0000-000002320000}"/>
    <cellStyle name="40% - Accent2 11 3 6 2" xfId="34177" xr:uid="{A6DF0347-6B3A-44AE-B08C-3970F34EAF77}"/>
    <cellStyle name="40% - Accent2 11 3 7" xfId="18283" xr:uid="{00000000-0005-0000-0000-000003320000}"/>
    <cellStyle name="40% - Accent2 11 3 7 2" xfId="42115" xr:uid="{22622000-6276-455B-ACCD-38559E0452A7}"/>
    <cellStyle name="40% - Accent2 11 3 8" xfId="26235" xr:uid="{4CE5457A-EA56-4E7D-A9ED-37A514086922}"/>
    <cellStyle name="40% - Accent2 11 3_Exh G" xfId="2815" xr:uid="{00000000-0005-0000-0000-000004320000}"/>
    <cellStyle name="40% - Accent2 11 4" xfId="1409" xr:uid="{00000000-0005-0000-0000-000005320000}"/>
    <cellStyle name="40% - Accent2 11 4 2" xfId="4936" xr:uid="{00000000-0005-0000-0000-000006320000}"/>
    <cellStyle name="40% - Accent2 11 4 2 2" xfId="8527" xr:uid="{00000000-0005-0000-0000-000007320000}"/>
    <cellStyle name="40% - Accent2 11 4 2 2 2" xfId="16497" xr:uid="{00000000-0005-0000-0000-000008320000}"/>
    <cellStyle name="40% - Accent2 11 4 2 2 2 2" xfId="40339" xr:uid="{DEEC9DB5-F939-478A-8957-23DB349DC756}"/>
    <cellStyle name="40% - Accent2 11 4 2 2 3" xfId="24443" xr:uid="{00000000-0005-0000-0000-000009320000}"/>
    <cellStyle name="40% - Accent2 11 4 2 2 3 2" xfId="48275" xr:uid="{51625CC5-AD3D-47FB-95CB-6072890DD76C}"/>
    <cellStyle name="40% - Accent2 11 4 2 2 4" xfId="32398" xr:uid="{253832A2-0987-4392-9E6B-B6CC7E6A1DF2}"/>
    <cellStyle name="40% - Accent2 11 4 2 3" xfId="12959" xr:uid="{00000000-0005-0000-0000-00000A320000}"/>
    <cellStyle name="40% - Accent2 11 4 2 3 2" xfId="36808" xr:uid="{5398EFE0-99BE-4F2F-BDD6-3B9E11A46669}"/>
    <cellStyle name="40% - Accent2 11 4 2 4" xfId="20914" xr:uid="{00000000-0005-0000-0000-00000B320000}"/>
    <cellStyle name="40% - Accent2 11 4 2 4 2" xfId="44746" xr:uid="{9E04119F-84C5-422B-A4AC-D7FE8E905BAC}"/>
    <cellStyle name="40% - Accent2 11 4 2 5" xfId="28867" xr:uid="{05097386-B3A8-4296-A51C-A75651CFEE4D}"/>
    <cellStyle name="40% - Accent2 11 4 3" xfId="6768" xr:uid="{00000000-0005-0000-0000-00000C320000}"/>
    <cellStyle name="40% - Accent2 11 4 3 2" xfId="14739" xr:uid="{00000000-0005-0000-0000-00000D320000}"/>
    <cellStyle name="40% - Accent2 11 4 3 2 2" xfId="38581" xr:uid="{19C665C5-2EB1-4C95-97FA-826528DD120D}"/>
    <cellStyle name="40% - Accent2 11 4 3 3" xfId="22686" xr:uid="{00000000-0005-0000-0000-00000E320000}"/>
    <cellStyle name="40% - Accent2 11 4 3 3 2" xfId="46518" xr:uid="{2793263B-2C13-40FD-B30B-A8561E1FE23E}"/>
    <cellStyle name="40% - Accent2 11 4 3 4" xfId="30640" xr:uid="{B671B8B5-F7CF-4BD2-A1DC-8FDCCAA0287C}"/>
    <cellStyle name="40% - Accent2 11 4 4" xfId="11203" xr:uid="{00000000-0005-0000-0000-00000F320000}"/>
    <cellStyle name="40% - Accent2 11 4 4 2" xfId="35052" xr:uid="{FEF506D0-1697-4E8C-B49F-05ABCB82C6E4}"/>
    <cellStyle name="40% - Accent2 11 4 5" xfId="19158" xr:uid="{00000000-0005-0000-0000-000010320000}"/>
    <cellStyle name="40% - Accent2 11 4 5 2" xfId="42990" xr:uid="{EB8B5CBD-307D-415F-8C17-782D3BE57C86}"/>
    <cellStyle name="40% - Accent2 11 4 6" xfId="27110" xr:uid="{9BFAC685-C16E-49ED-86C4-629634EA9128}"/>
    <cellStyle name="40% - Accent2 11 4_Exh G" xfId="2817" xr:uid="{00000000-0005-0000-0000-000011320000}"/>
    <cellStyle name="40% - Accent2 11 5" xfId="4057" xr:uid="{00000000-0005-0000-0000-000012320000}"/>
    <cellStyle name="40% - Accent2 11 5 2" xfId="7649" xr:uid="{00000000-0005-0000-0000-000013320000}"/>
    <cellStyle name="40% - Accent2 11 5 2 2" xfId="15619" xr:uid="{00000000-0005-0000-0000-000014320000}"/>
    <cellStyle name="40% - Accent2 11 5 2 2 2" xfId="39461" xr:uid="{D628ABA2-7C45-4CD3-AED9-70449093DB8B}"/>
    <cellStyle name="40% - Accent2 11 5 2 3" xfId="23565" xr:uid="{00000000-0005-0000-0000-000015320000}"/>
    <cellStyle name="40% - Accent2 11 5 2 3 2" xfId="47397" xr:uid="{00AAB044-2272-40C9-9C64-A4CB79CC4D48}"/>
    <cellStyle name="40% - Accent2 11 5 2 4" xfId="31520" xr:uid="{39F8B2F2-A663-44B3-AE13-3AC6083CD41A}"/>
    <cellStyle name="40% - Accent2 11 5 3" xfId="12081" xr:uid="{00000000-0005-0000-0000-000016320000}"/>
    <cellStyle name="40% - Accent2 11 5 3 2" xfId="35930" xr:uid="{F3B57E7A-1CF0-4503-9B6E-388046DB68C1}"/>
    <cellStyle name="40% - Accent2 11 5 4" xfId="20036" xr:uid="{00000000-0005-0000-0000-000017320000}"/>
    <cellStyle name="40% - Accent2 11 5 4 2" xfId="43868" xr:uid="{3329C012-FE7F-4D82-B920-69DF76DA3087}"/>
    <cellStyle name="40% - Accent2 11 5 5" xfId="27989" xr:uid="{6CDCA418-C8BB-4E70-990B-E72BAD0718CF}"/>
    <cellStyle name="40% - Accent2 11 6" xfId="5877" xr:uid="{00000000-0005-0000-0000-000018320000}"/>
    <cellStyle name="40% - Accent2 11 6 2" xfId="13860" xr:uid="{00000000-0005-0000-0000-000019320000}"/>
    <cellStyle name="40% - Accent2 11 6 2 2" xfId="37703" xr:uid="{7357822F-EAAF-4F5A-BC3B-291E3719734C}"/>
    <cellStyle name="40% - Accent2 11 6 3" xfId="21808" xr:uid="{00000000-0005-0000-0000-00001A320000}"/>
    <cellStyle name="40% - Accent2 11 6 3 2" xfId="45640" xr:uid="{67DF308E-3358-4878-A909-3EBEECC3FECF}"/>
    <cellStyle name="40% - Accent2 11 6 4" xfId="29762" xr:uid="{B255CC2D-234B-42DE-A248-1B5DE184B6E8}"/>
    <cellStyle name="40% - Accent2 11 7" xfId="9429" xr:uid="{00000000-0005-0000-0000-00001B320000}"/>
    <cellStyle name="40% - Accent2 11 7 2" xfId="17387" xr:uid="{00000000-0005-0000-0000-00001C320000}"/>
    <cellStyle name="40% - Accent2 11 7 2 2" xfId="41227" xr:uid="{5281715B-4E1E-40BF-9A5C-F0E7650DBD1C}"/>
    <cellStyle name="40% - Accent2 11 7 3" xfId="25331" xr:uid="{00000000-0005-0000-0000-00001D320000}"/>
    <cellStyle name="40% - Accent2 11 7 3 2" xfId="49163" xr:uid="{4193EF48-9ED1-46BF-A4AF-33D3BC374CDB}"/>
    <cellStyle name="40% - Accent2 11 7 4" xfId="33286" xr:uid="{C3629C03-9134-4DF2-B586-F225AEA70D1B}"/>
    <cellStyle name="40% - Accent2 11 8" xfId="10325" xr:uid="{00000000-0005-0000-0000-00001E320000}"/>
    <cellStyle name="40% - Accent2 11 8 2" xfId="34174" xr:uid="{B8C75175-E614-4D5C-BDE9-7BCC4537CFD2}"/>
    <cellStyle name="40% - Accent2 11 9" xfId="18280" xr:uid="{00000000-0005-0000-0000-00001F320000}"/>
    <cellStyle name="40% - Accent2 11 9 2" xfId="42112" xr:uid="{19538466-F396-43AA-A1A5-90144F682238}"/>
    <cellStyle name="40% - Accent2 11_Exh G" xfId="2810" xr:uid="{00000000-0005-0000-0000-000020320000}"/>
    <cellStyle name="40% - Accent2 12" xfId="387" xr:uid="{00000000-0005-0000-0000-000021320000}"/>
    <cellStyle name="40% - Accent2 12 10" xfId="26236" xr:uid="{4C5935BA-76FF-453A-8C94-359AD72B2321}"/>
    <cellStyle name="40% - Accent2 12 2" xfId="388" xr:uid="{00000000-0005-0000-0000-000022320000}"/>
    <cellStyle name="40% - Accent2 12 2 2" xfId="389" xr:uid="{00000000-0005-0000-0000-000023320000}"/>
    <cellStyle name="40% - Accent2 12 2 2 2" xfId="1415" xr:uid="{00000000-0005-0000-0000-000024320000}"/>
    <cellStyle name="40% - Accent2 12 2 2 2 2" xfId="4942" xr:uid="{00000000-0005-0000-0000-000025320000}"/>
    <cellStyle name="40% - Accent2 12 2 2 2 2 2" xfId="8533" xr:uid="{00000000-0005-0000-0000-000026320000}"/>
    <cellStyle name="40% - Accent2 12 2 2 2 2 2 2" xfId="16503" xr:uid="{00000000-0005-0000-0000-000027320000}"/>
    <cellStyle name="40% - Accent2 12 2 2 2 2 2 2 2" xfId="40345" xr:uid="{DDC6C004-E092-4EEB-B98A-F143A1909353}"/>
    <cellStyle name="40% - Accent2 12 2 2 2 2 2 3" xfId="24449" xr:uid="{00000000-0005-0000-0000-000028320000}"/>
    <cellStyle name="40% - Accent2 12 2 2 2 2 2 3 2" xfId="48281" xr:uid="{A61632D7-C661-445D-8C91-AD5CEDCBCA3C}"/>
    <cellStyle name="40% - Accent2 12 2 2 2 2 2 4" xfId="32404" xr:uid="{4D1A4660-3B58-4C36-AC67-A3E0F44FA17E}"/>
    <cellStyle name="40% - Accent2 12 2 2 2 2 3" xfId="12965" xr:uid="{00000000-0005-0000-0000-000029320000}"/>
    <cellStyle name="40% - Accent2 12 2 2 2 2 3 2" xfId="36814" xr:uid="{210FD5E7-051E-4EA8-87FB-7685A3A3FAFB}"/>
    <cellStyle name="40% - Accent2 12 2 2 2 2 4" xfId="20920" xr:uid="{00000000-0005-0000-0000-00002A320000}"/>
    <cellStyle name="40% - Accent2 12 2 2 2 2 4 2" xfId="44752" xr:uid="{1EE9D665-8989-46BC-8097-E6B191E278C0}"/>
    <cellStyle name="40% - Accent2 12 2 2 2 2 5" xfId="28873" xr:uid="{762241BB-D237-4161-90C5-866E82213BF9}"/>
    <cellStyle name="40% - Accent2 12 2 2 2 3" xfId="6774" xr:uid="{00000000-0005-0000-0000-00002B320000}"/>
    <cellStyle name="40% - Accent2 12 2 2 2 3 2" xfId="14745" xr:uid="{00000000-0005-0000-0000-00002C320000}"/>
    <cellStyle name="40% - Accent2 12 2 2 2 3 2 2" xfId="38587" xr:uid="{BDFB3CB6-7B2C-4C24-A5C0-B7BDFEDB0B5C}"/>
    <cellStyle name="40% - Accent2 12 2 2 2 3 3" xfId="22692" xr:uid="{00000000-0005-0000-0000-00002D320000}"/>
    <cellStyle name="40% - Accent2 12 2 2 2 3 3 2" xfId="46524" xr:uid="{0848C9A5-0A81-4012-A328-04E0007C39AC}"/>
    <cellStyle name="40% - Accent2 12 2 2 2 3 4" xfId="30646" xr:uid="{771D994C-CDD8-462C-96C8-B8BAC4B7495A}"/>
    <cellStyle name="40% - Accent2 12 2 2 2 4" xfId="11209" xr:uid="{00000000-0005-0000-0000-00002E320000}"/>
    <cellStyle name="40% - Accent2 12 2 2 2 4 2" xfId="35058" xr:uid="{9ABCC008-5E93-4BEF-BC5E-BD30689A8F91}"/>
    <cellStyle name="40% - Accent2 12 2 2 2 5" xfId="19164" xr:uid="{00000000-0005-0000-0000-00002F320000}"/>
    <cellStyle name="40% - Accent2 12 2 2 2 5 2" xfId="42996" xr:uid="{AC02C8B4-2204-4CF5-BCAC-7F453A363204}"/>
    <cellStyle name="40% - Accent2 12 2 2 2 6" xfId="27116" xr:uid="{D3AFEE30-2CD2-4C29-9640-609FFD187B2A}"/>
    <cellStyle name="40% - Accent2 12 2 2 2_Exh G" xfId="2821" xr:uid="{00000000-0005-0000-0000-000030320000}"/>
    <cellStyle name="40% - Accent2 12 2 2 3" xfId="4063" xr:uid="{00000000-0005-0000-0000-000031320000}"/>
    <cellStyle name="40% - Accent2 12 2 2 3 2" xfId="7655" xr:uid="{00000000-0005-0000-0000-000032320000}"/>
    <cellStyle name="40% - Accent2 12 2 2 3 2 2" xfId="15625" xr:uid="{00000000-0005-0000-0000-000033320000}"/>
    <cellStyle name="40% - Accent2 12 2 2 3 2 2 2" xfId="39467" xr:uid="{885B645A-03D5-487D-87EE-D39B55C0C96D}"/>
    <cellStyle name="40% - Accent2 12 2 2 3 2 3" xfId="23571" xr:uid="{00000000-0005-0000-0000-000034320000}"/>
    <cellStyle name="40% - Accent2 12 2 2 3 2 3 2" xfId="47403" xr:uid="{0B9EC798-5A9A-4988-B11F-A0A8976EC9C5}"/>
    <cellStyle name="40% - Accent2 12 2 2 3 2 4" xfId="31526" xr:uid="{86AF04F5-69E9-4D16-8340-4F49E5FDE280}"/>
    <cellStyle name="40% - Accent2 12 2 2 3 3" xfId="12087" xr:uid="{00000000-0005-0000-0000-000035320000}"/>
    <cellStyle name="40% - Accent2 12 2 2 3 3 2" xfId="35936" xr:uid="{D569E5F6-D1EC-43F0-A786-C4B3C5230D09}"/>
    <cellStyle name="40% - Accent2 12 2 2 3 4" xfId="20042" xr:uid="{00000000-0005-0000-0000-000036320000}"/>
    <cellStyle name="40% - Accent2 12 2 2 3 4 2" xfId="43874" xr:uid="{AF46C24B-35CA-40AC-8EFF-97051BB5BBFD}"/>
    <cellStyle name="40% - Accent2 12 2 2 3 5" xfId="27995" xr:uid="{03F92EA8-0645-4C47-971C-D4FDBC8E6649}"/>
    <cellStyle name="40% - Accent2 12 2 2 4" xfId="5883" xr:uid="{00000000-0005-0000-0000-000037320000}"/>
    <cellStyle name="40% - Accent2 12 2 2 4 2" xfId="13866" xr:uid="{00000000-0005-0000-0000-000038320000}"/>
    <cellStyle name="40% - Accent2 12 2 2 4 2 2" xfId="37709" xr:uid="{4AE443EE-1B74-46A1-9B45-D92D4884AB27}"/>
    <cellStyle name="40% - Accent2 12 2 2 4 3" xfId="21814" xr:uid="{00000000-0005-0000-0000-000039320000}"/>
    <cellStyle name="40% - Accent2 12 2 2 4 3 2" xfId="45646" xr:uid="{5A2D389C-7BDE-4A97-BE12-0CB04796ED86}"/>
    <cellStyle name="40% - Accent2 12 2 2 4 4" xfId="29768" xr:uid="{28B39C68-AA4B-405C-8D5F-D251EE9763AE}"/>
    <cellStyle name="40% - Accent2 12 2 2 5" xfId="9435" xr:uid="{00000000-0005-0000-0000-00003A320000}"/>
    <cellStyle name="40% - Accent2 12 2 2 5 2" xfId="17393" xr:uid="{00000000-0005-0000-0000-00003B320000}"/>
    <cellStyle name="40% - Accent2 12 2 2 5 2 2" xfId="41233" xr:uid="{D41ECE4E-83C3-4B34-836E-4A86458E8D08}"/>
    <cellStyle name="40% - Accent2 12 2 2 5 3" xfId="25337" xr:uid="{00000000-0005-0000-0000-00003C320000}"/>
    <cellStyle name="40% - Accent2 12 2 2 5 3 2" xfId="49169" xr:uid="{9F38E73D-0A87-4FEE-A162-008580C2D2E0}"/>
    <cellStyle name="40% - Accent2 12 2 2 5 4" xfId="33292" xr:uid="{BF228467-006D-4657-92CD-BC1084DB0056}"/>
    <cellStyle name="40% - Accent2 12 2 2 6" xfId="10331" xr:uid="{00000000-0005-0000-0000-00003D320000}"/>
    <cellStyle name="40% - Accent2 12 2 2 6 2" xfId="34180" xr:uid="{C626B015-628F-4EC5-97A8-CE08C161BF17}"/>
    <cellStyle name="40% - Accent2 12 2 2 7" xfId="18286" xr:uid="{00000000-0005-0000-0000-00003E320000}"/>
    <cellStyle name="40% - Accent2 12 2 2 7 2" xfId="42118" xr:uid="{FD37CF4B-5AFA-4A27-97F3-B46172504D8C}"/>
    <cellStyle name="40% - Accent2 12 2 2 8" xfId="26238" xr:uid="{2E68D0CB-630D-4DEA-ABC5-D70353BA6986}"/>
    <cellStyle name="40% - Accent2 12 2 2_Exh G" xfId="2820" xr:uid="{00000000-0005-0000-0000-00003F320000}"/>
    <cellStyle name="40% - Accent2 12 2 3" xfId="1414" xr:uid="{00000000-0005-0000-0000-000040320000}"/>
    <cellStyle name="40% - Accent2 12 2 3 2" xfId="4941" xr:uid="{00000000-0005-0000-0000-000041320000}"/>
    <cellStyle name="40% - Accent2 12 2 3 2 2" xfId="8532" xr:uid="{00000000-0005-0000-0000-000042320000}"/>
    <cellStyle name="40% - Accent2 12 2 3 2 2 2" xfId="16502" xr:uid="{00000000-0005-0000-0000-000043320000}"/>
    <cellStyle name="40% - Accent2 12 2 3 2 2 2 2" xfId="40344" xr:uid="{107E7271-E622-4B39-B2EC-538BB3DC1ECF}"/>
    <cellStyle name="40% - Accent2 12 2 3 2 2 3" xfId="24448" xr:uid="{00000000-0005-0000-0000-000044320000}"/>
    <cellStyle name="40% - Accent2 12 2 3 2 2 3 2" xfId="48280" xr:uid="{BD430860-1A38-429A-8C64-5FA84F5992AE}"/>
    <cellStyle name="40% - Accent2 12 2 3 2 2 4" xfId="32403" xr:uid="{BE684A27-E68F-42F7-827B-219D1D31BCD4}"/>
    <cellStyle name="40% - Accent2 12 2 3 2 3" xfId="12964" xr:uid="{00000000-0005-0000-0000-000045320000}"/>
    <cellStyle name="40% - Accent2 12 2 3 2 3 2" xfId="36813" xr:uid="{A15C2C86-034E-4887-8043-A18F1BFB0A04}"/>
    <cellStyle name="40% - Accent2 12 2 3 2 4" xfId="20919" xr:uid="{00000000-0005-0000-0000-000046320000}"/>
    <cellStyle name="40% - Accent2 12 2 3 2 4 2" xfId="44751" xr:uid="{AC7A1D08-0846-428E-AE83-E6A865C0CC75}"/>
    <cellStyle name="40% - Accent2 12 2 3 2 5" xfId="28872" xr:uid="{6D4CDBE5-BCE8-4259-8578-4D4C55BC63D5}"/>
    <cellStyle name="40% - Accent2 12 2 3 3" xfId="6773" xr:uid="{00000000-0005-0000-0000-000047320000}"/>
    <cellStyle name="40% - Accent2 12 2 3 3 2" xfId="14744" xr:uid="{00000000-0005-0000-0000-000048320000}"/>
    <cellStyle name="40% - Accent2 12 2 3 3 2 2" xfId="38586" xr:uid="{C4195CA7-CDAC-4370-AD9C-FD4529BC04E9}"/>
    <cellStyle name="40% - Accent2 12 2 3 3 3" xfId="22691" xr:uid="{00000000-0005-0000-0000-000049320000}"/>
    <cellStyle name="40% - Accent2 12 2 3 3 3 2" xfId="46523" xr:uid="{201F05C9-95C4-433C-B1D6-4047D97C3BC2}"/>
    <cellStyle name="40% - Accent2 12 2 3 3 4" xfId="30645" xr:uid="{83FAD70B-F7F1-4587-8086-E02C265C48D8}"/>
    <cellStyle name="40% - Accent2 12 2 3 4" xfId="11208" xr:uid="{00000000-0005-0000-0000-00004A320000}"/>
    <cellStyle name="40% - Accent2 12 2 3 4 2" xfId="35057" xr:uid="{7EFB020D-2D74-4FE1-A425-F278FA97AC3F}"/>
    <cellStyle name="40% - Accent2 12 2 3 5" xfId="19163" xr:uid="{00000000-0005-0000-0000-00004B320000}"/>
    <cellStyle name="40% - Accent2 12 2 3 5 2" xfId="42995" xr:uid="{8B877A62-EFEF-4456-A46E-995372092F61}"/>
    <cellStyle name="40% - Accent2 12 2 3 6" xfId="27115" xr:uid="{D977E112-2B23-4E41-8631-E52AD721A04B}"/>
    <cellStyle name="40% - Accent2 12 2 3_Exh G" xfId="2822" xr:uid="{00000000-0005-0000-0000-00004C320000}"/>
    <cellStyle name="40% - Accent2 12 2 4" xfId="4062" xr:uid="{00000000-0005-0000-0000-00004D320000}"/>
    <cellStyle name="40% - Accent2 12 2 4 2" xfId="7654" xr:uid="{00000000-0005-0000-0000-00004E320000}"/>
    <cellStyle name="40% - Accent2 12 2 4 2 2" xfId="15624" xr:uid="{00000000-0005-0000-0000-00004F320000}"/>
    <cellStyle name="40% - Accent2 12 2 4 2 2 2" xfId="39466" xr:uid="{69AA66D3-58E4-4136-9340-42D66AAEAA9E}"/>
    <cellStyle name="40% - Accent2 12 2 4 2 3" xfId="23570" xr:uid="{00000000-0005-0000-0000-000050320000}"/>
    <cellStyle name="40% - Accent2 12 2 4 2 3 2" xfId="47402" xr:uid="{35C5D7BF-D1FB-4917-9623-AAAFA64FEB67}"/>
    <cellStyle name="40% - Accent2 12 2 4 2 4" xfId="31525" xr:uid="{4F4930E7-3275-4B7D-A7C5-313196C2C643}"/>
    <cellStyle name="40% - Accent2 12 2 4 3" xfId="12086" xr:uid="{00000000-0005-0000-0000-000051320000}"/>
    <cellStyle name="40% - Accent2 12 2 4 3 2" xfId="35935" xr:uid="{7AD2517E-952B-460B-9FC8-F3B58BF8DA01}"/>
    <cellStyle name="40% - Accent2 12 2 4 4" xfId="20041" xr:uid="{00000000-0005-0000-0000-000052320000}"/>
    <cellStyle name="40% - Accent2 12 2 4 4 2" xfId="43873" xr:uid="{15A5FF81-E264-4681-A06E-8BDDB2A90E7B}"/>
    <cellStyle name="40% - Accent2 12 2 4 5" xfId="27994" xr:uid="{E49F0E38-602F-437F-BA06-F6713F272984}"/>
    <cellStyle name="40% - Accent2 12 2 5" xfId="5882" xr:uid="{00000000-0005-0000-0000-000053320000}"/>
    <cellStyle name="40% - Accent2 12 2 5 2" xfId="13865" xr:uid="{00000000-0005-0000-0000-000054320000}"/>
    <cellStyle name="40% - Accent2 12 2 5 2 2" xfId="37708" xr:uid="{B90061E0-9E6B-41E8-9737-C3420F81600E}"/>
    <cellStyle name="40% - Accent2 12 2 5 3" xfId="21813" xr:uid="{00000000-0005-0000-0000-000055320000}"/>
    <cellStyle name="40% - Accent2 12 2 5 3 2" xfId="45645" xr:uid="{5E985686-1DD7-4CF2-9463-975165926DB9}"/>
    <cellStyle name="40% - Accent2 12 2 5 4" xfId="29767" xr:uid="{04FDD665-0CB8-4297-82AF-427BA9B31E0C}"/>
    <cellStyle name="40% - Accent2 12 2 6" xfId="9434" xr:uid="{00000000-0005-0000-0000-000056320000}"/>
    <cellStyle name="40% - Accent2 12 2 6 2" xfId="17392" xr:uid="{00000000-0005-0000-0000-000057320000}"/>
    <cellStyle name="40% - Accent2 12 2 6 2 2" xfId="41232" xr:uid="{14CCED84-B6C0-49F4-90EE-A8276310C462}"/>
    <cellStyle name="40% - Accent2 12 2 6 3" xfId="25336" xr:uid="{00000000-0005-0000-0000-000058320000}"/>
    <cellStyle name="40% - Accent2 12 2 6 3 2" xfId="49168" xr:uid="{69BEB8B9-3B4D-443F-B8B5-C7B3E962024E}"/>
    <cellStyle name="40% - Accent2 12 2 6 4" xfId="33291" xr:uid="{4A08A43C-76D9-4E1D-9A5A-381A1F8479AD}"/>
    <cellStyle name="40% - Accent2 12 2 7" xfId="10330" xr:uid="{00000000-0005-0000-0000-000059320000}"/>
    <cellStyle name="40% - Accent2 12 2 7 2" xfId="34179" xr:uid="{FD826B0D-76A4-46FF-9810-F555166EE1A4}"/>
    <cellStyle name="40% - Accent2 12 2 8" xfId="18285" xr:uid="{00000000-0005-0000-0000-00005A320000}"/>
    <cellStyle name="40% - Accent2 12 2 8 2" xfId="42117" xr:uid="{E23DFDDD-C74D-4220-90A5-63A3538756B1}"/>
    <cellStyle name="40% - Accent2 12 2 9" xfId="26237" xr:uid="{9CFD95D6-74E6-4388-8F00-7129058D77C7}"/>
    <cellStyle name="40% - Accent2 12 2_Exh G" xfId="2819" xr:uid="{00000000-0005-0000-0000-00005B320000}"/>
    <cellStyle name="40% - Accent2 12 3" xfId="390" xr:uid="{00000000-0005-0000-0000-00005C320000}"/>
    <cellStyle name="40% - Accent2 12 3 2" xfId="1416" xr:uid="{00000000-0005-0000-0000-00005D320000}"/>
    <cellStyle name="40% - Accent2 12 3 2 2" xfId="4943" xr:uid="{00000000-0005-0000-0000-00005E320000}"/>
    <cellStyle name="40% - Accent2 12 3 2 2 2" xfId="8534" xr:uid="{00000000-0005-0000-0000-00005F320000}"/>
    <cellStyle name="40% - Accent2 12 3 2 2 2 2" xfId="16504" xr:uid="{00000000-0005-0000-0000-000060320000}"/>
    <cellStyle name="40% - Accent2 12 3 2 2 2 2 2" xfId="40346" xr:uid="{27E573CE-7FA6-42A4-A1EA-28DB446F3AD1}"/>
    <cellStyle name="40% - Accent2 12 3 2 2 2 3" xfId="24450" xr:uid="{00000000-0005-0000-0000-000061320000}"/>
    <cellStyle name="40% - Accent2 12 3 2 2 2 3 2" xfId="48282" xr:uid="{1239CFFB-6590-4D72-86B9-24F99917CE88}"/>
    <cellStyle name="40% - Accent2 12 3 2 2 2 4" xfId="32405" xr:uid="{98EC799E-E730-4668-BB62-9DB242FCEC17}"/>
    <cellStyle name="40% - Accent2 12 3 2 2 3" xfId="12966" xr:uid="{00000000-0005-0000-0000-000062320000}"/>
    <cellStyle name="40% - Accent2 12 3 2 2 3 2" xfId="36815" xr:uid="{38E5AFF1-8EB6-4339-B283-39C03FA8CE0D}"/>
    <cellStyle name="40% - Accent2 12 3 2 2 4" xfId="20921" xr:uid="{00000000-0005-0000-0000-000063320000}"/>
    <cellStyle name="40% - Accent2 12 3 2 2 4 2" xfId="44753" xr:uid="{73AC6288-4FB9-41E5-97B6-272B5135AFE0}"/>
    <cellStyle name="40% - Accent2 12 3 2 2 5" xfId="28874" xr:uid="{21497349-7D50-47E6-AB56-34BDDEAED8DF}"/>
    <cellStyle name="40% - Accent2 12 3 2 3" xfId="6775" xr:uid="{00000000-0005-0000-0000-000064320000}"/>
    <cellStyle name="40% - Accent2 12 3 2 3 2" xfId="14746" xr:uid="{00000000-0005-0000-0000-000065320000}"/>
    <cellStyle name="40% - Accent2 12 3 2 3 2 2" xfId="38588" xr:uid="{E3015F91-9168-42F9-8504-7B95EF145698}"/>
    <cellStyle name="40% - Accent2 12 3 2 3 3" xfId="22693" xr:uid="{00000000-0005-0000-0000-000066320000}"/>
    <cellStyle name="40% - Accent2 12 3 2 3 3 2" xfId="46525" xr:uid="{87F6E8B9-3603-4CB2-A6A4-8945167D524C}"/>
    <cellStyle name="40% - Accent2 12 3 2 3 4" xfId="30647" xr:uid="{4B5A8885-DA49-41BC-B783-ED6FEFC8A6F2}"/>
    <cellStyle name="40% - Accent2 12 3 2 4" xfId="11210" xr:uid="{00000000-0005-0000-0000-000067320000}"/>
    <cellStyle name="40% - Accent2 12 3 2 4 2" xfId="35059" xr:uid="{20494394-9463-4580-82C5-E70277E32927}"/>
    <cellStyle name="40% - Accent2 12 3 2 5" xfId="19165" xr:uid="{00000000-0005-0000-0000-000068320000}"/>
    <cellStyle name="40% - Accent2 12 3 2 5 2" xfId="42997" xr:uid="{753CD8B0-9A0E-4681-8ABF-1BD83D0A838E}"/>
    <cellStyle name="40% - Accent2 12 3 2 6" xfId="27117" xr:uid="{57090E4D-0622-4C0B-8D09-D360DA4ECADA}"/>
    <cellStyle name="40% - Accent2 12 3 2_Exh G" xfId="2824" xr:uid="{00000000-0005-0000-0000-000069320000}"/>
    <cellStyle name="40% - Accent2 12 3 3" xfId="4064" xr:uid="{00000000-0005-0000-0000-00006A320000}"/>
    <cellStyle name="40% - Accent2 12 3 3 2" xfId="7656" xr:uid="{00000000-0005-0000-0000-00006B320000}"/>
    <cellStyle name="40% - Accent2 12 3 3 2 2" xfId="15626" xr:uid="{00000000-0005-0000-0000-00006C320000}"/>
    <cellStyle name="40% - Accent2 12 3 3 2 2 2" xfId="39468" xr:uid="{84BD4165-26FE-431F-B8D1-B2C6041D860A}"/>
    <cellStyle name="40% - Accent2 12 3 3 2 3" xfId="23572" xr:uid="{00000000-0005-0000-0000-00006D320000}"/>
    <cellStyle name="40% - Accent2 12 3 3 2 3 2" xfId="47404" xr:uid="{F293D121-0995-42B9-8394-D11653360922}"/>
    <cellStyle name="40% - Accent2 12 3 3 2 4" xfId="31527" xr:uid="{A41FB7E9-89B3-44DA-8ECA-66482C8FAA7D}"/>
    <cellStyle name="40% - Accent2 12 3 3 3" xfId="12088" xr:uid="{00000000-0005-0000-0000-00006E320000}"/>
    <cellStyle name="40% - Accent2 12 3 3 3 2" xfId="35937" xr:uid="{10D89266-61B0-44C2-8F61-727EC1974A1E}"/>
    <cellStyle name="40% - Accent2 12 3 3 4" xfId="20043" xr:uid="{00000000-0005-0000-0000-00006F320000}"/>
    <cellStyle name="40% - Accent2 12 3 3 4 2" xfId="43875" xr:uid="{CDFBBB65-A20F-4441-A6C8-0026347B953C}"/>
    <cellStyle name="40% - Accent2 12 3 3 5" xfId="27996" xr:uid="{60553DCC-158A-4B79-8A5E-D043C6BE6E0E}"/>
    <cellStyle name="40% - Accent2 12 3 4" xfId="5884" xr:uid="{00000000-0005-0000-0000-000070320000}"/>
    <cellStyle name="40% - Accent2 12 3 4 2" xfId="13867" xr:uid="{00000000-0005-0000-0000-000071320000}"/>
    <cellStyle name="40% - Accent2 12 3 4 2 2" xfId="37710" xr:uid="{0CF9085F-957C-4BC0-9E49-64C132FF1052}"/>
    <cellStyle name="40% - Accent2 12 3 4 3" xfId="21815" xr:uid="{00000000-0005-0000-0000-000072320000}"/>
    <cellStyle name="40% - Accent2 12 3 4 3 2" xfId="45647" xr:uid="{24EDF1F9-9B29-4EC6-A559-1E18AF8D26F1}"/>
    <cellStyle name="40% - Accent2 12 3 4 4" xfId="29769" xr:uid="{F61862C5-4C6B-45B4-8BB1-07693FB2F00B}"/>
    <cellStyle name="40% - Accent2 12 3 5" xfId="9436" xr:uid="{00000000-0005-0000-0000-000073320000}"/>
    <cellStyle name="40% - Accent2 12 3 5 2" xfId="17394" xr:uid="{00000000-0005-0000-0000-000074320000}"/>
    <cellStyle name="40% - Accent2 12 3 5 2 2" xfId="41234" xr:uid="{B17E9EC9-242A-4D8F-92D1-A1F09A478F2E}"/>
    <cellStyle name="40% - Accent2 12 3 5 3" xfId="25338" xr:uid="{00000000-0005-0000-0000-000075320000}"/>
    <cellStyle name="40% - Accent2 12 3 5 3 2" xfId="49170" xr:uid="{9811BAB2-F352-4719-804C-1FA0DB9CF54B}"/>
    <cellStyle name="40% - Accent2 12 3 5 4" xfId="33293" xr:uid="{53AC52D0-1587-49BA-A4CF-B76AA3C3382C}"/>
    <cellStyle name="40% - Accent2 12 3 6" xfId="10332" xr:uid="{00000000-0005-0000-0000-000076320000}"/>
    <cellStyle name="40% - Accent2 12 3 6 2" xfId="34181" xr:uid="{015E3133-4C1B-4188-AF69-2F22B5398E0F}"/>
    <cellStyle name="40% - Accent2 12 3 7" xfId="18287" xr:uid="{00000000-0005-0000-0000-000077320000}"/>
    <cellStyle name="40% - Accent2 12 3 7 2" xfId="42119" xr:uid="{029246AE-0A20-496F-B3A7-48DDB03EB50A}"/>
    <cellStyle name="40% - Accent2 12 3 8" xfId="26239" xr:uid="{59C76CC1-41D0-429D-A00D-045465F53F3A}"/>
    <cellStyle name="40% - Accent2 12 3_Exh G" xfId="2823" xr:uid="{00000000-0005-0000-0000-000078320000}"/>
    <cellStyle name="40% - Accent2 12 4" xfId="1413" xr:uid="{00000000-0005-0000-0000-000079320000}"/>
    <cellStyle name="40% - Accent2 12 4 2" xfId="4940" xr:uid="{00000000-0005-0000-0000-00007A320000}"/>
    <cellStyle name="40% - Accent2 12 4 2 2" xfId="8531" xr:uid="{00000000-0005-0000-0000-00007B320000}"/>
    <cellStyle name="40% - Accent2 12 4 2 2 2" xfId="16501" xr:uid="{00000000-0005-0000-0000-00007C320000}"/>
    <cellStyle name="40% - Accent2 12 4 2 2 2 2" xfId="40343" xr:uid="{5C5E7731-6ABA-4199-A106-3E136B88D2CE}"/>
    <cellStyle name="40% - Accent2 12 4 2 2 3" xfId="24447" xr:uid="{00000000-0005-0000-0000-00007D320000}"/>
    <cellStyle name="40% - Accent2 12 4 2 2 3 2" xfId="48279" xr:uid="{8E54B5B4-1232-4E58-9483-F7BC772EAF88}"/>
    <cellStyle name="40% - Accent2 12 4 2 2 4" xfId="32402" xr:uid="{BF0D98D0-96CE-40C6-BA83-5B98402AD3FE}"/>
    <cellStyle name="40% - Accent2 12 4 2 3" xfId="12963" xr:uid="{00000000-0005-0000-0000-00007E320000}"/>
    <cellStyle name="40% - Accent2 12 4 2 3 2" xfId="36812" xr:uid="{EE77A393-A8A9-4BCB-B03C-42E96B22AD3E}"/>
    <cellStyle name="40% - Accent2 12 4 2 4" xfId="20918" xr:uid="{00000000-0005-0000-0000-00007F320000}"/>
    <cellStyle name="40% - Accent2 12 4 2 4 2" xfId="44750" xr:uid="{E7C861C3-7888-4144-B6CF-B90C0B06EC0D}"/>
    <cellStyle name="40% - Accent2 12 4 2 5" xfId="28871" xr:uid="{239EB85C-74FE-4E11-AB6D-D69A5894398C}"/>
    <cellStyle name="40% - Accent2 12 4 3" xfId="6772" xr:uid="{00000000-0005-0000-0000-000080320000}"/>
    <cellStyle name="40% - Accent2 12 4 3 2" xfId="14743" xr:uid="{00000000-0005-0000-0000-000081320000}"/>
    <cellStyle name="40% - Accent2 12 4 3 2 2" xfId="38585" xr:uid="{A90C2A71-2DF7-412E-A7D5-12F3ED769305}"/>
    <cellStyle name="40% - Accent2 12 4 3 3" xfId="22690" xr:uid="{00000000-0005-0000-0000-000082320000}"/>
    <cellStyle name="40% - Accent2 12 4 3 3 2" xfId="46522" xr:uid="{DA37632A-D591-48C0-BD8C-53430E05EC42}"/>
    <cellStyle name="40% - Accent2 12 4 3 4" xfId="30644" xr:uid="{7BE53A74-78C1-4F75-A718-80D74576B0FB}"/>
    <cellStyle name="40% - Accent2 12 4 4" xfId="11207" xr:uid="{00000000-0005-0000-0000-000083320000}"/>
    <cellStyle name="40% - Accent2 12 4 4 2" xfId="35056" xr:uid="{1377F8EF-A642-4255-96E6-571EA7780909}"/>
    <cellStyle name="40% - Accent2 12 4 5" xfId="19162" xr:uid="{00000000-0005-0000-0000-000084320000}"/>
    <cellStyle name="40% - Accent2 12 4 5 2" xfId="42994" xr:uid="{6999EAED-6055-40A7-B6CC-7FE87277430F}"/>
    <cellStyle name="40% - Accent2 12 4 6" xfId="27114" xr:uid="{352ABE84-7845-4EDC-B895-52CB24621F31}"/>
    <cellStyle name="40% - Accent2 12 4_Exh G" xfId="2825" xr:uid="{00000000-0005-0000-0000-000085320000}"/>
    <cellStyle name="40% - Accent2 12 5" xfId="4061" xr:uid="{00000000-0005-0000-0000-000086320000}"/>
    <cellStyle name="40% - Accent2 12 5 2" xfId="7653" xr:uid="{00000000-0005-0000-0000-000087320000}"/>
    <cellStyle name="40% - Accent2 12 5 2 2" xfId="15623" xr:uid="{00000000-0005-0000-0000-000088320000}"/>
    <cellStyle name="40% - Accent2 12 5 2 2 2" xfId="39465" xr:uid="{810BFC1D-15F0-41F6-95E5-F100825B157E}"/>
    <cellStyle name="40% - Accent2 12 5 2 3" xfId="23569" xr:uid="{00000000-0005-0000-0000-000089320000}"/>
    <cellStyle name="40% - Accent2 12 5 2 3 2" xfId="47401" xr:uid="{E98204BE-2AA2-461A-9DC3-60BB14417246}"/>
    <cellStyle name="40% - Accent2 12 5 2 4" xfId="31524" xr:uid="{E1932A5E-9A03-4E7D-A25D-F2C300F1AAC1}"/>
    <cellStyle name="40% - Accent2 12 5 3" xfId="12085" xr:uid="{00000000-0005-0000-0000-00008A320000}"/>
    <cellStyle name="40% - Accent2 12 5 3 2" xfId="35934" xr:uid="{1A657933-6D43-4089-AF5B-CFB12E8D7BCD}"/>
    <cellStyle name="40% - Accent2 12 5 4" xfId="20040" xr:uid="{00000000-0005-0000-0000-00008B320000}"/>
    <cellStyle name="40% - Accent2 12 5 4 2" xfId="43872" xr:uid="{C994D28E-A85B-4230-9E43-9233370D8BA7}"/>
    <cellStyle name="40% - Accent2 12 5 5" xfId="27993" xr:uid="{5EE9B84E-5011-478D-B23D-A76BC284758B}"/>
    <cellStyle name="40% - Accent2 12 6" xfId="5881" xr:uid="{00000000-0005-0000-0000-00008C320000}"/>
    <cellStyle name="40% - Accent2 12 6 2" xfId="13864" xr:uid="{00000000-0005-0000-0000-00008D320000}"/>
    <cellStyle name="40% - Accent2 12 6 2 2" xfId="37707" xr:uid="{34680C2D-B808-45EF-BB1A-C25F933EA14B}"/>
    <cellStyle name="40% - Accent2 12 6 3" xfId="21812" xr:uid="{00000000-0005-0000-0000-00008E320000}"/>
    <cellStyle name="40% - Accent2 12 6 3 2" xfId="45644" xr:uid="{57B62DC2-75A3-4AD2-8515-BDEBE56D59C5}"/>
    <cellStyle name="40% - Accent2 12 6 4" xfId="29766" xr:uid="{84D493A9-1218-4A7E-A89A-A268B7247E37}"/>
    <cellStyle name="40% - Accent2 12 7" xfId="9433" xr:uid="{00000000-0005-0000-0000-00008F320000}"/>
    <cellStyle name="40% - Accent2 12 7 2" xfId="17391" xr:uid="{00000000-0005-0000-0000-000090320000}"/>
    <cellStyle name="40% - Accent2 12 7 2 2" xfId="41231" xr:uid="{5B8375E5-29E9-4B0A-9A27-7BD835603C0C}"/>
    <cellStyle name="40% - Accent2 12 7 3" xfId="25335" xr:uid="{00000000-0005-0000-0000-000091320000}"/>
    <cellStyle name="40% - Accent2 12 7 3 2" xfId="49167" xr:uid="{CB5B0726-7C61-4D81-B1F4-BA360FD0D4E3}"/>
    <cellStyle name="40% - Accent2 12 7 4" xfId="33290" xr:uid="{283C2376-DF05-4AEF-B203-E8D0C0DCEA6A}"/>
    <cellStyle name="40% - Accent2 12 8" xfId="10329" xr:uid="{00000000-0005-0000-0000-000092320000}"/>
    <cellStyle name="40% - Accent2 12 8 2" xfId="34178" xr:uid="{82961EBD-6D49-46FB-8C35-A6A8756A942D}"/>
    <cellStyle name="40% - Accent2 12 9" xfId="18284" xr:uid="{00000000-0005-0000-0000-000093320000}"/>
    <cellStyle name="40% - Accent2 12 9 2" xfId="42116" xr:uid="{97EBBBC7-8BEB-4818-8702-D1D6A0680FF2}"/>
    <cellStyle name="40% - Accent2 12_Exh G" xfId="2818" xr:uid="{00000000-0005-0000-0000-000094320000}"/>
    <cellStyle name="40% - Accent2 13" xfId="391" xr:uid="{00000000-0005-0000-0000-000095320000}"/>
    <cellStyle name="40% - Accent2 13 10" xfId="26240" xr:uid="{2360456E-0248-41E7-8C23-2A08203B98B7}"/>
    <cellStyle name="40% - Accent2 13 2" xfId="392" xr:uid="{00000000-0005-0000-0000-000096320000}"/>
    <cellStyle name="40% - Accent2 13 2 2" xfId="393" xr:uid="{00000000-0005-0000-0000-000097320000}"/>
    <cellStyle name="40% - Accent2 13 2 2 2" xfId="1419" xr:uid="{00000000-0005-0000-0000-000098320000}"/>
    <cellStyle name="40% - Accent2 13 2 2 2 2" xfId="4946" xr:uid="{00000000-0005-0000-0000-000099320000}"/>
    <cellStyle name="40% - Accent2 13 2 2 2 2 2" xfId="8537" xr:uid="{00000000-0005-0000-0000-00009A320000}"/>
    <cellStyle name="40% - Accent2 13 2 2 2 2 2 2" xfId="16507" xr:uid="{00000000-0005-0000-0000-00009B320000}"/>
    <cellStyle name="40% - Accent2 13 2 2 2 2 2 2 2" xfId="40349" xr:uid="{A4C1212F-A1A8-4BC1-8AA9-10AAF33DDAEE}"/>
    <cellStyle name="40% - Accent2 13 2 2 2 2 2 3" xfId="24453" xr:uid="{00000000-0005-0000-0000-00009C320000}"/>
    <cellStyle name="40% - Accent2 13 2 2 2 2 2 3 2" xfId="48285" xr:uid="{8DAF84FE-41FE-49D5-BBE3-D8D794AB2B26}"/>
    <cellStyle name="40% - Accent2 13 2 2 2 2 2 4" xfId="32408" xr:uid="{72A94ECE-2FDA-46A9-806A-9F489A906F20}"/>
    <cellStyle name="40% - Accent2 13 2 2 2 2 3" xfId="12969" xr:uid="{00000000-0005-0000-0000-00009D320000}"/>
    <cellStyle name="40% - Accent2 13 2 2 2 2 3 2" xfId="36818" xr:uid="{E6F405EA-FBBF-429A-8515-18ECC50732BE}"/>
    <cellStyle name="40% - Accent2 13 2 2 2 2 4" xfId="20924" xr:uid="{00000000-0005-0000-0000-00009E320000}"/>
    <cellStyle name="40% - Accent2 13 2 2 2 2 4 2" xfId="44756" xr:uid="{2EAEA612-7900-4F00-B074-E63AE3520EA7}"/>
    <cellStyle name="40% - Accent2 13 2 2 2 2 5" xfId="28877" xr:uid="{FB95370A-A2F3-4A9A-BAFD-B3C882D826E7}"/>
    <cellStyle name="40% - Accent2 13 2 2 2 3" xfId="6778" xr:uid="{00000000-0005-0000-0000-00009F320000}"/>
    <cellStyle name="40% - Accent2 13 2 2 2 3 2" xfId="14749" xr:uid="{00000000-0005-0000-0000-0000A0320000}"/>
    <cellStyle name="40% - Accent2 13 2 2 2 3 2 2" xfId="38591" xr:uid="{6035AF5A-EE0D-425A-B649-D4E58245A6D7}"/>
    <cellStyle name="40% - Accent2 13 2 2 2 3 3" xfId="22696" xr:uid="{00000000-0005-0000-0000-0000A1320000}"/>
    <cellStyle name="40% - Accent2 13 2 2 2 3 3 2" xfId="46528" xr:uid="{39241B76-593C-4397-8021-E6E49F8DA418}"/>
    <cellStyle name="40% - Accent2 13 2 2 2 3 4" xfId="30650" xr:uid="{80F48712-BE83-4D53-96E4-C385B414B742}"/>
    <cellStyle name="40% - Accent2 13 2 2 2 4" xfId="11213" xr:uid="{00000000-0005-0000-0000-0000A2320000}"/>
    <cellStyle name="40% - Accent2 13 2 2 2 4 2" xfId="35062" xr:uid="{0135C29F-2452-4669-87E0-C00D832A9426}"/>
    <cellStyle name="40% - Accent2 13 2 2 2 5" xfId="19168" xr:uid="{00000000-0005-0000-0000-0000A3320000}"/>
    <cellStyle name="40% - Accent2 13 2 2 2 5 2" xfId="43000" xr:uid="{78E48084-4521-4261-B9D0-390FCECC90CE}"/>
    <cellStyle name="40% - Accent2 13 2 2 2 6" xfId="27120" xr:uid="{7E1CCEB1-2FBD-4AE3-8D76-7440025FC1FA}"/>
    <cellStyle name="40% - Accent2 13 2 2 2_Exh G" xfId="2829" xr:uid="{00000000-0005-0000-0000-0000A4320000}"/>
    <cellStyle name="40% - Accent2 13 2 2 3" xfId="4067" xr:uid="{00000000-0005-0000-0000-0000A5320000}"/>
    <cellStyle name="40% - Accent2 13 2 2 3 2" xfId="7659" xr:uid="{00000000-0005-0000-0000-0000A6320000}"/>
    <cellStyle name="40% - Accent2 13 2 2 3 2 2" xfId="15629" xr:uid="{00000000-0005-0000-0000-0000A7320000}"/>
    <cellStyle name="40% - Accent2 13 2 2 3 2 2 2" xfId="39471" xr:uid="{6E792694-DD6B-40C0-8354-59C69D2CDC65}"/>
    <cellStyle name="40% - Accent2 13 2 2 3 2 3" xfId="23575" xr:uid="{00000000-0005-0000-0000-0000A8320000}"/>
    <cellStyle name="40% - Accent2 13 2 2 3 2 3 2" xfId="47407" xr:uid="{6DCC9AF0-FED6-4607-8195-0880052C78DB}"/>
    <cellStyle name="40% - Accent2 13 2 2 3 2 4" xfId="31530" xr:uid="{CEAE2067-C396-43BC-896C-CFDA10792420}"/>
    <cellStyle name="40% - Accent2 13 2 2 3 3" xfId="12091" xr:uid="{00000000-0005-0000-0000-0000A9320000}"/>
    <cellStyle name="40% - Accent2 13 2 2 3 3 2" xfId="35940" xr:uid="{32F73E3A-4392-4714-8285-920A4B51C720}"/>
    <cellStyle name="40% - Accent2 13 2 2 3 4" xfId="20046" xr:uid="{00000000-0005-0000-0000-0000AA320000}"/>
    <cellStyle name="40% - Accent2 13 2 2 3 4 2" xfId="43878" xr:uid="{F92976E9-C4D3-4C01-8367-180A46FFEC3A}"/>
    <cellStyle name="40% - Accent2 13 2 2 3 5" xfId="27999" xr:uid="{BDE48D17-FED6-412D-AA8D-54B3549BB8C0}"/>
    <cellStyle name="40% - Accent2 13 2 2 4" xfId="5887" xr:uid="{00000000-0005-0000-0000-0000AB320000}"/>
    <cellStyle name="40% - Accent2 13 2 2 4 2" xfId="13870" xr:uid="{00000000-0005-0000-0000-0000AC320000}"/>
    <cellStyle name="40% - Accent2 13 2 2 4 2 2" xfId="37713" xr:uid="{C963AE40-8695-4517-AC2C-641778394790}"/>
    <cellStyle name="40% - Accent2 13 2 2 4 3" xfId="21818" xr:uid="{00000000-0005-0000-0000-0000AD320000}"/>
    <cellStyle name="40% - Accent2 13 2 2 4 3 2" xfId="45650" xr:uid="{C0AAF68C-19BA-46F6-A6A5-1119CDF787A2}"/>
    <cellStyle name="40% - Accent2 13 2 2 4 4" xfId="29772" xr:uid="{9917D3CD-AF8A-4F9A-89E8-103849475297}"/>
    <cellStyle name="40% - Accent2 13 2 2 5" xfId="9439" xr:uid="{00000000-0005-0000-0000-0000AE320000}"/>
    <cellStyle name="40% - Accent2 13 2 2 5 2" xfId="17397" xr:uid="{00000000-0005-0000-0000-0000AF320000}"/>
    <cellStyle name="40% - Accent2 13 2 2 5 2 2" xfId="41237" xr:uid="{F8B62426-DA28-40D8-926C-03D9E5B8981A}"/>
    <cellStyle name="40% - Accent2 13 2 2 5 3" xfId="25341" xr:uid="{00000000-0005-0000-0000-0000B0320000}"/>
    <cellStyle name="40% - Accent2 13 2 2 5 3 2" xfId="49173" xr:uid="{07C7B001-6E24-48DF-928B-A8E92FEC28B0}"/>
    <cellStyle name="40% - Accent2 13 2 2 5 4" xfId="33296" xr:uid="{1AD01B89-3CD5-41DA-8EAC-87B566DD450F}"/>
    <cellStyle name="40% - Accent2 13 2 2 6" xfId="10335" xr:uid="{00000000-0005-0000-0000-0000B1320000}"/>
    <cellStyle name="40% - Accent2 13 2 2 6 2" xfId="34184" xr:uid="{40506C1B-B331-488C-A596-8A08D7E4DE4E}"/>
    <cellStyle name="40% - Accent2 13 2 2 7" xfId="18290" xr:uid="{00000000-0005-0000-0000-0000B2320000}"/>
    <cellStyle name="40% - Accent2 13 2 2 7 2" xfId="42122" xr:uid="{9D5926DD-742C-4983-8A05-E7B8662C21C1}"/>
    <cellStyle name="40% - Accent2 13 2 2 8" xfId="26242" xr:uid="{8188E07B-D6BD-4C6D-A15F-20083B7F35BA}"/>
    <cellStyle name="40% - Accent2 13 2 2_Exh G" xfId="2828" xr:uid="{00000000-0005-0000-0000-0000B3320000}"/>
    <cellStyle name="40% - Accent2 13 2 3" xfId="1418" xr:uid="{00000000-0005-0000-0000-0000B4320000}"/>
    <cellStyle name="40% - Accent2 13 2 3 2" xfId="4945" xr:uid="{00000000-0005-0000-0000-0000B5320000}"/>
    <cellStyle name="40% - Accent2 13 2 3 2 2" xfId="8536" xr:uid="{00000000-0005-0000-0000-0000B6320000}"/>
    <cellStyle name="40% - Accent2 13 2 3 2 2 2" xfId="16506" xr:uid="{00000000-0005-0000-0000-0000B7320000}"/>
    <cellStyle name="40% - Accent2 13 2 3 2 2 2 2" xfId="40348" xr:uid="{CAEEE280-31B4-4D7B-ADA0-C3DF030C8DE1}"/>
    <cellStyle name="40% - Accent2 13 2 3 2 2 3" xfId="24452" xr:uid="{00000000-0005-0000-0000-0000B8320000}"/>
    <cellStyle name="40% - Accent2 13 2 3 2 2 3 2" xfId="48284" xr:uid="{BB385FF7-D8CF-4F9E-AB21-FA1672119D52}"/>
    <cellStyle name="40% - Accent2 13 2 3 2 2 4" xfId="32407" xr:uid="{17D76A5D-DD5A-4F08-ADC5-87F79DF1AD2B}"/>
    <cellStyle name="40% - Accent2 13 2 3 2 3" xfId="12968" xr:uid="{00000000-0005-0000-0000-0000B9320000}"/>
    <cellStyle name="40% - Accent2 13 2 3 2 3 2" xfId="36817" xr:uid="{FBFD7AFA-6101-4880-846D-74AD904D62A3}"/>
    <cellStyle name="40% - Accent2 13 2 3 2 4" xfId="20923" xr:uid="{00000000-0005-0000-0000-0000BA320000}"/>
    <cellStyle name="40% - Accent2 13 2 3 2 4 2" xfId="44755" xr:uid="{45633AF3-CDF8-4C91-8E52-DFFFCFCE1B8A}"/>
    <cellStyle name="40% - Accent2 13 2 3 2 5" xfId="28876" xr:uid="{25CA4EFE-4E46-412A-B0A6-F51351210BED}"/>
    <cellStyle name="40% - Accent2 13 2 3 3" xfId="6777" xr:uid="{00000000-0005-0000-0000-0000BB320000}"/>
    <cellStyle name="40% - Accent2 13 2 3 3 2" xfId="14748" xr:uid="{00000000-0005-0000-0000-0000BC320000}"/>
    <cellStyle name="40% - Accent2 13 2 3 3 2 2" xfId="38590" xr:uid="{79F56251-798A-496F-9DA8-BAD6AC125B0D}"/>
    <cellStyle name="40% - Accent2 13 2 3 3 3" xfId="22695" xr:uid="{00000000-0005-0000-0000-0000BD320000}"/>
    <cellStyle name="40% - Accent2 13 2 3 3 3 2" xfId="46527" xr:uid="{9E7EF72D-4FCF-44F0-9A73-F7617325A7C6}"/>
    <cellStyle name="40% - Accent2 13 2 3 3 4" xfId="30649" xr:uid="{657727A1-9543-4112-BC67-A8F2D5072A1B}"/>
    <cellStyle name="40% - Accent2 13 2 3 4" xfId="11212" xr:uid="{00000000-0005-0000-0000-0000BE320000}"/>
    <cellStyle name="40% - Accent2 13 2 3 4 2" xfId="35061" xr:uid="{3C4D75D2-9CC4-4BED-8565-86909669A157}"/>
    <cellStyle name="40% - Accent2 13 2 3 5" xfId="19167" xr:uid="{00000000-0005-0000-0000-0000BF320000}"/>
    <cellStyle name="40% - Accent2 13 2 3 5 2" xfId="42999" xr:uid="{94357C87-1B96-469E-BE6E-F0D3668FF083}"/>
    <cellStyle name="40% - Accent2 13 2 3 6" xfId="27119" xr:uid="{D5BEA558-0998-4F65-82E5-1995D77516B0}"/>
    <cellStyle name="40% - Accent2 13 2 3_Exh G" xfId="2830" xr:uid="{00000000-0005-0000-0000-0000C0320000}"/>
    <cellStyle name="40% - Accent2 13 2 4" xfId="4066" xr:uid="{00000000-0005-0000-0000-0000C1320000}"/>
    <cellStyle name="40% - Accent2 13 2 4 2" xfId="7658" xr:uid="{00000000-0005-0000-0000-0000C2320000}"/>
    <cellStyle name="40% - Accent2 13 2 4 2 2" xfId="15628" xr:uid="{00000000-0005-0000-0000-0000C3320000}"/>
    <cellStyle name="40% - Accent2 13 2 4 2 2 2" xfId="39470" xr:uid="{09E80358-5C91-4C45-856F-6290C9268320}"/>
    <cellStyle name="40% - Accent2 13 2 4 2 3" xfId="23574" xr:uid="{00000000-0005-0000-0000-0000C4320000}"/>
    <cellStyle name="40% - Accent2 13 2 4 2 3 2" xfId="47406" xr:uid="{A6994A96-09D0-47F2-BC04-29FC741EBEAE}"/>
    <cellStyle name="40% - Accent2 13 2 4 2 4" xfId="31529" xr:uid="{4CD7353D-DE40-4180-A565-E0770C80C07A}"/>
    <cellStyle name="40% - Accent2 13 2 4 3" xfId="12090" xr:uid="{00000000-0005-0000-0000-0000C5320000}"/>
    <cellStyle name="40% - Accent2 13 2 4 3 2" xfId="35939" xr:uid="{3FC04AA2-E7D2-42F0-83F3-55D5B66A696D}"/>
    <cellStyle name="40% - Accent2 13 2 4 4" xfId="20045" xr:uid="{00000000-0005-0000-0000-0000C6320000}"/>
    <cellStyle name="40% - Accent2 13 2 4 4 2" xfId="43877" xr:uid="{9CEE0623-E66E-4007-9DE3-6F6A84E8B446}"/>
    <cellStyle name="40% - Accent2 13 2 4 5" xfId="27998" xr:uid="{1C295FFF-CAFC-4871-9FDD-876214FC8C99}"/>
    <cellStyle name="40% - Accent2 13 2 5" xfId="5886" xr:uid="{00000000-0005-0000-0000-0000C7320000}"/>
    <cellStyle name="40% - Accent2 13 2 5 2" xfId="13869" xr:uid="{00000000-0005-0000-0000-0000C8320000}"/>
    <cellStyle name="40% - Accent2 13 2 5 2 2" xfId="37712" xr:uid="{058ED842-F078-4EE7-A37D-DB48D0279879}"/>
    <cellStyle name="40% - Accent2 13 2 5 3" xfId="21817" xr:uid="{00000000-0005-0000-0000-0000C9320000}"/>
    <cellStyle name="40% - Accent2 13 2 5 3 2" xfId="45649" xr:uid="{FFEF97DD-B221-4C2C-8D29-548F9FA1AC9C}"/>
    <cellStyle name="40% - Accent2 13 2 5 4" xfId="29771" xr:uid="{E028BE86-9E7B-436D-A60A-2EE0260C575B}"/>
    <cellStyle name="40% - Accent2 13 2 6" xfId="9438" xr:uid="{00000000-0005-0000-0000-0000CA320000}"/>
    <cellStyle name="40% - Accent2 13 2 6 2" xfId="17396" xr:uid="{00000000-0005-0000-0000-0000CB320000}"/>
    <cellStyle name="40% - Accent2 13 2 6 2 2" xfId="41236" xr:uid="{346C4E26-AA87-4AEC-BB0D-E43CDB0E41D4}"/>
    <cellStyle name="40% - Accent2 13 2 6 3" xfId="25340" xr:uid="{00000000-0005-0000-0000-0000CC320000}"/>
    <cellStyle name="40% - Accent2 13 2 6 3 2" xfId="49172" xr:uid="{6E8C2164-66CC-4881-9B2F-E6817CE0767A}"/>
    <cellStyle name="40% - Accent2 13 2 6 4" xfId="33295" xr:uid="{9F1D34FE-2508-48C2-8431-8D20E5B01668}"/>
    <cellStyle name="40% - Accent2 13 2 7" xfId="10334" xr:uid="{00000000-0005-0000-0000-0000CD320000}"/>
    <cellStyle name="40% - Accent2 13 2 7 2" xfId="34183" xr:uid="{755A2D31-103E-4888-B126-D882D01A8E22}"/>
    <cellStyle name="40% - Accent2 13 2 8" xfId="18289" xr:uid="{00000000-0005-0000-0000-0000CE320000}"/>
    <cellStyle name="40% - Accent2 13 2 8 2" xfId="42121" xr:uid="{C08A64F2-897F-4C24-BD2A-42DD6B898FDA}"/>
    <cellStyle name="40% - Accent2 13 2 9" xfId="26241" xr:uid="{67EFBA04-BBD8-4592-9B6F-EE2F73C24809}"/>
    <cellStyle name="40% - Accent2 13 2_Exh G" xfId="2827" xr:uid="{00000000-0005-0000-0000-0000CF320000}"/>
    <cellStyle name="40% - Accent2 13 3" xfId="394" xr:uid="{00000000-0005-0000-0000-0000D0320000}"/>
    <cellStyle name="40% - Accent2 13 3 2" xfId="1420" xr:uid="{00000000-0005-0000-0000-0000D1320000}"/>
    <cellStyle name="40% - Accent2 13 3 2 2" xfId="4947" xr:uid="{00000000-0005-0000-0000-0000D2320000}"/>
    <cellStyle name="40% - Accent2 13 3 2 2 2" xfId="8538" xr:uid="{00000000-0005-0000-0000-0000D3320000}"/>
    <cellStyle name="40% - Accent2 13 3 2 2 2 2" xfId="16508" xr:uid="{00000000-0005-0000-0000-0000D4320000}"/>
    <cellStyle name="40% - Accent2 13 3 2 2 2 2 2" xfId="40350" xr:uid="{115954FB-8CD3-4347-98C1-30733990E72D}"/>
    <cellStyle name="40% - Accent2 13 3 2 2 2 3" xfId="24454" xr:uid="{00000000-0005-0000-0000-0000D5320000}"/>
    <cellStyle name="40% - Accent2 13 3 2 2 2 3 2" xfId="48286" xr:uid="{740A36CF-1F1B-4F50-96A2-0556DB4209CB}"/>
    <cellStyle name="40% - Accent2 13 3 2 2 2 4" xfId="32409" xr:uid="{79F5FBFD-0F21-4DE5-953B-3C0ED99CF6A2}"/>
    <cellStyle name="40% - Accent2 13 3 2 2 3" xfId="12970" xr:uid="{00000000-0005-0000-0000-0000D6320000}"/>
    <cellStyle name="40% - Accent2 13 3 2 2 3 2" xfId="36819" xr:uid="{04A84C2B-E312-43DA-AF3D-11B0FABA806D}"/>
    <cellStyle name="40% - Accent2 13 3 2 2 4" xfId="20925" xr:uid="{00000000-0005-0000-0000-0000D7320000}"/>
    <cellStyle name="40% - Accent2 13 3 2 2 4 2" xfId="44757" xr:uid="{F9C4E746-E3C7-42F2-B636-EB94A78D821F}"/>
    <cellStyle name="40% - Accent2 13 3 2 2 5" xfId="28878" xr:uid="{C627E227-7150-4CF7-B273-6E91BD9593A7}"/>
    <cellStyle name="40% - Accent2 13 3 2 3" xfId="6779" xr:uid="{00000000-0005-0000-0000-0000D8320000}"/>
    <cellStyle name="40% - Accent2 13 3 2 3 2" xfId="14750" xr:uid="{00000000-0005-0000-0000-0000D9320000}"/>
    <cellStyle name="40% - Accent2 13 3 2 3 2 2" xfId="38592" xr:uid="{17799ABE-AE41-4CE6-87DA-BBEBF56D044A}"/>
    <cellStyle name="40% - Accent2 13 3 2 3 3" xfId="22697" xr:uid="{00000000-0005-0000-0000-0000DA320000}"/>
    <cellStyle name="40% - Accent2 13 3 2 3 3 2" xfId="46529" xr:uid="{F03BC369-E4DC-40E1-8BF4-FAA80F99D708}"/>
    <cellStyle name="40% - Accent2 13 3 2 3 4" xfId="30651" xr:uid="{A286A739-9A66-4788-A88E-5CE9ACF0B437}"/>
    <cellStyle name="40% - Accent2 13 3 2 4" xfId="11214" xr:uid="{00000000-0005-0000-0000-0000DB320000}"/>
    <cellStyle name="40% - Accent2 13 3 2 4 2" xfId="35063" xr:uid="{4907D354-234E-44B6-93CD-A44095972FA4}"/>
    <cellStyle name="40% - Accent2 13 3 2 5" xfId="19169" xr:uid="{00000000-0005-0000-0000-0000DC320000}"/>
    <cellStyle name="40% - Accent2 13 3 2 5 2" xfId="43001" xr:uid="{DAD27DDE-CCBF-4624-9972-55C40862427F}"/>
    <cellStyle name="40% - Accent2 13 3 2 6" xfId="27121" xr:uid="{2109049D-75CA-4CEA-97E4-64B2300943C1}"/>
    <cellStyle name="40% - Accent2 13 3 2_Exh G" xfId="2832" xr:uid="{00000000-0005-0000-0000-0000DD320000}"/>
    <cellStyle name="40% - Accent2 13 3 3" xfId="4068" xr:uid="{00000000-0005-0000-0000-0000DE320000}"/>
    <cellStyle name="40% - Accent2 13 3 3 2" xfId="7660" xr:uid="{00000000-0005-0000-0000-0000DF320000}"/>
    <cellStyle name="40% - Accent2 13 3 3 2 2" xfId="15630" xr:uid="{00000000-0005-0000-0000-0000E0320000}"/>
    <cellStyle name="40% - Accent2 13 3 3 2 2 2" xfId="39472" xr:uid="{65644F0A-800B-465B-B171-259BD6A1BF3B}"/>
    <cellStyle name="40% - Accent2 13 3 3 2 3" xfId="23576" xr:uid="{00000000-0005-0000-0000-0000E1320000}"/>
    <cellStyle name="40% - Accent2 13 3 3 2 3 2" xfId="47408" xr:uid="{B75392EE-CF70-41EE-A9AA-EF43942C90BD}"/>
    <cellStyle name="40% - Accent2 13 3 3 2 4" xfId="31531" xr:uid="{CE1FBAF0-C3CA-49E0-B514-5EA694C5F792}"/>
    <cellStyle name="40% - Accent2 13 3 3 3" xfId="12092" xr:uid="{00000000-0005-0000-0000-0000E2320000}"/>
    <cellStyle name="40% - Accent2 13 3 3 3 2" xfId="35941" xr:uid="{C60D4092-5A24-424D-8C63-93DD14869C8F}"/>
    <cellStyle name="40% - Accent2 13 3 3 4" xfId="20047" xr:uid="{00000000-0005-0000-0000-0000E3320000}"/>
    <cellStyle name="40% - Accent2 13 3 3 4 2" xfId="43879" xr:uid="{54BCD3EA-BF45-44AA-8FC6-E790521A926A}"/>
    <cellStyle name="40% - Accent2 13 3 3 5" xfId="28000" xr:uid="{C2BCDB90-1326-405F-B71C-A9467CF130CF}"/>
    <cellStyle name="40% - Accent2 13 3 4" xfId="5888" xr:uid="{00000000-0005-0000-0000-0000E4320000}"/>
    <cellStyle name="40% - Accent2 13 3 4 2" xfId="13871" xr:uid="{00000000-0005-0000-0000-0000E5320000}"/>
    <cellStyle name="40% - Accent2 13 3 4 2 2" xfId="37714" xr:uid="{A26F2504-A6CD-4059-B397-80A5A28018C4}"/>
    <cellStyle name="40% - Accent2 13 3 4 3" xfId="21819" xr:uid="{00000000-0005-0000-0000-0000E6320000}"/>
    <cellStyle name="40% - Accent2 13 3 4 3 2" xfId="45651" xr:uid="{397542D3-B62B-42FD-9BB9-8FC6138094F6}"/>
    <cellStyle name="40% - Accent2 13 3 4 4" xfId="29773" xr:uid="{A8D582E7-4846-42D6-A173-7759EB3B3D0E}"/>
    <cellStyle name="40% - Accent2 13 3 5" xfId="9440" xr:uid="{00000000-0005-0000-0000-0000E7320000}"/>
    <cellStyle name="40% - Accent2 13 3 5 2" xfId="17398" xr:uid="{00000000-0005-0000-0000-0000E8320000}"/>
    <cellStyle name="40% - Accent2 13 3 5 2 2" xfId="41238" xr:uid="{80CF0E9A-65B8-4BC6-8B92-072E8E95DE04}"/>
    <cellStyle name="40% - Accent2 13 3 5 3" xfId="25342" xr:uid="{00000000-0005-0000-0000-0000E9320000}"/>
    <cellStyle name="40% - Accent2 13 3 5 3 2" xfId="49174" xr:uid="{23FA79CA-36A5-465C-99C9-D63C96CD1BC8}"/>
    <cellStyle name="40% - Accent2 13 3 5 4" xfId="33297" xr:uid="{9C8F76C9-CC1F-46E8-B392-E074CBA18AC8}"/>
    <cellStyle name="40% - Accent2 13 3 6" xfId="10336" xr:uid="{00000000-0005-0000-0000-0000EA320000}"/>
    <cellStyle name="40% - Accent2 13 3 6 2" xfId="34185" xr:uid="{2C37FEB6-FD77-427D-A496-4710872CC943}"/>
    <cellStyle name="40% - Accent2 13 3 7" xfId="18291" xr:uid="{00000000-0005-0000-0000-0000EB320000}"/>
    <cellStyle name="40% - Accent2 13 3 7 2" xfId="42123" xr:uid="{FF61D243-04B6-4A8D-9D7B-37F3054C7199}"/>
    <cellStyle name="40% - Accent2 13 3 8" xfId="26243" xr:uid="{CD2CBA4B-E086-445F-8324-84CB20578AA3}"/>
    <cellStyle name="40% - Accent2 13 3_Exh G" xfId="2831" xr:uid="{00000000-0005-0000-0000-0000EC320000}"/>
    <cellStyle name="40% - Accent2 13 4" xfId="1417" xr:uid="{00000000-0005-0000-0000-0000ED320000}"/>
    <cellStyle name="40% - Accent2 13 4 2" xfId="4944" xr:uid="{00000000-0005-0000-0000-0000EE320000}"/>
    <cellStyle name="40% - Accent2 13 4 2 2" xfId="8535" xr:uid="{00000000-0005-0000-0000-0000EF320000}"/>
    <cellStyle name="40% - Accent2 13 4 2 2 2" xfId="16505" xr:uid="{00000000-0005-0000-0000-0000F0320000}"/>
    <cellStyle name="40% - Accent2 13 4 2 2 2 2" xfId="40347" xr:uid="{F44CFB28-8B8E-4495-97DA-C97FBD4B36B4}"/>
    <cellStyle name="40% - Accent2 13 4 2 2 3" xfId="24451" xr:uid="{00000000-0005-0000-0000-0000F1320000}"/>
    <cellStyle name="40% - Accent2 13 4 2 2 3 2" xfId="48283" xr:uid="{9071A79C-7403-42E3-8B5C-B4D75B44E8D6}"/>
    <cellStyle name="40% - Accent2 13 4 2 2 4" xfId="32406" xr:uid="{3A686A56-AAA5-45F8-A640-D63910460131}"/>
    <cellStyle name="40% - Accent2 13 4 2 3" xfId="12967" xr:uid="{00000000-0005-0000-0000-0000F2320000}"/>
    <cellStyle name="40% - Accent2 13 4 2 3 2" xfId="36816" xr:uid="{33FC6731-971B-40AB-A03C-CD73828DD9F8}"/>
    <cellStyle name="40% - Accent2 13 4 2 4" xfId="20922" xr:uid="{00000000-0005-0000-0000-0000F3320000}"/>
    <cellStyle name="40% - Accent2 13 4 2 4 2" xfId="44754" xr:uid="{EFC9A43D-0133-4B4D-BF5D-5417FA7FFEE3}"/>
    <cellStyle name="40% - Accent2 13 4 2 5" xfId="28875" xr:uid="{7DF16267-7591-456A-B5A5-B1FBD21E5B6D}"/>
    <cellStyle name="40% - Accent2 13 4 3" xfId="6776" xr:uid="{00000000-0005-0000-0000-0000F4320000}"/>
    <cellStyle name="40% - Accent2 13 4 3 2" xfId="14747" xr:uid="{00000000-0005-0000-0000-0000F5320000}"/>
    <cellStyle name="40% - Accent2 13 4 3 2 2" xfId="38589" xr:uid="{5D2D2E30-E268-4B3B-B302-2C0AE39E4874}"/>
    <cellStyle name="40% - Accent2 13 4 3 3" xfId="22694" xr:uid="{00000000-0005-0000-0000-0000F6320000}"/>
    <cellStyle name="40% - Accent2 13 4 3 3 2" xfId="46526" xr:uid="{F820D9CA-046A-475D-AE3E-F5F83CC284AC}"/>
    <cellStyle name="40% - Accent2 13 4 3 4" xfId="30648" xr:uid="{62A0F472-FED2-4D02-9417-7305D72CF25A}"/>
    <cellStyle name="40% - Accent2 13 4 4" xfId="11211" xr:uid="{00000000-0005-0000-0000-0000F7320000}"/>
    <cellStyle name="40% - Accent2 13 4 4 2" xfId="35060" xr:uid="{FE77C8F0-D7BA-4547-BEF9-C2667FB54EA2}"/>
    <cellStyle name="40% - Accent2 13 4 5" xfId="19166" xr:uid="{00000000-0005-0000-0000-0000F8320000}"/>
    <cellStyle name="40% - Accent2 13 4 5 2" xfId="42998" xr:uid="{D0D698AB-2D0F-46B7-AB22-9B27518AEC1A}"/>
    <cellStyle name="40% - Accent2 13 4 6" xfId="27118" xr:uid="{D489F114-F684-4888-90D3-B00508219D5E}"/>
    <cellStyle name="40% - Accent2 13 4_Exh G" xfId="2833" xr:uid="{00000000-0005-0000-0000-0000F9320000}"/>
    <cellStyle name="40% - Accent2 13 5" xfId="4065" xr:uid="{00000000-0005-0000-0000-0000FA320000}"/>
    <cellStyle name="40% - Accent2 13 5 2" xfId="7657" xr:uid="{00000000-0005-0000-0000-0000FB320000}"/>
    <cellStyle name="40% - Accent2 13 5 2 2" xfId="15627" xr:uid="{00000000-0005-0000-0000-0000FC320000}"/>
    <cellStyle name="40% - Accent2 13 5 2 2 2" xfId="39469" xr:uid="{B6C3E0F4-8C4A-4D78-B143-0ECFBBCAD1A7}"/>
    <cellStyle name="40% - Accent2 13 5 2 3" xfId="23573" xr:uid="{00000000-0005-0000-0000-0000FD320000}"/>
    <cellStyle name="40% - Accent2 13 5 2 3 2" xfId="47405" xr:uid="{49A6A795-F6BE-4970-9EA6-2254AB0820C6}"/>
    <cellStyle name="40% - Accent2 13 5 2 4" xfId="31528" xr:uid="{D49F4824-76CC-4441-9DF4-E8D776A49BD2}"/>
    <cellStyle name="40% - Accent2 13 5 3" xfId="12089" xr:uid="{00000000-0005-0000-0000-0000FE320000}"/>
    <cellStyle name="40% - Accent2 13 5 3 2" xfId="35938" xr:uid="{9BEFA9F1-6667-4297-B7A0-86154C9D30FC}"/>
    <cellStyle name="40% - Accent2 13 5 4" xfId="20044" xr:uid="{00000000-0005-0000-0000-0000FF320000}"/>
    <cellStyle name="40% - Accent2 13 5 4 2" xfId="43876" xr:uid="{2EEDF8C8-6CD1-4568-9CE6-E4ABD02A60F4}"/>
    <cellStyle name="40% - Accent2 13 5 5" xfId="27997" xr:uid="{416E08A6-ABCB-43CF-A98F-446471906BA0}"/>
    <cellStyle name="40% - Accent2 13 6" xfId="5885" xr:uid="{00000000-0005-0000-0000-000000330000}"/>
    <cellStyle name="40% - Accent2 13 6 2" xfId="13868" xr:uid="{00000000-0005-0000-0000-000001330000}"/>
    <cellStyle name="40% - Accent2 13 6 2 2" xfId="37711" xr:uid="{E2E4BA15-54FD-4CD8-AA39-F49ACA0567FD}"/>
    <cellStyle name="40% - Accent2 13 6 3" xfId="21816" xr:uid="{00000000-0005-0000-0000-000002330000}"/>
    <cellStyle name="40% - Accent2 13 6 3 2" xfId="45648" xr:uid="{7113E17D-1EB3-4022-AC34-AC4D7C981AD9}"/>
    <cellStyle name="40% - Accent2 13 6 4" xfId="29770" xr:uid="{34ED8C80-F8E8-448C-893D-FF1D1D8C3A03}"/>
    <cellStyle name="40% - Accent2 13 7" xfId="9437" xr:uid="{00000000-0005-0000-0000-000003330000}"/>
    <cellStyle name="40% - Accent2 13 7 2" xfId="17395" xr:uid="{00000000-0005-0000-0000-000004330000}"/>
    <cellStyle name="40% - Accent2 13 7 2 2" xfId="41235" xr:uid="{E54E1310-6FC9-4A39-99B2-D571DF995EBA}"/>
    <cellStyle name="40% - Accent2 13 7 3" xfId="25339" xr:uid="{00000000-0005-0000-0000-000005330000}"/>
    <cellStyle name="40% - Accent2 13 7 3 2" xfId="49171" xr:uid="{7705D7A3-EE63-485C-BA22-57BD200A7A2C}"/>
    <cellStyle name="40% - Accent2 13 7 4" xfId="33294" xr:uid="{51A046C9-26D3-4A56-8E62-3AB6406AC120}"/>
    <cellStyle name="40% - Accent2 13 8" xfId="10333" xr:uid="{00000000-0005-0000-0000-000006330000}"/>
    <cellStyle name="40% - Accent2 13 8 2" xfId="34182" xr:uid="{51129DBE-1CEB-4CFF-B2DA-3468A3002CEE}"/>
    <cellStyle name="40% - Accent2 13 9" xfId="18288" xr:uid="{00000000-0005-0000-0000-000007330000}"/>
    <cellStyle name="40% - Accent2 13 9 2" xfId="42120" xr:uid="{76FCAA12-B105-4077-9587-09DAA039EB07}"/>
    <cellStyle name="40% - Accent2 13_Exh G" xfId="2826" xr:uid="{00000000-0005-0000-0000-000008330000}"/>
    <cellStyle name="40% - Accent2 14" xfId="395" xr:uid="{00000000-0005-0000-0000-000009330000}"/>
    <cellStyle name="40% - Accent2 14 2" xfId="396" xr:uid="{00000000-0005-0000-0000-00000A330000}"/>
    <cellStyle name="40% - Accent2 14 2 2" xfId="1422" xr:uid="{00000000-0005-0000-0000-00000B330000}"/>
    <cellStyle name="40% - Accent2 14 2 2 2" xfId="4949" xr:uid="{00000000-0005-0000-0000-00000C330000}"/>
    <cellStyle name="40% - Accent2 14 2 2 2 2" xfId="8540" xr:uid="{00000000-0005-0000-0000-00000D330000}"/>
    <cellStyle name="40% - Accent2 14 2 2 2 2 2" xfId="16510" xr:uid="{00000000-0005-0000-0000-00000E330000}"/>
    <cellStyle name="40% - Accent2 14 2 2 2 2 2 2" xfId="40352" xr:uid="{5BCD6900-64B0-4F4B-95A9-FCC0F57E9969}"/>
    <cellStyle name="40% - Accent2 14 2 2 2 2 3" xfId="24456" xr:uid="{00000000-0005-0000-0000-00000F330000}"/>
    <cellStyle name="40% - Accent2 14 2 2 2 2 3 2" xfId="48288" xr:uid="{D3B1FF6B-5FA7-4461-A854-281162470E7C}"/>
    <cellStyle name="40% - Accent2 14 2 2 2 2 4" xfId="32411" xr:uid="{AAF4CFB9-9656-45E1-AC35-EDDB14520AC3}"/>
    <cellStyle name="40% - Accent2 14 2 2 2 3" xfId="12972" xr:uid="{00000000-0005-0000-0000-000010330000}"/>
    <cellStyle name="40% - Accent2 14 2 2 2 3 2" xfId="36821" xr:uid="{06E517E7-6317-4A18-A89D-C28EFFBF0CC8}"/>
    <cellStyle name="40% - Accent2 14 2 2 2 4" xfId="20927" xr:uid="{00000000-0005-0000-0000-000011330000}"/>
    <cellStyle name="40% - Accent2 14 2 2 2 4 2" xfId="44759" xr:uid="{8CA2056E-E24E-47F1-A435-12315F1C5E5F}"/>
    <cellStyle name="40% - Accent2 14 2 2 2 5" xfId="28880" xr:uid="{EF6F0859-DDB1-4354-A339-018B74145450}"/>
    <cellStyle name="40% - Accent2 14 2 2 3" xfId="6781" xr:uid="{00000000-0005-0000-0000-000012330000}"/>
    <cellStyle name="40% - Accent2 14 2 2 3 2" xfId="14752" xr:uid="{00000000-0005-0000-0000-000013330000}"/>
    <cellStyle name="40% - Accent2 14 2 2 3 2 2" xfId="38594" xr:uid="{CBBB4017-BD98-4565-A294-73C620B84FA2}"/>
    <cellStyle name="40% - Accent2 14 2 2 3 3" xfId="22699" xr:uid="{00000000-0005-0000-0000-000014330000}"/>
    <cellStyle name="40% - Accent2 14 2 2 3 3 2" xfId="46531" xr:uid="{1CA40BE3-AD7C-4C6E-B0B4-69A6885CEEF7}"/>
    <cellStyle name="40% - Accent2 14 2 2 3 4" xfId="30653" xr:uid="{25B75122-C144-4991-BC74-B13A7319ED8D}"/>
    <cellStyle name="40% - Accent2 14 2 2 4" xfId="11216" xr:uid="{00000000-0005-0000-0000-000015330000}"/>
    <cellStyle name="40% - Accent2 14 2 2 4 2" xfId="35065" xr:uid="{E408DE37-7CDE-4AC1-AF63-0F1473542789}"/>
    <cellStyle name="40% - Accent2 14 2 2 5" xfId="19171" xr:uid="{00000000-0005-0000-0000-000016330000}"/>
    <cellStyle name="40% - Accent2 14 2 2 5 2" xfId="43003" xr:uid="{2AE498A1-3F5D-42BF-9FEF-F6E2DA5B207C}"/>
    <cellStyle name="40% - Accent2 14 2 2 6" xfId="27123" xr:uid="{2A937D53-9D42-48E6-98B3-EB6E9F201EDF}"/>
    <cellStyle name="40% - Accent2 14 2 2_Exh G" xfId="2836" xr:uid="{00000000-0005-0000-0000-000017330000}"/>
    <cellStyle name="40% - Accent2 14 2 3" xfId="4070" xr:uid="{00000000-0005-0000-0000-000018330000}"/>
    <cellStyle name="40% - Accent2 14 2 3 2" xfId="7662" xr:uid="{00000000-0005-0000-0000-000019330000}"/>
    <cellStyle name="40% - Accent2 14 2 3 2 2" xfId="15632" xr:uid="{00000000-0005-0000-0000-00001A330000}"/>
    <cellStyle name="40% - Accent2 14 2 3 2 2 2" xfId="39474" xr:uid="{33CBE5A2-E569-43E3-A79D-61DDE748089B}"/>
    <cellStyle name="40% - Accent2 14 2 3 2 3" xfId="23578" xr:uid="{00000000-0005-0000-0000-00001B330000}"/>
    <cellStyle name="40% - Accent2 14 2 3 2 3 2" xfId="47410" xr:uid="{3A83C96F-68A3-4C1D-8215-FBED9607F9F7}"/>
    <cellStyle name="40% - Accent2 14 2 3 2 4" xfId="31533" xr:uid="{5155371B-71F7-4E70-BFEF-593D2F66C3B5}"/>
    <cellStyle name="40% - Accent2 14 2 3 3" xfId="12094" xr:uid="{00000000-0005-0000-0000-00001C330000}"/>
    <cellStyle name="40% - Accent2 14 2 3 3 2" xfId="35943" xr:uid="{D3F8FA12-B286-477E-8BD5-19FA369ED405}"/>
    <cellStyle name="40% - Accent2 14 2 3 4" xfId="20049" xr:uid="{00000000-0005-0000-0000-00001D330000}"/>
    <cellStyle name="40% - Accent2 14 2 3 4 2" xfId="43881" xr:uid="{3187B58E-4DE1-4409-816B-E335571B8331}"/>
    <cellStyle name="40% - Accent2 14 2 3 5" xfId="28002" xr:uid="{F0117494-93D6-4DD2-8A4D-77C3382965F6}"/>
    <cellStyle name="40% - Accent2 14 2 4" xfId="5890" xr:uid="{00000000-0005-0000-0000-00001E330000}"/>
    <cellStyle name="40% - Accent2 14 2 4 2" xfId="13873" xr:uid="{00000000-0005-0000-0000-00001F330000}"/>
    <cellStyle name="40% - Accent2 14 2 4 2 2" xfId="37716" xr:uid="{F7A9EE28-90B5-43B6-A6B8-47845CDFEDFC}"/>
    <cellStyle name="40% - Accent2 14 2 4 3" xfId="21821" xr:uid="{00000000-0005-0000-0000-000020330000}"/>
    <cellStyle name="40% - Accent2 14 2 4 3 2" xfId="45653" xr:uid="{90CC8162-9423-4A46-9B99-D3ECF1268FE7}"/>
    <cellStyle name="40% - Accent2 14 2 4 4" xfId="29775" xr:uid="{E7F73187-6A3F-4D46-8594-9CA4BDBAD683}"/>
    <cellStyle name="40% - Accent2 14 2 5" xfId="9442" xr:uid="{00000000-0005-0000-0000-000021330000}"/>
    <cellStyle name="40% - Accent2 14 2 5 2" xfId="17400" xr:uid="{00000000-0005-0000-0000-000022330000}"/>
    <cellStyle name="40% - Accent2 14 2 5 2 2" xfId="41240" xr:uid="{C89F7B87-6562-44B5-915D-080971FCABB9}"/>
    <cellStyle name="40% - Accent2 14 2 5 3" xfId="25344" xr:uid="{00000000-0005-0000-0000-000023330000}"/>
    <cellStyle name="40% - Accent2 14 2 5 3 2" xfId="49176" xr:uid="{D3E5D7BF-657B-432B-9E00-4C7F952E6C36}"/>
    <cellStyle name="40% - Accent2 14 2 5 4" xfId="33299" xr:uid="{846ABE02-D305-40A5-9E85-D28DE4E30652}"/>
    <cellStyle name="40% - Accent2 14 2 6" xfId="10338" xr:uid="{00000000-0005-0000-0000-000024330000}"/>
    <cellStyle name="40% - Accent2 14 2 6 2" xfId="34187" xr:uid="{D52227BB-BA41-4E98-9789-A2B3FB8A8264}"/>
    <cellStyle name="40% - Accent2 14 2 7" xfId="18293" xr:uid="{00000000-0005-0000-0000-000025330000}"/>
    <cellStyle name="40% - Accent2 14 2 7 2" xfId="42125" xr:uid="{EB762E25-1B3E-4C1B-AEE8-368B4465636D}"/>
    <cellStyle name="40% - Accent2 14 2 8" xfId="26245" xr:uid="{F032B6F2-417B-46C7-9442-181265A35095}"/>
    <cellStyle name="40% - Accent2 14 2_Exh G" xfId="2835" xr:uid="{00000000-0005-0000-0000-000026330000}"/>
    <cellStyle name="40% - Accent2 14 3" xfId="1421" xr:uid="{00000000-0005-0000-0000-000027330000}"/>
    <cellStyle name="40% - Accent2 14 3 2" xfId="4948" xr:uid="{00000000-0005-0000-0000-000028330000}"/>
    <cellStyle name="40% - Accent2 14 3 2 2" xfId="8539" xr:uid="{00000000-0005-0000-0000-000029330000}"/>
    <cellStyle name="40% - Accent2 14 3 2 2 2" xfId="16509" xr:uid="{00000000-0005-0000-0000-00002A330000}"/>
    <cellStyle name="40% - Accent2 14 3 2 2 2 2" xfId="40351" xr:uid="{622DB176-5096-487D-92DC-DD1E2732CCED}"/>
    <cellStyle name="40% - Accent2 14 3 2 2 3" xfId="24455" xr:uid="{00000000-0005-0000-0000-00002B330000}"/>
    <cellStyle name="40% - Accent2 14 3 2 2 3 2" xfId="48287" xr:uid="{EF0C8C9A-CB5E-4B9F-9D8B-3E3D7988B320}"/>
    <cellStyle name="40% - Accent2 14 3 2 2 4" xfId="32410" xr:uid="{FFD52264-D402-4870-A0B2-6C7F2F1FDB0A}"/>
    <cellStyle name="40% - Accent2 14 3 2 3" xfId="12971" xr:uid="{00000000-0005-0000-0000-00002C330000}"/>
    <cellStyle name="40% - Accent2 14 3 2 3 2" xfId="36820" xr:uid="{EC51033A-20EA-4886-917E-D2BB5C2292F8}"/>
    <cellStyle name="40% - Accent2 14 3 2 4" xfId="20926" xr:uid="{00000000-0005-0000-0000-00002D330000}"/>
    <cellStyle name="40% - Accent2 14 3 2 4 2" xfId="44758" xr:uid="{99ADF378-F8C2-47C4-B8CA-DEBA2085AFB1}"/>
    <cellStyle name="40% - Accent2 14 3 2 5" xfId="28879" xr:uid="{F58B32F6-CD11-4E98-B5B6-1F028035A9E8}"/>
    <cellStyle name="40% - Accent2 14 3 3" xfId="6780" xr:uid="{00000000-0005-0000-0000-00002E330000}"/>
    <cellStyle name="40% - Accent2 14 3 3 2" xfId="14751" xr:uid="{00000000-0005-0000-0000-00002F330000}"/>
    <cellStyle name="40% - Accent2 14 3 3 2 2" xfId="38593" xr:uid="{B151DCC5-E065-4684-9339-D9C1767299E7}"/>
    <cellStyle name="40% - Accent2 14 3 3 3" xfId="22698" xr:uid="{00000000-0005-0000-0000-000030330000}"/>
    <cellStyle name="40% - Accent2 14 3 3 3 2" xfId="46530" xr:uid="{559C8068-AD02-4B51-BFC9-8F6A7CA168B5}"/>
    <cellStyle name="40% - Accent2 14 3 3 4" xfId="30652" xr:uid="{EDA31C9C-0777-4FD1-9B72-45A1619B3DF7}"/>
    <cellStyle name="40% - Accent2 14 3 4" xfId="11215" xr:uid="{00000000-0005-0000-0000-000031330000}"/>
    <cellStyle name="40% - Accent2 14 3 4 2" xfId="35064" xr:uid="{2A1C0570-67D7-4319-AB5D-5C10A1373B01}"/>
    <cellStyle name="40% - Accent2 14 3 5" xfId="19170" xr:uid="{00000000-0005-0000-0000-000032330000}"/>
    <cellStyle name="40% - Accent2 14 3 5 2" xfId="43002" xr:uid="{CC3D39BD-134E-4FD5-9309-0AC960A9BE31}"/>
    <cellStyle name="40% - Accent2 14 3 6" xfId="27122" xr:uid="{55990E36-8A6F-446B-9079-FBC9FD2A0BB7}"/>
    <cellStyle name="40% - Accent2 14 3_Exh G" xfId="2837" xr:uid="{00000000-0005-0000-0000-000033330000}"/>
    <cellStyle name="40% - Accent2 14 4" xfId="4069" xr:uid="{00000000-0005-0000-0000-000034330000}"/>
    <cellStyle name="40% - Accent2 14 4 2" xfId="7661" xr:uid="{00000000-0005-0000-0000-000035330000}"/>
    <cellStyle name="40% - Accent2 14 4 2 2" xfId="15631" xr:uid="{00000000-0005-0000-0000-000036330000}"/>
    <cellStyle name="40% - Accent2 14 4 2 2 2" xfId="39473" xr:uid="{C8E9A2AD-F311-423C-A5CD-4CE7986D976C}"/>
    <cellStyle name="40% - Accent2 14 4 2 3" xfId="23577" xr:uid="{00000000-0005-0000-0000-000037330000}"/>
    <cellStyle name="40% - Accent2 14 4 2 3 2" xfId="47409" xr:uid="{CE654F12-F8AF-44D7-A29F-3CEE66FB90A0}"/>
    <cellStyle name="40% - Accent2 14 4 2 4" xfId="31532" xr:uid="{437A25C4-7DD5-4055-B29D-04BBCB5730B1}"/>
    <cellStyle name="40% - Accent2 14 4 3" xfId="12093" xr:uid="{00000000-0005-0000-0000-000038330000}"/>
    <cellStyle name="40% - Accent2 14 4 3 2" xfId="35942" xr:uid="{EA55A769-1960-40D1-8B7F-09A511392233}"/>
    <cellStyle name="40% - Accent2 14 4 4" xfId="20048" xr:uid="{00000000-0005-0000-0000-000039330000}"/>
    <cellStyle name="40% - Accent2 14 4 4 2" xfId="43880" xr:uid="{8BFF4497-0623-4846-87C1-027B321BC0BB}"/>
    <cellStyle name="40% - Accent2 14 4 5" xfId="28001" xr:uid="{339E766F-B9C1-493A-8FF1-18A56A93CCDA}"/>
    <cellStyle name="40% - Accent2 14 5" xfId="5889" xr:uid="{00000000-0005-0000-0000-00003A330000}"/>
    <cellStyle name="40% - Accent2 14 5 2" xfId="13872" xr:uid="{00000000-0005-0000-0000-00003B330000}"/>
    <cellStyle name="40% - Accent2 14 5 2 2" xfId="37715" xr:uid="{3A47972C-0B5B-4EF2-8345-C985FD32522F}"/>
    <cellStyle name="40% - Accent2 14 5 3" xfId="21820" xr:uid="{00000000-0005-0000-0000-00003C330000}"/>
    <cellStyle name="40% - Accent2 14 5 3 2" xfId="45652" xr:uid="{B7BBA4F2-462B-4F65-B4CD-7F2477CF7957}"/>
    <cellStyle name="40% - Accent2 14 5 4" xfId="29774" xr:uid="{807FFC79-23B6-4729-9E4D-8FA680160BC0}"/>
    <cellStyle name="40% - Accent2 14 6" xfId="9441" xr:uid="{00000000-0005-0000-0000-00003D330000}"/>
    <cellStyle name="40% - Accent2 14 6 2" xfId="17399" xr:uid="{00000000-0005-0000-0000-00003E330000}"/>
    <cellStyle name="40% - Accent2 14 6 2 2" xfId="41239" xr:uid="{593593EF-3E24-4904-BB3E-3AE7DF45B7C7}"/>
    <cellStyle name="40% - Accent2 14 6 3" xfId="25343" xr:uid="{00000000-0005-0000-0000-00003F330000}"/>
    <cellStyle name="40% - Accent2 14 6 3 2" xfId="49175" xr:uid="{A81ECAC8-E146-425B-A675-9152A5725A26}"/>
    <cellStyle name="40% - Accent2 14 6 4" xfId="33298" xr:uid="{B7A2F412-C2F1-415A-8A90-FB37EF2098E5}"/>
    <cellStyle name="40% - Accent2 14 7" xfId="10337" xr:uid="{00000000-0005-0000-0000-000040330000}"/>
    <cellStyle name="40% - Accent2 14 7 2" xfId="34186" xr:uid="{FE56F25D-B69F-4E9A-A676-C45975E7F909}"/>
    <cellStyle name="40% - Accent2 14 8" xfId="18292" xr:uid="{00000000-0005-0000-0000-000041330000}"/>
    <cellStyle name="40% - Accent2 14 8 2" xfId="42124" xr:uid="{A6E5846C-BA29-42BC-9FC5-36854BDD3E42}"/>
    <cellStyle name="40% - Accent2 14 9" xfId="26244" xr:uid="{D84C2C7E-360A-4A1A-BC60-A5461E1B812A}"/>
    <cellStyle name="40% - Accent2 14_Exh G" xfId="2834" xr:uid="{00000000-0005-0000-0000-000042330000}"/>
    <cellStyle name="40% - Accent2 15" xfId="397" xr:uid="{00000000-0005-0000-0000-000043330000}"/>
    <cellStyle name="40% - Accent2 15 2" xfId="1423" xr:uid="{00000000-0005-0000-0000-000044330000}"/>
    <cellStyle name="40% - Accent2 15 2 2" xfId="4950" xr:uid="{00000000-0005-0000-0000-000045330000}"/>
    <cellStyle name="40% - Accent2 15 2 2 2" xfId="8541" xr:uid="{00000000-0005-0000-0000-000046330000}"/>
    <cellStyle name="40% - Accent2 15 2 2 2 2" xfId="16511" xr:uid="{00000000-0005-0000-0000-000047330000}"/>
    <cellStyle name="40% - Accent2 15 2 2 2 2 2" xfId="40353" xr:uid="{BBD629FC-1D4B-40B7-963F-D8BE6B56D2B7}"/>
    <cellStyle name="40% - Accent2 15 2 2 2 3" xfId="24457" xr:uid="{00000000-0005-0000-0000-000048330000}"/>
    <cellStyle name="40% - Accent2 15 2 2 2 3 2" xfId="48289" xr:uid="{FA710B56-7A62-4035-9DE7-F1C8907232B2}"/>
    <cellStyle name="40% - Accent2 15 2 2 2 4" xfId="32412" xr:uid="{3C52763E-3743-46FF-B561-F189190F9BB0}"/>
    <cellStyle name="40% - Accent2 15 2 2 3" xfId="12973" xr:uid="{00000000-0005-0000-0000-000049330000}"/>
    <cellStyle name="40% - Accent2 15 2 2 3 2" xfId="36822" xr:uid="{58671501-D65A-42AF-91F2-3ED187829A5A}"/>
    <cellStyle name="40% - Accent2 15 2 2 4" xfId="20928" xr:uid="{00000000-0005-0000-0000-00004A330000}"/>
    <cellStyle name="40% - Accent2 15 2 2 4 2" xfId="44760" xr:uid="{73D6F0D4-67A4-4629-974B-99AFCCD3D012}"/>
    <cellStyle name="40% - Accent2 15 2 2 5" xfId="28881" xr:uid="{4401E994-E647-4D19-8002-00C75633A2D5}"/>
    <cellStyle name="40% - Accent2 15 2 3" xfId="6782" xr:uid="{00000000-0005-0000-0000-00004B330000}"/>
    <cellStyle name="40% - Accent2 15 2 3 2" xfId="14753" xr:uid="{00000000-0005-0000-0000-00004C330000}"/>
    <cellStyle name="40% - Accent2 15 2 3 2 2" xfId="38595" xr:uid="{82E83214-415C-467F-BFE1-113304F01C3A}"/>
    <cellStyle name="40% - Accent2 15 2 3 3" xfId="22700" xr:uid="{00000000-0005-0000-0000-00004D330000}"/>
    <cellStyle name="40% - Accent2 15 2 3 3 2" xfId="46532" xr:uid="{E57D98E2-19BC-49DF-B4C4-E6F96E4D2ABE}"/>
    <cellStyle name="40% - Accent2 15 2 3 4" xfId="30654" xr:uid="{2668F8E7-E11D-4099-8F1E-B482C32DBD5E}"/>
    <cellStyle name="40% - Accent2 15 2 4" xfId="11217" xr:uid="{00000000-0005-0000-0000-00004E330000}"/>
    <cellStyle name="40% - Accent2 15 2 4 2" xfId="35066" xr:uid="{BF86416A-1381-4F8E-88CB-AC3162787038}"/>
    <cellStyle name="40% - Accent2 15 2 5" xfId="19172" xr:uid="{00000000-0005-0000-0000-00004F330000}"/>
    <cellStyle name="40% - Accent2 15 2 5 2" xfId="43004" xr:uid="{977CFF5C-2C24-46AF-A437-A9F447BF0875}"/>
    <cellStyle name="40% - Accent2 15 2 6" xfId="27124" xr:uid="{CA2CE4AD-3447-48B6-803F-5381D6768C93}"/>
    <cellStyle name="40% - Accent2 15 2_Exh G" xfId="2839" xr:uid="{00000000-0005-0000-0000-000050330000}"/>
    <cellStyle name="40% - Accent2 15 3" xfId="4071" xr:uid="{00000000-0005-0000-0000-000051330000}"/>
    <cellStyle name="40% - Accent2 15 3 2" xfId="7663" xr:uid="{00000000-0005-0000-0000-000052330000}"/>
    <cellStyle name="40% - Accent2 15 3 2 2" xfId="15633" xr:uid="{00000000-0005-0000-0000-000053330000}"/>
    <cellStyle name="40% - Accent2 15 3 2 2 2" xfId="39475" xr:uid="{A9DD2CAE-B0CE-4AE4-832F-E521A1DBD7D8}"/>
    <cellStyle name="40% - Accent2 15 3 2 3" xfId="23579" xr:uid="{00000000-0005-0000-0000-000054330000}"/>
    <cellStyle name="40% - Accent2 15 3 2 3 2" xfId="47411" xr:uid="{1728C54A-C708-465D-88B7-56D3126D99F1}"/>
    <cellStyle name="40% - Accent2 15 3 2 4" xfId="31534" xr:uid="{A07F3ED7-BAD4-4FF1-9503-3676140D721F}"/>
    <cellStyle name="40% - Accent2 15 3 3" xfId="12095" xr:uid="{00000000-0005-0000-0000-000055330000}"/>
    <cellStyle name="40% - Accent2 15 3 3 2" xfId="35944" xr:uid="{3B696EAC-3C1F-4923-B020-0F0EA57F9FE6}"/>
    <cellStyle name="40% - Accent2 15 3 4" xfId="20050" xr:uid="{00000000-0005-0000-0000-000056330000}"/>
    <cellStyle name="40% - Accent2 15 3 4 2" xfId="43882" xr:uid="{87FAE86E-871C-4E18-847B-C9AA3A58C5D1}"/>
    <cellStyle name="40% - Accent2 15 3 5" xfId="28003" xr:uid="{B562DE6E-F1EB-4028-86E2-FF3C95A73714}"/>
    <cellStyle name="40% - Accent2 15 4" xfId="5891" xr:uid="{00000000-0005-0000-0000-000057330000}"/>
    <cellStyle name="40% - Accent2 15 4 2" xfId="13874" xr:uid="{00000000-0005-0000-0000-000058330000}"/>
    <cellStyle name="40% - Accent2 15 4 2 2" xfId="37717" xr:uid="{2ACFF2D9-221C-4FEF-93D6-1048B402A7E5}"/>
    <cellStyle name="40% - Accent2 15 4 3" xfId="21822" xr:uid="{00000000-0005-0000-0000-000059330000}"/>
    <cellStyle name="40% - Accent2 15 4 3 2" xfId="45654" xr:uid="{D7A749E6-B0E0-4631-B1D8-16A8F555ED62}"/>
    <cellStyle name="40% - Accent2 15 4 4" xfId="29776" xr:uid="{ABFBEC5D-1CD0-4C96-8357-304CAC38BA1F}"/>
    <cellStyle name="40% - Accent2 15 5" xfId="9443" xr:uid="{00000000-0005-0000-0000-00005A330000}"/>
    <cellStyle name="40% - Accent2 15 5 2" xfId="17401" xr:uid="{00000000-0005-0000-0000-00005B330000}"/>
    <cellStyle name="40% - Accent2 15 5 2 2" xfId="41241" xr:uid="{9B9C3694-2C8F-411D-BFEA-11B6D6E16EEF}"/>
    <cellStyle name="40% - Accent2 15 5 3" xfId="25345" xr:uid="{00000000-0005-0000-0000-00005C330000}"/>
    <cellStyle name="40% - Accent2 15 5 3 2" xfId="49177" xr:uid="{E81D17DB-D153-4DF3-B7BF-B01DEF321113}"/>
    <cellStyle name="40% - Accent2 15 5 4" xfId="33300" xr:uid="{D0FADDD5-151C-4CAF-8569-9021E9DB380F}"/>
    <cellStyle name="40% - Accent2 15 6" xfId="10339" xr:uid="{00000000-0005-0000-0000-00005D330000}"/>
    <cellStyle name="40% - Accent2 15 6 2" xfId="34188" xr:uid="{69FC264F-C2E7-4AEF-A2F0-E64AB7D6FA1F}"/>
    <cellStyle name="40% - Accent2 15 7" xfId="18294" xr:uid="{00000000-0005-0000-0000-00005E330000}"/>
    <cellStyle name="40% - Accent2 15 7 2" xfId="42126" xr:uid="{5AC02A05-1006-425D-BF1F-A4C08ECDC8BC}"/>
    <cellStyle name="40% - Accent2 15 8" xfId="26246" xr:uid="{0444DF05-B5DB-4B91-820A-B38B739833EF}"/>
    <cellStyle name="40% - Accent2 15_Exh G" xfId="2838" xr:uid="{00000000-0005-0000-0000-00005F330000}"/>
    <cellStyle name="40% - Accent2 16" xfId="847" xr:uid="{00000000-0005-0000-0000-000060330000}"/>
    <cellStyle name="40% - Accent2 16 2" xfId="1782" xr:uid="{00000000-0005-0000-0000-000061330000}"/>
    <cellStyle name="40% - Accent2 16 2 2" xfId="5302" xr:uid="{00000000-0005-0000-0000-000062330000}"/>
    <cellStyle name="40% - Accent2 16 2 2 2" xfId="8893" xr:uid="{00000000-0005-0000-0000-000063330000}"/>
    <cellStyle name="40% - Accent2 16 2 2 2 2" xfId="16863" xr:uid="{00000000-0005-0000-0000-000064330000}"/>
    <cellStyle name="40% - Accent2 16 2 2 2 2 2" xfId="40705" xr:uid="{EB2E2BEE-77BB-47E0-A745-5DE68C3FB72D}"/>
    <cellStyle name="40% - Accent2 16 2 2 2 3" xfId="24809" xr:uid="{00000000-0005-0000-0000-000065330000}"/>
    <cellStyle name="40% - Accent2 16 2 2 2 3 2" xfId="48641" xr:uid="{A25B7889-45B0-41DA-8BC7-36D8E944C15F}"/>
    <cellStyle name="40% - Accent2 16 2 2 2 4" xfId="32764" xr:uid="{2A6ECFD4-AB33-4D69-94F2-6C7900CE118B}"/>
    <cellStyle name="40% - Accent2 16 2 2 3" xfId="13325" xr:uid="{00000000-0005-0000-0000-000066330000}"/>
    <cellStyle name="40% - Accent2 16 2 2 3 2" xfId="37174" xr:uid="{3FF9626B-DC6C-4F9E-8E16-602DCD0BC782}"/>
    <cellStyle name="40% - Accent2 16 2 2 4" xfId="21280" xr:uid="{00000000-0005-0000-0000-000067330000}"/>
    <cellStyle name="40% - Accent2 16 2 2 4 2" xfId="45112" xr:uid="{7E517849-7A7D-426B-969C-EF6B470B40D5}"/>
    <cellStyle name="40% - Accent2 16 2 2 5" xfId="29233" xr:uid="{7585FDB2-041C-4FA1-92D0-92861A455509}"/>
    <cellStyle name="40% - Accent2 16 2 3" xfId="7134" xr:uid="{00000000-0005-0000-0000-000068330000}"/>
    <cellStyle name="40% - Accent2 16 2 3 2" xfId="15105" xr:uid="{00000000-0005-0000-0000-000069330000}"/>
    <cellStyle name="40% - Accent2 16 2 3 2 2" xfId="38947" xr:uid="{9971F014-2222-4996-A49C-5F2D763CC6C0}"/>
    <cellStyle name="40% - Accent2 16 2 3 3" xfId="23052" xr:uid="{00000000-0005-0000-0000-00006A330000}"/>
    <cellStyle name="40% - Accent2 16 2 3 3 2" xfId="46884" xr:uid="{4F9D556A-2865-411E-8320-45E6F3CCCCD5}"/>
    <cellStyle name="40% - Accent2 16 2 3 4" xfId="31006" xr:uid="{FCCEBCEF-5A94-4981-A7B3-3149FC56D493}"/>
    <cellStyle name="40% - Accent2 16 2 4" xfId="11569" xr:uid="{00000000-0005-0000-0000-00006B330000}"/>
    <cellStyle name="40% - Accent2 16 2 4 2" xfId="35418" xr:uid="{E65C365A-AF55-4561-B1A9-A9DAD06C4CEB}"/>
    <cellStyle name="40% - Accent2 16 2 5" xfId="19524" xr:uid="{00000000-0005-0000-0000-00006C330000}"/>
    <cellStyle name="40% - Accent2 16 2 5 2" xfId="43356" xr:uid="{7E088073-C607-47F8-AED8-351503C5FAE1}"/>
    <cellStyle name="40% - Accent2 16 2 6" xfId="27476" xr:uid="{EE4DB1D5-4513-44A8-A0E7-1D9268D8521E}"/>
    <cellStyle name="40% - Accent2 16 2_Exh G" xfId="2841" xr:uid="{00000000-0005-0000-0000-00006D330000}"/>
    <cellStyle name="40% - Accent2 16 3" xfId="4423" xr:uid="{00000000-0005-0000-0000-00006E330000}"/>
    <cellStyle name="40% - Accent2 16 3 2" xfId="8015" xr:uid="{00000000-0005-0000-0000-00006F330000}"/>
    <cellStyle name="40% - Accent2 16 3 2 2" xfId="15985" xr:uid="{00000000-0005-0000-0000-000070330000}"/>
    <cellStyle name="40% - Accent2 16 3 2 2 2" xfId="39827" xr:uid="{BAEC4DDC-7E2C-48BF-910D-89B9BBBCDAB3}"/>
    <cellStyle name="40% - Accent2 16 3 2 3" xfId="23931" xr:uid="{00000000-0005-0000-0000-000071330000}"/>
    <cellStyle name="40% - Accent2 16 3 2 3 2" xfId="47763" xr:uid="{47168757-45FC-4CE9-B43C-997E133C560D}"/>
    <cellStyle name="40% - Accent2 16 3 2 4" xfId="31886" xr:uid="{3EE055EB-1285-47D9-8053-9C785FEDF63D}"/>
    <cellStyle name="40% - Accent2 16 3 3" xfId="12447" xr:uid="{00000000-0005-0000-0000-000072330000}"/>
    <cellStyle name="40% - Accent2 16 3 3 2" xfId="36296" xr:uid="{DE16D37E-344E-4BD4-8A8D-3B0086D181B6}"/>
    <cellStyle name="40% - Accent2 16 3 4" xfId="20402" xr:uid="{00000000-0005-0000-0000-000073330000}"/>
    <cellStyle name="40% - Accent2 16 3 4 2" xfId="44234" xr:uid="{4598585F-3774-42A4-ADE5-D6E4CAAF79C7}"/>
    <cellStyle name="40% - Accent2 16 3 5" xfId="28355" xr:uid="{CB91BBD2-40A4-4D2D-8538-796B4EC9DAF2}"/>
    <cellStyle name="40% - Accent2 16 4" xfId="6253" xr:uid="{00000000-0005-0000-0000-000074330000}"/>
    <cellStyle name="40% - Accent2 16 4 2" xfId="14227" xr:uid="{00000000-0005-0000-0000-000075330000}"/>
    <cellStyle name="40% - Accent2 16 4 2 2" xfId="38069" xr:uid="{E1BFB2BB-6451-4DA7-BD9B-373634DD3A0C}"/>
    <cellStyle name="40% - Accent2 16 4 3" xfId="22174" xr:uid="{00000000-0005-0000-0000-000076330000}"/>
    <cellStyle name="40% - Accent2 16 4 3 2" xfId="46006" xr:uid="{845AC612-E55E-4BC4-8503-AA431D3E1048}"/>
    <cellStyle name="40% - Accent2 16 4 4" xfId="30128" xr:uid="{8F626C47-2C73-4967-8000-4589F072CBC5}"/>
    <cellStyle name="40% - Accent2 16 5" xfId="9795" xr:uid="{00000000-0005-0000-0000-000077330000}"/>
    <cellStyle name="40% - Accent2 16 5 2" xfId="17753" xr:uid="{00000000-0005-0000-0000-000078330000}"/>
    <cellStyle name="40% - Accent2 16 5 2 2" xfId="41593" xr:uid="{27C282DE-43D1-43A5-98E5-77A400715EB0}"/>
    <cellStyle name="40% - Accent2 16 5 3" xfId="25697" xr:uid="{00000000-0005-0000-0000-000079330000}"/>
    <cellStyle name="40% - Accent2 16 5 3 2" xfId="49529" xr:uid="{EB5C33BB-7A6E-4AB4-BE2F-BD213287C9B6}"/>
    <cellStyle name="40% - Accent2 16 5 4" xfId="33652" xr:uid="{EFC6639B-F5F5-4AC4-953F-32C90492E494}"/>
    <cellStyle name="40% - Accent2 16 6" xfId="10691" xr:uid="{00000000-0005-0000-0000-00007A330000}"/>
    <cellStyle name="40% - Accent2 16 6 2" xfId="34540" xr:uid="{0CC85BAA-D0DF-42E7-B2E1-9816759141D2}"/>
    <cellStyle name="40% - Accent2 16 7" xfId="18646" xr:uid="{00000000-0005-0000-0000-00007B330000}"/>
    <cellStyle name="40% - Accent2 16 7 2" xfId="42478" xr:uid="{A1DC6AFA-3BF2-4D95-851D-036C013DF3C6}"/>
    <cellStyle name="40% - Accent2 16 8" xfId="26598" xr:uid="{5ECC5C46-EE5F-410D-AAA1-8B78F0A94D0C}"/>
    <cellStyle name="40% - Accent2 16_Exh G" xfId="2840" xr:uid="{00000000-0005-0000-0000-00007C330000}"/>
    <cellStyle name="40% - Accent2 17" xfId="49786" xr:uid="{934B2669-FC89-4786-8809-887C9D873CF5}"/>
    <cellStyle name="40% - Accent2 18" xfId="49826" xr:uid="{35F7D7A2-E004-49C0-A3FF-68E26B6E4697}"/>
    <cellStyle name="40% - Accent2 2" xfId="398" xr:uid="{00000000-0005-0000-0000-00007D330000}"/>
    <cellStyle name="40% - Accent2 2 10" xfId="18295" xr:uid="{00000000-0005-0000-0000-00007E330000}"/>
    <cellStyle name="40% - Accent2 2 10 2" xfId="42127" xr:uid="{7B6368AB-05A5-4D88-A020-AE4EA4BDD3C5}"/>
    <cellStyle name="40% - Accent2 2 11" xfId="26247" xr:uid="{6C3904DB-0280-4397-857B-EB52800E2EC6}"/>
    <cellStyle name="40% - Accent2 2 12" xfId="49771" xr:uid="{5715E6A7-F654-4C3D-8C00-95E516144BEE}"/>
    <cellStyle name="40% - Accent2 2 13" xfId="49799" xr:uid="{E8829EC1-FC92-4745-93C9-4787E6015ADC}"/>
    <cellStyle name="40% - Accent2 2 14" xfId="49840" xr:uid="{4F866B39-BDBE-4E85-AB0C-9A5DA19838CA}"/>
    <cellStyle name="40% - Accent2 2 2" xfId="399" xr:uid="{00000000-0005-0000-0000-00007F330000}"/>
    <cellStyle name="40% - Accent2 2 2 10" xfId="26248" xr:uid="{FD06B539-C595-47F3-A0FE-7124C2542900}"/>
    <cellStyle name="40% - Accent2 2 2 2" xfId="400" xr:uid="{00000000-0005-0000-0000-000080330000}"/>
    <cellStyle name="40% - Accent2 2 2 2 2" xfId="1426" xr:uid="{00000000-0005-0000-0000-000081330000}"/>
    <cellStyle name="40% - Accent2 2 2 2 2 2" xfId="4953" xr:uid="{00000000-0005-0000-0000-000082330000}"/>
    <cellStyle name="40% - Accent2 2 2 2 2 2 2" xfId="8544" xr:uid="{00000000-0005-0000-0000-000083330000}"/>
    <cellStyle name="40% - Accent2 2 2 2 2 2 2 2" xfId="16514" xr:uid="{00000000-0005-0000-0000-000084330000}"/>
    <cellStyle name="40% - Accent2 2 2 2 2 2 2 2 2" xfId="40356" xr:uid="{1704DBB4-EA1E-450A-9F34-24EEFC7C4CD5}"/>
    <cellStyle name="40% - Accent2 2 2 2 2 2 2 3" xfId="24460" xr:uid="{00000000-0005-0000-0000-000085330000}"/>
    <cellStyle name="40% - Accent2 2 2 2 2 2 2 3 2" xfId="48292" xr:uid="{DEA78F36-2CBB-43EF-97D1-7F64B087397A}"/>
    <cellStyle name="40% - Accent2 2 2 2 2 2 2 4" xfId="32415" xr:uid="{7D890616-FB50-44E9-985A-10893739D7E2}"/>
    <cellStyle name="40% - Accent2 2 2 2 2 2 3" xfId="12976" xr:uid="{00000000-0005-0000-0000-000086330000}"/>
    <cellStyle name="40% - Accent2 2 2 2 2 2 3 2" xfId="36825" xr:uid="{F1E0A8C5-E44C-451E-BD06-12BA6BF92338}"/>
    <cellStyle name="40% - Accent2 2 2 2 2 2 4" xfId="20931" xr:uid="{00000000-0005-0000-0000-000087330000}"/>
    <cellStyle name="40% - Accent2 2 2 2 2 2 4 2" xfId="44763" xr:uid="{60B0F8A5-A39F-4FB3-8CC1-9415A7022E22}"/>
    <cellStyle name="40% - Accent2 2 2 2 2 2 5" xfId="28884" xr:uid="{E09C96FF-2C0F-45D3-9A36-E21F28DF5DB6}"/>
    <cellStyle name="40% - Accent2 2 2 2 2 3" xfId="6785" xr:uid="{00000000-0005-0000-0000-000088330000}"/>
    <cellStyle name="40% - Accent2 2 2 2 2 3 2" xfId="14756" xr:uid="{00000000-0005-0000-0000-000089330000}"/>
    <cellStyle name="40% - Accent2 2 2 2 2 3 2 2" xfId="38598" xr:uid="{1200CF8C-F03E-4E2B-A3B8-A4A8F8204194}"/>
    <cellStyle name="40% - Accent2 2 2 2 2 3 3" xfId="22703" xr:uid="{00000000-0005-0000-0000-00008A330000}"/>
    <cellStyle name="40% - Accent2 2 2 2 2 3 3 2" xfId="46535" xr:uid="{3F12C9F8-4AF6-40D2-9666-154E58528E22}"/>
    <cellStyle name="40% - Accent2 2 2 2 2 3 4" xfId="30657" xr:uid="{4BFE675C-4C2C-4374-A177-003E536923A7}"/>
    <cellStyle name="40% - Accent2 2 2 2 2 4" xfId="11220" xr:uid="{00000000-0005-0000-0000-00008B330000}"/>
    <cellStyle name="40% - Accent2 2 2 2 2 4 2" xfId="35069" xr:uid="{F3832FFD-456D-47DB-9EAF-7F9BB9C762B8}"/>
    <cellStyle name="40% - Accent2 2 2 2 2 5" xfId="19175" xr:uid="{00000000-0005-0000-0000-00008C330000}"/>
    <cellStyle name="40% - Accent2 2 2 2 2 5 2" xfId="43007" xr:uid="{7DD76765-D454-4F30-B67F-B7E8748506E9}"/>
    <cellStyle name="40% - Accent2 2 2 2 2 6" xfId="27127" xr:uid="{FB38D6C1-2566-4FE9-AE5E-659A1E490B2C}"/>
    <cellStyle name="40% - Accent2 2 2 2 2_Exh G" xfId="2845" xr:uid="{00000000-0005-0000-0000-00008D330000}"/>
    <cellStyle name="40% - Accent2 2 2 2 3" xfId="4074" xr:uid="{00000000-0005-0000-0000-00008E330000}"/>
    <cellStyle name="40% - Accent2 2 2 2 3 2" xfId="7666" xr:uid="{00000000-0005-0000-0000-00008F330000}"/>
    <cellStyle name="40% - Accent2 2 2 2 3 2 2" xfId="15636" xr:uid="{00000000-0005-0000-0000-000090330000}"/>
    <cellStyle name="40% - Accent2 2 2 2 3 2 2 2" xfId="39478" xr:uid="{22B861F1-ED6F-4BA2-A777-083DFCAF2C48}"/>
    <cellStyle name="40% - Accent2 2 2 2 3 2 3" xfId="23582" xr:uid="{00000000-0005-0000-0000-000091330000}"/>
    <cellStyle name="40% - Accent2 2 2 2 3 2 3 2" xfId="47414" xr:uid="{84235A2B-BE47-4E6B-B4E3-0ED36184F13B}"/>
    <cellStyle name="40% - Accent2 2 2 2 3 2 4" xfId="31537" xr:uid="{355E0774-F7D6-4A03-9C4C-E397C3B75BF5}"/>
    <cellStyle name="40% - Accent2 2 2 2 3 3" xfId="12098" xr:uid="{00000000-0005-0000-0000-000092330000}"/>
    <cellStyle name="40% - Accent2 2 2 2 3 3 2" xfId="35947" xr:uid="{EED9B4D2-A309-4CD0-BBE8-5C8D35AAD386}"/>
    <cellStyle name="40% - Accent2 2 2 2 3 4" xfId="20053" xr:uid="{00000000-0005-0000-0000-000093330000}"/>
    <cellStyle name="40% - Accent2 2 2 2 3 4 2" xfId="43885" xr:uid="{131AED72-64F7-4402-BEF2-5394AC92DDD5}"/>
    <cellStyle name="40% - Accent2 2 2 2 3 5" xfId="28006" xr:uid="{045F714F-E76F-4289-8733-6988955263A8}"/>
    <cellStyle name="40% - Accent2 2 2 2 4" xfId="5894" xr:uid="{00000000-0005-0000-0000-000094330000}"/>
    <cellStyle name="40% - Accent2 2 2 2 4 2" xfId="13877" xr:uid="{00000000-0005-0000-0000-000095330000}"/>
    <cellStyle name="40% - Accent2 2 2 2 4 2 2" xfId="37720" xr:uid="{A6816FCF-1082-4BA8-A6A0-86B510E90CFA}"/>
    <cellStyle name="40% - Accent2 2 2 2 4 3" xfId="21825" xr:uid="{00000000-0005-0000-0000-000096330000}"/>
    <cellStyle name="40% - Accent2 2 2 2 4 3 2" xfId="45657" xr:uid="{F886982C-200C-4A96-9245-F45C6E66D6B6}"/>
    <cellStyle name="40% - Accent2 2 2 2 4 4" xfId="29779" xr:uid="{F2B366B6-2437-48DD-8557-2CA83E353738}"/>
    <cellStyle name="40% - Accent2 2 2 2 5" xfId="9446" xr:uid="{00000000-0005-0000-0000-000097330000}"/>
    <cellStyle name="40% - Accent2 2 2 2 5 2" xfId="17404" xr:uid="{00000000-0005-0000-0000-000098330000}"/>
    <cellStyle name="40% - Accent2 2 2 2 5 2 2" xfId="41244" xr:uid="{5E61F4DE-084B-4847-B5AE-24A611D345AE}"/>
    <cellStyle name="40% - Accent2 2 2 2 5 3" xfId="25348" xr:uid="{00000000-0005-0000-0000-000099330000}"/>
    <cellStyle name="40% - Accent2 2 2 2 5 3 2" xfId="49180" xr:uid="{DEF3D8EE-834A-4C9D-B28B-00942A1BA150}"/>
    <cellStyle name="40% - Accent2 2 2 2 5 4" xfId="33303" xr:uid="{DA78D494-C1D0-46F9-8EBE-C824D28CB01F}"/>
    <cellStyle name="40% - Accent2 2 2 2 6" xfId="10342" xr:uid="{00000000-0005-0000-0000-00009A330000}"/>
    <cellStyle name="40% - Accent2 2 2 2 6 2" xfId="34191" xr:uid="{311778E9-6F4A-4722-AB49-8FB01E7AAD39}"/>
    <cellStyle name="40% - Accent2 2 2 2 7" xfId="18297" xr:uid="{00000000-0005-0000-0000-00009B330000}"/>
    <cellStyle name="40% - Accent2 2 2 2 7 2" xfId="42129" xr:uid="{ECCC43AE-60A5-4E4A-BBA9-98F5E4F74613}"/>
    <cellStyle name="40% - Accent2 2 2 2 8" xfId="26249" xr:uid="{A9283E2C-A44B-4312-A9E0-CF995AF945F3}"/>
    <cellStyle name="40% - Accent2 2 2 2_Exh G" xfId="2844" xr:uid="{00000000-0005-0000-0000-00009C330000}"/>
    <cellStyle name="40% - Accent2 2 2 3" xfId="945" xr:uid="{00000000-0005-0000-0000-00009D330000}"/>
    <cellStyle name="40% - Accent2 2 2 3 2" xfId="1863" xr:uid="{00000000-0005-0000-0000-00009E330000}"/>
    <cellStyle name="40% - Accent2 2 2 3 2 2" xfId="5380" xr:uid="{00000000-0005-0000-0000-00009F330000}"/>
    <cellStyle name="40% - Accent2 2 2 3 2 2 2" xfId="8971" xr:uid="{00000000-0005-0000-0000-0000A0330000}"/>
    <cellStyle name="40% - Accent2 2 2 3 2 2 2 2" xfId="16941" xr:uid="{00000000-0005-0000-0000-0000A1330000}"/>
    <cellStyle name="40% - Accent2 2 2 3 2 2 2 2 2" xfId="40783" xr:uid="{765DCC54-8167-4C09-A614-37BE1AC5FA9E}"/>
    <cellStyle name="40% - Accent2 2 2 3 2 2 2 3" xfId="24887" xr:uid="{00000000-0005-0000-0000-0000A2330000}"/>
    <cellStyle name="40% - Accent2 2 2 3 2 2 2 3 2" xfId="48719" xr:uid="{4C0283D4-135E-44AC-8F53-D9498ED187CC}"/>
    <cellStyle name="40% - Accent2 2 2 3 2 2 2 4" xfId="32842" xr:uid="{DE923CFC-A2EA-4841-8CA8-859A4A13F1D0}"/>
    <cellStyle name="40% - Accent2 2 2 3 2 2 3" xfId="13403" xr:uid="{00000000-0005-0000-0000-0000A3330000}"/>
    <cellStyle name="40% - Accent2 2 2 3 2 2 3 2" xfId="37252" xr:uid="{70C341DF-7DCD-423D-9D59-32E3050E510B}"/>
    <cellStyle name="40% - Accent2 2 2 3 2 2 4" xfId="21358" xr:uid="{00000000-0005-0000-0000-0000A4330000}"/>
    <cellStyle name="40% - Accent2 2 2 3 2 2 4 2" xfId="45190" xr:uid="{20B16816-1373-4DD8-BE13-5421B0105114}"/>
    <cellStyle name="40% - Accent2 2 2 3 2 2 5" xfId="29311" xr:uid="{4DEC3F04-7614-490E-BB30-4F0374B0B508}"/>
    <cellStyle name="40% - Accent2 2 2 3 2 3" xfId="7212" xr:uid="{00000000-0005-0000-0000-0000A5330000}"/>
    <cellStyle name="40% - Accent2 2 2 3 2 3 2" xfId="15183" xr:uid="{00000000-0005-0000-0000-0000A6330000}"/>
    <cellStyle name="40% - Accent2 2 2 3 2 3 2 2" xfId="39025" xr:uid="{DDCDCADA-8421-4F8D-B802-7875F150EE47}"/>
    <cellStyle name="40% - Accent2 2 2 3 2 3 3" xfId="23130" xr:uid="{00000000-0005-0000-0000-0000A7330000}"/>
    <cellStyle name="40% - Accent2 2 2 3 2 3 3 2" xfId="46962" xr:uid="{DDC9F4B0-E82F-45E3-AD1C-161381185CC4}"/>
    <cellStyle name="40% - Accent2 2 2 3 2 3 4" xfId="31084" xr:uid="{00D51E91-EF68-44DF-AEF8-16147D9796B6}"/>
    <cellStyle name="40% - Accent2 2 2 3 2 4" xfId="11647" xr:uid="{00000000-0005-0000-0000-0000A8330000}"/>
    <cellStyle name="40% - Accent2 2 2 3 2 4 2" xfId="35496" xr:uid="{066DF82C-5DF1-4954-BF29-C9D04D4288DC}"/>
    <cellStyle name="40% - Accent2 2 2 3 2 5" xfId="19602" xr:uid="{00000000-0005-0000-0000-0000A9330000}"/>
    <cellStyle name="40% - Accent2 2 2 3 2 5 2" xfId="43434" xr:uid="{5FC8B52D-17B2-4A2C-8E9B-65CD36A12AF6}"/>
    <cellStyle name="40% - Accent2 2 2 3 2 6" xfId="27554" xr:uid="{9BECA483-3E4E-45A1-8679-42711C76628B}"/>
    <cellStyle name="40% - Accent2 2 2 3 2_Exh G" xfId="2847" xr:uid="{00000000-0005-0000-0000-0000AA330000}"/>
    <cellStyle name="40% - Accent2 2 2 3 3" xfId="4501" xr:uid="{00000000-0005-0000-0000-0000AB330000}"/>
    <cellStyle name="40% - Accent2 2 2 3 3 2" xfId="8093" xr:uid="{00000000-0005-0000-0000-0000AC330000}"/>
    <cellStyle name="40% - Accent2 2 2 3 3 2 2" xfId="16063" xr:uid="{00000000-0005-0000-0000-0000AD330000}"/>
    <cellStyle name="40% - Accent2 2 2 3 3 2 2 2" xfId="39905" xr:uid="{A2FE9FBB-9DA1-4B78-ABF0-9DA7841B5164}"/>
    <cellStyle name="40% - Accent2 2 2 3 3 2 3" xfId="24009" xr:uid="{00000000-0005-0000-0000-0000AE330000}"/>
    <cellStyle name="40% - Accent2 2 2 3 3 2 3 2" xfId="47841" xr:uid="{37781BFE-2DEC-498F-A192-5E564F662A41}"/>
    <cellStyle name="40% - Accent2 2 2 3 3 2 4" xfId="31964" xr:uid="{10BB9A32-809D-45A6-8056-D49D02847505}"/>
    <cellStyle name="40% - Accent2 2 2 3 3 3" xfId="12525" xr:uid="{00000000-0005-0000-0000-0000AF330000}"/>
    <cellStyle name="40% - Accent2 2 2 3 3 3 2" xfId="36374" xr:uid="{F062052F-B75D-45B0-BDB5-F14DB4C17C55}"/>
    <cellStyle name="40% - Accent2 2 2 3 3 4" xfId="20480" xr:uid="{00000000-0005-0000-0000-0000B0330000}"/>
    <cellStyle name="40% - Accent2 2 2 3 3 4 2" xfId="44312" xr:uid="{473616B6-F7C1-4CD3-864B-19A0004E8B41}"/>
    <cellStyle name="40% - Accent2 2 2 3 3 5" xfId="28433" xr:uid="{6D8F8EC3-A626-4F45-8E3A-A69F75F604FD}"/>
    <cellStyle name="40% - Accent2 2 2 3 4" xfId="6331" xr:uid="{00000000-0005-0000-0000-0000B1330000}"/>
    <cellStyle name="40% - Accent2 2 2 3 4 2" xfId="14305" xr:uid="{00000000-0005-0000-0000-0000B2330000}"/>
    <cellStyle name="40% - Accent2 2 2 3 4 2 2" xfId="38147" xr:uid="{9FBAB19A-9E73-4050-9C78-6CA05FF67454}"/>
    <cellStyle name="40% - Accent2 2 2 3 4 3" xfId="22252" xr:uid="{00000000-0005-0000-0000-0000B3330000}"/>
    <cellStyle name="40% - Accent2 2 2 3 4 3 2" xfId="46084" xr:uid="{CC4406E7-3E66-49B8-A845-505D88E50B8B}"/>
    <cellStyle name="40% - Accent2 2 2 3 4 4" xfId="30206" xr:uid="{0D9FECE6-3C8A-445A-870D-2FC750D74A75}"/>
    <cellStyle name="40% - Accent2 2 2 3 5" xfId="9873" xr:uid="{00000000-0005-0000-0000-0000B4330000}"/>
    <cellStyle name="40% - Accent2 2 2 3 5 2" xfId="17831" xr:uid="{00000000-0005-0000-0000-0000B5330000}"/>
    <cellStyle name="40% - Accent2 2 2 3 5 2 2" xfId="41671" xr:uid="{5EAE8648-C21A-431E-ACB1-3F61E5D89504}"/>
    <cellStyle name="40% - Accent2 2 2 3 5 3" xfId="25775" xr:uid="{00000000-0005-0000-0000-0000B6330000}"/>
    <cellStyle name="40% - Accent2 2 2 3 5 3 2" xfId="49607" xr:uid="{1D581DC6-A3B6-4365-B19E-4BA1B1C7AA41}"/>
    <cellStyle name="40% - Accent2 2 2 3 5 4" xfId="33730" xr:uid="{DEFEB960-E317-4CBE-B0F1-BDB2394011C4}"/>
    <cellStyle name="40% - Accent2 2 2 3 6" xfId="10769" xr:uid="{00000000-0005-0000-0000-0000B7330000}"/>
    <cellStyle name="40% - Accent2 2 2 3 6 2" xfId="34618" xr:uid="{231155F1-5D0C-4B9B-A51B-021CF9723F40}"/>
    <cellStyle name="40% - Accent2 2 2 3 7" xfId="18724" xr:uid="{00000000-0005-0000-0000-0000B8330000}"/>
    <cellStyle name="40% - Accent2 2 2 3 7 2" xfId="42556" xr:uid="{7D2436E7-5EEB-4D02-8373-981CEAABBD46}"/>
    <cellStyle name="40% - Accent2 2 2 3 8" xfId="26676" xr:uid="{169CE96A-7E81-47F0-BE7C-035E291F1E1C}"/>
    <cellStyle name="40% - Accent2 2 2 3_Exh G" xfId="2846" xr:uid="{00000000-0005-0000-0000-0000B9330000}"/>
    <cellStyle name="40% - Accent2 2 2 4" xfId="1425" xr:uid="{00000000-0005-0000-0000-0000BA330000}"/>
    <cellStyle name="40% - Accent2 2 2 4 2" xfId="4952" xr:uid="{00000000-0005-0000-0000-0000BB330000}"/>
    <cellStyle name="40% - Accent2 2 2 4 2 2" xfId="8543" xr:uid="{00000000-0005-0000-0000-0000BC330000}"/>
    <cellStyle name="40% - Accent2 2 2 4 2 2 2" xfId="16513" xr:uid="{00000000-0005-0000-0000-0000BD330000}"/>
    <cellStyle name="40% - Accent2 2 2 4 2 2 2 2" xfId="40355" xr:uid="{4206BB36-C6CE-4B4E-AE29-9F45F0FB6608}"/>
    <cellStyle name="40% - Accent2 2 2 4 2 2 3" xfId="24459" xr:uid="{00000000-0005-0000-0000-0000BE330000}"/>
    <cellStyle name="40% - Accent2 2 2 4 2 2 3 2" xfId="48291" xr:uid="{85AF9448-7616-40A9-8DE6-2C82895E3D47}"/>
    <cellStyle name="40% - Accent2 2 2 4 2 2 4" xfId="32414" xr:uid="{E4D672BD-6556-4CBE-A077-1044DC23D6D3}"/>
    <cellStyle name="40% - Accent2 2 2 4 2 3" xfId="12975" xr:uid="{00000000-0005-0000-0000-0000BF330000}"/>
    <cellStyle name="40% - Accent2 2 2 4 2 3 2" xfId="36824" xr:uid="{E2819DDF-AAAD-4640-A1F4-EDAAC7F3B78A}"/>
    <cellStyle name="40% - Accent2 2 2 4 2 4" xfId="20930" xr:uid="{00000000-0005-0000-0000-0000C0330000}"/>
    <cellStyle name="40% - Accent2 2 2 4 2 4 2" xfId="44762" xr:uid="{613D892E-79A0-47EB-BB39-E555535003CE}"/>
    <cellStyle name="40% - Accent2 2 2 4 2 5" xfId="28883" xr:uid="{0866C027-DF17-4ABA-B6B3-63E1F97CECDC}"/>
    <cellStyle name="40% - Accent2 2 2 4 3" xfId="6784" xr:uid="{00000000-0005-0000-0000-0000C1330000}"/>
    <cellStyle name="40% - Accent2 2 2 4 3 2" xfId="14755" xr:uid="{00000000-0005-0000-0000-0000C2330000}"/>
    <cellStyle name="40% - Accent2 2 2 4 3 2 2" xfId="38597" xr:uid="{26450BFB-C389-42D2-AB36-D2D7ECA5EDD0}"/>
    <cellStyle name="40% - Accent2 2 2 4 3 3" xfId="22702" xr:uid="{00000000-0005-0000-0000-0000C3330000}"/>
    <cellStyle name="40% - Accent2 2 2 4 3 3 2" xfId="46534" xr:uid="{BA4946F8-D1C1-44D9-B15D-577537A43229}"/>
    <cellStyle name="40% - Accent2 2 2 4 3 4" xfId="30656" xr:uid="{E8595A5C-2032-45F9-8F94-E22C0A025FA4}"/>
    <cellStyle name="40% - Accent2 2 2 4 4" xfId="11219" xr:uid="{00000000-0005-0000-0000-0000C4330000}"/>
    <cellStyle name="40% - Accent2 2 2 4 4 2" xfId="35068" xr:uid="{7A4372D0-FDE5-4F50-84ED-85AC4FCB0FD0}"/>
    <cellStyle name="40% - Accent2 2 2 4 5" xfId="19174" xr:uid="{00000000-0005-0000-0000-0000C5330000}"/>
    <cellStyle name="40% - Accent2 2 2 4 5 2" xfId="43006" xr:uid="{27364803-79BE-4CB8-B11E-C68166896EF4}"/>
    <cellStyle name="40% - Accent2 2 2 4 6" xfId="27126" xr:uid="{687B6FB5-E07C-4B7F-A16A-6C01FD03130D}"/>
    <cellStyle name="40% - Accent2 2 2 4_Exh G" xfId="2848" xr:uid="{00000000-0005-0000-0000-0000C6330000}"/>
    <cellStyle name="40% - Accent2 2 2 5" xfId="4073" xr:uid="{00000000-0005-0000-0000-0000C7330000}"/>
    <cellStyle name="40% - Accent2 2 2 5 2" xfId="7665" xr:uid="{00000000-0005-0000-0000-0000C8330000}"/>
    <cellStyle name="40% - Accent2 2 2 5 2 2" xfId="15635" xr:uid="{00000000-0005-0000-0000-0000C9330000}"/>
    <cellStyle name="40% - Accent2 2 2 5 2 2 2" xfId="39477" xr:uid="{EA53F49D-EC24-45E4-9980-FDDF64643A38}"/>
    <cellStyle name="40% - Accent2 2 2 5 2 3" xfId="23581" xr:uid="{00000000-0005-0000-0000-0000CA330000}"/>
    <cellStyle name="40% - Accent2 2 2 5 2 3 2" xfId="47413" xr:uid="{B63A41A5-A346-42E8-8C73-9C7C78B39572}"/>
    <cellStyle name="40% - Accent2 2 2 5 2 4" xfId="31536" xr:uid="{E3873716-BD8B-4231-9802-2697EA31F3EA}"/>
    <cellStyle name="40% - Accent2 2 2 5 3" xfId="12097" xr:uid="{00000000-0005-0000-0000-0000CB330000}"/>
    <cellStyle name="40% - Accent2 2 2 5 3 2" xfId="35946" xr:uid="{9C259F39-FD8C-4592-BC5D-7D7093087C2C}"/>
    <cellStyle name="40% - Accent2 2 2 5 4" xfId="20052" xr:uid="{00000000-0005-0000-0000-0000CC330000}"/>
    <cellStyle name="40% - Accent2 2 2 5 4 2" xfId="43884" xr:uid="{ACA132E2-C92C-4A36-B713-43E4B920C596}"/>
    <cellStyle name="40% - Accent2 2 2 5 5" xfId="28005" xr:uid="{75A11D2C-4DEC-482E-8161-15309735037C}"/>
    <cellStyle name="40% - Accent2 2 2 6" xfId="5893" xr:uid="{00000000-0005-0000-0000-0000CD330000}"/>
    <cellStyle name="40% - Accent2 2 2 6 2" xfId="13876" xr:uid="{00000000-0005-0000-0000-0000CE330000}"/>
    <cellStyle name="40% - Accent2 2 2 6 2 2" xfId="37719" xr:uid="{AB7B055F-2D92-45C0-83F6-D2B830239009}"/>
    <cellStyle name="40% - Accent2 2 2 6 3" xfId="21824" xr:uid="{00000000-0005-0000-0000-0000CF330000}"/>
    <cellStyle name="40% - Accent2 2 2 6 3 2" xfId="45656" xr:uid="{9B0959F6-0647-46FB-9BDF-0D4D14628893}"/>
    <cellStyle name="40% - Accent2 2 2 6 4" xfId="29778" xr:uid="{8FE5BC22-8AC4-4AAC-84DB-E1E098DC8EC7}"/>
    <cellStyle name="40% - Accent2 2 2 7" xfId="9445" xr:uid="{00000000-0005-0000-0000-0000D0330000}"/>
    <cellStyle name="40% - Accent2 2 2 7 2" xfId="17403" xr:uid="{00000000-0005-0000-0000-0000D1330000}"/>
    <cellStyle name="40% - Accent2 2 2 7 2 2" xfId="41243" xr:uid="{9A173E69-7E7D-4512-9CB7-5EDA09F81927}"/>
    <cellStyle name="40% - Accent2 2 2 7 3" xfId="25347" xr:uid="{00000000-0005-0000-0000-0000D2330000}"/>
    <cellStyle name="40% - Accent2 2 2 7 3 2" xfId="49179" xr:uid="{614FF4A9-6309-40C2-97D7-F76EB74A4E36}"/>
    <cellStyle name="40% - Accent2 2 2 7 4" xfId="33302" xr:uid="{9E9619AC-64BD-4CEF-9E40-28BD45BC675C}"/>
    <cellStyle name="40% - Accent2 2 2 8" xfId="10341" xr:uid="{00000000-0005-0000-0000-0000D3330000}"/>
    <cellStyle name="40% - Accent2 2 2 8 2" xfId="34190" xr:uid="{771516FD-CFB8-479B-B10B-E8A357C25E3C}"/>
    <cellStyle name="40% - Accent2 2 2 9" xfId="18296" xr:uid="{00000000-0005-0000-0000-0000D4330000}"/>
    <cellStyle name="40% - Accent2 2 2 9 2" xfId="42128" xr:uid="{6B6197CF-8507-4DF3-A78E-7BC21450131A}"/>
    <cellStyle name="40% - Accent2 2 2_Exh G" xfId="2843" xr:uid="{00000000-0005-0000-0000-0000D5330000}"/>
    <cellStyle name="40% - Accent2 2 3" xfId="401" xr:uid="{00000000-0005-0000-0000-0000D6330000}"/>
    <cellStyle name="40% - Accent2 2 3 2" xfId="1427" xr:uid="{00000000-0005-0000-0000-0000D7330000}"/>
    <cellStyle name="40% - Accent2 2 3 2 2" xfId="4954" xr:uid="{00000000-0005-0000-0000-0000D8330000}"/>
    <cellStyle name="40% - Accent2 2 3 2 2 2" xfId="8545" xr:uid="{00000000-0005-0000-0000-0000D9330000}"/>
    <cellStyle name="40% - Accent2 2 3 2 2 2 2" xfId="16515" xr:uid="{00000000-0005-0000-0000-0000DA330000}"/>
    <cellStyle name="40% - Accent2 2 3 2 2 2 2 2" xfId="40357" xr:uid="{974B6D21-3FC0-4B7E-83DC-028B5DD89F4A}"/>
    <cellStyle name="40% - Accent2 2 3 2 2 2 3" xfId="24461" xr:uid="{00000000-0005-0000-0000-0000DB330000}"/>
    <cellStyle name="40% - Accent2 2 3 2 2 2 3 2" xfId="48293" xr:uid="{DB5D4509-986A-4747-9D6B-AA6C52647FCF}"/>
    <cellStyle name="40% - Accent2 2 3 2 2 2 4" xfId="32416" xr:uid="{ECAA99BD-66CF-41FE-A438-E6A6BF4F18FA}"/>
    <cellStyle name="40% - Accent2 2 3 2 2 3" xfId="12977" xr:uid="{00000000-0005-0000-0000-0000DC330000}"/>
    <cellStyle name="40% - Accent2 2 3 2 2 3 2" xfId="36826" xr:uid="{D28A24E1-BE61-4377-B4AC-7C5DDC75484F}"/>
    <cellStyle name="40% - Accent2 2 3 2 2 4" xfId="20932" xr:uid="{00000000-0005-0000-0000-0000DD330000}"/>
    <cellStyle name="40% - Accent2 2 3 2 2 4 2" xfId="44764" xr:uid="{1DB9A4D0-47DB-4CB0-9DAC-5B599A40C73F}"/>
    <cellStyle name="40% - Accent2 2 3 2 2 5" xfId="28885" xr:uid="{2C8DC5B1-60DC-4DCD-B0A0-DAE06610A7DD}"/>
    <cellStyle name="40% - Accent2 2 3 2 3" xfId="6786" xr:uid="{00000000-0005-0000-0000-0000DE330000}"/>
    <cellStyle name="40% - Accent2 2 3 2 3 2" xfId="14757" xr:uid="{00000000-0005-0000-0000-0000DF330000}"/>
    <cellStyle name="40% - Accent2 2 3 2 3 2 2" xfId="38599" xr:uid="{82359C74-B943-4692-A899-9D153987E1C8}"/>
    <cellStyle name="40% - Accent2 2 3 2 3 3" xfId="22704" xr:uid="{00000000-0005-0000-0000-0000E0330000}"/>
    <cellStyle name="40% - Accent2 2 3 2 3 3 2" xfId="46536" xr:uid="{3E44DA10-023B-465B-B832-E8BCDC88EBDC}"/>
    <cellStyle name="40% - Accent2 2 3 2 3 4" xfId="30658" xr:uid="{2A09457D-447B-4539-9EA6-B06507CAC52B}"/>
    <cellStyle name="40% - Accent2 2 3 2 4" xfId="11221" xr:uid="{00000000-0005-0000-0000-0000E1330000}"/>
    <cellStyle name="40% - Accent2 2 3 2 4 2" xfId="35070" xr:uid="{B93A0673-5DA9-4C8D-9A8F-659E85C40338}"/>
    <cellStyle name="40% - Accent2 2 3 2 5" xfId="19176" xr:uid="{00000000-0005-0000-0000-0000E2330000}"/>
    <cellStyle name="40% - Accent2 2 3 2 5 2" xfId="43008" xr:uid="{7DA4E2C9-576D-4A3E-A510-C92D7E0086B7}"/>
    <cellStyle name="40% - Accent2 2 3 2 6" xfId="27128" xr:uid="{B6EE3830-F157-4F53-8D65-C2E841436372}"/>
    <cellStyle name="40% - Accent2 2 3 2_Exh G" xfId="2850" xr:uid="{00000000-0005-0000-0000-0000E3330000}"/>
    <cellStyle name="40% - Accent2 2 3 3" xfId="4075" xr:uid="{00000000-0005-0000-0000-0000E4330000}"/>
    <cellStyle name="40% - Accent2 2 3 3 2" xfId="7667" xr:uid="{00000000-0005-0000-0000-0000E5330000}"/>
    <cellStyle name="40% - Accent2 2 3 3 2 2" xfId="15637" xr:uid="{00000000-0005-0000-0000-0000E6330000}"/>
    <cellStyle name="40% - Accent2 2 3 3 2 2 2" xfId="39479" xr:uid="{5ADC4333-76A1-44A5-96FE-AFD72045F87D}"/>
    <cellStyle name="40% - Accent2 2 3 3 2 3" xfId="23583" xr:uid="{00000000-0005-0000-0000-0000E7330000}"/>
    <cellStyle name="40% - Accent2 2 3 3 2 3 2" xfId="47415" xr:uid="{D4F81AD4-DD10-4E6A-B776-1BAE8B397F4E}"/>
    <cellStyle name="40% - Accent2 2 3 3 2 4" xfId="31538" xr:uid="{BA96CA90-6044-41D3-9D88-F45253F9F25E}"/>
    <cellStyle name="40% - Accent2 2 3 3 3" xfId="12099" xr:uid="{00000000-0005-0000-0000-0000E8330000}"/>
    <cellStyle name="40% - Accent2 2 3 3 3 2" xfId="35948" xr:uid="{F3FDF94E-83B0-444F-8258-EB929609BC50}"/>
    <cellStyle name="40% - Accent2 2 3 3 4" xfId="20054" xr:uid="{00000000-0005-0000-0000-0000E9330000}"/>
    <cellStyle name="40% - Accent2 2 3 3 4 2" xfId="43886" xr:uid="{0306D9DB-474C-470A-9D14-2D47587BC467}"/>
    <cellStyle name="40% - Accent2 2 3 3 5" xfId="28007" xr:uid="{33D44F29-4645-4A28-B614-1AF1F599F0F8}"/>
    <cellStyle name="40% - Accent2 2 3 4" xfId="5895" xr:uid="{00000000-0005-0000-0000-0000EA330000}"/>
    <cellStyle name="40% - Accent2 2 3 4 2" xfId="13878" xr:uid="{00000000-0005-0000-0000-0000EB330000}"/>
    <cellStyle name="40% - Accent2 2 3 4 2 2" xfId="37721" xr:uid="{BA4AECBE-0E3C-485D-97EA-5F0D5AFE303B}"/>
    <cellStyle name="40% - Accent2 2 3 4 3" xfId="21826" xr:uid="{00000000-0005-0000-0000-0000EC330000}"/>
    <cellStyle name="40% - Accent2 2 3 4 3 2" xfId="45658" xr:uid="{070AB0B4-A0D6-4638-9965-AB6AE848DE8E}"/>
    <cellStyle name="40% - Accent2 2 3 4 4" xfId="29780" xr:uid="{D45FCE2E-9E30-42AF-8CD7-95B631E43B30}"/>
    <cellStyle name="40% - Accent2 2 3 5" xfId="9447" xr:uid="{00000000-0005-0000-0000-0000ED330000}"/>
    <cellStyle name="40% - Accent2 2 3 5 2" xfId="17405" xr:uid="{00000000-0005-0000-0000-0000EE330000}"/>
    <cellStyle name="40% - Accent2 2 3 5 2 2" xfId="41245" xr:uid="{56D3B245-3FC2-4752-AED2-6A54E466C329}"/>
    <cellStyle name="40% - Accent2 2 3 5 3" xfId="25349" xr:uid="{00000000-0005-0000-0000-0000EF330000}"/>
    <cellStyle name="40% - Accent2 2 3 5 3 2" xfId="49181" xr:uid="{0822C299-D287-4F52-990A-F199BFDD8589}"/>
    <cellStyle name="40% - Accent2 2 3 5 4" xfId="33304" xr:uid="{65F111E4-A43E-4193-9F6C-2E83B5EA25AC}"/>
    <cellStyle name="40% - Accent2 2 3 6" xfId="10343" xr:uid="{00000000-0005-0000-0000-0000F0330000}"/>
    <cellStyle name="40% - Accent2 2 3 6 2" xfId="34192" xr:uid="{6572B18A-64BB-49DA-A463-50724204CCF5}"/>
    <cellStyle name="40% - Accent2 2 3 7" xfId="18298" xr:uid="{00000000-0005-0000-0000-0000F1330000}"/>
    <cellStyle name="40% - Accent2 2 3 7 2" xfId="42130" xr:uid="{7BC3E964-CD3B-443D-BCB7-A2639B2A8FD2}"/>
    <cellStyle name="40% - Accent2 2 3 8" xfId="26250" xr:uid="{6663CD58-7528-4D87-915C-6DDEFB6C551C}"/>
    <cellStyle name="40% - Accent2 2 3_Exh G" xfId="2849" xr:uid="{00000000-0005-0000-0000-0000F2330000}"/>
    <cellStyle name="40% - Accent2 2 4" xfId="944" xr:uid="{00000000-0005-0000-0000-0000F3330000}"/>
    <cellStyle name="40% - Accent2 2 4 2" xfId="1862" xr:uid="{00000000-0005-0000-0000-0000F4330000}"/>
    <cellStyle name="40% - Accent2 2 4 2 2" xfId="5379" xr:uid="{00000000-0005-0000-0000-0000F5330000}"/>
    <cellStyle name="40% - Accent2 2 4 2 2 2" xfId="8970" xr:uid="{00000000-0005-0000-0000-0000F6330000}"/>
    <cellStyle name="40% - Accent2 2 4 2 2 2 2" xfId="16940" xr:uid="{00000000-0005-0000-0000-0000F7330000}"/>
    <cellStyle name="40% - Accent2 2 4 2 2 2 2 2" xfId="40782" xr:uid="{99AF3BC1-C898-4C42-8D37-EC54D6429561}"/>
    <cellStyle name="40% - Accent2 2 4 2 2 2 3" xfId="24886" xr:uid="{00000000-0005-0000-0000-0000F8330000}"/>
    <cellStyle name="40% - Accent2 2 4 2 2 2 3 2" xfId="48718" xr:uid="{9BB7A0FF-FD35-4637-8344-9E0D89407524}"/>
    <cellStyle name="40% - Accent2 2 4 2 2 2 4" xfId="32841" xr:uid="{E4534421-A8C9-4F45-9597-F16EB884BCC0}"/>
    <cellStyle name="40% - Accent2 2 4 2 2 3" xfId="13402" xr:uid="{00000000-0005-0000-0000-0000F9330000}"/>
    <cellStyle name="40% - Accent2 2 4 2 2 3 2" xfId="37251" xr:uid="{31D24031-70DF-48AB-8816-21362D5BE085}"/>
    <cellStyle name="40% - Accent2 2 4 2 2 4" xfId="21357" xr:uid="{00000000-0005-0000-0000-0000FA330000}"/>
    <cellStyle name="40% - Accent2 2 4 2 2 4 2" xfId="45189" xr:uid="{A4B66D71-AAA5-45C3-BDEB-473D87EE58EE}"/>
    <cellStyle name="40% - Accent2 2 4 2 2 5" xfId="29310" xr:uid="{EED42B63-1AF2-4B04-96B9-F9980C856ADE}"/>
    <cellStyle name="40% - Accent2 2 4 2 3" xfId="7211" xr:uid="{00000000-0005-0000-0000-0000FB330000}"/>
    <cellStyle name="40% - Accent2 2 4 2 3 2" xfId="15182" xr:uid="{00000000-0005-0000-0000-0000FC330000}"/>
    <cellStyle name="40% - Accent2 2 4 2 3 2 2" xfId="39024" xr:uid="{95A5113C-A762-4B84-8D08-65D7BE4CA330}"/>
    <cellStyle name="40% - Accent2 2 4 2 3 3" xfId="23129" xr:uid="{00000000-0005-0000-0000-0000FD330000}"/>
    <cellStyle name="40% - Accent2 2 4 2 3 3 2" xfId="46961" xr:uid="{001E1183-4C98-4E23-9A07-28DAA3550381}"/>
    <cellStyle name="40% - Accent2 2 4 2 3 4" xfId="31083" xr:uid="{F6ABF4B8-9097-46AC-9495-970C226FBFAD}"/>
    <cellStyle name="40% - Accent2 2 4 2 4" xfId="11646" xr:uid="{00000000-0005-0000-0000-0000FE330000}"/>
    <cellStyle name="40% - Accent2 2 4 2 4 2" xfId="35495" xr:uid="{62645AB1-3C26-4793-871F-2C8FB4669EBD}"/>
    <cellStyle name="40% - Accent2 2 4 2 5" xfId="19601" xr:uid="{00000000-0005-0000-0000-0000FF330000}"/>
    <cellStyle name="40% - Accent2 2 4 2 5 2" xfId="43433" xr:uid="{FAE4C790-6A5D-4C3B-BD04-B52783BE7927}"/>
    <cellStyle name="40% - Accent2 2 4 2 6" xfId="27553" xr:uid="{B4878711-68CA-4464-AD13-128BB15CF73B}"/>
    <cellStyle name="40% - Accent2 2 4 2_Exh G" xfId="2852" xr:uid="{00000000-0005-0000-0000-000000340000}"/>
    <cellStyle name="40% - Accent2 2 4 3" xfId="4500" xr:uid="{00000000-0005-0000-0000-000001340000}"/>
    <cellStyle name="40% - Accent2 2 4 3 2" xfId="8092" xr:uid="{00000000-0005-0000-0000-000002340000}"/>
    <cellStyle name="40% - Accent2 2 4 3 2 2" xfId="16062" xr:uid="{00000000-0005-0000-0000-000003340000}"/>
    <cellStyle name="40% - Accent2 2 4 3 2 2 2" xfId="39904" xr:uid="{48956BC4-0F8D-43B5-8726-F4F6DCC66A18}"/>
    <cellStyle name="40% - Accent2 2 4 3 2 3" xfId="24008" xr:uid="{00000000-0005-0000-0000-000004340000}"/>
    <cellStyle name="40% - Accent2 2 4 3 2 3 2" xfId="47840" xr:uid="{AF74FC03-D0EB-4290-94D9-7A53F7D64B50}"/>
    <cellStyle name="40% - Accent2 2 4 3 2 4" xfId="31963" xr:uid="{6759DDF4-44B4-4B90-8F16-FAB74C520C33}"/>
    <cellStyle name="40% - Accent2 2 4 3 3" xfId="12524" xr:uid="{00000000-0005-0000-0000-000005340000}"/>
    <cellStyle name="40% - Accent2 2 4 3 3 2" xfId="36373" xr:uid="{7BD2B6A1-0598-413E-835D-676789C2FE41}"/>
    <cellStyle name="40% - Accent2 2 4 3 4" xfId="20479" xr:uid="{00000000-0005-0000-0000-000006340000}"/>
    <cellStyle name="40% - Accent2 2 4 3 4 2" xfId="44311" xr:uid="{3775A701-44C7-4011-9B2C-2FEB8E12BA81}"/>
    <cellStyle name="40% - Accent2 2 4 3 5" xfId="28432" xr:uid="{07B8D10B-7B00-48B7-A953-D2C7F0F11124}"/>
    <cellStyle name="40% - Accent2 2 4 4" xfId="6330" xr:uid="{00000000-0005-0000-0000-000007340000}"/>
    <cellStyle name="40% - Accent2 2 4 4 2" xfId="14304" xr:uid="{00000000-0005-0000-0000-000008340000}"/>
    <cellStyle name="40% - Accent2 2 4 4 2 2" xfId="38146" xr:uid="{39531239-90EC-4537-AA1C-6CA302E8AAD1}"/>
    <cellStyle name="40% - Accent2 2 4 4 3" xfId="22251" xr:uid="{00000000-0005-0000-0000-000009340000}"/>
    <cellStyle name="40% - Accent2 2 4 4 3 2" xfId="46083" xr:uid="{E2F8C587-D8AB-481D-82FD-BCDA665AA9F0}"/>
    <cellStyle name="40% - Accent2 2 4 4 4" xfId="30205" xr:uid="{A5664C72-93AE-4977-A789-85538ACD4D53}"/>
    <cellStyle name="40% - Accent2 2 4 5" xfId="9872" xr:uid="{00000000-0005-0000-0000-00000A340000}"/>
    <cellStyle name="40% - Accent2 2 4 5 2" xfId="17830" xr:uid="{00000000-0005-0000-0000-00000B340000}"/>
    <cellStyle name="40% - Accent2 2 4 5 2 2" xfId="41670" xr:uid="{54D9D43A-0A10-4A0C-A4B5-B38A5EF97C4E}"/>
    <cellStyle name="40% - Accent2 2 4 5 3" xfId="25774" xr:uid="{00000000-0005-0000-0000-00000C340000}"/>
    <cellStyle name="40% - Accent2 2 4 5 3 2" xfId="49606" xr:uid="{0A9F3D53-F7E7-46B1-A106-AC7CAF5874F0}"/>
    <cellStyle name="40% - Accent2 2 4 5 4" xfId="33729" xr:uid="{34E33349-25D2-4B0D-ABC1-70CCD0E0ACD4}"/>
    <cellStyle name="40% - Accent2 2 4 6" xfId="10768" xr:uid="{00000000-0005-0000-0000-00000D340000}"/>
    <cellStyle name="40% - Accent2 2 4 6 2" xfId="34617" xr:uid="{8EC8E62E-85A7-42BE-94A8-9E185473F009}"/>
    <cellStyle name="40% - Accent2 2 4 7" xfId="18723" xr:uid="{00000000-0005-0000-0000-00000E340000}"/>
    <cellStyle name="40% - Accent2 2 4 7 2" xfId="42555" xr:uid="{508A3345-F75C-47AF-B525-7973D75EBBBF}"/>
    <cellStyle name="40% - Accent2 2 4 8" xfId="26675" xr:uid="{CA12F307-F22E-4257-95B5-B5533607E20E}"/>
    <cellStyle name="40% - Accent2 2 4_Exh G" xfId="2851" xr:uid="{00000000-0005-0000-0000-00000F340000}"/>
    <cellStyle name="40% - Accent2 2 5" xfId="1424" xr:uid="{00000000-0005-0000-0000-000010340000}"/>
    <cellStyle name="40% - Accent2 2 5 2" xfId="4951" xr:uid="{00000000-0005-0000-0000-000011340000}"/>
    <cellStyle name="40% - Accent2 2 5 2 2" xfId="8542" xr:uid="{00000000-0005-0000-0000-000012340000}"/>
    <cellStyle name="40% - Accent2 2 5 2 2 2" xfId="16512" xr:uid="{00000000-0005-0000-0000-000013340000}"/>
    <cellStyle name="40% - Accent2 2 5 2 2 2 2" xfId="40354" xr:uid="{ED28DED3-39A4-4DAC-B692-AA7EE2E52226}"/>
    <cellStyle name="40% - Accent2 2 5 2 2 3" xfId="24458" xr:uid="{00000000-0005-0000-0000-000014340000}"/>
    <cellStyle name="40% - Accent2 2 5 2 2 3 2" xfId="48290" xr:uid="{4ACC6D24-8C36-41F3-B900-260A912F5DB3}"/>
    <cellStyle name="40% - Accent2 2 5 2 2 4" xfId="32413" xr:uid="{67A3EAA9-ED59-47FE-8F98-00247BF61BBF}"/>
    <cellStyle name="40% - Accent2 2 5 2 3" xfId="12974" xr:uid="{00000000-0005-0000-0000-000015340000}"/>
    <cellStyle name="40% - Accent2 2 5 2 3 2" xfId="36823" xr:uid="{E0209ED1-BEA5-4599-B4E8-AF657C495783}"/>
    <cellStyle name="40% - Accent2 2 5 2 4" xfId="20929" xr:uid="{00000000-0005-0000-0000-000016340000}"/>
    <cellStyle name="40% - Accent2 2 5 2 4 2" xfId="44761" xr:uid="{11AD4076-D570-4B6B-87BC-86693C8516A4}"/>
    <cellStyle name="40% - Accent2 2 5 2 5" xfId="28882" xr:uid="{D44A404B-DE7F-4A3C-AA58-ED8AE4269661}"/>
    <cellStyle name="40% - Accent2 2 5 3" xfId="6783" xr:uid="{00000000-0005-0000-0000-000017340000}"/>
    <cellStyle name="40% - Accent2 2 5 3 2" xfId="14754" xr:uid="{00000000-0005-0000-0000-000018340000}"/>
    <cellStyle name="40% - Accent2 2 5 3 2 2" xfId="38596" xr:uid="{7480AD45-B4A6-4BA2-AE19-E85BB94FB11A}"/>
    <cellStyle name="40% - Accent2 2 5 3 3" xfId="22701" xr:uid="{00000000-0005-0000-0000-000019340000}"/>
    <cellStyle name="40% - Accent2 2 5 3 3 2" xfId="46533" xr:uid="{2E69AA3F-46F3-47A4-A161-305855687077}"/>
    <cellStyle name="40% - Accent2 2 5 3 4" xfId="30655" xr:uid="{7DEAF733-027E-4581-9375-EEAEA676AFB0}"/>
    <cellStyle name="40% - Accent2 2 5 4" xfId="11218" xr:uid="{00000000-0005-0000-0000-00001A340000}"/>
    <cellStyle name="40% - Accent2 2 5 4 2" xfId="35067" xr:uid="{98DE3902-A764-42BD-870E-31AFADF1338C}"/>
    <cellStyle name="40% - Accent2 2 5 5" xfId="19173" xr:uid="{00000000-0005-0000-0000-00001B340000}"/>
    <cellStyle name="40% - Accent2 2 5 5 2" xfId="43005" xr:uid="{7D3E5D37-F69C-4650-9CF3-EAA56A386112}"/>
    <cellStyle name="40% - Accent2 2 5 6" xfId="27125" xr:uid="{8B70A05D-6C97-42BB-856F-78D4C2FF133E}"/>
    <cellStyle name="40% - Accent2 2 5_Exh G" xfId="2853" xr:uid="{00000000-0005-0000-0000-00001C340000}"/>
    <cellStyle name="40% - Accent2 2 6" xfId="4072" xr:uid="{00000000-0005-0000-0000-00001D340000}"/>
    <cellStyle name="40% - Accent2 2 6 2" xfId="7664" xr:uid="{00000000-0005-0000-0000-00001E340000}"/>
    <cellStyle name="40% - Accent2 2 6 2 2" xfId="15634" xr:uid="{00000000-0005-0000-0000-00001F340000}"/>
    <cellStyle name="40% - Accent2 2 6 2 2 2" xfId="39476" xr:uid="{0B88C24E-FF88-4BFB-B2DF-46E43A0003B3}"/>
    <cellStyle name="40% - Accent2 2 6 2 3" xfId="23580" xr:uid="{00000000-0005-0000-0000-000020340000}"/>
    <cellStyle name="40% - Accent2 2 6 2 3 2" xfId="47412" xr:uid="{A7BFCCFD-A604-462A-9711-A4C8938B6D4F}"/>
    <cellStyle name="40% - Accent2 2 6 2 4" xfId="31535" xr:uid="{685680A9-E51C-42E4-BA56-35C90AD5A994}"/>
    <cellStyle name="40% - Accent2 2 6 3" xfId="12096" xr:uid="{00000000-0005-0000-0000-000021340000}"/>
    <cellStyle name="40% - Accent2 2 6 3 2" xfId="35945" xr:uid="{F48BD261-1FCF-4469-825E-1C6E4F738815}"/>
    <cellStyle name="40% - Accent2 2 6 4" xfId="20051" xr:uid="{00000000-0005-0000-0000-000022340000}"/>
    <cellStyle name="40% - Accent2 2 6 4 2" xfId="43883" xr:uid="{8C22AFE4-0109-456B-81B4-3030380B94DF}"/>
    <cellStyle name="40% - Accent2 2 6 5" xfId="28004" xr:uid="{2EB2030F-C28A-46EF-8214-79C3F2D79052}"/>
    <cellStyle name="40% - Accent2 2 7" xfId="5892" xr:uid="{00000000-0005-0000-0000-000023340000}"/>
    <cellStyle name="40% - Accent2 2 7 2" xfId="13875" xr:uid="{00000000-0005-0000-0000-000024340000}"/>
    <cellStyle name="40% - Accent2 2 7 2 2" xfId="37718" xr:uid="{81D67CCD-1A1F-4127-9D5D-57886D1BD049}"/>
    <cellStyle name="40% - Accent2 2 7 3" xfId="21823" xr:uid="{00000000-0005-0000-0000-000025340000}"/>
    <cellStyle name="40% - Accent2 2 7 3 2" xfId="45655" xr:uid="{FF433155-8725-4AE5-B148-8EDD334151D9}"/>
    <cellStyle name="40% - Accent2 2 7 4" xfId="29777" xr:uid="{1338D655-8A91-4108-B313-2F7E037990D8}"/>
    <cellStyle name="40% - Accent2 2 8" xfId="9444" xr:uid="{00000000-0005-0000-0000-000026340000}"/>
    <cellStyle name="40% - Accent2 2 8 2" xfId="17402" xr:uid="{00000000-0005-0000-0000-000027340000}"/>
    <cellStyle name="40% - Accent2 2 8 2 2" xfId="41242" xr:uid="{F4B1A729-2548-4332-8746-7DD92A661B5B}"/>
    <cellStyle name="40% - Accent2 2 8 3" xfId="25346" xr:uid="{00000000-0005-0000-0000-000028340000}"/>
    <cellStyle name="40% - Accent2 2 8 3 2" xfId="49178" xr:uid="{E3343A4E-DD47-49D7-A1B0-645BCA45E6CC}"/>
    <cellStyle name="40% - Accent2 2 8 4" xfId="33301" xr:uid="{86404E1F-6155-4454-9C03-3ACEB3211760}"/>
    <cellStyle name="40% - Accent2 2 9" xfId="10340" xr:uid="{00000000-0005-0000-0000-000029340000}"/>
    <cellStyle name="40% - Accent2 2 9 2" xfId="34189" xr:uid="{B2F04425-08B1-4D84-AA69-F37536099E91}"/>
    <cellStyle name="40% - Accent2 2_Exh G" xfId="2842" xr:uid="{00000000-0005-0000-0000-00002A340000}"/>
    <cellStyle name="40% - Accent2 3" xfId="402" xr:uid="{00000000-0005-0000-0000-00002B340000}"/>
    <cellStyle name="40% - Accent2 3 10" xfId="18299" xr:uid="{00000000-0005-0000-0000-00002C340000}"/>
    <cellStyle name="40% - Accent2 3 10 2" xfId="42131" xr:uid="{023C5DB5-ADF2-48D1-AB05-755F519BC687}"/>
    <cellStyle name="40% - Accent2 3 11" xfId="26251" xr:uid="{ABF359AB-2D95-4520-8B75-D55EB0ADDB6F}"/>
    <cellStyle name="40% - Accent2 3 12" xfId="49757" xr:uid="{DF3D5C3A-C82C-42EA-AF19-AFE978B1DE03}"/>
    <cellStyle name="40% - Accent2 3 13" xfId="49811" xr:uid="{ABD6F147-D953-423D-8A69-4ED201EB38F7}"/>
    <cellStyle name="40% - Accent2 3 2" xfId="403" xr:uid="{00000000-0005-0000-0000-00002D340000}"/>
    <cellStyle name="40% - Accent2 3 2 10" xfId="26252" xr:uid="{D504ABB3-67A6-462D-9711-AC1A5911AF69}"/>
    <cellStyle name="40% - Accent2 3 2 2" xfId="404" xr:uid="{00000000-0005-0000-0000-00002E340000}"/>
    <cellStyle name="40% - Accent2 3 2 2 2" xfId="1430" xr:uid="{00000000-0005-0000-0000-00002F340000}"/>
    <cellStyle name="40% - Accent2 3 2 2 2 2" xfId="4957" xr:uid="{00000000-0005-0000-0000-000030340000}"/>
    <cellStyle name="40% - Accent2 3 2 2 2 2 2" xfId="8548" xr:uid="{00000000-0005-0000-0000-000031340000}"/>
    <cellStyle name="40% - Accent2 3 2 2 2 2 2 2" xfId="16518" xr:uid="{00000000-0005-0000-0000-000032340000}"/>
    <cellStyle name="40% - Accent2 3 2 2 2 2 2 2 2" xfId="40360" xr:uid="{1C24ACC0-EC7B-4887-ABE6-1F125388AB6A}"/>
    <cellStyle name="40% - Accent2 3 2 2 2 2 2 3" xfId="24464" xr:uid="{00000000-0005-0000-0000-000033340000}"/>
    <cellStyle name="40% - Accent2 3 2 2 2 2 2 3 2" xfId="48296" xr:uid="{9B646997-0A1C-4023-9F3D-0F7B9551E911}"/>
    <cellStyle name="40% - Accent2 3 2 2 2 2 2 4" xfId="32419" xr:uid="{C4EC2E21-898F-49F9-8D4C-7D9860D540FF}"/>
    <cellStyle name="40% - Accent2 3 2 2 2 2 3" xfId="12980" xr:uid="{00000000-0005-0000-0000-000034340000}"/>
    <cellStyle name="40% - Accent2 3 2 2 2 2 3 2" xfId="36829" xr:uid="{C5D05D64-9D88-466E-9621-5529E696E993}"/>
    <cellStyle name="40% - Accent2 3 2 2 2 2 4" xfId="20935" xr:uid="{00000000-0005-0000-0000-000035340000}"/>
    <cellStyle name="40% - Accent2 3 2 2 2 2 4 2" xfId="44767" xr:uid="{ACCC3764-D1EB-48FC-B72D-124A836EF92B}"/>
    <cellStyle name="40% - Accent2 3 2 2 2 2 5" xfId="28888" xr:uid="{6EE91F54-DFA3-4476-B7B5-C9843BA35A13}"/>
    <cellStyle name="40% - Accent2 3 2 2 2 3" xfId="6789" xr:uid="{00000000-0005-0000-0000-000036340000}"/>
    <cellStyle name="40% - Accent2 3 2 2 2 3 2" xfId="14760" xr:uid="{00000000-0005-0000-0000-000037340000}"/>
    <cellStyle name="40% - Accent2 3 2 2 2 3 2 2" xfId="38602" xr:uid="{12F4D85E-806E-47EC-B0D6-4F5AB24EAFB3}"/>
    <cellStyle name="40% - Accent2 3 2 2 2 3 3" xfId="22707" xr:uid="{00000000-0005-0000-0000-000038340000}"/>
    <cellStyle name="40% - Accent2 3 2 2 2 3 3 2" xfId="46539" xr:uid="{EE690F37-9A06-448E-BDC8-626A5E47AB32}"/>
    <cellStyle name="40% - Accent2 3 2 2 2 3 4" xfId="30661" xr:uid="{FDC87792-CE28-4C91-9E45-220129896850}"/>
    <cellStyle name="40% - Accent2 3 2 2 2 4" xfId="11224" xr:uid="{00000000-0005-0000-0000-000039340000}"/>
    <cellStyle name="40% - Accent2 3 2 2 2 4 2" xfId="35073" xr:uid="{A8E9627F-BA39-403A-AA62-814F8343425A}"/>
    <cellStyle name="40% - Accent2 3 2 2 2 5" xfId="19179" xr:uid="{00000000-0005-0000-0000-00003A340000}"/>
    <cellStyle name="40% - Accent2 3 2 2 2 5 2" xfId="43011" xr:uid="{08A2A677-A776-4400-A0A2-28E5DDAB8FFD}"/>
    <cellStyle name="40% - Accent2 3 2 2 2 6" xfId="27131" xr:uid="{F7370289-ACCC-499A-9B27-A1CB4897FA5F}"/>
    <cellStyle name="40% - Accent2 3 2 2 2_Exh G" xfId="2857" xr:uid="{00000000-0005-0000-0000-00003B340000}"/>
    <cellStyle name="40% - Accent2 3 2 2 3" xfId="4078" xr:uid="{00000000-0005-0000-0000-00003C340000}"/>
    <cellStyle name="40% - Accent2 3 2 2 3 2" xfId="7670" xr:uid="{00000000-0005-0000-0000-00003D340000}"/>
    <cellStyle name="40% - Accent2 3 2 2 3 2 2" xfId="15640" xr:uid="{00000000-0005-0000-0000-00003E340000}"/>
    <cellStyle name="40% - Accent2 3 2 2 3 2 2 2" xfId="39482" xr:uid="{581CECCE-8590-4CEB-9035-241829130FD7}"/>
    <cellStyle name="40% - Accent2 3 2 2 3 2 3" xfId="23586" xr:uid="{00000000-0005-0000-0000-00003F340000}"/>
    <cellStyle name="40% - Accent2 3 2 2 3 2 3 2" xfId="47418" xr:uid="{613B8961-AD61-407F-A700-0EF45BF17359}"/>
    <cellStyle name="40% - Accent2 3 2 2 3 2 4" xfId="31541" xr:uid="{49E307B9-C444-4DC1-AF74-EE9BB3AA7710}"/>
    <cellStyle name="40% - Accent2 3 2 2 3 3" xfId="12102" xr:uid="{00000000-0005-0000-0000-000040340000}"/>
    <cellStyle name="40% - Accent2 3 2 2 3 3 2" xfId="35951" xr:uid="{C2C21B4B-039C-4745-82C4-6C9DE2D6545D}"/>
    <cellStyle name="40% - Accent2 3 2 2 3 4" xfId="20057" xr:uid="{00000000-0005-0000-0000-000041340000}"/>
    <cellStyle name="40% - Accent2 3 2 2 3 4 2" xfId="43889" xr:uid="{CF3CF247-AA1E-4B6C-864A-2B19CD943E3B}"/>
    <cellStyle name="40% - Accent2 3 2 2 3 5" xfId="28010" xr:uid="{F3E5163A-52B7-4994-952A-E44A8CB017F3}"/>
    <cellStyle name="40% - Accent2 3 2 2 4" xfId="5898" xr:uid="{00000000-0005-0000-0000-000042340000}"/>
    <cellStyle name="40% - Accent2 3 2 2 4 2" xfId="13881" xr:uid="{00000000-0005-0000-0000-000043340000}"/>
    <cellStyle name="40% - Accent2 3 2 2 4 2 2" xfId="37724" xr:uid="{B6876B3A-6B8A-4E64-A68A-ADCCD39CEAB3}"/>
    <cellStyle name="40% - Accent2 3 2 2 4 3" xfId="21829" xr:uid="{00000000-0005-0000-0000-000044340000}"/>
    <cellStyle name="40% - Accent2 3 2 2 4 3 2" xfId="45661" xr:uid="{AD092AFF-D182-4C02-BF7A-B0624D28B94D}"/>
    <cellStyle name="40% - Accent2 3 2 2 4 4" xfId="29783" xr:uid="{7DE13C5A-ADED-43D4-AA33-6DB3641FE8C9}"/>
    <cellStyle name="40% - Accent2 3 2 2 5" xfId="9450" xr:uid="{00000000-0005-0000-0000-000045340000}"/>
    <cellStyle name="40% - Accent2 3 2 2 5 2" xfId="17408" xr:uid="{00000000-0005-0000-0000-000046340000}"/>
    <cellStyle name="40% - Accent2 3 2 2 5 2 2" xfId="41248" xr:uid="{1242EB74-96A7-4220-B350-3A5E9B2C57EB}"/>
    <cellStyle name="40% - Accent2 3 2 2 5 3" xfId="25352" xr:uid="{00000000-0005-0000-0000-000047340000}"/>
    <cellStyle name="40% - Accent2 3 2 2 5 3 2" xfId="49184" xr:uid="{CD3DC280-39DA-467A-A330-6F07F004A6BF}"/>
    <cellStyle name="40% - Accent2 3 2 2 5 4" xfId="33307" xr:uid="{1941A041-0B7A-4999-8077-11B48B2CCBE4}"/>
    <cellStyle name="40% - Accent2 3 2 2 6" xfId="10346" xr:uid="{00000000-0005-0000-0000-000048340000}"/>
    <cellStyle name="40% - Accent2 3 2 2 6 2" xfId="34195" xr:uid="{16D8BA25-7A64-4BE8-8567-F3E3FB548082}"/>
    <cellStyle name="40% - Accent2 3 2 2 7" xfId="18301" xr:uid="{00000000-0005-0000-0000-000049340000}"/>
    <cellStyle name="40% - Accent2 3 2 2 7 2" xfId="42133" xr:uid="{40BBB939-FF33-4CC4-BF1D-7FC3E840FB5B}"/>
    <cellStyle name="40% - Accent2 3 2 2 8" xfId="26253" xr:uid="{774FFA49-8ED0-4A64-AC8A-C311542C1A10}"/>
    <cellStyle name="40% - Accent2 3 2 2_Exh G" xfId="2856" xr:uid="{00000000-0005-0000-0000-00004A340000}"/>
    <cellStyle name="40% - Accent2 3 2 3" xfId="947" xr:uid="{00000000-0005-0000-0000-00004B340000}"/>
    <cellStyle name="40% - Accent2 3 2 3 2" xfId="1865" xr:uid="{00000000-0005-0000-0000-00004C340000}"/>
    <cellStyle name="40% - Accent2 3 2 3 2 2" xfId="5382" xr:uid="{00000000-0005-0000-0000-00004D340000}"/>
    <cellStyle name="40% - Accent2 3 2 3 2 2 2" xfId="8973" xr:uid="{00000000-0005-0000-0000-00004E340000}"/>
    <cellStyle name="40% - Accent2 3 2 3 2 2 2 2" xfId="16943" xr:uid="{00000000-0005-0000-0000-00004F340000}"/>
    <cellStyle name="40% - Accent2 3 2 3 2 2 2 2 2" xfId="40785" xr:uid="{932A4EBC-BF6D-4510-94C5-332A90EE91C2}"/>
    <cellStyle name="40% - Accent2 3 2 3 2 2 2 3" xfId="24889" xr:uid="{00000000-0005-0000-0000-000050340000}"/>
    <cellStyle name="40% - Accent2 3 2 3 2 2 2 3 2" xfId="48721" xr:uid="{1FB7098A-714D-4A94-B785-51CE1D679CB3}"/>
    <cellStyle name="40% - Accent2 3 2 3 2 2 2 4" xfId="32844" xr:uid="{BD6CDE78-D4BC-454B-95F8-145D29FF8996}"/>
    <cellStyle name="40% - Accent2 3 2 3 2 2 3" xfId="13405" xr:uid="{00000000-0005-0000-0000-000051340000}"/>
    <cellStyle name="40% - Accent2 3 2 3 2 2 3 2" xfId="37254" xr:uid="{CCABD80B-71A3-4B32-9E55-F86DBA38D2D0}"/>
    <cellStyle name="40% - Accent2 3 2 3 2 2 4" xfId="21360" xr:uid="{00000000-0005-0000-0000-000052340000}"/>
    <cellStyle name="40% - Accent2 3 2 3 2 2 4 2" xfId="45192" xr:uid="{2F4862DE-A7FD-4976-A1AB-B283F6126958}"/>
    <cellStyle name="40% - Accent2 3 2 3 2 2 5" xfId="29313" xr:uid="{951465A6-6FFA-4FE3-87C2-BF07238C1D7D}"/>
    <cellStyle name="40% - Accent2 3 2 3 2 3" xfId="7214" xr:uid="{00000000-0005-0000-0000-000053340000}"/>
    <cellStyle name="40% - Accent2 3 2 3 2 3 2" xfId="15185" xr:uid="{00000000-0005-0000-0000-000054340000}"/>
    <cellStyle name="40% - Accent2 3 2 3 2 3 2 2" xfId="39027" xr:uid="{97A0BE34-5CC4-41A8-90A4-98DFA4B89268}"/>
    <cellStyle name="40% - Accent2 3 2 3 2 3 3" xfId="23132" xr:uid="{00000000-0005-0000-0000-000055340000}"/>
    <cellStyle name="40% - Accent2 3 2 3 2 3 3 2" xfId="46964" xr:uid="{CF0C7C2F-410F-48A7-A842-CEA0C58EE61F}"/>
    <cellStyle name="40% - Accent2 3 2 3 2 3 4" xfId="31086" xr:uid="{25A834BA-C156-4BE1-A628-81C35B955E1D}"/>
    <cellStyle name="40% - Accent2 3 2 3 2 4" xfId="11649" xr:uid="{00000000-0005-0000-0000-000056340000}"/>
    <cellStyle name="40% - Accent2 3 2 3 2 4 2" xfId="35498" xr:uid="{6CF074C5-3DB0-47EE-BD9E-B5A3CCB95896}"/>
    <cellStyle name="40% - Accent2 3 2 3 2 5" xfId="19604" xr:uid="{00000000-0005-0000-0000-000057340000}"/>
    <cellStyle name="40% - Accent2 3 2 3 2 5 2" xfId="43436" xr:uid="{7F8C34FD-ABF7-4A70-8A9E-16CACD4A427F}"/>
    <cellStyle name="40% - Accent2 3 2 3 2 6" xfId="27556" xr:uid="{078EBB1D-9323-4EC8-A91C-9730FE91214A}"/>
    <cellStyle name="40% - Accent2 3 2 3 2_Exh G" xfId="2859" xr:uid="{00000000-0005-0000-0000-000058340000}"/>
    <cellStyle name="40% - Accent2 3 2 3 3" xfId="4503" xr:uid="{00000000-0005-0000-0000-000059340000}"/>
    <cellStyle name="40% - Accent2 3 2 3 3 2" xfId="8095" xr:uid="{00000000-0005-0000-0000-00005A340000}"/>
    <cellStyle name="40% - Accent2 3 2 3 3 2 2" xfId="16065" xr:uid="{00000000-0005-0000-0000-00005B340000}"/>
    <cellStyle name="40% - Accent2 3 2 3 3 2 2 2" xfId="39907" xr:uid="{0AEA1ABD-DF0F-467E-B547-3A7890C03699}"/>
    <cellStyle name="40% - Accent2 3 2 3 3 2 3" xfId="24011" xr:uid="{00000000-0005-0000-0000-00005C340000}"/>
    <cellStyle name="40% - Accent2 3 2 3 3 2 3 2" xfId="47843" xr:uid="{6CBD4780-B703-4B8E-BB3F-13B1E39F6727}"/>
    <cellStyle name="40% - Accent2 3 2 3 3 2 4" xfId="31966" xr:uid="{371F4197-7D20-47F1-9581-893049B9FBE4}"/>
    <cellStyle name="40% - Accent2 3 2 3 3 3" xfId="12527" xr:uid="{00000000-0005-0000-0000-00005D340000}"/>
    <cellStyle name="40% - Accent2 3 2 3 3 3 2" xfId="36376" xr:uid="{53939399-2BFA-4B90-ADF3-53CE8A2A134E}"/>
    <cellStyle name="40% - Accent2 3 2 3 3 4" xfId="20482" xr:uid="{00000000-0005-0000-0000-00005E340000}"/>
    <cellStyle name="40% - Accent2 3 2 3 3 4 2" xfId="44314" xr:uid="{4EE5873C-76FC-4DC7-9958-5E0FB5137288}"/>
    <cellStyle name="40% - Accent2 3 2 3 3 5" xfId="28435" xr:uid="{618F5CCB-5F8E-4067-B740-972A69E0E822}"/>
    <cellStyle name="40% - Accent2 3 2 3 4" xfId="6333" xr:uid="{00000000-0005-0000-0000-00005F340000}"/>
    <cellStyle name="40% - Accent2 3 2 3 4 2" xfId="14307" xr:uid="{00000000-0005-0000-0000-000060340000}"/>
    <cellStyle name="40% - Accent2 3 2 3 4 2 2" xfId="38149" xr:uid="{C4E0E714-B033-4CE0-8A99-4D871DB67969}"/>
    <cellStyle name="40% - Accent2 3 2 3 4 3" xfId="22254" xr:uid="{00000000-0005-0000-0000-000061340000}"/>
    <cellStyle name="40% - Accent2 3 2 3 4 3 2" xfId="46086" xr:uid="{7B529CFE-DF96-4A40-AE99-C195EB1E7150}"/>
    <cellStyle name="40% - Accent2 3 2 3 4 4" xfId="30208" xr:uid="{C432985B-990A-4F1D-AFB6-AA6B82F19F5B}"/>
    <cellStyle name="40% - Accent2 3 2 3 5" xfId="9875" xr:uid="{00000000-0005-0000-0000-000062340000}"/>
    <cellStyle name="40% - Accent2 3 2 3 5 2" xfId="17833" xr:uid="{00000000-0005-0000-0000-000063340000}"/>
    <cellStyle name="40% - Accent2 3 2 3 5 2 2" xfId="41673" xr:uid="{46E2AB73-599E-478A-A85A-58A687DC60E8}"/>
    <cellStyle name="40% - Accent2 3 2 3 5 3" xfId="25777" xr:uid="{00000000-0005-0000-0000-000064340000}"/>
    <cellStyle name="40% - Accent2 3 2 3 5 3 2" xfId="49609" xr:uid="{D1942D59-4B41-42AA-9FBD-4EB502E4D5A1}"/>
    <cellStyle name="40% - Accent2 3 2 3 5 4" xfId="33732" xr:uid="{31E42F5E-B086-41DC-9D2C-BD2F479EB3A7}"/>
    <cellStyle name="40% - Accent2 3 2 3 6" xfId="10771" xr:uid="{00000000-0005-0000-0000-000065340000}"/>
    <cellStyle name="40% - Accent2 3 2 3 6 2" xfId="34620" xr:uid="{AF8ED8DD-CAA9-4B86-A693-69E0CFED7809}"/>
    <cellStyle name="40% - Accent2 3 2 3 7" xfId="18726" xr:uid="{00000000-0005-0000-0000-000066340000}"/>
    <cellStyle name="40% - Accent2 3 2 3 7 2" xfId="42558" xr:uid="{4037C418-8257-4DEB-BBC2-F4ED3E6D1892}"/>
    <cellStyle name="40% - Accent2 3 2 3 8" xfId="26678" xr:uid="{C4CED0F9-9C5B-41EE-8B3A-6518BFA1BB9F}"/>
    <cellStyle name="40% - Accent2 3 2 3_Exh G" xfId="2858" xr:uid="{00000000-0005-0000-0000-000067340000}"/>
    <cellStyle name="40% - Accent2 3 2 4" xfId="1429" xr:uid="{00000000-0005-0000-0000-000068340000}"/>
    <cellStyle name="40% - Accent2 3 2 4 2" xfId="4956" xr:uid="{00000000-0005-0000-0000-000069340000}"/>
    <cellStyle name="40% - Accent2 3 2 4 2 2" xfId="8547" xr:uid="{00000000-0005-0000-0000-00006A340000}"/>
    <cellStyle name="40% - Accent2 3 2 4 2 2 2" xfId="16517" xr:uid="{00000000-0005-0000-0000-00006B340000}"/>
    <cellStyle name="40% - Accent2 3 2 4 2 2 2 2" xfId="40359" xr:uid="{F52887BE-FAAA-49AB-B968-D0C16A15023B}"/>
    <cellStyle name="40% - Accent2 3 2 4 2 2 3" xfId="24463" xr:uid="{00000000-0005-0000-0000-00006C340000}"/>
    <cellStyle name="40% - Accent2 3 2 4 2 2 3 2" xfId="48295" xr:uid="{2FD11B60-D296-4C31-9D41-48842048926C}"/>
    <cellStyle name="40% - Accent2 3 2 4 2 2 4" xfId="32418" xr:uid="{6E0947A2-F927-427C-AF5A-D4A5D46FAF06}"/>
    <cellStyle name="40% - Accent2 3 2 4 2 3" xfId="12979" xr:uid="{00000000-0005-0000-0000-00006D340000}"/>
    <cellStyle name="40% - Accent2 3 2 4 2 3 2" xfId="36828" xr:uid="{76330EB6-DCF5-4BFD-9F12-AF948E86ED99}"/>
    <cellStyle name="40% - Accent2 3 2 4 2 4" xfId="20934" xr:uid="{00000000-0005-0000-0000-00006E340000}"/>
    <cellStyle name="40% - Accent2 3 2 4 2 4 2" xfId="44766" xr:uid="{3FAAAE91-75DF-43A3-B6F7-EB2DDF64F02D}"/>
    <cellStyle name="40% - Accent2 3 2 4 2 5" xfId="28887" xr:uid="{6271170E-EE81-41BB-9628-67C5C8FA4BA3}"/>
    <cellStyle name="40% - Accent2 3 2 4 3" xfId="6788" xr:uid="{00000000-0005-0000-0000-00006F340000}"/>
    <cellStyle name="40% - Accent2 3 2 4 3 2" xfId="14759" xr:uid="{00000000-0005-0000-0000-000070340000}"/>
    <cellStyle name="40% - Accent2 3 2 4 3 2 2" xfId="38601" xr:uid="{111A56FE-A6EC-4CF0-ABAC-A206D6D04EB8}"/>
    <cellStyle name="40% - Accent2 3 2 4 3 3" xfId="22706" xr:uid="{00000000-0005-0000-0000-000071340000}"/>
    <cellStyle name="40% - Accent2 3 2 4 3 3 2" xfId="46538" xr:uid="{C2498986-C3DD-48EB-8AEE-A816EDFDD30D}"/>
    <cellStyle name="40% - Accent2 3 2 4 3 4" xfId="30660" xr:uid="{AE87BA86-B6E2-468A-8531-3B7DAE68C023}"/>
    <cellStyle name="40% - Accent2 3 2 4 4" xfId="11223" xr:uid="{00000000-0005-0000-0000-000072340000}"/>
    <cellStyle name="40% - Accent2 3 2 4 4 2" xfId="35072" xr:uid="{532809EA-CABB-47D4-AF26-6EE06C3D647A}"/>
    <cellStyle name="40% - Accent2 3 2 4 5" xfId="19178" xr:uid="{00000000-0005-0000-0000-000073340000}"/>
    <cellStyle name="40% - Accent2 3 2 4 5 2" xfId="43010" xr:uid="{9049752A-B79F-4157-B9AD-F2B62920E713}"/>
    <cellStyle name="40% - Accent2 3 2 4 6" xfId="27130" xr:uid="{A711C0F9-1CCA-4D2E-A7BB-66EE02588835}"/>
    <cellStyle name="40% - Accent2 3 2 4_Exh G" xfId="2860" xr:uid="{00000000-0005-0000-0000-000074340000}"/>
    <cellStyle name="40% - Accent2 3 2 5" xfId="4077" xr:uid="{00000000-0005-0000-0000-000075340000}"/>
    <cellStyle name="40% - Accent2 3 2 5 2" xfId="7669" xr:uid="{00000000-0005-0000-0000-000076340000}"/>
    <cellStyle name="40% - Accent2 3 2 5 2 2" xfId="15639" xr:uid="{00000000-0005-0000-0000-000077340000}"/>
    <cellStyle name="40% - Accent2 3 2 5 2 2 2" xfId="39481" xr:uid="{ED71229B-3C42-4913-831F-2B5B3CBB2087}"/>
    <cellStyle name="40% - Accent2 3 2 5 2 3" xfId="23585" xr:uid="{00000000-0005-0000-0000-000078340000}"/>
    <cellStyle name="40% - Accent2 3 2 5 2 3 2" xfId="47417" xr:uid="{0827D97A-F1C3-4B76-9F07-334BC3897D49}"/>
    <cellStyle name="40% - Accent2 3 2 5 2 4" xfId="31540" xr:uid="{18397711-4535-455F-A9C7-C02A6566E121}"/>
    <cellStyle name="40% - Accent2 3 2 5 3" xfId="12101" xr:uid="{00000000-0005-0000-0000-000079340000}"/>
    <cellStyle name="40% - Accent2 3 2 5 3 2" xfId="35950" xr:uid="{D35B740B-C095-4DD1-AB40-D618206365BE}"/>
    <cellStyle name="40% - Accent2 3 2 5 4" xfId="20056" xr:uid="{00000000-0005-0000-0000-00007A340000}"/>
    <cellStyle name="40% - Accent2 3 2 5 4 2" xfId="43888" xr:uid="{5D17274E-9881-4513-8C16-44CE9DEE1872}"/>
    <cellStyle name="40% - Accent2 3 2 5 5" xfId="28009" xr:uid="{0B414AE1-DEC0-4236-8476-BB4CF3387C95}"/>
    <cellStyle name="40% - Accent2 3 2 6" xfId="5897" xr:uid="{00000000-0005-0000-0000-00007B340000}"/>
    <cellStyle name="40% - Accent2 3 2 6 2" xfId="13880" xr:uid="{00000000-0005-0000-0000-00007C340000}"/>
    <cellStyle name="40% - Accent2 3 2 6 2 2" xfId="37723" xr:uid="{00A171EC-66C3-430A-82D2-A03570D78FA3}"/>
    <cellStyle name="40% - Accent2 3 2 6 3" xfId="21828" xr:uid="{00000000-0005-0000-0000-00007D340000}"/>
    <cellStyle name="40% - Accent2 3 2 6 3 2" xfId="45660" xr:uid="{B82BEBF9-3C27-4F01-A6B3-0C84AEF3F830}"/>
    <cellStyle name="40% - Accent2 3 2 6 4" xfId="29782" xr:uid="{03D04318-9C54-4C92-9340-15BA823B4A2F}"/>
    <cellStyle name="40% - Accent2 3 2 7" xfId="9449" xr:uid="{00000000-0005-0000-0000-00007E340000}"/>
    <cellStyle name="40% - Accent2 3 2 7 2" xfId="17407" xr:uid="{00000000-0005-0000-0000-00007F340000}"/>
    <cellStyle name="40% - Accent2 3 2 7 2 2" xfId="41247" xr:uid="{DB74B8B9-2F33-496A-BF67-5896B1F83DB9}"/>
    <cellStyle name="40% - Accent2 3 2 7 3" xfId="25351" xr:uid="{00000000-0005-0000-0000-000080340000}"/>
    <cellStyle name="40% - Accent2 3 2 7 3 2" xfId="49183" xr:uid="{86BDC367-61ED-4C65-8680-0229F263A1D5}"/>
    <cellStyle name="40% - Accent2 3 2 7 4" xfId="33306" xr:uid="{E9AEF855-A42B-45AD-B5A2-C7DC7B61045E}"/>
    <cellStyle name="40% - Accent2 3 2 8" xfId="10345" xr:uid="{00000000-0005-0000-0000-000081340000}"/>
    <cellStyle name="40% - Accent2 3 2 8 2" xfId="34194" xr:uid="{E7F5DD78-D7D0-443B-B6FE-A916010E3D07}"/>
    <cellStyle name="40% - Accent2 3 2 9" xfId="18300" xr:uid="{00000000-0005-0000-0000-000082340000}"/>
    <cellStyle name="40% - Accent2 3 2 9 2" xfId="42132" xr:uid="{3D37D386-F935-483D-BF9B-B04B804DFF57}"/>
    <cellStyle name="40% - Accent2 3 2_Exh G" xfId="2855" xr:uid="{00000000-0005-0000-0000-000083340000}"/>
    <cellStyle name="40% - Accent2 3 3" xfId="405" xr:uid="{00000000-0005-0000-0000-000084340000}"/>
    <cellStyle name="40% - Accent2 3 3 2" xfId="1431" xr:uid="{00000000-0005-0000-0000-000085340000}"/>
    <cellStyle name="40% - Accent2 3 3 2 2" xfId="4958" xr:uid="{00000000-0005-0000-0000-000086340000}"/>
    <cellStyle name="40% - Accent2 3 3 2 2 2" xfId="8549" xr:uid="{00000000-0005-0000-0000-000087340000}"/>
    <cellStyle name="40% - Accent2 3 3 2 2 2 2" xfId="16519" xr:uid="{00000000-0005-0000-0000-000088340000}"/>
    <cellStyle name="40% - Accent2 3 3 2 2 2 2 2" xfId="40361" xr:uid="{2281B771-2A55-4A28-B631-54ACF633D5BA}"/>
    <cellStyle name="40% - Accent2 3 3 2 2 2 3" xfId="24465" xr:uid="{00000000-0005-0000-0000-000089340000}"/>
    <cellStyle name="40% - Accent2 3 3 2 2 2 3 2" xfId="48297" xr:uid="{042B1AFF-53C7-4A8D-AAC8-9044F9C0CC42}"/>
    <cellStyle name="40% - Accent2 3 3 2 2 2 4" xfId="32420" xr:uid="{66B453C6-E6BB-439D-B519-800FB2DDDD84}"/>
    <cellStyle name="40% - Accent2 3 3 2 2 3" xfId="12981" xr:uid="{00000000-0005-0000-0000-00008A340000}"/>
    <cellStyle name="40% - Accent2 3 3 2 2 3 2" xfId="36830" xr:uid="{AB47AA6F-E9C0-4CF2-BA92-CF7567694320}"/>
    <cellStyle name="40% - Accent2 3 3 2 2 4" xfId="20936" xr:uid="{00000000-0005-0000-0000-00008B340000}"/>
    <cellStyle name="40% - Accent2 3 3 2 2 4 2" xfId="44768" xr:uid="{F41D4AE8-8F68-4ED9-9E02-675A6E297D4E}"/>
    <cellStyle name="40% - Accent2 3 3 2 2 5" xfId="28889" xr:uid="{FD4661C0-B9FD-40DD-82C0-3B33452DD7E6}"/>
    <cellStyle name="40% - Accent2 3 3 2 3" xfId="6790" xr:uid="{00000000-0005-0000-0000-00008C340000}"/>
    <cellStyle name="40% - Accent2 3 3 2 3 2" xfId="14761" xr:uid="{00000000-0005-0000-0000-00008D340000}"/>
    <cellStyle name="40% - Accent2 3 3 2 3 2 2" xfId="38603" xr:uid="{6F1030FD-7E4D-45A2-8C8F-0DFFD7853CD6}"/>
    <cellStyle name="40% - Accent2 3 3 2 3 3" xfId="22708" xr:uid="{00000000-0005-0000-0000-00008E340000}"/>
    <cellStyle name="40% - Accent2 3 3 2 3 3 2" xfId="46540" xr:uid="{8DB35185-F55E-4EF8-9F75-E3D4A5F4674E}"/>
    <cellStyle name="40% - Accent2 3 3 2 3 4" xfId="30662" xr:uid="{09A971D0-5619-4648-88D7-E2AF8A2C7B32}"/>
    <cellStyle name="40% - Accent2 3 3 2 4" xfId="11225" xr:uid="{00000000-0005-0000-0000-00008F340000}"/>
    <cellStyle name="40% - Accent2 3 3 2 4 2" xfId="35074" xr:uid="{9EBB10EF-6892-47D6-BDF0-93F5D73ECFFF}"/>
    <cellStyle name="40% - Accent2 3 3 2 5" xfId="19180" xr:uid="{00000000-0005-0000-0000-000090340000}"/>
    <cellStyle name="40% - Accent2 3 3 2 5 2" xfId="43012" xr:uid="{D48D5E9C-8AF8-4475-B15D-32E26296D89A}"/>
    <cellStyle name="40% - Accent2 3 3 2 6" xfId="27132" xr:uid="{F3389704-12F2-42A4-A2C4-09AFCA719E85}"/>
    <cellStyle name="40% - Accent2 3 3 2_Exh G" xfId="2862" xr:uid="{00000000-0005-0000-0000-000091340000}"/>
    <cellStyle name="40% - Accent2 3 3 3" xfId="4079" xr:uid="{00000000-0005-0000-0000-000092340000}"/>
    <cellStyle name="40% - Accent2 3 3 3 2" xfId="7671" xr:uid="{00000000-0005-0000-0000-000093340000}"/>
    <cellStyle name="40% - Accent2 3 3 3 2 2" xfId="15641" xr:uid="{00000000-0005-0000-0000-000094340000}"/>
    <cellStyle name="40% - Accent2 3 3 3 2 2 2" xfId="39483" xr:uid="{E579040F-B6B7-4D7B-9531-E0C3C07E658B}"/>
    <cellStyle name="40% - Accent2 3 3 3 2 3" xfId="23587" xr:uid="{00000000-0005-0000-0000-000095340000}"/>
    <cellStyle name="40% - Accent2 3 3 3 2 3 2" xfId="47419" xr:uid="{512FA589-F988-40A0-B954-8EA1A322246F}"/>
    <cellStyle name="40% - Accent2 3 3 3 2 4" xfId="31542" xr:uid="{6CB89514-850C-4691-A8DC-9B120520710A}"/>
    <cellStyle name="40% - Accent2 3 3 3 3" xfId="12103" xr:uid="{00000000-0005-0000-0000-000096340000}"/>
    <cellStyle name="40% - Accent2 3 3 3 3 2" xfId="35952" xr:uid="{20B33B6E-5938-4A6F-9C37-C61C46EDC6DD}"/>
    <cellStyle name="40% - Accent2 3 3 3 4" xfId="20058" xr:uid="{00000000-0005-0000-0000-000097340000}"/>
    <cellStyle name="40% - Accent2 3 3 3 4 2" xfId="43890" xr:uid="{EE3A586A-DC30-471C-8A8F-D0ADED7A5871}"/>
    <cellStyle name="40% - Accent2 3 3 3 5" xfId="28011" xr:uid="{57727DD1-DA2E-4ECE-A7F2-542E006CA17D}"/>
    <cellStyle name="40% - Accent2 3 3 4" xfId="5899" xr:uid="{00000000-0005-0000-0000-000098340000}"/>
    <cellStyle name="40% - Accent2 3 3 4 2" xfId="13882" xr:uid="{00000000-0005-0000-0000-000099340000}"/>
    <cellStyle name="40% - Accent2 3 3 4 2 2" xfId="37725" xr:uid="{C5E1F4C3-5D22-4802-A34E-A550BDCD5DE0}"/>
    <cellStyle name="40% - Accent2 3 3 4 3" xfId="21830" xr:uid="{00000000-0005-0000-0000-00009A340000}"/>
    <cellStyle name="40% - Accent2 3 3 4 3 2" xfId="45662" xr:uid="{DEAB7684-C514-4DB4-A994-CE047B709D6B}"/>
    <cellStyle name="40% - Accent2 3 3 4 4" xfId="29784" xr:uid="{7223998C-5F95-4EAE-965F-AEEEC9718D18}"/>
    <cellStyle name="40% - Accent2 3 3 5" xfId="9451" xr:uid="{00000000-0005-0000-0000-00009B340000}"/>
    <cellStyle name="40% - Accent2 3 3 5 2" xfId="17409" xr:uid="{00000000-0005-0000-0000-00009C340000}"/>
    <cellStyle name="40% - Accent2 3 3 5 2 2" xfId="41249" xr:uid="{083A5562-BF32-46C0-BEA2-39BA63A91655}"/>
    <cellStyle name="40% - Accent2 3 3 5 3" xfId="25353" xr:uid="{00000000-0005-0000-0000-00009D340000}"/>
    <cellStyle name="40% - Accent2 3 3 5 3 2" xfId="49185" xr:uid="{FC705EA9-F467-413A-89EF-4270E49032E7}"/>
    <cellStyle name="40% - Accent2 3 3 5 4" xfId="33308" xr:uid="{CBA467B7-8110-4C71-863A-09BF0AFDEBF2}"/>
    <cellStyle name="40% - Accent2 3 3 6" xfId="10347" xr:uid="{00000000-0005-0000-0000-00009E340000}"/>
    <cellStyle name="40% - Accent2 3 3 6 2" xfId="34196" xr:uid="{350CFB15-0577-406B-B6FA-55B45F62D93C}"/>
    <cellStyle name="40% - Accent2 3 3 7" xfId="18302" xr:uid="{00000000-0005-0000-0000-00009F340000}"/>
    <cellStyle name="40% - Accent2 3 3 7 2" xfId="42134" xr:uid="{63ABC386-7811-4C1D-9411-00BCFF8C011B}"/>
    <cellStyle name="40% - Accent2 3 3 8" xfId="26254" xr:uid="{74DD4B8D-E870-4E38-ADBC-7E5BBFB2D877}"/>
    <cellStyle name="40% - Accent2 3 3_Exh G" xfId="2861" xr:uid="{00000000-0005-0000-0000-0000A0340000}"/>
    <cellStyle name="40% - Accent2 3 4" xfId="946" xr:uid="{00000000-0005-0000-0000-0000A1340000}"/>
    <cellStyle name="40% - Accent2 3 4 2" xfId="1864" xr:uid="{00000000-0005-0000-0000-0000A2340000}"/>
    <cellStyle name="40% - Accent2 3 4 2 2" xfId="5381" xr:uid="{00000000-0005-0000-0000-0000A3340000}"/>
    <cellStyle name="40% - Accent2 3 4 2 2 2" xfId="8972" xr:uid="{00000000-0005-0000-0000-0000A4340000}"/>
    <cellStyle name="40% - Accent2 3 4 2 2 2 2" xfId="16942" xr:uid="{00000000-0005-0000-0000-0000A5340000}"/>
    <cellStyle name="40% - Accent2 3 4 2 2 2 2 2" xfId="40784" xr:uid="{6FFE5EE5-6C65-4B7D-BD3F-84749DA86405}"/>
    <cellStyle name="40% - Accent2 3 4 2 2 2 3" xfId="24888" xr:uid="{00000000-0005-0000-0000-0000A6340000}"/>
    <cellStyle name="40% - Accent2 3 4 2 2 2 3 2" xfId="48720" xr:uid="{69497D61-35AE-454A-B237-C2D65FC4F881}"/>
    <cellStyle name="40% - Accent2 3 4 2 2 2 4" xfId="32843" xr:uid="{7AA5C870-4E37-456A-8750-5B1197EC08E9}"/>
    <cellStyle name="40% - Accent2 3 4 2 2 3" xfId="13404" xr:uid="{00000000-0005-0000-0000-0000A7340000}"/>
    <cellStyle name="40% - Accent2 3 4 2 2 3 2" xfId="37253" xr:uid="{7EEA568A-52A3-4821-9C0D-58AC3A14BB83}"/>
    <cellStyle name="40% - Accent2 3 4 2 2 4" xfId="21359" xr:uid="{00000000-0005-0000-0000-0000A8340000}"/>
    <cellStyle name="40% - Accent2 3 4 2 2 4 2" xfId="45191" xr:uid="{88902E26-4F0A-4B17-ABAA-E1D6BBAD6D7E}"/>
    <cellStyle name="40% - Accent2 3 4 2 2 5" xfId="29312" xr:uid="{73979463-3C71-44E9-A3E2-A4CD0729251A}"/>
    <cellStyle name="40% - Accent2 3 4 2 3" xfId="7213" xr:uid="{00000000-0005-0000-0000-0000A9340000}"/>
    <cellStyle name="40% - Accent2 3 4 2 3 2" xfId="15184" xr:uid="{00000000-0005-0000-0000-0000AA340000}"/>
    <cellStyle name="40% - Accent2 3 4 2 3 2 2" xfId="39026" xr:uid="{9CC44C11-E10A-49E4-A938-A0EFB1A1414D}"/>
    <cellStyle name="40% - Accent2 3 4 2 3 3" xfId="23131" xr:uid="{00000000-0005-0000-0000-0000AB340000}"/>
    <cellStyle name="40% - Accent2 3 4 2 3 3 2" xfId="46963" xr:uid="{5AE482E9-6730-4E2D-951F-19ABB7D133F4}"/>
    <cellStyle name="40% - Accent2 3 4 2 3 4" xfId="31085" xr:uid="{3D445BBF-D7A2-4A63-B180-1CF146296DB3}"/>
    <cellStyle name="40% - Accent2 3 4 2 4" xfId="11648" xr:uid="{00000000-0005-0000-0000-0000AC340000}"/>
    <cellStyle name="40% - Accent2 3 4 2 4 2" xfId="35497" xr:uid="{314B42AF-66FC-49C6-9F6E-6566138E44B6}"/>
    <cellStyle name="40% - Accent2 3 4 2 5" xfId="19603" xr:uid="{00000000-0005-0000-0000-0000AD340000}"/>
    <cellStyle name="40% - Accent2 3 4 2 5 2" xfId="43435" xr:uid="{F1D7E867-D313-4D4E-9FBE-85720027EA18}"/>
    <cellStyle name="40% - Accent2 3 4 2 6" xfId="27555" xr:uid="{49FBC857-F6A8-4D57-BDC2-55FC8C456A3D}"/>
    <cellStyle name="40% - Accent2 3 4 2_Exh G" xfId="2864" xr:uid="{00000000-0005-0000-0000-0000AE340000}"/>
    <cellStyle name="40% - Accent2 3 4 3" xfId="4502" xr:uid="{00000000-0005-0000-0000-0000AF340000}"/>
    <cellStyle name="40% - Accent2 3 4 3 2" xfId="8094" xr:uid="{00000000-0005-0000-0000-0000B0340000}"/>
    <cellStyle name="40% - Accent2 3 4 3 2 2" xfId="16064" xr:uid="{00000000-0005-0000-0000-0000B1340000}"/>
    <cellStyle name="40% - Accent2 3 4 3 2 2 2" xfId="39906" xr:uid="{84748E19-9205-4880-A460-B560EE0AB9AC}"/>
    <cellStyle name="40% - Accent2 3 4 3 2 3" xfId="24010" xr:uid="{00000000-0005-0000-0000-0000B2340000}"/>
    <cellStyle name="40% - Accent2 3 4 3 2 3 2" xfId="47842" xr:uid="{1401B81A-29FA-4DEE-8F06-900FF58CA11F}"/>
    <cellStyle name="40% - Accent2 3 4 3 2 4" xfId="31965" xr:uid="{03F5080A-22B0-48EF-A16A-13FA9E4E1508}"/>
    <cellStyle name="40% - Accent2 3 4 3 3" xfId="12526" xr:uid="{00000000-0005-0000-0000-0000B3340000}"/>
    <cellStyle name="40% - Accent2 3 4 3 3 2" xfId="36375" xr:uid="{B69239A2-35EE-46AA-AC3C-BD48FC0D33D0}"/>
    <cellStyle name="40% - Accent2 3 4 3 4" xfId="20481" xr:uid="{00000000-0005-0000-0000-0000B4340000}"/>
    <cellStyle name="40% - Accent2 3 4 3 4 2" xfId="44313" xr:uid="{B9C25386-4227-4412-9123-BFE25CB4EA3A}"/>
    <cellStyle name="40% - Accent2 3 4 3 5" xfId="28434" xr:uid="{A2A3A72F-E0A0-4BB4-8A50-BF47D9CA48FC}"/>
    <cellStyle name="40% - Accent2 3 4 4" xfId="6332" xr:uid="{00000000-0005-0000-0000-0000B5340000}"/>
    <cellStyle name="40% - Accent2 3 4 4 2" xfId="14306" xr:uid="{00000000-0005-0000-0000-0000B6340000}"/>
    <cellStyle name="40% - Accent2 3 4 4 2 2" xfId="38148" xr:uid="{5B24C4AB-AC90-4753-BA5C-4E32FCDFFC76}"/>
    <cellStyle name="40% - Accent2 3 4 4 3" xfId="22253" xr:uid="{00000000-0005-0000-0000-0000B7340000}"/>
    <cellStyle name="40% - Accent2 3 4 4 3 2" xfId="46085" xr:uid="{5ADA1988-ED72-4FE6-A40E-AEB26869A971}"/>
    <cellStyle name="40% - Accent2 3 4 4 4" xfId="30207" xr:uid="{13843600-3DE7-4F84-9361-94539E87C6E5}"/>
    <cellStyle name="40% - Accent2 3 4 5" xfId="9874" xr:uid="{00000000-0005-0000-0000-0000B8340000}"/>
    <cellStyle name="40% - Accent2 3 4 5 2" xfId="17832" xr:uid="{00000000-0005-0000-0000-0000B9340000}"/>
    <cellStyle name="40% - Accent2 3 4 5 2 2" xfId="41672" xr:uid="{7A5C8004-C001-4A37-B0DA-E7D543DC17FF}"/>
    <cellStyle name="40% - Accent2 3 4 5 3" xfId="25776" xr:uid="{00000000-0005-0000-0000-0000BA340000}"/>
    <cellStyle name="40% - Accent2 3 4 5 3 2" xfId="49608" xr:uid="{163ECD1D-1E64-4605-916E-0D53FB9A2FF1}"/>
    <cellStyle name="40% - Accent2 3 4 5 4" xfId="33731" xr:uid="{1E747B83-E9B2-4C43-A80B-4F7E125F673C}"/>
    <cellStyle name="40% - Accent2 3 4 6" xfId="10770" xr:uid="{00000000-0005-0000-0000-0000BB340000}"/>
    <cellStyle name="40% - Accent2 3 4 6 2" xfId="34619" xr:uid="{76854E61-C47C-4746-BE2F-FFC8C8512392}"/>
    <cellStyle name="40% - Accent2 3 4 7" xfId="18725" xr:uid="{00000000-0005-0000-0000-0000BC340000}"/>
    <cellStyle name="40% - Accent2 3 4 7 2" xfId="42557" xr:uid="{572ECF92-E477-4BBA-83B8-6221C62DD7EE}"/>
    <cellStyle name="40% - Accent2 3 4 8" xfId="26677" xr:uid="{6F8FA915-0CF9-4656-A5EA-A676587BBDA5}"/>
    <cellStyle name="40% - Accent2 3 4_Exh G" xfId="2863" xr:uid="{00000000-0005-0000-0000-0000BD340000}"/>
    <cellStyle name="40% - Accent2 3 5" xfId="1428" xr:uid="{00000000-0005-0000-0000-0000BE340000}"/>
    <cellStyle name="40% - Accent2 3 5 2" xfId="4955" xr:uid="{00000000-0005-0000-0000-0000BF340000}"/>
    <cellStyle name="40% - Accent2 3 5 2 2" xfId="8546" xr:uid="{00000000-0005-0000-0000-0000C0340000}"/>
    <cellStyle name="40% - Accent2 3 5 2 2 2" xfId="16516" xr:uid="{00000000-0005-0000-0000-0000C1340000}"/>
    <cellStyle name="40% - Accent2 3 5 2 2 2 2" xfId="40358" xr:uid="{2D0EC80E-E539-4797-8CEC-AAB274167819}"/>
    <cellStyle name="40% - Accent2 3 5 2 2 3" xfId="24462" xr:uid="{00000000-0005-0000-0000-0000C2340000}"/>
    <cellStyle name="40% - Accent2 3 5 2 2 3 2" xfId="48294" xr:uid="{C11B488C-22B8-4D66-A037-8A40B5831E35}"/>
    <cellStyle name="40% - Accent2 3 5 2 2 4" xfId="32417" xr:uid="{DA4DE058-43B4-46FE-A655-EA1C2509CFAB}"/>
    <cellStyle name="40% - Accent2 3 5 2 3" xfId="12978" xr:uid="{00000000-0005-0000-0000-0000C3340000}"/>
    <cellStyle name="40% - Accent2 3 5 2 3 2" xfId="36827" xr:uid="{BDAAE24A-62DE-41DB-9431-D434DD17732E}"/>
    <cellStyle name="40% - Accent2 3 5 2 4" xfId="20933" xr:uid="{00000000-0005-0000-0000-0000C4340000}"/>
    <cellStyle name="40% - Accent2 3 5 2 4 2" xfId="44765" xr:uid="{A20417D3-FFE9-4766-BE0A-F5E49FFC778C}"/>
    <cellStyle name="40% - Accent2 3 5 2 5" xfId="28886" xr:uid="{82F11FF4-E3D4-46FE-A31C-73071C059C38}"/>
    <cellStyle name="40% - Accent2 3 5 3" xfId="6787" xr:uid="{00000000-0005-0000-0000-0000C5340000}"/>
    <cellStyle name="40% - Accent2 3 5 3 2" xfId="14758" xr:uid="{00000000-0005-0000-0000-0000C6340000}"/>
    <cellStyle name="40% - Accent2 3 5 3 2 2" xfId="38600" xr:uid="{465422AA-8F2A-42D1-849A-18898F3BBABC}"/>
    <cellStyle name="40% - Accent2 3 5 3 3" xfId="22705" xr:uid="{00000000-0005-0000-0000-0000C7340000}"/>
    <cellStyle name="40% - Accent2 3 5 3 3 2" xfId="46537" xr:uid="{F49D1AE3-465A-43D8-94E8-67DA705A3C39}"/>
    <cellStyle name="40% - Accent2 3 5 3 4" xfId="30659" xr:uid="{11AF54DF-2673-4386-B48A-A4C5BB71088C}"/>
    <cellStyle name="40% - Accent2 3 5 4" xfId="11222" xr:uid="{00000000-0005-0000-0000-0000C8340000}"/>
    <cellStyle name="40% - Accent2 3 5 4 2" xfId="35071" xr:uid="{34BED6D8-5EC5-4E2A-8B43-69B1A1BCE35F}"/>
    <cellStyle name="40% - Accent2 3 5 5" xfId="19177" xr:uid="{00000000-0005-0000-0000-0000C9340000}"/>
    <cellStyle name="40% - Accent2 3 5 5 2" xfId="43009" xr:uid="{518AC358-37E6-4C19-9CB4-554B3962C607}"/>
    <cellStyle name="40% - Accent2 3 5 6" xfId="27129" xr:uid="{F31F9F0B-2F3E-40D9-AE66-01E2311205E9}"/>
    <cellStyle name="40% - Accent2 3 5_Exh G" xfId="2865" xr:uid="{00000000-0005-0000-0000-0000CA340000}"/>
    <cellStyle name="40% - Accent2 3 6" xfId="4076" xr:uid="{00000000-0005-0000-0000-0000CB340000}"/>
    <cellStyle name="40% - Accent2 3 6 2" xfId="7668" xr:uid="{00000000-0005-0000-0000-0000CC340000}"/>
    <cellStyle name="40% - Accent2 3 6 2 2" xfId="15638" xr:uid="{00000000-0005-0000-0000-0000CD340000}"/>
    <cellStyle name="40% - Accent2 3 6 2 2 2" xfId="39480" xr:uid="{8F41C03A-BD9B-4C13-A064-E44A51D6EF2D}"/>
    <cellStyle name="40% - Accent2 3 6 2 3" xfId="23584" xr:uid="{00000000-0005-0000-0000-0000CE340000}"/>
    <cellStyle name="40% - Accent2 3 6 2 3 2" xfId="47416" xr:uid="{5539A4AA-815D-42CC-AB75-919772634669}"/>
    <cellStyle name="40% - Accent2 3 6 2 4" xfId="31539" xr:uid="{4447DFC3-DB5A-4736-A7B2-CBAA56E0F18A}"/>
    <cellStyle name="40% - Accent2 3 6 3" xfId="12100" xr:uid="{00000000-0005-0000-0000-0000CF340000}"/>
    <cellStyle name="40% - Accent2 3 6 3 2" xfId="35949" xr:uid="{52922DD9-7AFE-4206-9D2F-345CDC28CB8D}"/>
    <cellStyle name="40% - Accent2 3 6 4" xfId="20055" xr:uid="{00000000-0005-0000-0000-0000D0340000}"/>
    <cellStyle name="40% - Accent2 3 6 4 2" xfId="43887" xr:uid="{5C17DDAB-995D-4030-B1B1-0042ED03B580}"/>
    <cellStyle name="40% - Accent2 3 6 5" xfId="28008" xr:uid="{1548B122-54DE-4708-80E0-7B69FDC526B6}"/>
    <cellStyle name="40% - Accent2 3 7" xfId="5896" xr:uid="{00000000-0005-0000-0000-0000D1340000}"/>
    <cellStyle name="40% - Accent2 3 7 2" xfId="13879" xr:uid="{00000000-0005-0000-0000-0000D2340000}"/>
    <cellStyle name="40% - Accent2 3 7 2 2" xfId="37722" xr:uid="{2E92E7D5-0038-4B25-AC62-5F21CAE57733}"/>
    <cellStyle name="40% - Accent2 3 7 3" xfId="21827" xr:uid="{00000000-0005-0000-0000-0000D3340000}"/>
    <cellStyle name="40% - Accent2 3 7 3 2" xfId="45659" xr:uid="{7B3FBF0C-6E83-451E-933C-57441250EDE0}"/>
    <cellStyle name="40% - Accent2 3 7 4" xfId="29781" xr:uid="{653E44A0-2F21-413E-A641-66FD57033A74}"/>
    <cellStyle name="40% - Accent2 3 8" xfId="9448" xr:uid="{00000000-0005-0000-0000-0000D4340000}"/>
    <cellStyle name="40% - Accent2 3 8 2" xfId="17406" xr:uid="{00000000-0005-0000-0000-0000D5340000}"/>
    <cellStyle name="40% - Accent2 3 8 2 2" xfId="41246" xr:uid="{79C75F7C-EB5C-47C0-8257-D90A950E4455}"/>
    <cellStyle name="40% - Accent2 3 8 3" xfId="25350" xr:uid="{00000000-0005-0000-0000-0000D6340000}"/>
    <cellStyle name="40% - Accent2 3 8 3 2" xfId="49182" xr:uid="{6B233170-A3B0-4472-8D22-F54C6BD1AC15}"/>
    <cellStyle name="40% - Accent2 3 8 4" xfId="33305" xr:uid="{9A474D4A-F53E-4D62-96C4-8D9D932364A6}"/>
    <cellStyle name="40% - Accent2 3 9" xfId="10344" xr:uid="{00000000-0005-0000-0000-0000D7340000}"/>
    <cellStyle name="40% - Accent2 3 9 2" xfId="34193" xr:uid="{4D28216E-8ACB-4D85-8486-F13A88208060}"/>
    <cellStyle name="40% - Accent2 3_Exh G" xfId="2854" xr:uid="{00000000-0005-0000-0000-0000D8340000}"/>
    <cellStyle name="40% - Accent2 4" xfId="406" xr:uid="{00000000-0005-0000-0000-0000D9340000}"/>
    <cellStyle name="40% - Accent2 4 10" xfId="18303" xr:uid="{00000000-0005-0000-0000-0000DA340000}"/>
    <cellStyle name="40% - Accent2 4 10 2" xfId="42135" xr:uid="{51E4C3EF-D026-48D1-A608-C40A9304C26D}"/>
    <cellStyle name="40% - Accent2 4 11" xfId="26255" xr:uid="{1871CE31-2CF1-4631-A00D-AC33BFFD5300}"/>
    <cellStyle name="40% - Accent2 4 2" xfId="407" xr:uid="{00000000-0005-0000-0000-0000DB340000}"/>
    <cellStyle name="40% - Accent2 4 2 10" xfId="26256" xr:uid="{0EECB09D-050B-483F-BC04-32C3E5CAB9EC}"/>
    <cellStyle name="40% - Accent2 4 2 2" xfId="408" xr:uid="{00000000-0005-0000-0000-0000DC340000}"/>
    <cellStyle name="40% - Accent2 4 2 2 2" xfId="1434" xr:uid="{00000000-0005-0000-0000-0000DD340000}"/>
    <cellStyle name="40% - Accent2 4 2 2 2 2" xfId="4961" xr:uid="{00000000-0005-0000-0000-0000DE340000}"/>
    <cellStyle name="40% - Accent2 4 2 2 2 2 2" xfId="8552" xr:uid="{00000000-0005-0000-0000-0000DF340000}"/>
    <cellStyle name="40% - Accent2 4 2 2 2 2 2 2" xfId="16522" xr:uid="{00000000-0005-0000-0000-0000E0340000}"/>
    <cellStyle name="40% - Accent2 4 2 2 2 2 2 2 2" xfId="40364" xr:uid="{305CA29C-0682-4F46-B98A-DCC59AC47405}"/>
    <cellStyle name="40% - Accent2 4 2 2 2 2 2 3" xfId="24468" xr:uid="{00000000-0005-0000-0000-0000E1340000}"/>
    <cellStyle name="40% - Accent2 4 2 2 2 2 2 3 2" xfId="48300" xr:uid="{E1891B47-23C6-4974-BA3F-9649FF9EF870}"/>
    <cellStyle name="40% - Accent2 4 2 2 2 2 2 4" xfId="32423" xr:uid="{03A37545-D4A1-4196-8EB2-B01BD5F8D486}"/>
    <cellStyle name="40% - Accent2 4 2 2 2 2 3" xfId="12984" xr:uid="{00000000-0005-0000-0000-0000E2340000}"/>
    <cellStyle name="40% - Accent2 4 2 2 2 2 3 2" xfId="36833" xr:uid="{3E930998-99C5-4D77-A9EE-D93FF8099AE8}"/>
    <cellStyle name="40% - Accent2 4 2 2 2 2 4" xfId="20939" xr:uid="{00000000-0005-0000-0000-0000E3340000}"/>
    <cellStyle name="40% - Accent2 4 2 2 2 2 4 2" xfId="44771" xr:uid="{7DBA1330-2E44-4BCA-8C5F-40C6A1BB4383}"/>
    <cellStyle name="40% - Accent2 4 2 2 2 2 5" xfId="28892" xr:uid="{FCB960D5-8A3E-4E22-B307-B537601C7E38}"/>
    <cellStyle name="40% - Accent2 4 2 2 2 3" xfId="6793" xr:uid="{00000000-0005-0000-0000-0000E4340000}"/>
    <cellStyle name="40% - Accent2 4 2 2 2 3 2" xfId="14764" xr:uid="{00000000-0005-0000-0000-0000E5340000}"/>
    <cellStyle name="40% - Accent2 4 2 2 2 3 2 2" xfId="38606" xr:uid="{82D78919-797E-42E0-BABE-22D7C10759C0}"/>
    <cellStyle name="40% - Accent2 4 2 2 2 3 3" xfId="22711" xr:uid="{00000000-0005-0000-0000-0000E6340000}"/>
    <cellStyle name="40% - Accent2 4 2 2 2 3 3 2" xfId="46543" xr:uid="{B43DF547-6066-4942-BA8F-8E695514E677}"/>
    <cellStyle name="40% - Accent2 4 2 2 2 3 4" xfId="30665" xr:uid="{BFBA9DF6-E314-4B58-983C-A8BC23F27D4E}"/>
    <cellStyle name="40% - Accent2 4 2 2 2 4" xfId="11228" xr:uid="{00000000-0005-0000-0000-0000E7340000}"/>
    <cellStyle name="40% - Accent2 4 2 2 2 4 2" xfId="35077" xr:uid="{57F2F0C7-76F3-42B6-8DB7-D1DAD2A0F76A}"/>
    <cellStyle name="40% - Accent2 4 2 2 2 5" xfId="19183" xr:uid="{00000000-0005-0000-0000-0000E8340000}"/>
    <cellStyle name="40% - Accent2 4 2 2 2 5 2" xfId="43015" xr:uid="{5A72010D-29AC-4A80-8C55-D300BEA45911}"/>
    <cellStyle name="40% - Accent2 4 2 2 2 6" xfId="27135" xr:uid="{484AFE9A-21F5-47D3-BABA-950B14A4468A}"/>
    <cellStyle name="40% - Accent2 4 2 2 2_Exh G" xfId="2869" xr:uid="{00000000-0005-0000-0000-0000E9340000}"/>
    <cellStyle name="40% - Accent2 4 2 2 3" xfId="4082" xr:uid="{00000000-0005-0000-0000-0000EA340000}"/>
    <cellStyle name="40% - Accent2 4 2 2 3 2" xfId="7674" xr:uid="{00000000-0005-0000-0000-0000EB340000}"/>
    <cellStyle name="40% - Accent2 4 2 2 3 2 2" xfId="15644" xr:uid="{00000000-0005-0000-0000-0000EC340000}"/>
    <cellStyle name="40% - Accent2 4 2 2 3 2 2 2" xfId="39486" xr:uid="{136FA063-572D-4191-8647-94A2D259E1BA}"/>
    <cellStyle name="40% - Accent2 4 2 2 3 2 3" xfId="23590" xr:uid="{00000000-0005-0000-0000-0000ED340000}"/>
    <cellStyle name="40% - Accent2 4 2 2 3 2 3 2" xfId="47422" xr:uid="{F6287334-6483-4BD1-9177-5DCAA1A05E60}"/>
    <cellStyle name="40% - Accent2 4 2 2 3 2 4" xfId="31545" xr:uid="{49C7C96C-EBF2-4477-B6EE-1CB35C4C2729}"/>
    <cellStyle name="40% - Accent2 4 2 2 3 3" xfId="12106" xr:uid="{00000000-0005-0000-0000-0000EE340000}"/>
    <cellStyle name="40% - Accent2 4 2 2 3 3 2" xfId="35955" xr:uid="{C5F04399-1896-4E41-9D68-4AFFAE463FCC}"/>
    <cellStyle name="40% - Accent2 4 2 2 3 4" xfId="20061" xr:uid="{00000000-0005-0000-0000-0000EF340000}"/>
    <cellStyle name="40% - Accent2 4 2 2 3 4 2" xfId="43893" xr:uid="{24E8B4CD-544B-4A24-A9EA-9926B2B9E061}"/>
    <cellStyle name="40% - Accent2 4 2 2 3 5" xfId="28014" xr:uid="{633F93ED-CDD5-44B0-BF2F-3635227202D9}"/>
    <cellStyle name="40% - Accent2 4 2 2 4" xfId="5902" xr:uid="{00000000-0005-0000-0000-0000F0340000}"/>
    <cellStyle name="40% - Accent2 4 2 2 4 2" xfId="13885" xr:uid="{00000000-0005-0000-0000-0000F1340000}"/>
    <cellStyle name="40% - Accent2 4 2 2 4 2 2" xfId="37728" xr:uid="{EB9131C3-2888-4845-8802-C4AEC70DB082}"/>
    <cellStyle name="40% - Accent2 4 2 2 4 3" xfId="21833" xr:uid="{00000000-0005-0000-0000-0000F2340000}"/>
    <cellStyle name="40% - Accent2 4 2 2 4 3 2" xfId="45665" xr:uid="{64EA2AF6-3005-484F-ADAC-E4EDD7C06464}"/>
    <cellStyle name="40% - Accent2 4 2 2 4 4" xfId="29787" xr:uid="{3EE8E603-6A03-4CAA-BBEF-8C4286A94A90}"/>
    <cellStyle name="40% - Accent2 4 2 2 5" xfId="9454" xr:uid="{00000000-0005-0000-0000-0000F3340000}"/>
    <cellStyle name="40% - Accent2 4 2 2 5 2" xfId="17412" xr:uid="{00000000-0005-0000-0000-0000F4340000}"/>
    <cellStyle name="40% - Accent2 4 2 2 5 2 2" xfId="41252" xr:uid="{9BE234D8-CA4D-47F6-93F1-E5E0A0E4C109}"/>
    <cellStyle name="40% - Accent2 4 2 2 5 3" xfId="25356" xr:uid="{00000000-0005-0000-0000-0000F5340000}"/>
    <cellStyle name="40% - Accent2 4 2 2 5 3 2" xfId="49188" xr:uid="{7A95D6BD-C4F6-4ABD-970D-116887888D93}"/>
    <cellStyle name="40% - Accent2 4 2 2 5 4" xfId="33311" xr:uid="{32410EB1-CB24-4B0E-B734-21D2610603A2}"/>
    <cellStyle name="40% - Accent2 4 2 2 6" xfId="10350" xr:uid="{00000000-0005-0000-0000-0000F6340000}"/>
    <cellStyle name="40% - Accent2 4 2 2 6 2" xfId="34199" xr:uid="{51A62DF8-C644-40BD-9389-55815158BABB}"/>
    <cellStyle name="40% - Accent2 4 2 2 7" xfId="18305" xr:uid="{00000000-0005-0000-0000-0000F7340000}"/>
    <cellStyle name="40% - Accent2 4 2 2 7 2" xfId="42137" xr:uid="{930AFB7E-93E3-4E55-AF80-B5A3DD08E0DC}"/>
    <cellStyle name="40% - Accent2 4 2 2 8" xfId="26257" xr:uid="{18546B5C-FCB2-46D9-989A-8F835933565B}"/>
    <cellStyle name="40% - Accent2 4 2 2_Exh G" xfId="2868" xr:uid="{00000000-0005-0000-0000-0000F8340000}"/>
    <cellStyle name="40% - Accent2 4 2 3" xfId="949" xr:uid="{00000000-0005-0000-0000-0000F9340000}"/>
    <cellStyle name="40% - Accent2 4 2 3 2" xfId="1867" xr:uid="{00000000-0005-0000-0000-0000FA340000}"/>
    <cellStyle name="40% - Accent2 4 2 3 2 2" xfId="5384" xr:uid="{00000000-0005-0000-0000-0000FB340000}"/>
    <cellStyle name="40% - Accent2 4 2 3 2 2 2" xfId="8975" xr:uid="{00000000-0005-0000-0000-0000FC340000}"/>
    <cellStyle name="40% - Accent2 4 2 3 2 2 2 2" xfId="16945" xr:uid="{00000000-0005-0000-0000-0000FD340000}"/>
    <cellStyle name="40% - Accent2 4 2 3 2 2 2 2 2" xfId="40787" xr:uid="{C8FC33C7-5D3D-42BE-B4A1-87E2123A2755}"/>
    <cellStyle name="40% - Accent2 4 2 3 2 2 2 3" xfId="24891" xr:uid="{00000000-0005-0000-0000-0000FE340000}"/>
    <cellStyle name="40% - Accent2 4 2 3 2 2 2 3 2" xfId="48723" xr:uid="{B131F10F-8452-4242-ABFD-971CE5A7B00E}"/>
    <cellStyle name="40% - Accent2 4 2 3 2 2 2 4" xfId="32846" xr:uid="{4A65F237-2B89-42BC-B810-D4F7243E9484}"/>
    <cellStyle name="40% - Accent2 4 2 3 2 2 3" xfId="13407" xr:uid="{00000000-0005-0000-0000-0000FF340000}"/>
    <cellStyle name="40% - Accent2 4 2 3 2 2 3 2" xfId="37256" xr:uid="{2D524C04-47DB-4A84-8A91-93BEBC7D3B1F}"/>
    <cellStyle name="40% - Accent2 4 2 3 2 2 4" xfId="21362" xr:uid="{00000000-0005-0000-0000-000000350000}"/>
    <cellStyle name="40% - Accent2 4 2 3 2 2 4 2" xfId="45194" xr:uid="{B7C19017-9BCD-4A4C-AC69-058A1C3D23FF}"/>
    <cellStyle name="40% - Accent2 4 2 3 2 2 5" xfId="29315" xr:uid="{6BD51513-11C9-48D2-A74C-B47E3904F454}"/>
    <cellStyle name="40% - Accent2 4 2 3 2 3" xfId="7216" xr:uid="{00000000-0005-0000-0000-000001350000}"/>
    <cellStyle name="40% - Accent2 4 2 3 2 3 2" xfId="15187" xr:uid="{00000000-0005-0000-0000-000002350000}"/>
    <cellStyle name="40% - Accent2 4 2 3 2 3 2 2" xfId="39029" xr:uid="{76A50237-DC5D-47B4-B990-F933F6B25796}"/>
    <cellStyle name="40% - Accent2 4 2 3 2 3 3" xfId="23134" xr:uid="{00000000-0005-0000-0000-000003350000}"/>
    <cellStyle name="40% - Accent2 4 2 3 2 3 3 2" xfId="46966" xr:uid="{6DAC7FF3-F8A6-4F29-93FA-43484026AE60}"/>
    <cellStyle name="40% - Accent2 4 2 3 2 3 4" xfId="31088" xr:uid="{9ECD2A1B-A983-43CC-B146-E2FF6CF9B4D3}"/>
    <cellStyle name="40% - Accent2 4 2 3 2 4" xfId="11651" xr:uid="{00000000-0005-0000-0000-000004350000}"/>
    <cellStyle name="40% - Accent2 4 2 3 2 4 2" xfId="35500" xr:uid="{24F86864-F630-4DEB-84B2-B444F359D502}"/>
    <cellStyle name="40% - Accent2 4 2 3 2 5" xfId="19606" xr:uid="{00000000-0005-0000-0000-000005350000}"/>
    <cellStyle name="40% - Accent2 4 2 3 2 5 2" xfId="43438" xr:uid="{A2E141B6-1BAB-499A-95AB-120C927BD7C3}"/>
    <cellStyle name="40% - Accent2 4 2 3 2 6" xfId="27558" xr:uid="{0984546E-30AD-4973-9456-E1538BEECF8F}"/>
    <cellStyle name="40% - Accent2 4 2 3 2_Exh G" xfId="2871" xr:uid="{00000000-0005-0000-0000-000006350000}"/>
    <cellStyle name="40% - Accent2 4 2 3 3" xfId="4505" xr:uid="{00000000-0005-0000-0000-000007350000}"/>
    <cellStyle name="40% - Accent2 4 2 3 3 2" xfId="8097" xr:uid="{00000000-0005-0000-0000-000008350000}"/>
    <cellStyle name="40% - Accent2 4 2 3 3 2 2" xfId="16067" xr:uid="{00000000-0005-0000-0000-000009350000}"/>
    <cellStyle name="40% - Accent2 4 2 3 3 2 2 2" xfId="39909" xr:uid="{F563290D-8D17-4D5A-A042-451CB3ABB3F5}"/>
    <cellStyle name="40% - Accent2 4 2 3 3 2 3" xfId="24013" xr:uid="{00000000-0005-0000-0000-00000A350000}"/>
    <cellStyle name="40% - Accent2 4 2 3 3 2 3 2" xfId="47845" xr:uid="{8884309B-9BD9-44D4-AC59-D365DFF52864}"/>
    <cellStyle name="40% - Accent2 4 2 3 3 2 4" xfId="31968" xr:uid="{2D99AC3E-D79D-4C47-A63C-608FE849B9D9}"/>
    <cellStyle name="40% - Accent2 4 2 3 3 3" xfId="12529" xr:uid="{00000000-0005-0000-0000-00000B350000}"/>
    <cellStyle name="40% - Accent2 4 2 3 3 3 2" xfId="36378" xr:uid="{496A9EB2-18B7-4E77-84FB-F10C3D6E08E9}"/>
    <cellStyle name="40% - Accent2 4 2 3 3 4" xfId="20484" xr:uid="{00000000-0005-0000-0000-00000C350000}"/>
    <cellStyle name="40% - Accent2 4 2 3 3 4 2" xfId="44316" xr:uid="{92556BC9-7855-4FE8-9E07-04F71D4E620F}"/>
    <cellStyle name="40% - Accent2 4 2 3 3 5" xfId="28437" xr:uid="{90CA9AC6-03DB-493A-9B1E-7F2EAE4B44E3}"/>
    <cellStyle name="40% - Accent2 4 2 3 4" xfId="6335" xr:uid="{00000000-0005-0000-0000-00000D350000}"/>
    <cellStyle name="40% - Accent2 4 2 3 4 2" xfId="14309" xr:uid="{00000000-0005-0000-0000-00000E350000}"/>
    <cellStyle name="40% - Accent2 4 2 3 4 2 2" xfId="38151" xr:uid="{2F0107FC-B4E7-4B53-A538-80FDAB592D43}"/>
    <cellStyle name="40% - Accent2 4 2 3 4 3" xfId="22256" xr:uid="{00000000-0005-0000-0000-00000F350000}"/>
    <cellStyle name="40% - Accent2 4 2 3 4 3 2" xfId="46088" xr:uid="{F98BFDE0-819D-4E07-8482-763ABEDBD6FD}"/>
    <cellStyle name="40% - Accent2 4 2 3 4 4" xfId="30210" xr:uid="{F732A852-AB72-41C6-BAFC-4F5DEA5C971B}"/>
    <cellStyle name="40% - Accent2 4 2 3 5" xfId="9877" xr:uid="{00000000-0005-0000-0000-000010350000}"/>
    <cellStyle name="40% - Accent2 4 2 3 5 2" xfId="17835" xr:uid="{00000000-0005-0000-0000-000011350000}"/>
    <cellStyle name="40% - Accent2 4 2 3 5 2 2" xfId="41675" xr:uid="{116A256F-CA68-482C-834F-9E345E286F96}"/>
    <cellStyle name="40% - Accent2 4 2 3 5 3" xfId="25779" xr:uid="{00000000-0005-0000-0000-000012350000}"/>
    <cellStyle name="40% - Accent2 4 2 3 5 3 2" xfId="49611" xr:uid="{8AD5A2E5-3F6C-4539-BA3D-A238E0899148}"/>
    <cellStyle name="40% - Accent2 4 2 3 5 4" xfId="33734" xr:uid="{83776F70-2026-40F7-9D25-893DAE07ABC3}"/>
    <cellStyle name="40% - Accent2 4 2 3 6" xfId="10773" xr:uid="{00000000-0005-0000-0000-000013350000}"/>
    <cellStyle name="40% - Accent2 4 2 3 6 2" xfId="34622" xr:uid="{1709FDD4-1493-4324-9C0A-8F4E2546605A}"/>
    <cellStyle name="40% - Accent2 4 2 3 7" xfId="18728" xr:uid="{00000000-0005-0000-0000-000014350000}"/>
    <cellStyle name="40% - Accent2 4 2 3 7 2" xfId="42560" xr:uid="{E3B5B06F-2117-4EDC-83D4-6AEEF4A40283}"/>
    <cellStyle name="40% - Accent2 4 2 3 8" xfId="26680" xr:uid="{4EE09BFE-1C99-4644-A6F1-32B11771DBC5}"/>
    <cellStyle name="40% - Accent2 4 2 3_Exh G" xfId="2870" xr:uid="{00000000-0005-0000-0000-000015350000}"/>
    <cellStyle name="40% - Accent2 4 2 4" xfId="1433" xr:uid="{00000000-0005-0000-0000-000016350000}"/>
    <cellStyle name="40% - Accent2 4 2 4 2" xfId="4960" xr:uid="{00000000-0005-0000-0000-000017350000}"/>
    <cellStyle name="40% - Accent2 4 2 4 2 2" xfId="8551" xr:uid="{00000000-0005-0000-0000-000018350000}"/>
    <cellStyle name="40% - Accent2 4 2 4 2 2 2" xfId="16521" xr:uid="{00000000-0005-0000-0000-000019350000}"/>
    <cellStyle name="40% - Accent2 4 2 4 2 2 2 2" xfId="40363" xr:uid="{544493F0-F0A4-4AA5-8B79-5A72147FF250}"/>
    <cellStyle name="40% - Accent2 4 2 4 2 2 3" xfId="24467" xr:uid="{00000000-0005-0000-0000-00001A350000}"/>
    <cellStyle name="40% - Accent2 4 2 4 2 2 3 2" xfId="48299" xr:uid="{C6772678-AE2D-443A-9D68-3AFF0806AE6E}"/>
    <cellStyle name="40% - Accent2 4 2 4 2 2 4" xfId="32422" xr:uid="{E008F8AC-4435-4525-A8A1-D28D5ADD08E9}"/>
    <cellStyle name="40% - Accent2 4 2 4 2 3" xfId="12983" xr:uid="{00000000-0005-0000-0000-00001B350000}"/>
    <cellStyle name="40% - Accent2 4 2 4 2 3 2" xfId="36832" xr:uid="{9330BF1C-5395-4BAD-9D95-8C3D829D2618}"/>
    <cellStyle name="40% - Accent2 4 2 4 2 4" xfId="20938" xr:uid="{00000000-0005-0000-0000-00001C350000}"/>
    <cellStyle name="40% - Accent2 4 2 4 2 4 2" xfId="44770" xr:uid="{18D59E3C-8F43-4C0E-86BE-A33FBAA3184C}"/>
    <cellStyle name="40% - Accent2 4 2 4 2 5" xfId="28891" xr:uid="{18F4FFEF-1A30-4382-B450-03C9E2403FB1}"/>
    <cellStyle name="40% - Accent2 4 2 4 3" xfId="6792" xr:uid="{00000000-0005-0000-0000-00001D350000}"/>
    <cellStyle name="40% - Accent2 4 2 4 3 2" xfId="14763" xr:uid="{00000000-0005-0000-0000-00001E350000}"/>
    <cellStyle name="40% - Accent2 4 2 4 3 2 2" xfId="38605" xr:uid="{546D9636-A3C7-48EA-BA2B-498354C0D468}"/>
    <cellStyle name="40% - Accent2 4 2 4 3 3" xfId="22710" xr:uid="{00000000-0005-0000-0000-00001F350000}"/>
    <cellStyle name="40% - Accent2 4 2 4 3 3 2" xfId="46542" xr:uid="{9409A940-622A-4AB6-B66D-526A195BF544}"/>
    <cellStyle name="40% - Accent2 4 2 4 3 4" xfId="30664" xr:uid="{6CE9E074-81DA-4AD1-A87A-52AC5E92B8B1}"/>
    <cellStyle name="40% - Accent2 4 2 4 4" xfId="11227" xr:uid="{00000000-0005-0000-0000-000020350000}"/>
    <cellStyle name="40% - Accent2 4 2 4 4 2" xfId="35076" xr:uid="{591D806A-B792-4FB7-8F77-864BAF78A967}"/>
    <cellStyle name="40% - Accent2 4 2 4 5" xfId="19182" xr:uid="{00000000-0005-0000-0000-000021350000}"/>
    <cellStyle name="40% - Accent2 4 2 4 5 2" xfId="43014" xr:uid="{2CB49303-D023-4C6C-8777-DE30162D389F}"/>
    <cellStyle name="40% - Accent2 4 2 4 6" xfId="27134" xr:uid="{13A8838A-1975-4F28-9B7B-F7DCF64C6EA7}"/>
    <cellStyle name="40% - Accent2 4 2 4_Exh G" xfId="2872" xr:uid="{00000000-0005-0000-0000-000022350000}"/>
    <cellStyle name="40% - Accent2 4 2 5" xfId="4081" xr:uid="{00000000-0005-0000-0000-000023350000}"/>
    <cellStyle name="40% - Accent2 4 2 5 2" xfId="7673" xr:uid="{00000000-0005-0000-0000-000024350000}"/>
    <cellStyle name="40% - Accent2 4 2 5 2 2" xfId="15643" xr:uid="{00000000-0005-0000-0000-000025350000}"/>
    <cellStyle name="40% - Accent2 4 2 5 2 2 2" xfId="39485" xr:uid="{FCB9C97A-0D15-4741-88BE-C7720E4E1086}"/>
    <cellStyle name="40% - Accent2 4 2 5 2 3" xfId="23589" xr:uid="{00000000-0005-0000-0000-000026350000}"/>
    <cellStyle name="40% - Accent2 4 2 5 2 3 2" xfId="47421" xr:uid="{EFCBBFBA-B617-4E64-8D46-72D223C5355D}"/>
    <cellStyle name="40% - Accent2 4 2 5 2 4" xfId="31544" xr:uid="{C5EC4E8B-1415-457B-A0D3-A07E3C161244}"/>
    <cellStyle name="40% - Accent2 4 2 5 3" xfId="12105" xr:uid="{00000000-0005-0000-0000-000027350000}"/>
    <cellStyle name="40% - Accent2 4 2 5 3 2" xfId="35954" xr:uid="{DD2EEC99-7418-4126-B166-2A588E8FC747}"/>
    <cellStyle name="40% - Accent2 4 2 5 4" xfId="20060" xr:uid="{00000000-0005-0000-0000-000028350000}"/>
    <cellStyle name="40% - Accent2 4 2 5 4 2" xfId="43892" xr:uid="{427CA061-15C7-4A13-A08E-283AFBBB902A}"/>
    <cellStyle name="40% - Accent2 4 2 5 5" xfId="28013" xr:uid="{E6CD2F38-CE70-4CC8-88F1-302EDD3032E6}"/>
    <cellStyle name="40% - Accent2 4 2 6" xfId="5901" xr:uid="{00000000-0005-0000-0000-000029350000}"/>
    <cellStyle name="40% - Accent2 4 2 6 2" xfId="13884" xr:uid="{00000000-0005-0000-0000-00002A350000}"/>
    <cellStyle name="40% - Accent2 4 2 6 2 2" xfId="37727" xr:uid="{3BAA550E-CB17-480B-8D54-DC5591DFAFC0}"/>
    <cellStyle name="40% - Accent2 4 2 6 3" xfId="21832" xr:uid="{00000000-0005-0000-0000-00002B350000}"/>
    <cellStyle name="40% - Accent2 4 2 6 3 2" xfId="45664" xr:uid="{308DFD8A-5AF9-4016-A581-E76BBFE50693}"/>
    <cellStyle name="40% - Accent2 4 2 6 4" xfId="29786" xr:uid="{E4F57001-A7A9-456A-BB6C-80EEDEEC19DB}"/>
    <cellStyle name="40% - Accent2 4 2 7" xfId="9453" xr:uid="{00000000-0005-0000-0000-00002C350000}"/>
    <cellStyle name="40% - Accent2 4 2 7 2" xfId="17411" xr:uid="{00000000-0005-0000-0000-00002D350000}"/>
    <cellStyle name="40% - Accent2 4 2 7 2 2" xfId="41251" xr:uid="{994E626A-6857-43CC-B750-9CE95F9185B7}"/>
    <cellStyle name="40% - Accent2 4 2 7 3" xfId="25355" xr:uid="{00000000-0005-0000-0000-00002E350000}"/>
    <cellStyle name="40% - Accent2 4 2 7 3 2" xfId="49187" xr:uid="{4D629F0D-7B19-4306-9D58-57AB25DEF524}"/>
    <cellStyle name="40% - Accent2 4 2 7 4" xfId="33310" xr:uid="{70AC69DE-7750-4164-A6F7-90BB34036AC1}"/>
    <cellStyle name="40% - Accent2 4 2 8" xfId="10349" xr:uid="{00000000-0005-0000-0000-00002F350000}"/>
    <cellStyle name="40% - Accent2 4 2 8 2" xfId="34198" xr:uid="{213E98AC-C060-4FF5-818C-965BB8B969C0}"/>
    <cellStyle name="40% - Accent2 4 2 9" xfId="18304" xr:uid="{00000000-0005-0000-0000-000030350000}"/>
    <cellStyle name="40% - Accent2 4 2 9 2" xfId="42136" xr:uid="{6851B9EF-C49B-49CD-AD5A-F3F1B1634E53}"/>
    <cellStyle name="40% - Accent2 4 2_Exh G" xfId="2867" xr:uid="{00000000-0005-0000-0000-000031350000}"/>
    <cellStyle name="40% - Accent2 4 3" xfId="409" xr:uid="{00000000-0005-0000-0000-000032350000}"/>
    <cellStyle name="40% - Accent2 4 3 2" xfId="1435" xr:uid="{00000000-0005-0000-0000-000033350000}"/>
    <cellStyle name="40% - Accent2 4 3 2 2" xfId="4962" xr:uid="{00000000-0005-0000-0000-000034350000}"/>
    <cellStyle name="40% - Accent2 4 3 2 2 2" xfId="8553" xr:uid="{00000000-0005-0000-0000-000035350000}"/>
    <cellStyle name="40% - Accent2 4 3 2 2 2 2" xfId="16523" xr:uid="{00000000-0005-0000-0000-000036350000}"/>
    <cellStyle name="40% - Accent2 4 3 2 2 2 2 2" xfId="40365" xr:uid="{B04BF069-DC4B-4BA6-AD43-7223CDD12319}"/>
    <cellStyle name="40% - Accent2 4 3 2 2 2 3" xfId="24469" xr:uid="{00000000-0005-0000-0000-000037350000}"/>
    <cellStyle name="40% - Accent2 4 3 2 2 2 3 2" xfId="48301" xr:uid="{8D813002-DE00-4BF4-920B-96E4C10CA6FD}"/>
    <cellStyle name="40% - Accent2 4 3 2 2 2 4" xfId="32424" xr:uid="{EB65195B-8EC9-429B-A127-A8002870240A}"/>
    <cellStyle name="40% - Accent2 4 3 2 2 3" xfId="12985" xr:uid="{00000000-0005-0000-0000-000038350000}"/>
    <cellStyle name="40% - Accent2 4 3 2 2 3 2" xfId="36834" xr:uid="{9CC6234E-A200-47ED-BA31-466CC15CDB4E}"/>
    <cellStyle name="40% - Accent2 4 3 2 2 4" xfId="20940" xr:uid="{00000000-0005-0000-0000-000039350000}"/>
    <cellStyle name="40% - Accent2 4 3 2 2 4 2" xfId="44772" xr:uid="{0475B6E0-C489-441B-A028-D4F85ACFB6DF}"/>
    <cellStyle name="40% - Accent2 4 3 2 2 5" xfId="28893" xr:uid="{480031BA-A618-48D8-999A-F981AA00359E}"/>
    <cellStyle name="40% - Accent2 4 3 2 3" xfId="6794" xr:uid="{00000000-0005-0000-0000-00003A350000}"/>
    <cellStyle name="40% - Accent2 4 3 2 3 2" xfId="14765" xr:uid="{00000000-0005-0000-0000-00003B350000}"/>
    <cellStyle name="40% - Accent2 4 3 2 3 2 2" xfId="38607" xr:uid="{84037655-559A-4241-BA45-B4EB72FDF8F5}"/>
    <cellStyle name="40% - Accent2 4 3 2 3 3" xfId="22712" xr:uid="{00000000-0005-0000-0000-00003C350000}"/>
    <cellStyle name="40% - Accent2 4 3 2 3 3 2" xfId="46544" xr:uid="{CB796C6D-E052-4326-A5AA-B280187C29ED}"/>
    <cellStyle name="40% - Accent2 4 3 2 3 4" xfId="30666" xr:uid="{E3DA5E95-B014-4925-BB06-25DFF6881149}"/>
    <cellStyle name="40% - Accent2 4 3 2 4" xfId="11229" xr:uid="{00000000-0005-0000-0000-00003D350000}"/>
    <cellStyle name="40% - Accent2 4 3 2 4 2" xfId="35078" xr:uid="{BD206368-E061-4264-A90B-4CEB03ED0150}"/>
    <cellStyle name="40% - Accent2 4 3 2 5" xfId="19184" xr:uid="{00000000-0005-0000-0000-00003E350000}"/>
    <cellStyle name="40% - Accent2 4 3 2 5 2" xfId="43016" xr:uid="{37EBCD9F-4AE0-44FD-836A-7CF51D20E4B2}"/>
    <cellStyle name="40% - Accent2 4 3 2 6" xfId="27136" xr:uid="{78FDE1AC-24A9-4116-A6CC-F938EA55EDE1}"/>
    <cellStyle name="40% - Accent2 4 3 2_Exh G" xfId="2874" xr:uid="{00000000-0005-0000-0000-00003F350000}"/>
    <cellStyle name="40% - Accent2 4 3 3" xfId="4083" xr:uid="{00000000-0005-0000-0000-000040350000}"/>
    <cellStyle name="40% - Accent2 4 3 3 2" xfId="7675" xr:uid="{00000000-0005-0000-0000-000041350000}"/>
    <cellStyle name="40% - Accent2 4 3 3 2 2" xfId="15645" xr:uid="{00000000-0005-0000-0000-000042350000}"/>
    <cellStyle name="40% - Accent2 4 3 3 2 2 2" xfId="39487" xr:uid="{B10366CD-EB36-43BD-AE51-B58875917084}"/>
    <cellStyle name="40% - Accent2 4 3 3 2 3" xfId="23591" xr:uid="{00000000-0005-0000-0000-000043350000}"/>
    <cellStyle name="40% - Accent2 4 3 3 2 3 2" xfId="47423" xr:uid="{AA38A6B8-A243-4250-B424-50B40CD90F72}"/>
    <cellStyle name="40% - Accent2 4 3 3 2 4" xfId="31546" xr:uid="{D07B59D0-6C81-460C-9C82-567F6FFEF886}"/>
    <cellStyle name="40% - Accent2 4 3 3 3" xfId="12107" xr:uid="{00000000-0005-0000-0000-000044350000}"/>
    <cellStyle name="40% - Accent2 4 3 3 3 2" xfId="35956" xr:uid="{6D6B8882-C0EA-43D1-B9BA-6FBC94C2C581}"/>
    <cellStyle name="40% - Accent2 4 3 3 4" xfId="20062" xr:uid="{00000000-0005-0000-0000-000045350000}"/>
    <cellStyle name="40% - Accent2 4 3 3 4 2" xfId="43894" xr:uid="{8F68AC82-FD1F-41DC-BAEB-8D627C51AE86}"/>
    <cellStyle name="40% - Accent2 4 3 3 5" xfId="28015" xr:uid="{A87B92C5-6DBB-421B-9AC0-182A56B97C72}"/>
    <cellStyle name="40% - Accent2 4 3 4" xfId="5903" xr:uid="{00000000-0005-0000-0000-000046350000}"/>
    <cellStyle name="40% - Accent2 4 3 4 2" xfId="13886" xr:uid="{00000000-0005-0000-0000-000047350000}"/>
    <cellStyle name="40% - Accent2 4 3 4 2 2" xfId="37729" xr:uid="{B580C376-6FA8-4243-9F4A-95EC1EE987EA}"/>
    <cellStyle name="40% - Accent2 4 3 4 3" xfId="21834" xr:uid="{00000000-0005-0000-0000-000048350000}"/>
    <cellStyle name="40% - Accent2 4 3 4 3 2" xfId="45666" xr:uid="{02EECEB2-87A9-449D-8498-87C44F5F8BD6}"/>
    <cellStyle name="40% - Accent2 4 3 4 4" xfId="29788" xr:uid="{5A582DAA-09CB-498F-8889-31437185343F}"/>
    <cellStyle name="40% - Accent2 4 3 5" xfId="9455" xr:uid="{00000000-0005-0000-0000-000049350000}"/>
    <cellStyle name="40% - Accent2 4 3 5 2" xfId="17413" xr:uid="{00000000-0005-0000-0000-00004A350000}"/>
    <cellStyle name="40% - Accent2 4 3 5 2 2" xfId="41253" xr:uid="{B93BABCE-4CB1-45BD-8954-3287E58B17F6}"/>
    <cellStyle name="40% - Accent2 4 3 5 3" xfId="25357" xr:uid="{00000000-0005-0000-0000-00004B350000}"/>
    <cellStyle name="40% - Accent2 4 3 5 3 2" xfId="49189" xr:uid="{2698A047-81ED-42EE-AB1F-990FEDC69F36}"/>
    <cellStyle name="40% - Accent2 4 3 5 4" xfId="33312" xr:uid="{2AC89C15-9FD2-46D4-AE5E-6A5EF8678060}"/>
    <cellStyle name="40% - Accent2 4 3 6" xfId="10351" xr:uid="{00000000-0005-0000-0000-00004C350000}"/>
    <cellStyle name="40% - Accent2 4 3 6 2" xfId="34200" xr:uid="{ABE5EC30-842E-4881-939A-C6BFC82B3CA4}"/>
    <cellStyle name="40% - Accent2 4 3 7" xfId="18306" xr:uid="{00000000-0005-0000-0000-00004D350000}"/>
    <cellStyle name="40% - Accent2 4 3 7 2" xfId="42138" xr:uid="{0CE66F22-4904-4E8E-BE76-E5B08144F3D2}"/>
    <cellStyle name="40% - Accent2 4 3 8" xfId="26258" xr:uid="{FBAF5B9F-EA04-4557-9364-682E6C962A43}"/>
    <cellStyle name="40% - Accent2 4 3_Exh G" xfId="2873" xr:uid="{00000000-0005-0000-0000-00004E350000}"/>
    <cellStyle name="40% - Accent2 4 4" xfId="948" xr:uid="{00000000-0005-0000-0000-00004F350000}"/>
    <cellStyle name="40% - Accent2 4 4 2" xfId="1866" xr:uid="{00000000-0005-0000-0000-000050350000}"/>
    <cellStyle name="40% - Accent2 4 4 2 2" xfId="5383" xr:uid="{00000000-0005-0000-0000-000051350000}"/>
    <cellStyle name="40% - Accent2 4 4 2 2 2" xfId="8974" xr:uid="{00000000-0005-0000-0000-000052350000}"/>
    <cellStyle name="40% - Accent2 4 4 2 2 2 2" xfId="16944" xr:uid="{00000000-0005-0000-0000-000053350000}"/>
    <cellStyle name="40% - Accent2 4 4 2 2 2 2 2" xfId="40786" xr:uid="{242AC0A7-4E44-4A9C-A1EF-41378E425EBC}"/>
    <cellStyle name="40% - Accent2 4 4 2 2 2 3" xfId="24890" xr:uid="{00000000-0005-0000-0000-000054350000}"/>
    <cellStyle name="40% - Accent2 4 4 2 2 2 3 2" xfId="48722" xr:uid="{5D6EFEE4-9470-4D85-89AA-AC3341A6C7F8}"/>
    <cellStyle name="40% - Accent2 4 4 2 2 2 4" xfId="32845" xr:uid="{40F9E5FE-434C-4F44-AFCC-3D3603464362}"/>
    <cellStyle name="40% - Accent2 4 4 2 2 3" xfId="13406" xr:uid="{00000000-0005-0000-0000-000055350000}"/>
    <cellStyle name="40% - Accent2 4 4 2 2 3 2" xfId="37255" xr:uid="{2BA4FF38-41DF-4D7D-B9A5-0B92604CA7F5}"/>
    <cellStyle name="40% - Accent2 4 4 2 2 4" xfId="21361" xr:uid="{00000000-0005-0000-0000-000056350000}"/>
    <cellStyle name="40% - Accent2 4 4 2 2 4 2" xfId="45193" xr:uid="{95CF61FD-220B-483F-B560-3B63FB1C30A5}"/>
    <cellStyle name="40% - Accent2 4 4 2 2 5" xfId="29314" xr:uid="{1DB7AEB1-AAD9-41DB-93B3-D0098DB1A3AD}"/>
    <cellStyle name="40% - Accent2 4 4 2 3" xfId="7215" xr:uid="{00000000-0005-0000-0000-000057350000}"/>
    <cellStyle name="40% - Accent2 4 4 2 3 2" xfId="15186" xr:uid="{00000000-0005-0000-0000-000058350000}"/>
    <cellStyle name="40% - Accent2 4 4 2 3 2 2" xfId="39028" xr:uid="{31B94832-6088-4F47-BB89-E86DB7A606DF}"/>
    <cellStyle name="40% - Accent2 4 4 2 3 3" xfId="23133" xr:uid="{00000000-0005-0000-0000-000059350000}"/>
    <cellStyle name="40% - Accent2 4 4 2 3 3 2" xfId="46965" xr:uid="{A17A4D44-649D-4288-99AD-9A2971FC4F43}"/>
    <cellStyle name="40% - Accent2 4 4 2 3 4" xfId="31087" xr:uid="{AC516E68-06E6-4CBC-A1BA-2BAA1A37549E}"/>
    <cellStyle name="40% - Accent2 4 4 2 4" xfId="11650" xr:uid="{00000000-0005-0000-0000-00005A350000}"/>
    <cellStyle name="40% - Accent2 4 4 2 4 2" xfId="35499" xr:uid="{3792178D-6665-4EC6-A5BB-BD45305EC61D}"/>
    <cellStyle name="40% - Accent2 4 4 2 5" xfId="19605" xr:uid="{00000000-0005-0000-0000-00005B350000}"/>
    <cellStyle name="40% - Accent2 4 4 2 5 2" xfId="43437" xr:uid="{EFE81011-2A09-4EAC-8064-C16B7026EADC}"/>
    <cellStyle name="40% - Accent2 4 4 2 6" xfId="27557" xr:uid="{726C7F65-175A-4F23-A5BE-643B7D644D8B}"/>
    <cellStyle name="40% - Accent2 4 4 2_Exh G" xfId="2876" xr:uid="{00000000-0005-0000-0000-00005C350000}"/>
    <cellStyle name="40% - Accent2 4 4 3" xfId="4504" xr:uid="{00000000-0005-0000-0000-00005D350000}"/>
    <cellStyle name="40% - Accent2 4 4 3 2" xfId="8096" xr:uid="{00000000-0005-0000-0000-00005E350000}"/>
    <cellStyle name="40% - Accent2 4 4 3 2 2" xfId="16066" xr:uid="{00000000-0005-0000-0000-00005F350000}"/>
    <cellStyle name="40% - Accent2 4 4 3 2 2 2" xfId="39908" xr:uid="{C6C0ED9F-E184-4C4E-90CA-4542182EB3CE}"/>
    <cellStyle name="40% - Accent2 4 4 3 2 3" xfId="24012" xr:uid="{00000000-0005-0000-0000-000060350000}"/>
    <cellStyle name="40% - Accent2 4 4 3 2 3 2" xfId="47844" xr:uid="{93BD192C-7AF9-4BE4-A840-1EC751C02F53}"/>
    <cellStyle name="40% - Accent2 4 4 3 2 4" xfId="31967" xr:uid="{4679DFFE-81E6-4EAB-9419-F06E617D59DC}"/>
    <cellStyle name="40% - Accent2 4 4 3 3" xfId="12528" xr:uid="{00000000-0005-0000-0000-000061350000}"/>
    <cellStyle name="40% - Accent2 4 4 3 3 2" xfId="36377" xr:uid="{EF411A62-5AE1-4516-95A1-6F9EF4C9223F}"/>
    <cellStyle name="40% - Accent2 4 4 3 4" xfId="20483" xr:uid="{00000000-0005-0000-0000-000062350000}"/>
    <cellStyle name="40% - Accent2 4 4 3 4 2" xfId="44315" xr:uid="{F3055211-EF55-4F42-8345-E3336EC0C0BD}"/>
    <cellStyle name="40% - Accent2 4 4 3 5" xfId="28436" xr:uid="{EDF17766-7773-4C7B-9C59-4C58DD6FB486}"/>
    <cellStyle name="40% - Accent2 4 4 4" xfId="6334" xr:uid="{00000000-0005-0000-0000-000063350000}"/>
    <cellStyle name="40% - Accent2 4 4 4 2" xfId="14308" xr:uid="{00000000-0005-0000-0000-000064350000}"/>
    <cellStyle name="40% - Accent2 4 4 4 2 2" xfId="38150" xr:uid="{F01A9641-1376-4729-BE5A-2C0E9AD3B163}"/>
    <cellStyle name="40% - Accent2 4 4 4 3" xfId="22255" xr:uid="{00000000-0005-0000-0000-000065350000}"/>
    <cellStyle name="40% - Accent2 4 4 4 3 2" xfId="46087" xr:uid="{9DCE82C3-F1DD-45F9-AEEF-2E9EFC517FFD}"/>
    <cellStyle name="40% - Accent2 4 4 4 4" xfId="30209" xr:uid="{AC398784-4659-4455-AD6D-E1F7C9785467}"/>
    <cellStyle name="40% - Accent2 4 4 5" xfId="9876" xr:uid="{00000000-0005-0000-0000-000066350000}"/>
    <cellStyle name="40% - Accent2 4 4 5 2" xfId="17834" xr:uid="{00000000-0005-0000-0000-000067350000}"/>
    <cellStyle name="40% - Accent2 4 4 5 2 2" xfId="41674" xr:uid="{08887B5B-6E37-4C3F-A731-0183B4596132}"/>
    <cellStyle name="40% - Accent2 4 4 5 3" xfId="25778" xr:uid="{00000000-0005-0000-0000-000068350000}"/>
    <cellStyle name="40% - Accent2 4 4 5 3 2" xfId="49610" xr:uid="{4D026CC1-9B91-41C9-A793-0E74D7D3BD83}"/>
    <cellStyle name="40% - Accent2 4 4 5 4" xfId="33733" xr:uid="{EA8017CF-323E-4B8E-98AC-5611F054A7AA}"/>
    <cellStyle name="40% - Accent2 4 4 6" xfId="10772" xr:uid="{00000000-0005-0000-0000-000069350000}"/>
    <cellStyle name="40% - Accent2 4 4 6 2" xfId="34621" xr:uid="{D69B1679-B744-4612-9C54-17C33953E602}"/>
    <cellStyle name="40% - Accent2 4 4 7" xfId="18727" xr:uid="{00000000-0005-0000-0000-00006A350000}"/>
    <cellStyle name="40% - Accent2 4 4 7 2" xfId="42559" xr:uid="{50A19EE3-D9AD-4126-A6E2-D542828E6346}"/>
    <cellStyle name="40% - Accent2 4 4 8" xfId="26679" xr:uid="{0AE4DF68-43E4-4A2F-B72B-B381D4CB9394}"/>
    <cellStyle name="40% - Accent2 4 4_Exh G" xfId="2875" xr:uid="{00000000-0005-0000-0000-00006B350000}"/>
    <cellStyle name="40% - Accent2 4 5" xfId="1432" xr:uid="{00000000-0005-0000-0000-00006C350000}"/>
    <cellStyle name="40% - Accent2 4 5 2" xfId="4959" xr:uid="{00000000-0005-0000-0000-00006D350000}"/>
    <cellStyle name="40% - Accent2 4 5 2 2" xfId="8550" xr:uid="{00000000-0005-0000-0000-00006E350000}"/>
    <cellStyle name="40% - Accent2 4 5 2 2 2" xfId="16520" xr:uid="{00000000-0005-0000-0000-00006F350000}"/>
    <cellStyle name="40% - Accent2 4 5 2 2 2 2" xfId="40362" xr:uid="{A1B9B540-02B9-44BE-9AC4-F56E539C5D04}"/>
    <cellStyle name="40% - Accent2 4 5 2 2 3" xfId="24466" xr:uid="{00000000-0005-0000-0000-000070350000}"/>
    <cellStyle name="40% - Accent2 4 5 2 2 3 2" xfId="48298" xr:uid="{39487002-30F6-42DE-8BBC-AEC80032B38F}"/>
    <cellStyle name="40% - Accent2 4 5 2 2 4" xfId="32421" xr:uid="{404DEDFC-2EF6-4BC4-BFAC-FFB029BBFCC4}"/>
    <cellStyle name="40% - Accent2 4 5 2 3" xfId="12982" xr:uid="{00000000-0005-0000-0000-000071350000}"/>
    <cellStyle name="40% - Accent2 4 5 2 3 2" xfId="36831" xr:uid="{7AE7099F-18E5-465E-85EE-7DD1A01226AD}"/>
    <cellStyle name="40% - Accent2 4 5 2 4" xfId="20937" xr:uid="{00000000-0005-0000-0000-000072350000}"/>
    <cellStyle name="40% - Accent2 4 5 2 4 2" xfId="44769" xr:uid="{0F72FCF2-6D9A-4CE4-AAFE-02C58A9AD58A}"/>
    <cellStyle name="40% - Accent2 4 5 2 5" xfId="28890" xr:uid="{CDD69E69-578A-4CF5-BA5B-A418D8BC57A9}"/>
    <cellStyle name="40% - Accent2 4 5 3" xfId="6791" xr:uid="{00000000-0005-0000-0000-000073350000}"/>
    <cellStyle name="40% - Accent2 4 5 3 2" xfId="14762" xr:uid="{00000000-0005-0000-0000-000074350000}"/>
    <cellStyle name="40% - Accent2 4 5 3 2 2" xfId="38604" xr:uid="{87B0BD84-EAED-4A6D-B8F0-FBA41126FE0F}"/>
    <cellStyle name="40% - Accent2 4 5 3 3" xfId="22709" xr:uid="{00000000-0005-0000-0000-000075350000}"/>
    <cellStyle name="40% - Accent2 4 5 3 3 2" xfId="46541" xr:uid="{F2839526-6515-4A1E-9E68-A5CA143836F5}"/>
    <cellStyle name="40% - Accent2 4 5 3 4" xfId="30663" xr:uid="{B359A6EA-24DE-452B-ACF6-7B152CD9F1BC}"/>
    <cellStyle name="40% - Accent2 4 5 4" xfId="11226" xr:uid="{00000000-0005-0000-0000-000076350000}"/>
    <cellStyle name="40% - Accent2 4 5 4 2" xfId="35075" xr:uid="{37FAF1B6-767B-4450-9077-2082B7ADC142}"/>
    <cellStyle name="40% - Accent2 4 5 5" xfId="19181" xr:uid="{00000000-0005-0000-0000-000077350000}"/>
    <cellStyle name="40% - Accent2 4 5 5 2" xfId="43013" xr:uid="{0F8A2C73-F58C-4C48-B910-A97DCD694D40}"/>
    <cellStyle name="40% - Accent2 4 5 6" xfId="27133" xr:uid="{FAD3E34B-93B4-4316-9ED6-FDDB5C0D05EA}"/>
    <cellStyle name="40% - Accent2 4 5_Exh G" xfId="2877" xr:uid="{00000000-0005-0000-0000-000078350000}"/>
    <cellStyle name="40% - Accent2 4 6" xfId="4080" xr:uid="{00000000-0005-0000-0000-000079350000}"/>
    <cellStyle name="40% - Accent2 4 6 2" xfId="7672" xr:uid="{00000000-0005-0000-0000-00007A350000}"/>
    <cellStyle name="40% - Accent2 4 6 2 2" xfId="15642" xr:uid="{00000000-0005-0000-0000-00007B350000}"/>
    <cellStyle name="40% - Accent2 4 6 2 2 2" xfId="39484" xr:uid="{11D4EC63-33DA-41AC-81A4-D74E8395860F}"/>
    <cellStyle name="40% - Accent2 4 6 2 3" xfId="23588" xr:uid="{00000000-0005-0000-0000-00007C350000}"/>
    <cellStyle name="40% - Accent2 4 6 2 3 2" xfId="47420" xr:uid="{8B73131A-28FD-48A6-88A0-4761BD687756}"/>
    <cellStyle name="40% - Accent2 4 6 2 4" xfId="31543" xr:uid="{C73230DC-FD62-451D-ADFE-C0891F6EE315}"/>
    <cellStyle name="40% - Accent2 4 6 3" xfId="12104" xr:uid="{00000000-0005-0000-0000-00007D350000}"/>
    <cellStyle name="40% - Accent2 4 6 3 2" xfId="35953" xr:uid="{234CEFDC-43DE-459E-977C-34B74F44E871}"/>
    <cellStyle name="40% - Accent2 4 6 4" xfId="20059" xr:uid="{00000000-0005-0000-0000-00007E350000}"/>
    <cellStyle name="40% - Accent2 4 6 4 2" xfId="43891" xr:uid="{423ABA58-1568-4002-9CBD-C78F1361DBA3}"/>
    <cellStyle name="40% - Accent2 4 6 5" xfId="28012" xr:uid="{C5FDAD61-1514-4194-8C4C-124D012BAC0D}"/>
    <cellStyle name="40% - Accent2 4 7" xfId="5900" xr:uid="{00000000-0005-0000-0000-00007F350000}"/>
    <cellStyle name="40% - Accent2 4 7 2" xfId="13883" xr:uid="{00000000-0005-0000-0000-000080350000}"/>
    <cellStyle name="40% - Accent2 4 7 2 2" xfId="37726" xr:uid="{C316D647-261D-4A2D-8B09-7288B5E55F2B}"/>
    <cellStyle name="40% - Accent2 4 7 3" xfId="21831" xr:uid="{00000000-0005-0000-0000-000081350000}"/>
    <cellStyle name="40% - Accent2 4 7 3 2" xfId="45663" xr:uid="{011428D0-A799-4422-AA9F-A141534AD04F}"/>
    <cellStyle name="40% - Accent2 4 7 4" xfId="29785" xr:uid="{D85E6A15-748C-494B-9B60-44117BAD4417}"/>
    <cellStyle name="40% - Accent2 4 8" xfId="9452" xr:uid="{00000000-0005-0000-0000-000082350000}"/>
    <cellStyle name="40% - Accent2 4 8 2" xfId="17410" xr:uid="{00000000-0005-0000-0000-000083350000}"/>
    <cellStyle name="40% - Accent2 4 8 2 2" xfId="41250" xr:uid="{0A81B682-0676-41CD-989B-292181633B38}"/>
    <cellStyle name="40% - Accent2 4 8 3" xfId="25354" xr:uid="{00000000-0005-0000-0000-000084350000}"/>
    <cellStyle name="40% - Accent2 4 8 3 2" xfId="49186" xr:uid="{D2B2E422-4B61-4CF5-BDCB-75BF2C4AB0E8}"/>
    <cellStyle name="40% - Accent2 4 8 4" xfId="33309" xr:uid="{DFA1333F-3C42-444C-A65E-5C872187DAC2}"/>
    <cellStyle name="40% - Accent2 4 9" xfId="10348" xr:uid="{00000000-0005-0000-0000-000085350000}"/>
    <cellStyle name="40% - Accent2 4 9 2" xfId="34197" xr:uid="{788F91A1-A5D1-4E69-80B9-38C6479ED330}"/>
    <cellStyle name="40% - Accent2 4_Exh G" xfId="2866" xr:uid="{00000000-0005-0000-0000-000086350000}"/>
    <cellStyle name="40% - Accent2 5" xfId="410" xr:uid="{00000000-0005-0000-0000-000087350000}"/>
    <cellStyle name="40% - Accent2 5 10" xfId="18307" xr:uid="{00000000-0005-0000-0000-000088350000}"/>
    <cellStyle name="40% - Accent2 5 10 2" xfId="42139" xr:uid="{0BBF5141-83F1-408A-AA7E-393D16F91831}"/>
    <cellStyle name="40% - Accent2 5 11" xfId="26259" xr:uid="{DDE78923-6C0E-487B-85D3-E4E948F781AF}"/>
    <cellStyle name="40% - Accent2 5 2" xfId="411" xr:uid="{00000000-0005-0000-0000-000089350000}"/>
    <cellStyle name="40% - Accent2 5 2 2" xfId="412" xr:uid="{00000000-0005-0000-0000-00008A350000}"/>
    <cellStyle name="40% - Accent2 5 2 2 2" xfId="1438" xr:uid="{00000000-0005-0000-0000-00008B350000}"/>
    <cellStyle name="40% - Accent2 5 2 2 2 2" xfId="4965" xr:uid="{00000000-0005-0000-0000-00008C350000}"/>
    <cellStyle name="40% - Accent2 5 2 2 2 2 2" xfId="8556" xr:uid="{00000000-0005-0000-0000-00008D350000}"/>
    <cellStyle name="40% - Accent2 5 2 2 2 2 2 2" xfId="16526" xr:uid="{00000000-0005-0000-0000-00008E350000}"/>
    <cellStyle name="40% - Accent2 5 2 2 2 2 2 2 2" xfId="40368" xr:uid="{EC1ADF51-F328-4642-BDCF-6486F316345C}"/>
    <cellStyle name="40% - Accent2 5 2 2 2 2 2 3" xfId="24472" xr:uid="{00000000-0005-0000-0000-00008F350000}"/>
    <cellStyle name="40% - Accent2 5 2 2 2 2 2 3 2" xfId="48304" xr:uid="{C3B31F58-A568-4F00-B303-CA6A2BA74FF2}"/>
    <cellStyle name="40% - Accent2 5 2 2 2 2 2 4" xfId="32427" xr:uid="{9569486F-EB80-48A4-97FD-FBBB9ACEF790}"/>
    <cellStyle name="40% - Accent2 5 2 2 2 2 3" xfId="12988" xr:uid="{00000000-0005-0000-0000-000090350000}"/>
    <cellStyle name="40% - Accent2 5 2 2 2 2 3 2" xfId="36837" xr:uid="{0642220F-63AF-499F-9085-9B8A92A01EC8}"/>
    <cellStyle name="40% - Accent2 5 2 2 2 2 4" xfId="20943" xr:uid="{00000000-0005-0000-0000-000091350000}"/>
    <cellStyle name="40% - Accent2 5 2 2 2 2 4 2" xfId="44775" xr:uid="{960D2F7B-8506-46C9-A35A-01B3D6340C58}"/>
    <cellStyle name="40% - Accent2 5 2 2 2 2 5" xfId="28896" xr:uid="{5CEC4E4C-14FF-4BE6-A10A-B829E26FF660}"/>
    <cellStyle name="40% - Accent2 5 2 2 2 3" xfId="6797" xr:uid="{00000000-0005-0000-0000-000092350000}"/>
    <cellStyle name="40% - Accent2 5 2 2 2 3 2" xfId="14768" xr:uid="{00000000-0005-0000-0000-000093350000}"/>
    <cellStyle name="40% - Accent2 5 2 2 2 3 2 2" xfId="38610" xr:uid="{11FE5F4D-3851-439B-91D9-94825E7B091F}"/>
    <cellStyle name="40% - Accent2 5 2 2 2 3 3" xfId="22715" xr:uid="{00000000-0005-0000-0000-000094350000}"/>
    <cellStyle name="40% - Accent2 5 2 2 2 3 3 2" xfId="46547" xr:uid="{8F17AEA6-3BBD-4057-B9CA-F2C3FFC3CCCA}"/>
    <cellStyle name="40% - Accent2 5 2 2 2 3 4" xfId="30669" xr:uid="{71B12350-909A-43D1-A505-1C8426FA83FD}"/>
    <cellStyle name="40% - Accent2 5 2 2 2 4" xfId="11232" xr:uid="{00000000-0005-0000-0000-000095350000}"/>
    <cellStyle name="40% - Accent2 5 2 2 2 4 2" xfId="35081" xr:uid="{5B217F22-0E97-4214-9508-945F23343F01}"/>
    <cellStyle name="40% - Accent2 5 2 2 2 5" xfId="19187" xr:uid="{00000000-0005-0000-0000-000096350000}"/>
    <cellStyle name="40% - Accent2 5 2 2 2 5 2" xfId="43019" xr:uid="{05BDEEF1-99AB-4784-A8DA-57D15A324DEB}"/>
    <cellStyle name="40% - Accent2 5 2 2 2 6" xfId="27139" xr:uid="{DD6AEDA2-2B7B-4CE0-BD60-50E8BABE2520}"/>
    <cellStyle name="40% - Accent2 5 2 2 2_Exh G" xfId="2881" xr:uid="{00000000-0005-0000-0000-000097350000}"/>
    <cellStyle name="40% - Accent2 5 2 2 3" xfId="4086" xr:uid="{00000000-0005-0000-0000-000098350000}"/>
    <cellStyle name="40% - Accent2 5 2 2 3 2" xfId="7678" xr:uid="{00000000-0005-0000-0000-000099350000}"/>
    <cellStyle name="40% - Accent2 5 2 2 3 2 2" xfId="15648" xr:uid="{00000000-0005-0000-0000-00009A350000}"/>
    <cellStyle name="40% - Accent2 5 2 2 3 2 2 2" xfId="39490" xr:uid="{074C8657-E4B8-4B7E-AE8C-7A4219198F58}"/>
    <cellStyle name="40% - Accent2 5 2 2 3 2 3" xfId="23594" xr:uid="{00000000-0005-0000-0000-00009B350000}"/>
    <cellStyle name="40% - Accent2 5 2 2 3 2 3 2" xfId="47426" xr:uid="{A54FD08D-3117-4DD4-8F4E-03C89522173A}"/>
    <cellStyle name="40% - Accent2 5 2 2 3 2 4" xfId="31549" xr:uid="{C0BC8981-30C1-4EAB-A743-740252FCD24D}"/>
    <cellStyle name="40% - Accent2 5 2 2 3 3" xfId="12110" xr:uid="{00000000-0005-0000-0000-00009C350000}"/>
    <cellStyle name="40% - Accent2 5 2 2 3 3 2" xfId="35959" xr:uid="{4CC639B4-7370-4D3C-A517-99ABE72F5D34}"/>
    <cellStyle name="40% - Accent2 5 2 2 3 4" xfId="20065" xr:uid="{00000000-0005-0000-0000-00009D350000}"/>
    <cellStyle name="40% - Accent2 5 2 2 3 4 2" xfId="43897" xr:uid="{7254C6EC-87F0-4646-96CB-95A65989F77D}"/>
    <cellStyle name="40% - Accent2 5 2 2 3 5" xfId="28018" xr:uid="{130751AC-38C9-4705-9197-9E8827D4B03A}"/>
    <cellStyle name="40% - Accent2 5 2 2 4" xfId="5906" xr:uid="{00000000-0005-0000-0000-00009E350000}"/>
    <cellStyle name="40% - Accent2 5 2 2 4 2" xfId="13889" xr:uid="{00000000-0005-0000-0000-00009F350000}"/>
    <cellStyle name="40% - Accent2 5 2 2 4 2 2" xfId="37732" xr:uid="{85775F95-C719-45C1-8BFB-A095AE66C350}"/>
    <cellStyle name="40% - Accent2 5 2 2 4 3" xfId="21837" xr:uid="{00000000-0005-0000-0000-0000A0350000}"/>
    <cellStyle name="40% - Accent2 5 2 2 4 3 2" xfId="45669" xr:uid="{A4A3B39E-7D5E-4CC6-B4FC-E7D1512556CB}"/>
    <cellStyle name="40% - Accent2 5 2 2 4 4" xfId="29791" xr:uid="{C177F8AA-8A9D-4FC9-95AD-435B1CAC551B}"/>
    <cellStyle name="40% - Accent2 5 2 2 5" xfId="9458" xr:uid="{00000000-0005-0000-0000-0000A1350000}"/>
    <cellStyle name="40% - Accent2 5 2 2 5 2" xfId="17416" xr:uid="{00000000-0005-0000-0000-0000A2350000}"/>
    <cellStyle name="40% - Accent2 5 2 2 5 2 2" xfId="41256" xr:uid="{31E34538-8933-4102-9F15-CBCE8A589FAC}"/>
    <cellStyle name="40% - Accent2 5 2 2 5 3" xfId="25360" xr:uid="{00000000-0005-0000-0000-0000A3350000}"/>
    <cellStyle name="40% - Accent2 5 2 2 5 3 2" xfId="49192" xr:uid="{DD128740-DF92-4932-8159-F3876F4EF093}"/>
    <cellStyle name="40% - Accent2 5 2 2 5 4" xfId="33315" xr:uid="{A0595582-6843-4AB2-9A31-82E3CDCCF552}"/>
    <cellStyle name="40% - Accent2 5 2 2 6" xfId="10354" xr:uid="{00000000-0005-0000-0000-0000A4350000}"/>
    <cellStyle name="40% - Accent2 5 2 2 6 2" xfId="34203" xr:uid="{FF1E1845-E1C0-4B26-AA54-2687ED52B49A}"/>
    <cellStyle name="40% - Accent2 5 2 2 7" xfId="18309" xr:uid="{00000000-0005-0000-0000-0000A5350000}"/>
    <cellStyle name="40% - Accent2 5 2 2 7 2" xfId="42141" xr:uid="{8AC0B318-E8C8-471F-BC8E-299A13F4789D}"/>
    <cellStyle name="40% - Accent2 5 2 2 8" xfId="26261" xr:uid="{2123E4E6-E881-4A61-9C4B-A02015D7E299}"/>
    <cellStyle name="40% - Accent2 5 2 2_Exh G" xfId="2880" xr:uid="{00000000-0005-0000-0000-0000A6350000}"/>
    <cellStyle name="40% - Accent2 5 2 3" xfId="1437" xr:uid="{00000000-0005-0000-0000-0000A7350000}"/>
    <cellStyle name="40% - Accent2 5 2 3 2" xfId="4964" xr:uid="{00000000-0005-0000-0000-0000A8350000}"/>
    <cellStyle name="40% - Accent2 5 2 3 2 2" xfId="8555" xr:uid="{00000000-0005-0000-0000-0000A9350000}"/>
    <cellStyle name="40% - Accent2 5 2 3 2 2 2" xfId="16525" xr:uid="{00000000-0005-0000-0000-0000AA350000}"/>
    <cellStyle name="40% - Accent2 5 2 3 2 2 2 2" xfId="40367" xr:uid="{9441B270-431B-4163-BD83-33D31DE2EC73}"/>
    <cellStyle name="40% - Accent2 5 2 3 2 2 3" xfId="24471" xr:uid="{00000000-0005-0000-0000-0000AB350000}"/>
    <cellStyle name="40% - Accent2 5 2 3 2 2 3 2" xfId="48303" xr:uid="{539C0098-5C7A-4ED1-B535-28843F1D4090}"/>
    <cellStyle name="40% - Accent2 5 2 3 2 2 4" xfId="32426" xr:uid="{310F2065-C5DC-4E88-B293-93CABA97ADBF}"/>
    <cellStyle name="40% - Accent2 5 2 3 2 3" xfId="12987" xr:uid="{00000000-0005-0000-0000-0000AC350000}"/>
    <cellStyle name="40% - Accent2 5 2 3 2 3 2" xfId="36836" xr:uid="{DDFB6CDD-AF4B-4516-91B2-BB2FAAC296CE}"/>
    <cellStyle name="40% - Accent2 5 2 3 2 4" xfId="20942" xr:uid="{00000000-0005-0000-0000-0000AD350000}"/>
    <cellStyle name="40% - Accent2 5 2 3 2 4 2" xfId="44774" xr:uid="{CC53B726-B2D9-416D-95C6-3E2083B25042}"/>
    <cellStyle name="40% - Accent2 5 2 3 2 5" xfId="28895" xr:uid="{11719406-5980-4A4C-9BBE-84539E76B328}"/>
    <cellStyle name="40% - Accent2 5 2 3 3" xfId="6796" xr:uid="{00000000-0005-0000-0000-0000AE350000}"/>
    <cellStyle name="40% - Accent2 5 2 3 3 2" xfId="14767" xr:uid="{00000000-0005-0000-0000-0000AF350000}"/>
    <cellStyle name="40% - Accent2 5 2 3 3 2 2" xfId="38609" xr:uid="{40A6D612-6BD7-455C-9696-9A73EF86F078}"/>
    <cellStyle name="40% - Accent2 5 2 3 3 3" xfId="22714" xr:uid="{00000000-0005-0000-0000-0000B0350000}"/>
    <cellStyle name="40% - Accent2 5 2 3 3 3 2" xfId="46546" xr:uid="{1FB47CE4-3E89-4D6D-B6FA-6B9938C721CD}"/>
    <cellStyle name="40% - Accent2 5 2 3 3 4" xfId="30668" xr:uid="{80091409-F61C-424A-9DE1-6DA1F567BAF3}"/>
    <cellStyle name="40% - Accent2 5 2 3 4" xfId="11231" xr:uid="{00000000-0005-0000-0000-0000B1350000}"/>
    <cellStyle name="40% - Accent2 5 2 3 4 2" xfId="35080" xr:uid="{0BAF9104-FED1-4252-9217-CF3D44E91F90}"/>
    <cellStyle name="40% - Accent2 5 2 3 5" xfId="19186" xr:uid="{00000000-0005-0000-0000-0000B2350000}"/>
    <cellStyle name="40% - Accent2 5 2 3 5 2" xfId="43018" xr:uid="{D4E8E2DB-9376-4990-9CCB-77AD66096845}"/>
    <cellStyle name="40% - Accent2 5 2 3 6" xfId="27138" xr:uid="{1E9D092B-33B9-4F1E-8138-2818CD0BD21A}"/>
    <cellStyle name="40% - Accent2 5 2 3_Exh G" xfId="2882" xr:uid="{00000000-0005-0000-0000-0000B3350000}"/>
    <cellStyle name="40% - Accent2 5 2 4" xfId="4085" xr:uid="{00000000-0005-0000-0000-0000B4350000}"/>
    <cellStyle name="40% - Accent2 5 2 4 2" xfId="7677" xr:uid="{00000000-0005-0000-0000-0000B5350000}"/>
    <cellStyle name="40% - Accent2 5 2 4 2 2" xfId="15647" xr:uid="{00000000-0005-0000-0000-0000B6350000}"/>
    <cellStyle name="40% - Accent2 5 2 4 2 2 2" xfId="39489" xr:uid="{9568F6EC-2F3B-4740-8509-37836764DE74}"/>
    <cellStyle name="40% - Accent2 5 2 4 2 3" xfId="23593" xr:uid="{00000000-0005-0000-0000-0000B7350000}"/>
    <cellStyle name="40% - Accent2 5 2 4 2 3 2" xfId="47425" xr:uid="{7C170114-B32A-4372-BA0F-73E3822ED149}"/>
    <cellStyle name="40% - Accent2 5 2 4 2 4" xfId="31548" xr:uid="{1297FA96-8510-435C-AA9B-8CEDFBF8915D}"/>
    <cellStyle name="40% - Accent2 5 2 4 3" xfId="12109" xr:uid="{00000000-0005-0000-0000-0000B8350000}"/>
    <cellStyle name="40% - Accent2 5 2 4 3 2" xfId="35958" xr:uid="{4873DBD8-E1D4-4EDF-9E45-DB15FCCB2FEF}"/>
    <cellStyle name="40% - Accent2 5 2 4 4" xfId="20064" xr:uid="{00000000-0005-0000-0000-0000B9350000}"/>
    <cellStyle name="40% - Accent2 5 2 4 4 2" xfId="43896" xr:uid="{2B906D67-34E5-40A4-A3D0-B8180693FBDB}"/>
    <cellStyle name="40% - Accent2 5 2 4 5" xfId="28017" xr:uid="{01161FBA-46E0-4FEE-AC3B-18BA927EE406}"/>
    <cellStyle name="40% - Accent2 5 2 5" xfId="5905" xr:uid="{00000000-0005-0000-0000-0000BA350000}"/>
    <cellStyle name="40% - Accent2 5 2 5 2" xfId="13888" xr:uid="{00000000-0005-0000-0000-0000BB350000}"/>
    <cellStyle name="40% - Accent2 5 2 5 2 2" xfId="37731" xr:uid="{BE7F5693-3FF5-419E-A2D9-6D7816928158}"/>
    <cellStyle name="40% - Accent2 5 2 5 3" xfId="21836" xr:uid="{00000000-0005-0000-0000-0000BC350000}"/>
    <cellStyle name="40% - Accent2 5 2 5 3 2" xfId="45668" xr:uid="{2903A151-DDD2-4B7A-9011-066F758F37B6}"/>
    <cellStyle name="40% - Accent2 5 2 5 4" xfId="29790" xr:uid="{C8D77EBD-B06D-406A-9601-49299F878889}"/>
    <cellStyle name="40% - Accent2 5 2 6" xfId="9457" xr:uid="{00000000-0005-0000-0000-0000BD350000}"/>
    <cellStyle name="40% - Accent2 5 2 6 2" xfId="17415" xr:uid="{00000000-0005-0000-0000-0000BE350000}"/>
    <cellStyle name="40% - Accent2 5 2 6 2 2" xfId="41255" xr:uid="{933B407C-CD94-4AA8-BF73-A59659132C06}"/>
    <cellStyle name="40% - Accent2 5 2 6 3" xfId="25359" xr:uid="{00000000-0005-0000-0000-0000BF350000}"/>
    <cellStyle name="40% - Accent2 5 2 6 3 2" xfId="49191" xr:uid="{A5DD2474-6920-437A-B632-F0ECECF8309B}"/>
    <cellStyle name="40% - Accent2 5 2 6 4" xfId="33314" xr:uid="{5BD7A202-5F5E-40E7-8D33-859C5E22EF05}"/>
    <cellStyle name="40% - Accent2 5 2 7" xfId="10353" xr:uid="{00000000-0005-0000-0000-0000C0350000}"/>
    <cellStyle name="40% - Accent2 5 2 7 2" xfId="34202" xr:uid="{5D3B280D-D467-4487-AE6A-6BA370055E93}"/>
    <cellStyle name="40% - Accent2 5 2 8" xfId="18308" xr:uid="{00000000-0005-0000-0000-0000C1350000}"/>
    <cellStyle name="40% - Accent2 5 2 8 2" xfId="42140" xr:uid="{AC228C75-4061-4881-95B1-10B6C3BF2454}"/>
    <cellStyle name="40% - Accent2 5 2 9" xfId="26260" xr:uid="{E6977AC3-8818-4534-8C5A-413F5EB17814}"/>
    <cellStyle name="40% - Accent2 5 2_Exh G" xfId="2879" xr:uid="{00000000-0005-0000-0000-0000C2350000}"/>
    <cellStyle name="40% - Accent2 5 3" xfId="413" xr:uid="{00000000-0005-0000-0000-0000C3350000}"/>
    <cellStyle name="40% - Accent2 5 3 2" xfId="1439" xr:uid="{00000000-0005-0000-0000-0000C4350000}"/>
    <cellStyle name="40% - Accent2 5 3 2 2" xfId="4966" xr:uid="{00000000-0005-0000-0000-0000C5350000}"/>
    <cellStyle name="40% - Accent2 5 3 2 2 2" xfId="8557" xr:uid="{00000000-0005-0000-0000-0000C6350000}"/>
    <cellStyle name="40% - Accent2 5 3 2 2 2 2" xfId="16527" xr:uid="{00000000-0005-0000-0000-0000C7350000}"/>
    <cellStyle name="40% - Accent2 5 3 2 2 2 2 2" xfId="40369" xr:uid="{1862434E-F517-4B34-8403-038A38905278}"/>
    <cellStyle name="40% - Accent2 5 3 2 2 2 3" xfId="24473" xr:uid="{00000000-0005-0000-0000-0000C8350000}"/>
    <cellStyle name="40% - Accent2 5 3 2 2 2 3 2" xfId="48305" xr:uid="{2CF921A9-536D-4E81-AA86-EBEBBE410A7C}"/>
    <cellStyle name="40% - Accent2 5 3 2 2 2 4" xfId="32428" xr:uid="{974EB611-B3D5-44FA-B35B-7C4F9117B787}"/>
    <cellStyle name="40% - Accent2 5 3 2 2 3" xfId="12989" xr:uid="{00000000-0005-0000-0000-0000C9350000}"/>
    <cellStyle name="40% - Accent2 5 3 2 2 3 2" xfId="36838" xr:uid="{D8C409DC-7AA2-43B3-9115-61103287110D}"/>
    <cellStyle name="40% - Accent2 5 3 2 2 4" xfId="20944" xr:uid="{00000000-0005-0000-0000-0000CA350000}"/>
    <cellStyle name="40% - Accent2 5 3 2 2 4 2" xfId="44776" xr:uid="{9D7C8E04-CAD1-45CD-8EB6-7BADF1557A49}"/>
    <cellStyle name="40% - Accent2 5 3 2 2 5" xfId="28897" xr:uid="{4AE655B2-C15E-4B39-AEA7-85DFA73A95A8}"/>
    <cellStyle name="40% - Accent2 5 3 2 3" xfId="6798" xr:uid="{00000000-0005-0000-0000-0000CB350000}"/>
    <cellStyle name="40% - Accent2 5 3 2 3 2" xfId="14769" xr:uid="{00000000-0005-0000-0000-0000CC350000}"/>
    <cellStyle name="40% - Accent2 5 3 2 3 2 2" xfId="38611" xr:uid="{3E94958D-AA28-4D9C-AEE4-193A6DC5737C}"/>
    <cellStyle name="40% - Accent2 5 3 2 3 3" xfId="22716" xr:uid="{00000000-0005-0000-0000-0000CD350000}"/>
    <cellStyle name="40% - Accent2 5 3 2 3 3 2" xfId="46548" xr:uid="{7322220A-E83C-490B-8525-87315F633E3F}"/>
    <cellStyle name="40% - Accent2 5 3 2 3 4" xfId="30670" xr:uid="{741BF4BC-42A5-45F1-813C-A18FC51EEEE6}"/>
    <cellStyle name="40% - Accent2 5 3 2 4" xfId="11233" xr:uid="{00000000-0005-0000-0000-0000CE350000}"/>
    <cellStyle name="40% - Accent2 5 3 2 4 2" xfId="35082" xr:uid="{7AF22F5F-88EE-4219-AC29-F3D6A7A7E80D}"/>
    <cellStyle name="40% - Accent2 5 3 2 5" xfId="19188" xr:uid="{00000000-0005-0000-0000-0000CF350000}"/>
    <cellStyle name="40% - Accent2 5 3 2 5 2" xfId="43020" xr:uid="{62285E60-3098-4AB8-B516-61FD50A1F81F}"/>
    <cellStyle name="40% - Accent2 5 3 2 6" xfId="27140" xr:uid="{E44E4F5E-FC67-4C57-B070-9D2B6F61846F}"/>
    <cellStyle name="40% - Accent2 5 3 2_Exh G" xfId="2884" xr:uid="{00000000-0005-0000-0000-0000D0350000}"/>
    <cellStyle name="40% - Accent2 5 3 3" xfId="4087" xr:uid="{00000000-0005-0000-0000-0000D1350000}"/>
    <cellStyle name="40% - Accent2 5 3 3 2" xfId="7679" xr:uid="{00000000-0005-0000-0000-0000D2350000}"/>
    <cellStyle name="40% - Accent2 5 3 3 2 2" xfId="15649" xr:uid="{00000000-0005-0000-0000-0000D3350000}"/>
    <cellStyle name="40% - Accent2 5 3 3 2 2 2" xfId="39491" xr:uid="{D22CC09C-AF6A-4131-A12B-C584F5097022}"/>
    <cellStyle name="40% - Accent2 5 3 3 2 3" xfId="23595" xr:uid="{00000000-0005-0000-0000-0000D4350000}"/>
    <cellStyle name="40% - Accent2 5 3 3 2 3 2" xfId="47427" xr:uid="{1353F690-B9B8-4284-9A1A-AC69D8B526DF}"/>
    <cellStyle name="40% - Accent2 5 3 3 2 4" xfId="31550" xr:uid="{C68841F6-E4C9-4979-B948-7C9B599F63B1}"/>
    <cellStyle name="40% - Accent2 5 3 3 3" xfId="12111" xr:uid="{00000000-0005-0000-0000-0000D5350000}"/>
    <cellStyle name="40% - Accent2 5 3 3 3 2" xfId="35960" xr:uid="{94828A8C-1960-45D2-B640-C2077EB2EB2B}"/>
    <cellStyle name="40% - Accent2 5 3 3 4" xfId="20066" xr:uid="{00000000-0005-0000-0000-0000D6350000}"/>
    <cellStyle name="40% - Accent2 5 3 3 4 2" xfId="43898" xr:uid="{9DD88BED-F588-47CD-8385-8BC340581CD7}"/>
    <cellStyle name="40% - Accent2 5 3 3 5" xfId="28019" xr:uid="{745AA701-C7B5-4E39-96DB-2B4313890676}"/>
    <cellStyle name="40% - Accent2 5 3 4" xfId="5907" xr:uid="{00000000-0005-0000-0000-0000D7350000}"/>
    <cellStyle name="40% - Accent2 5 3 4 2" xfId="13890" xr:uid="{00000000-0005-0000-0000-0000D8350000}"/>
    <cellStyle name="40% - Accent2 5 3 4 2 2" xfId="37733" xr:uid="{1C9D9E61-C2F4-46FE-8BE4-291DBEB03125}"/>
    <cellStyle name="40% - Accent2 5 3 4 3" xfId="21838" xr:uid="{00000000-0005-0000-0000-0000D9350000}"/>
    <cellStyle name="40% - Accent2 5 3 4 3 2" xfId="45670" xr:uid="{8C6F01F5-764E-4890-BFC6-17DD2D94F981}"/>
    <cellStyle name="40% - Accent2 5 3 4 4" xfId="29792" xr:uid="{7B313EE1-D131-4F1E-8830-96B6BFC65D2E}"/>
    <cellStyle name="40% - Accent2 5 3 5" xfId="9459" xr:uid="{00000000-0005-0000-0000-0000DA350000}"/>
    <cellStyle name="40% - Accent2 5 3 5 2" xfId="17417" xr:uid="{00000000-0005-0000-0000-0000DB350000}"/>
    <cellStyle name="40% - Accent2 5 3 5 2 2" xfId="41257" xr:uid="{0A5CA459-A555-4DD1-8EBC-B5F92A0703AC}"/>
    <cellStyle name="40% - Accent2 5 3 5 3" xfId="25361" xr:uid="{00000000-0005-0000-0000-0000DC350000}"/>
    <cellStyle name="40% - Accent2 5 3 5 3 2" xfId="49193" xr:uid="{729CF9A6-2156-4E34-BCF4-51D7D93022FB}"/>
    <cellStyle name="40% - Accent2 5 3 5 4" xfId="33316" xr:uid="{2FAF0800-0BBF-4043-806E-68D39E4EBFD9}"/>
    <cellStyle name="40% - Accent2 5 3 6" xfId="10355" xr:uid="{00000000-0005-0000-0000-0000DD350000}"/>
    <cellStyle name="40% - Accent2 5 3 6 2" xfId="34204" xr:uid="{1B30DC21-2979-4EB8-AA2F-F6FFAD992413}"/>
    <cellStyle name="40% - Accent2 5 3 7" xfId="18310" xr:uid="{00000000-0005-0000-0000-0000DE350000}"/>
    <cellStyle name="40% - Accent2 5 3 7 2" xfId="42142" xr:uid="{1C196BC3-EB49-4691-B9AB-38522C31D2FB}"/>
    <cellStyle name="40% - Accent2 5 3 8" xfId="26262" xr:uid="{B6BADC5C-FEC2-415E-830F-583603C97A6B}"/>
    <cellStyle name="40% - Accent2 5 3_Exh G" xfId="2883" xr:uid="{00000000-0005-0000-0000-0000DF350000}"/>
    <cellStyle name="40% - Accent2 5 4" xfId="950" xr:uid="{00000000-0005-0000-0000-0000E0350000}"/>
    <cellStyle name="40% - Accent2 5 5" xfId="1436" xr:uid="{00000000-0005-0000-0000-0000E1350000}"/>
    <cellStyle name="40% - Accent2 5 5 2" xfId="4963" xr:uid="{00000000-0005-0000-0000-0000E2350000}"/>
    <cellStyle name="40% - Accent2 5 5 2 2" xfId="8554" xr:uid="{00000000-0005-0000-0000-0000E3350000}"/>
    <cellStyle name="40% - Accent2 5 5 2 2 2" xfId="16524" xr:uid="{00000000-0005-0000-0000-0000E4350000}"/>
    <cellStyle name="40% - Accent2 5 5 2 2 2 2" xfId="40366" xr:uid="{67D4A7D7-9212-46D4-993D-5393946172EA}"/>
    <cellStyle name="40% - Accent2 5 5 2 2 3" xfId="24470" xr:uid="{00000000-0005-0000-0000-0000E5350000}"/>
    <cellStyle name="40% - Accent2 5 5 2 2 3 2" xfId="48302" xr:uid="{01D0BFA9-C462-4E43-A900-C4E425A0F4E4}"/>
    <cellStyle name="40% - Accent2 5 5 2 2 4" xfId="32425" xr:uid="{6787A473-CC03-4B75-8F7E-4B3BAEC5A7BF}"/>
    <cellStyle name="40% - Accent2 5 5 2 3" xfId="12986" xr:uid="{00000000-0005-0000-0000-0000E6350000}"/>
    <cellStyle name="40% - Accent2 5 5 2 3 2" xfId="36835" xr:uid="{486517C9-359A-4EEE-AF57-7473676D6B22}"/>
    <cellStyle name="40% - Accent2 5 5 2 4" xfId="20941" xr:uid="{00000000-0005-0000-0000-0000E7350000}"/>
    <cellStyle name="40% - Accent2 5 5 2 4 2" xfId="44773" xr:uid="{269B029D-5F25-4AF0-87DC-FED3B6566873}"/>
    <cellStyle name="40% - Accent2 5 5 2 5" xfId="28894" xr:uid="{F7688CFD-6353-4A7C-B923-95E08A7CF69A}"/>
    <cellStyle name="40% - Accent2 5 5 3" xfId="6795" xr:uid="{00000000-0005-0000-0000-0000E8350000}"/>
    <cellStyle name="40% - Accent2 5 5 3 2" xfId="14766" xr:uid="{00000000-0005-0000-0000-0000E9350000}"/>
    <cellStyle name="40% - Accent2 5 5 3 2 2" xfId="38608" xr:uid="{1BDB80A2-8975-4F28-8BC1-B33CE806DE4C}"/>
    <cellStyle name="40% - Accent2 5 5 3 3" xfId="22713" xr:uid="{00000000-0005-0000-0000-0000EA350000}"/>
    <cellStyle name="40% - Accent2 5 5 3 3 2" xfId="46545" xr:uid="{36A46823-9D18-4EB5-89C3-4CCE2ACC3FF7}"/>
    <cellStyle name="40% - Accent2 5 5 3 4" xfId="30667" xr:uid="{9BBD6247-4E08-4DC1-9686-2D5F77A04A51}"/>
    <cellStyle name="40% - Accent2 5 5 4" xfId="11230" xr:uid="{00000000-0005-0000-0000-0000EB350000}"/>
    <cellStyle name="40% - Accent2 5 5 4 2" xfId="35079" xr:uid="{6BC62F98-20C4-4F74-9C85-7A4047971852}"/>
    <cellStyle name="40% - Accent2 5 5 5" xfId="19185" xr:uid="{00000000-0005-0000-0000-0000EC350000}"/>
    <cellStyle name="40% - Accent2 5 5 5 2" xfId="43017" xr:uid="{8AF791AD-A665-4CF4-9321-BEC1CC6D9062}"/>
    <cellStyle name="40% - Accent2 5 5 6" xfId="27137" xr:uid="{B373BF8A-7D41-424B-AE0C-1E6C059B219A}"/>
    <cellStyle name="40% - Accent2 5 5_Exh G" xfId="2885" xr:uid="{00000000-0005-0000-0000-0000ED350000}"/>
    <cellStyle name="40% - Accent2 5 6" xfId="4084" xr:uid="{00000000-0005-0000-0000-0000EE350000}"/>
    <cellStyle name="40% - Accent2 5 6 2" xfId="7676" xr:uid="{00000000-0005-0000-0000-0000EF350000}"/>
    <cellStyle name="40% - Accent2 5 6 2 2" xfId="15646" xr:uid="{00000000-0005-0000-0000-0000F0350000}"/>
    <cellStyle name="40% - Accent2 5 6 2 2 2" xfId="39488" xr:uid="{3CE37FE7-4E4E-4519-BFD3-0D639D4EADD8}"/>
    <cellStyle name="40% - Accent2 5 6 2 3" xfId="23592" xr:uid="{00000000-0005-0000-0000-0000F1350000}"/>
    <cellStyle name="40% - Accent2 5 6 2 3 2" xfId="47424" xr:uid="{5D6A11B2-FEBD-496F-92AF-E2A2AC1FD036}"/>
    <cellStyle name="40% - Accent2 5 6 2 4" xfId="31547" xr:uid="{D42FA128-8DDD-4EC5-9A21-D7395DB337C3}"/>
    <cellStyle name="40% - Accent2 5 6 3" xfId="12108" xr:uid="{00000000-0005-0000-0000-0000F2350000}"/>
    <cellStyle name="40% - Accent2 5 6 3 2" xfId="35957" xr:uid="{4FB7BEFC-B297-454D-BEA0-F07B78DA2F31}"/>
    <cellStyle name="40% - Accent2 5 6 4" xfId="20063" xr:uid="{00000000-0005-0000-0000-0000F3350000}"/>
    <cellStyle name="40% - Accent2 5 6 4 2" xfId="43895" xr:uid="{0A0CDA66-6193-4422-9559-5294E957408B}"/>
    <cellStyle name="40% - Accent2 5 6 5" xfId="28016" xr:uid="{5F251950-0ADC-4C2E-89A3-5995A7E859F1}"/>
    <cellStyle name="40% - Accent2 5 7" xfId="5904" xr:uid="{00000000-0005-0000-0000-0000F4350000}"/>
    <cellStyle name="40% - Accent2 5 7 2" xfId="13887" xr:uid="{00000000-0005-0000-0000-0000F5350000}"/>
    <cellStyle name="40% - Accent2 5 7 2 2" xfId="37730" xr:uid="{528C675D-4F2D-4671-9BA2-2D42BAFEC445}"/>
    <cellStyle name="40% - Accent2 5 7 3" xfId="21835" xr:uid="{00000000-0005-0000-0000-0000F6350000}"/>
    <cellStyle name="40% - Accent2 5 7 3 2" xfId="45667" xr:uid="{C269208E-2BC9-4D29-A96E-356BB7662701}"/>
    <cellStyle name="40% - Accent2 5 7 4" xfId="29789" xr:uid="{D7251E87-FF89-46C9-9B2A-8BB0EE6F3637}"/>
    <cellStyle name="40% - Accent2 5 8" xfId="9456" xr:uid="{00000000-0005-0000-0000-0000F7350000}"/>
    <cellStyle name="40% - Accent2 5 8 2" xfId="17414" xr:uid="{00000000-0005-0000-0000-0000F8350000}"/>
    <cellStyle name="40% - Accent2 5 8 2 2" xfId="41254" xr:uid="{F61BB934-33F7-42BC-B537-67DEFCB7A4E7}"/>
    <cellStyle name="40% - Accent2 5 8 3" xfId="25358" xr:uid="{00000000-0005-0000-0000-0000F9350000}"/>
    <cellStyle name="40% - Accent2 5 8 3 2" xfId="49190" xr:uid="{13B59B0E-7518-4588-8A09-EC5AC8660409}"/>
    <cellStyle name="40% - Accent2 5 8 4" xfId="33313" xr:uid="{878D0418-F0A1-4D2D-BD33-5C07F3FCE6E4}"/>
    <cellStyle name="40% - Accent2 5 9" xfId="10352" xr:uid="{00000000-0005-0000-0000-0000FA350000}"/>
    <cellStyle name="40% - Accent2 5 9 2" xfId="34201" xr:uid="{9AEB0684-549C-4209-AC9C-017A7C5273B8}"/>
    <cellStyle name="40% - Accent2 5_Exh G" xfId="2878" xr:uid="{00000000-0005-0000-0000-0000FB350000}"/>
    <cellStyle name="40% - Accent2 6" xfId="414" xr:uid="{00000000-0005-0000-0000-0000FC350000}"/>
    <cellStyle name="40% - Accent2 6 10" xfId="18311" xr:uid="{00000000-0005-0000-0000-0000FD350000}"/>
    <cellStyle name="40% - Accent2 6 10 2" xfId="42143" xr:uid="{1C8B2E8D-BC58-4A6F-A41D-2FD43CEE9577}"/>
    <cellStyle name="40% - Accent2 6 11" xfId="26263" xr:uid="{F859D9F4-A5CE-4974-8FEE-D3CC7298EDB3}"/>
    <cellStyle name="40% - Accent2 6 2" xfId="415" xr:uid="{00000000-0005-0000-0000-0000FE350000}"/>
    <cellStyle name="40% - Accent2 6 2 2" xfId="416" xr:uid="{00000000-0005-0000-0000-0000FF350000}"/>
    <cellStyle name="40% - Accent2 6 2 2 2" xfId="1442" xr:uid="{00000000-0005-0000-0000-000000360000}"/>
    <cellStyle name="40% - Accent2 6 2 2 2 2" xfId="4969" xr:uid="{00000000-0005-0000-0000-000001360000}"/>
    <cellStyle name="40% - Accent2 6 2 2 2 2 2" xfId="8560" xr:uid="{00000000-0005-0000-0000-000002360000}"/>
    <cellStyle name="40% - Accent2 6 2 2 2 2 2 2" xfId="16530" xr:uid="{00000000-0005-0000-0000-000003360000}"/>
    <cellStyle name="40% - Accent2 6 2 2 2 2 2 2 2" xfId="40372" xr:uid="{E95826CC-B4D7-45CB-98C6-374E340535BA}"/>
    <cellStyle name="40% - Accent2 6 2 2 2 2 2 3" xfId="24476" xr:uid="{00000000-0005-0000-0000-000004360000}"/>
    <cellStyle name="40% - Accent2 6 2 2 2 2 2 3 2" xfId="48308" xr:uid="{C6DA9A95-80EF-40A2-B35F-61F6052095F2}"/>
    <cellStyle name="40% - Accent2 6 2 2 2 2 2 4" xfId="32431" xr:uid="{976A5AC1-5E2F-4031-AAA4-A19526CC3F3D}"/>
    <cellStyle name="40% - Accent2 6 2 2 2 2 3" xfId="12992" xr:uid="{00000000-0005-0000-0000-000005360000}"/>
    <cellStyle name="40% - Accent2 6 2 2 2 2 3 2" xfId="36841" xr:uid="{BF21DEB4-9C24-4445-9B53-A0A99117B517}"/>
    <cellStyle name="40% - Accent2 6 2 2 2 2 4" xfId="20947" xr:uid="{00000000-0005-0000-0000-000006360000}"/>
    <cellStyle name="40% - Accent2 6 2 2 2 2 4 2" xfId="44779" xr:uid="{B49F42D6-F763-4683-A092-01D41EC3C381}"/>
    <cellStyle name="40% - Accent2 6 2 2 2 2 5" xfId="28900" xr:uid="{CDF6A0FD-8FE3-4E48-A70D-B7178E52D569}"/>
    <cellStyle name="40% - Accent2 6 2 2 2 3" xfId="6801" xr:uid="{00000000-0005-0000-0000-000007360000}"/>
    <cellStyle name="40% - Accent2 6 2 2 2 3 2" xfId="14772" xr:uid="{00000000-0005-0000-0000-000008360000}"/>
    <cellStyle name="40% - Accent2 6 2 2 2 3 2 2" xfId="38614" xr:uid="{7F768D71-CB5B-470F-A7D9-4ED27E46E3B2}"/>
    <cellStyle name="40% - Accent2 6 2 2 2 3 3" xfId="22719" xr:uid="{00000000-0005-0000-0000-000009360000}"/>
    <cellStyle name="40% - Accent2 6 2 2 2 3 3 2" xfId="46551" xr:uid="{3D29567C-7574-44EE-B15A-757F4E1701E5}"/>
    <cellStyle name="40% - Accent2 6 2 2 2 3 4" xfId="30673" xr:uid="{4982C787-4995-46C4-8C05-3117CB49EDB9}"/>
    <cellStyle name="40% - Accent2 6 2 2 2 4" xfId="11236" xr:uid="{00000000-0005-0000-0000-00000A360000}"/>
    <cellStyle name="40% - Accent2 6 2 2 2 4 2" xfId="35085" xr:uid="{5386C729-AB79-4A4C-9AB8-094133C78951}"/>
    <cellStyle name="40% - Accent2 6 2 2 2 5" xfId="19191" xr:uid="{00000000-0005-0000-0000-00000B360000}"/>
    <cellStyle name="40% - Accent2 6 2 2 2 5 2" xfId="43023" xr:uid="{01147D27-27FB-4F73-9A41-BC723AF4BBBA}"/>
    <cellStyle name="40% - Accent2 6 2 2 2 6" xfId="27143" xr:uid="{BD4869CB-4D74-4ECF-AE57-EB47AB111701}"/>
    <cellStyle name="40% - Accent2 6 2 2 2_Exh G" xfId="2889" xr:uid="{00000000-0005-0000-0000-00000C360000}"/>
    <cellStyle name="40% - Accent2 6 2 2 3" xfId="4090" xr:uid="{00000000-0005-0000-0000-00000D360000}"/>
    <cellStyle name="40% - Accent2 6 2 2 3 2" xfId="7682" xr:uid="{00000000-0005-0000-0000-00000E360000}"/>
    <cellStyle name="40% - Accent2 6 2 2 3 2 2" xfId="15652" xr:uid="{00000000-0005-0000-0000-00000F360000}"/>
    <cellStyle name="40% - Accent2 6 2 2 3 2 2 2" xfId="39494" xr:uid="{21422A7F-CA59-4E53-9125-F2816CAD4E22}"/>
    <cellStyle name="40% - Accent2 6 2 2 3 2 3" xfId="23598" xr:uid="{00000000-0005-0000-0000-000010360000}"/>
    <cellStyle name="40% - Accent2 6 2 2 3 2 3 2" xfId="47430" xr:uid="{9F16DB45-11CA-469F-94D9-DA360DDC9EA4}"/>
    <cellStyle name="40% - Accent2 6 2 2 3 2 4" xfId="31553" xr:uid="{12B9A628-832D-4D37-A00E-119A256125B6}"/>
    <cellStyle name="40% - Accent2 6 2 2 3 3" xfId="12114" xr:uid="{00000000-0005-0000-0000-000011360000}"/>
    <cellStyle name="40% - Accent2 6 2 2 3 3 2" xfId="35963" xr:uid="{A6D40895-95AC-4136-BE48-46C768455ECF}"/>
    <cellStyle name="40% - Accent2 6 2 2 3 4" xfId="20069" xr:uid="{00000000-0005-0000-0000-000012360000}"/>
    <cellStyle name="40% - Accent2 6 2 2 3 4 2" xfId="43901" xr:uid="{139F0930-D05D-43B2-BF48-E21CCD3EC041}"/>
    <cellStyle name="40% - Accent2 6 2 2 3 5" xfId="28022" xr:uid="{D5D271F3-77E4-4DB8-9B41-A2A5E3EC2638}"/>
    <cellStyle name="40% - Accent2 6 2 2 4" xfId="5910" xr:uid="{00000000-0005-0000-0000-000013360000}"/>
    <cellStyle name="40% - Accent2 6 2 2 4 2" xfId="13893" xr:uid="{00000000-0005-0000-0000-000014360000}"/>
    <cellStyle name="40% - Accent2 6 2 2 4 2 2" xfId="37736" xr:uid="{A261FC01-1C81-4CC2-ABC8-2CA99323B36B}"/>
    <cellStyle name="40% - Accent2 6 2 2 4 3" xfId="21841" xr:uid="{00000000-0005-0000-0000-000015360000}"/>
    <cellStyle name="40% - Accent2 6 2 2 4 3 2" xfId="45673" xr:uid="{733CAE9D-4810-4242-A49C-033EAC438C08}"/>
    <cellStyle name="40% - Accent2 6 2 2 4 4" xfId="29795" xr:uid="{5DD964E5-00EF-4614-BB87-8F2E19EBE599}"/>
    <cellStyle name="40% - Accent2 6 2 2 5" xfId="9462" xr:uid="{00000000-0005-0000-0000-000016360000}"/>
    <cellStyle name="40% - Accent2 6 2 2 5 2" xfId="17420" xr:uid="{00000000-0005-0000-0000-000017360000}"/>
    <cellStyle name="40% - Accent2 6 2 2 5 2 2" xfId="41260" xr:uid="{C13FC989-9ADA-4663-BB9D-A6A880DC4419}"/>
    <cellStyle name="40% - Accent2 6 2 2 5 3" xfId="25364" xr:uid="{00000000-0005-0000-0000-000018360000}"/>
    <cellStyle name="40% - Accent2 6 2 2 5 3 2" xfId="49196" xr:uid="{D3AD7B6B-5DFE-4FE2-BFA3-9DA5B4DDA190}"/>
    <cellStyle name="40% - Accent2 6 2 2 5 4" xfId="33319" xr:uid="{2402AA21-36C4-4126-B5FB-0AD08AEA6C38}"/>
    <cellStyle name="40% - Accent2 6 2 2 6" xfId="10358" xr:uid="{00000000-0005-0000-0000-000019360000}"/>
    <cellStyle name="40% - Accent2 6 2 2 6 2" xfId="34207" xr:uid="{13CF32B7-484B-44BE-8098-46ACF9B77FBC}"/>
    <cellStyle name="40% - Accent2 6 2 2 7" xfId="18313" xr:uid="{00000000-0005-0000-0000-00001A360000}"/>
    <cellStyle name="40% - Accent2 6 2 2 7 2" xfId="42145" xr:uid="{1B6280DB-EDE2-4265-BBF2-73CD7014A6C1}"/>
    <cellStyle name="40% - Accent2 6 2 2 8" xfId="26265" xr:uid="{65A280BB-F71A-428E-AABC-9008A8440F93}"/>
    <cellStyle name="40% - Accent2 6 2 2_Exh G" xfId="2888" xr:uid="{00000000-0005-0000-0000-00001B360000}"/>
    <cellStyle name="40% - Accent2 6 2 3" xfId="1441" xr:uid="{00000000-0005-0000-0000-00001C360000}"/>
    <cellStyle name="40% - Accent2 6 2 3 2" xfId="4968" xr:uid="{00000000-0005-0000-0000-00001D360000}"/>
    <cellStyle name="40% - Accent2 6 2 3 2 2" xfId="8559" xr:uid="{00000000-0005-0000-0000-00001E360000}"/>
    <cellStyle name="40% - Accent2 6 2 3 2 2 2" xfId="16529" xr:uid="{00000000-0005-0000-0000-00001F360000}"/>
    <cellStyle name="40% - Accent2 6 2 3 2 2 2 2" xfId="40371" xr:uid="{B33BED86-A02D-4205-B72E-AC7C972BF3E4}"/>
    <cellStyle name="40% - Accent2 6 2 3 2 2 3" xfId="24475" xr:uid="{00000000-0005-0000-0000-000020360000}"/>
    <cellStyle name="40% - Accent2 6 2 3 2 2 3 2" xfId="48307" xr:uid="{CB4FEEE9-A2F3-4283-8682-FAEC8ECFBEE9}"/>
    <cellStyle name="40% - Accent2 6 2 3 2 2 4" xfId="32430" xr:uid="{ECCD114B-9821-4569-8387-D38B59B1B065}"/>
    <cellStyle name="40% - Accent2 6 2 3 2 3" xfId="12991" xr:uid="{00000000-0005-0000-0000-000021360000}"/>
    <cellStyle name="40% - Accent2 6 2 3 2 3 2" xfId="36840" xr:uid="{FB9BFD1E-C82E-4C6F-9DB1-398F534FD22B}"/>
    <cellStyle name="40% - Accent2 6 2 3 2 4" xfId="20946" xr:uid="{00000000-0005-0000-0000-000022360000}"/>
    <cellStyle name="40% - Accent2 6 2 3 2 4 2" xfId="44778" xr:uid="{0FF2A0C8-974F-44E4-9EA3-D9EB8A3FB28F}"/>
    <cellStyle name="40% - Accent2 6 2 3 2 5" xfId="28899" xr:uid="{BAC767C6-9C08-49C1-907E-EF1743098DC8}"/>
    <cellStyle name="40% - Accent2 6 2 3 3" xfId="6800" xr:uid="{00000000-0005-0000-0000-000023360000}"/>
    <cellStyle name="40% - Accent2 6 2 3 3 2" xfId="14771" xr:uid="{00000000-0005-0000-0000-000024360000}"/>
    <cellStyle name="40% - Accent2 6 2 3 3 2 2" xfId="38613" xr:uid="{064A2990-DF6A-45E1-B6A6-D287CADBD103}"/>
    <cellStyle name="40% - Accent2 6 2 3 3 3" xfId="22718" xr:uid="{00000000-0005-0000-0000-000025360000}"/>
    <cellStyle name="40% - Accent2 6 2 3 3 3 2" xfId="46550" xr:uid="{1ADFF4FC-E999-4329-A769-7A5546ECC796}"/>
    <cellStyle name="40% - Accent2 6 2 3 3 4" xfId="30672" xr:uid="{8CAB5152-4F16-4A2F-8FF6-465583465CD8}"/>
    <cellStyle name="40% - Accent2 6 2 3 4" xfId="11235" xr:uid="{00000000-0005-0000-0000-000026360000}"/>
    <cellStyle name="40% - Accent2 6 2 3 4 2" xfId="35084" xr:uid="{9C7541BD-5DD5-4111-87F4-501693756977}"/>
    <cellStyle name="40% - Accent2 6 2 3 5" xfId="19190" xr:uid="{00000000-0005-0000-0000-000027360000}"/>
    <cellStyle name="40% - Accent2 6 2 3 5 2" xfId="43022" xr:uid="{766A0FC8-4DB6-4C5E-8BB8-6589F4DB1122}"/>
    <cellStyle name="40% - Accent2 6 2 3 6" xfId="27142" xr:uid="{93379CE2-B705-45B2-9E8F-4A1D833C6DAE}"/>
    <cellStyle name="40% - Accent2 6 2 3_Exh G" xfId="2890" xr:uid="{00000000-0005-0000-0000-000028360000}"/>
    <cellStyle name="40% - Accent2 6 2 4" xfId="4089" xr:uid="{00000000-0005-0000-0000-000029360000}"/>
    <cellStyle name="40% - Accent2 6 2 4 2" xfId="7681" xr:uid="{00000000-0005-0000-0000-00002A360000}"/>
    <cellStyle name="40% - Accent2 6 2 4 2 2" xfId="15651" xr:uid="{00000000-0005-0000-0000-00002B360000}"/>
    <cellStyle name="40% - Accent2 6 2 4 2 2 2" xfId="39493" xr:uid="{00BD0D10-E574-4952-A91F-0C33D4C977A3}"/>
    <cellStyle name="40% - Accent2 6 2 4 2 3" xfId="23597" xr:uid="{00000000-0005-0000-0000-00002C360000}"/>
    <cellStyle name="40% - Accent2 6 2 4 2 3 2" xfId="47429" xr:uid="{D39103E4-6886-42C1-A88C-AC886327B26B}"/>
    <cellStyle name="40% - Accent2 6 2 4 2 4" xfId="31552" xr:uid="{D291E2E6-BF3A-442B-A143-C5A2423138D0}"/>
    <cellStyle name="40% - Accent2 6 2 4 3" xfId="12113" xr:uid="{00000000-0005-0000-0000-00002D360000}"/>
    <cellStyle name="40% - Accent2 6 2 4 3 2" xfId="35962" xr:uid="{B6172423-35BF-44CC-9551-285324503D29}"/>
    <cellStyle name="40% - Accent2 6 2 4 4" xfId="20068" xr:uid="{00000000-0005-0000-0000-00002E360000}"/>
    <cellStyle name="40% - Accent2 6 2 4 4 2" xfId="43900" xr:uid="{14C3123B-1E5A-4803-910C-21EE9E51C195}"/>
    <cellStyle name="40% - Accent2 6 2 4 5" xfId="28021" xr:uid="{999F0779-46C1-4C55-A140-9118845D22B3}"/>
    <cellStyle name="40% - Accent2 6 2 5" xfId="5909" xr:uid="{00000000-0005-0000-0000-00002F360000}"/>
    <cellStyle name="40% - Accent2 6 2 5 2" xfId="13892" xr:uid="{00000000-0005-0000-0000-000030360000}"/>
    <cellStyle name="40% - Accent2 6 2 5 2 2" xfId="37735" xr:uid="{A29CEC6F-E01C-491F-8F01-24761F600998}"/>
    <cellStyle name="40% - Accent2 6 2 5 3" xfId="21840" xr:uid="{00000000-0005-0000-0000-000031360000}"/>
    <cellStyle name="40% - Accent2 6 2 5 3 2" xfId="45672" xr:uid="{FC4E0C27-DFD0-45DD-B48B-413C65D4D5B8}"/>
    <cellStyle name="40% - Accent2 6 2 5 4" xfId="29794" xr:uid="{FF626714-93DC-4614-98FB-CBE823271499}"/>
    <cellStyle name="40% - Accent2 6 2 6" xfId="9461" xr:uid="{00000000-0005-0000-0000-000032360000}"/>
    <cellStyle name="40% - Accent2 6 2 6 2" xfId="17419" xr:uid="{00000000-0005-0000-0000-000033360000}"/>
    <cellStyle name="40% - Accent2 6 2 6 2 2" xfId="41259" xr:uid="{E57A4147-157E-4A57-9F71-FC6249FB3F30}"/>
    <cellStyle name="40% - Accent2 6 2 6 3" xfId="25363" xr:uid="{00000000-0005-0000-0000-000034360000}"/>
    <cellStyle name="40% - Accent2 6 2 6 3 2" xfId="49195" xr:uid="{65C06FEC-1A47-47D0-804C-82E379256230}"/>
    <cellStyle name="40% - Accent2 6 2 6 4" xfId="33318" xr:uid="{36E7E98E-42C5-42B2-9BBE-E567E237EEA3}"/>
    <cellStyle name="40% - Accent2 6 2 7" xfId="10357" xr:uid="{00000000-0005-0000-0000-000035360000}"/>
    <cellStyle name="40% - Accent2 6 2 7 2" xfId="34206" xr:uid="{E809122C-F136-474B-9F71-9771E0616A76}"/>
    <cellStyle name="40% - Accent2 6 2 8" xfId="18312" xr:uid="{00000000-0005-0000-0000-000036360000}"/>
    <cellStyle name="40% - Accent2 6 2 8 2" xfId="42144" xr:uid="{9E05DE1A-9207-4089-B35E-D6D3A7DA12D4}"/>
    <cellStyle name="40% - Accent2 6 2 9" xfId="26264" xr:uid="{67A32EA0-4E2D-497D-896B-E1594288980C}"/>
    <cellStyle name="40% - Accent2 6 2_Exh G" xfId="2887" xr:uid="{00000000-0005-0000-0000-000037360000}"/>
    <cellStyle name="40% - Accent2 6 3" xfId="417" xr:uid="{00000000-0005-0000-0000-000038360000}"/>
    <cellStyle name="40% - Accent2 6 3 2" xfId="1443" xr:uid="{00000000-0005-0000-0000-000039360000}"/>
    <cellStyle name="40% - Accent2 6 3 2 2" xfId="4970" xr:uid="{00000000-0005-0000-0000-00003A360000}"/>
    <cellStyle name="40% - Accent2 6 3 2 2 2" xfId="8561" xr:uid="{00000000-0005-0000-0000-00003B360000}"/>
    <cellStyle name="40% - Accent2 6 3 2 2 2 2" xfId="16531" xr:uid="{00000000-0005-0000-0000-00003C360000}"/>
    <cellStyle name="40% - Accent2 6 3 2 2 2 2 2" xfId="40373" xr:uid="{728BD024-74D4-4D5D-B1C1-B0CCEA3D7529}"/>
    <cellStyle name="40% - Accent2 6 3 2 2 2 3" xfId="24477" xr:uid="{00000000-0005-0000-0000-00003D360000}"/>
    <cellStyle name="40% - Accent2 6 3 2 2 2 3 2" xfId="48309" xr:uid="{ECD69224-A1DB-454A-B08C-733B9D0FCD62}"/>
    <cellStyle name="40% - Accent2 6 3 2 2 2 4" xfId="32432" xr:uid="{28A52944-F158-4270-A247-332943505019}"/>
    <cellStyle name="40% - Accent2 6 3 2 2 3" xfId="12993" xr:uid="{00000000-0005-0000-0000-00003E360000}"/>
    <cellStyle name="40% - Accent2 6 3 2 2 3 2" xfId="36842" xr:uid="{69ADCA3C-E192-4CB0-9C6B-A080F6E8A1CA}"/>
    <cellStyle name="40% - Accent2 6 3 2 2 4" xfId="20948" xr:uid="{00000000-0005-0000-0000-00003F360000}"/>
    <cellStyle name="40% - Accent2 6 3 2 2 4 2" xfId="44780" xr:uid="{04473271-9DE4-47E2-9C08-6BE2F42E8ADA}"/>
    <cellStyle name="40% - Accent2 6 3 2 2 5" xfId="28901" xr:uid="{A6FE6691-7003-4A23-858A-E6CEF803E0CF}"/>
    <cellStyle name="40% - Accent2 6 3 2 3" xfId="6802" xr:uid="{00000000-0005-0000-0000-000040360000}"/>
    <cellStyle name="40% - Accent2 6 3 2 3 2" xfId="14773" xr:uid="{00000000-0005-0000-0000-000041360000}"/>
    <cellStyle name="40% - Accent2 6 3 2 3 2 2" xfId="38615" xr:uid="{0CBDBBBA-DE4F-40F2-8E2D-5CA335851194}"/>
    <cellStyle name="40% - Accent2 6 3 2 3 3" xfId="22720" xr:uid="{00000000-0005-0000-0000-000042360000}"/>
    <cellStyle name="40% - Accent2 6 3 2 3 3 2" xfId="46552" xr:uid="{16B8E1F2-262C-44EE-AD4D-F748C68EB9B2}"/>
    <cellStyle name="40% - Accent2 6 3 2 3 4" xfId="30674" xr:uid="{B1B3943D-375A-47DB-BFDA-B90A688F1022}"/>
    <cellStyle name="40% - Accent2 6 3 2 4" xfId="11237" xr:uid="{00000000-0005-0000-0000-000043360000}"/>
    <cellStyle name="40% - Accent2 6 3 2 4 2" xfId="35086" xr:uid="{23FA1763-B9FB-4A4D-99F7-E921C18932F2}"/>
    <cellStyle name="40% - Accent2 6 3 2 5" xfId="19192" xr:uid="{00000000-0005-0000-0000-000044360000}"/>
    <cellStyle name="40% - Accent2 6 3 2 5 2" xfId="43024" xr:uid="{35915CD8-24C2-48DF-9DB2-A9FE2AA7B9D3}"/>
    <cellStyle name="40% - Accent2 6 3 2 6" xfId="27144" xr:uid="{CA60BF66-DF38-48F8-B2DC-63E21CA93C3F}"/>
    <cellStyle name="40% - Accent2 6 3 2_Exh G" xfId="2892" xr:uid="{00000000-0005-0000-0000-000045360000}"/>
    <cellStyle name="40% - Accent2 6 3 3" xfId="4091" xr:uid="{00000000-0005-0000-0000-000046360000}"/>
    <cellStyle name="40% - Accent2 6 3 3 2" xfId="7683" xr:uid="{00000000-0005-0000-0000-000047360000}"/>
    <cellStyle name="40% - Accent2 6 3 3 2 2" xfId="15653" xr:uid="{00000000-0005-0000-0000-000048360000}"/>
    <cellStyle name="40% - Accent2 6 3 3 2 2 2" xfId="39495" xr:uid="{E2E0D82F-37CD-4732-92F5-F132A765CD0F}"/>
    <cellStyle name="40% - Accent2 6 3 3 2 3" xfId="23599" xr:uid="{00000000-0005-0000-0000-000049360000}"/>
    <cellStyle name="40% - Accent2 6 3 3 2 3 2" xfId="47431" xr:uid="{DBAFFFEB-6FF0-41E9-A60D-CD407005EEA2}"/>
    <cellStyle name="40% - Accent2 6 3 3 2 4" xfId="31554" xr:uid="{47B38BA6-1FED-4FEA-A724-3137DE20F9FC}"/>
    <cellStyle name="40% - Accent2 6 3 3 3" xfId="12115" xr:uid="{00000000-0005-0000-0000-00004A360000}"/>
    <cellStyle name="40% - Accent2 6 3 3 3 2" xfId="35964" xr:uid="{A839B9FA-8DD6-4704-A79E-317D6B7C8EA0}"/>
    <cellStyle name="40% - Accent2 6 3 3 4" xfId="20070" xr:uid="{00000000-0005-0000-0000-00004B360000}"/>
    <cellStyle name="40% - Accent2 6 3 3 4 2" xfId="43902" xr:uid="{E5C10669-EF4A-4C5B-B98A-F1A9BFF93FAF}"/>
    <cellStyle name="40% - Accent2 6 3 3 5" xfId="28023" xr:uid="{6FEC2550-B45D-4E10-9E67-A22F34572F82}"/>
    <cellStyle name="40% - Accent2 6 3 4" xfId="5911" xr:uid="{00000000-0005-0000-0000-00004C360000}"/>
    <cellStyle name="40% - Accent2 6 3 4 2" xfId="13894" xr:uid="{00000000-0005-0000-0000-00004D360000}"/>
    <cellStyle name="40% - Accent2 6 3 4 2 2" xfId="37737" xr:uid="{FC30A006-0567-4502-8D80-9F11BC6905F3}"/>
    <cellStyle name="40% - Accent2 6 3 4 3" xfId="21842" xr:uid="{00000000-0005-0000-0000-00004E360000}"/>
    <cellStyle name="40% - Accent2 6 3 4 3 2" xfId="45674" xr:uid="{85B9782F-8CDB-4306-9FA6-3A7D9E2CB233}"/>
    <cellStyle name="40% - Accent2 6 3 4 4" xfId="29796" xr:uid="{0243FF40-A6B4-4884-8D5B-375BF457D3AD}"/>
    <cellStyle name="40% - Accent2 6 3 5" xfId="9463" xr:uid="{00000000-0005-0000-0000-00004F360000}"/>
    <cellStyle name="40% - Accent2 6 3 5 2" xfId="17421" xr:uid="{00000000-0005-0000-0000-000050360000}"/>
    <cellStyle name="40% - Accent2 6 3 5 2 2" xfId="41261" xr:uid="{75A2FE73-671B-437F-A6A4-8410BB8F20ED}"/>
    <cellStyle name="40% - Accent2 6 3 5 3" xfId="25365" xr:uid="{00000000-0005-0000-0000-000051360000}"/>
    <cellStyle name="40% - Accent2 6 3 5 3 2" xfId="49197" xr:uid="{13EE6CD9-050B-4061-9DAE-F36129270456}"/>
    <cellStyle name="40% - Accent2 6 3 5 4" xfId="33320" xr:uid="{D8921CAC-44A3-49B0-B902-8AE3757077C9}"/>
    <cellStyle name="40% - Accent2 6 3 6" xfId="10359" xr:uid="{00000000-0005-0000-0000-000052360000}"/>
    <cellStyle name="40% - Accent2 6 3 6 2" xfId="34208" xr:uid="{1FF8CB94-B70B-413C-BD9E-9ADD0A8BAD88}"/>
    <cellStyle name="40% - Accent2 6 3 7" xfId="18314" xr:uid="{00000000-0005-0000-0000-000053360000}"/>
    <cellStyle name="40% - Accent2 6 3 7 2" xfId="42146" xr:uid="{85F7CE3E-AC6A-4E4C-9E3D-B085663D39E9}"/>
    <cellStyle name="40% - Accent2 6 3 8" xfId="26266" xr:uid="{89D17E27-43B3-4F4E-BE24-6E3182E48EB2}"/>
    <cellStyle name="40% - Accent2 6 3_Exh G" xfId="2891" xr:uid="{00000000-0005-0000-0000-000054360000}"/>
    <cellStyle name="40% - Accent2 6 4" xfId="951" xr:uid="{00000000-0005-0000-0000-000055360000}"/>
    <cellStyle name="40% - Accent2 6 4 2" xfId="1868" xr:uid="{00000000-0005-0000-0000-000056360000}"/>
    <cellStyle name="40% - Accent2 6 4 2 2" xfId="5385" xr:uid="{00000000-0005-0000-0000-000057360000}"/>
    <cellStyle name="40% - Accent2 6 4 2 2 2" xfId="8976" xr:uid="{00000000-0005-0000-0000-000058360000}"/>
    <cellStyle name="40% - Accent2 6 4 2 2 2 2" xfId="16946" xr:uid="{00000000-0005-0000-0000-000059360000}"/>
    <cellStyle name="40% - Accent2 6 4 2 2 2 2 2" xfId="40788" xr:uid="{E947C116-5CCC-4DB4-86F5-C241F886AED8}"/>
    <cellStyle name="40% - Accent2 6 4 2 2 2 3" xfId="24892" xr:uid="{00000000-0005-0000-0000-00005A360000}"/>
    <cellStyle name="40% - Accent2 6 4 2 2 2 3 2" xfId="48724" xr:uid="{67984B06-3729-47CB-8B0A-37594B73CE42}"/>
    <cellStyle name="40% - Accent2 6 4 2 2 2 4" xfId="32847" xr:uid="{C04966DF-E15F-4C38-9109-EFA70639FF2C}"/>
    <cellStyle name="40% - Accent2 6 4 2 2 3" xfId="13408" xr:uid="{00000000-0005-0000-0000-00005B360000}"/>
    <cellStyle name="40% - Accent2 6 4 2 2 3 2" xfId="37257" xr:uid="{515A34B7-B864-4370-B27B-A6818F4931DF}"/>
    <cellStyle name="40% - Accent2 6 4 2 2 4" xfId="21363" xr:uid="{00000000-0005-0000-0000-00005C360000}"/>
    <cellStyle name="40% - Accent2 6 4 2 2 4 2" xfId="45195" xr:uid="{C3D035BD-599B-4B86-A126-C795D608D337}"/>
    <cellStyle name="40% - Accent2 6 4 2 2 5" xfId="29316" xr:uid="{3BA26163-5713-4E11-981F-DFCA6D341A35}"/>
    <cellStyle name="40% - Accent2 6 4 2 3" xfId="7217" xr:uid="{00000000-0005-0000-0000-00005D360000}"/>
    <cellStyle name="40% - Accent2 6 4 2 3 2" xfId="15188" xr:uid="{00000000-0005-0000-0000-00005E360000}"/>
    <cellStyle name="40% - Accent2 6 4 2 3 2 2" xfId="39030" xr:uid="{D6D29148-9C6E-4E76-A742-1DE0E6AD6090}"/>
    <cellStyle name="40% - Accent2 6 4 2 3 3" xfId="23135" xr:uid="{00000000-0005-0000-0000-00005F360000}"/>
    <cellStyle name="40% - Accent2 6 4 2 3 3 2" xfId="46967" xr:uid="{CC996DE2-D6D6-4B66-8CA8-CA74B553CE8F}"/>
    <cellStyle name="40% - Accent2 6 4 2 3 4" xfId="31089" xr:uid="{979585C4-81B7-4D18-AE7E-15E945CE4F07}"/>
    <cellStyle name="40% - Accent2 6 4 2 4" xfId="11652" xr:uid="{00000000-0005-0000-0000-000060360000}"/>
    <cellStyle name="40% - Accent2 6 4 2 4 2" xfId="35501" xr:uid="{D0EB261F-6EA3-4AA2-AA07-34DB1CD69F5D}"/>
    <cellStyle name="40% - Accent2 6 4 2 5" xfId="19607" xr:uid="{00000000-0005-0000-0000-000061360000}"/>
    <cellStyle name="40% - Accent2 6 4 2 5 2" xfId="43439" xr:uid="{A689512F-9B1F-4A0D-99D0-F479C538EFF6}"/>
    <cellStyle name="40% - Accent2 6 4 2 6" xfId="27559" xr:uid="{B96D3667-75DB-4167-B56C-05A4B0CF601A}"/>
    <cellStyle name="40% - Accent2 6 4 2_Exh G" xfId="2894" xr:uid="{00000000-0005-0000-0000-000062360000}"/>
    <cellStyle name="40% - Accent2 6 4 3" xfId="4506" xr:uid="{00000000-0005-0000-0000-000063360000}"/>
    <cellStyle name="40% - Accent2 6 4 3 2" xfId="8098" xr:uid="{00000000-0005-0000-0000-000064360000}"/>
    <cellStyle name="40% - Accent2 6 4 3 2 2" xfId="16068" xr:uid="{00000000-0005-0000-0000-000065360000}"/>
    <cellStyle name="40% - Accent2 6 4 3 2 2 2" xfId="39910" xr:uid="{2035E387-A485-4A4B-AEFB-6F95D76BD72A}"/>
    <cellStyle name="40% - Accent2 6 4 3 2 3" xfId="24014" xr:uid="{00000000-0005-0000-0000-000066360000}"/>
    <cellStyle name="40% - Accent2 6 4 3 2 3 2" xfId="47846" xr:uid="{85AEA3C8-80F4-4BFE-9F7A-C04D57690F3D}"/>
    <cellStyle name="40% - Accent2 6 4 3 2 4" xfId="31969" xr:uid="{8635099E-292D-4405-9149-4C52F69FCE95}"/>
    <cellStyle name="40% - Accent2 6 4 3 3" xfId="12530" xr:uid="{00000000-0005-0000-0000-000067360000}"/>
    <cellStyle name="40% - Accent2 6 4 3 3 2" xfId="36379" xr:uid="{0DCB56E3-3C44-486B-B49C-D64B0D2E0AF7}"/>
    <cellStyle name="40% - Accent2 6 4 3 4" xfId="20485" xr:uid="{00000000-0005-0000-0000-000068360000}"/>
    <cellStyle name="40% - Accent2 6 4 3 4 2" xfId="44317" xr:uid="{0F6CC355-5B3A-40ED-B33D-16FA3B425920}"/>
    <cellStyle name="40% - Accent2 6 4 3 5" xfId="28438" xr:uid="{9E9CE308-F197-46C3-8E03-CDF43EF9656C}"/>
    <cellStyle name="40% - Accent2 6 4 4" xfId="6336" xr:uid="{00000000-0005-0000-0000-000069360000}"/>
    <cellStyle name="40% - Accent2 6 4 4 2" xfId="14310" xr:uid="{00000000-0005-0000-0000-00006A360000}"/>
    <cellStyle name="40% - Accent2 6 4 4 2 2" xfId="38152" xr:uid="{3D3F5EA4-60DA-4542-BE01-662E175B789F}"/>
    <cellStyle name="40% - Accent2 6 4 4 3" xfId="22257" xr:uid="{00000000-0005-0000-0000-00006B360000}"/>
    <cellStyle name="40% - Accent2 6 4 4 3 2" xfId="46089" xr:uid="{3CDA65A2-EDBE-43A0-BDD5-2A6C5155C7CB}"/>
    <cellStyle name="40% - Accent2 6 4 4 4" xfId="30211" xr:uid="{B205C560-D565-43BB-94FA-00232962340B}"/>
    <cellStyle name="40% - Accent2 6 4 5" xfId="9878" xr:uid="{00000000-0005-0000-0000-00006C360000}"/>
    <cellStyle name="40% - Accent2 6 4 5 2" xfId="17836" xr:uid="{00000000-0005-0000-0000-00006D360000}"/>
    <cellStyle name="40% - Accent2 6 4 5 2 2" xfId="41676" xr:uid="{736AE602-25E4-4AE6-8ECD-825FDDD1D0C5}"/>
    <cellStyle name="40% - Accent2 6 4 5 3" xfId="25780" xr:uid="{00000000-0005-0000-0000-00006E360000}"/>
    <cellStyle name="40% - Accent2 6 4 5 3 2" xfId="49612" xr:uid="{FEA48D69-3C1B-420F-8980-8E5648C5FB45}"/>
    <cellStyle name="40% - Accent2 6 4 5 4" xfId="33735" xr:uid="{34E43B64-DB79-462A-BA3B-621BF459C242}"/>
    <cellStyle name="40% - Accent2 6 4 6" xfId="10774" xr:uid="{00000000-0005-0000-0000-00006F360000}"/>
    <cellStyle name="40% - Accent2 6 4 6 2" xfId="34623" xr:uid="{3034184A-FFFD-4F71-9085-872C190771BB}"/>
    <cellStyle name="40% - Accent2 6 4 7" xfId="18729" xr:uid="{00000000-0005-0000-0000-000070360000}"/>
    <cellStyle name="40% - Accent2 6 4 7 2" xfId="42561" xr:uid="{849E8CB9-3A66-4549-A19D-F16651DC8AA2}"/>
    <cellStyle name="40% - Accent2 6 4 8" xfId="26681" xr:uid="{57AC1B36-26D6-4DA7-9C77-FF055702BFF9}"/>
    <cellStyle name="40% - Accent2 6 4_Exh G" xfId="2893" xr:uid="{00000000-0005-0000-0000-000071360000}"/>
    <cellStyle name="40% - Accent2 6 5" xfId="1440" xr:uid="{00000000-0005-0000-0000-000072360000}"/>
    <cellStyle name="40% - Accent2 6 5 2" xfId="4967" xr:uid="{00000000-0005-0000-0000-000073360000}"/>
    <cellStyle name="40% - Accent2 6 5 2 2" xfId="8558" xr:uid="{00000000-0005-0000-0000-000074360000}"/>
    <cellStyle name="40% - Accent2 6 5 2 2 2" xfId="16528" xr:uid="{00000000-0005-0000-0000-000075360000}"/>
    <cellStyle name="40% - Accent2 6 5 2 2 2 2" xfId="40370" xr:uid="{D62CF5FF-61F5-46B6-AA83-D8A85CE0F799}"/>
    <cellStyle name="40% - Accent2 6 5 2 2 3" xfId="24474" xr:uid="{00000000-0005-0000-0000-000076360000}"/>
    <cellStyle name="40% - Accent2 6 5 2 2 3 2" xfId="48306" xr:uid="{DBAC7668-449C-4942-ABB9-5AABFB938CEA}"/>
    <cellStyle name="40% - Accent2 6 5 2 2 4" xfId="32429" xr:uid="{A6F7E7E8-80BA-4844-A5B3-1BD7CE06C1FD}"/>
    <cellStyle name="40% - Accent2 6 5 2 3" xfId="12990" xr:uid="{00000000-0005-0000-0000-000077360000}"/>
    <cellStyle name="40% - Accent2 6 5 2 3 2" xfId="36839" xr:uid="{2544595D-3B37-4DAF-96D9-FA1D2622AA07}"/>
    <cellStyle name="40% - Accent2 6 5 2 4" xfId="20945" xr:uid="{00000000-0005-0000-0000-000078360000}"/>
    <cellStyle name="40% - Accent2 6 5 2 4 2" xfId="44777" xr:uid="{7A72CE60-D10F-4A5F-9819-247C2D456C73}"/>
    <cellStyle name="40% - Accent2 6 5 2 5" xfId="28898" xr:uid="{5FF7F5C3-15C5-417B-B45B-6D7726F72A8D}"/>
    <cellStyle name="40% - Accent2 6 5 3" xfId="6799" xr:uid="{00000000-0005-0000-0000-000079360000}"/>
    <cellStyle name="40% - Accent2 6 5 3 2" xfId="14770" xr:uid="{00000000-0005-0000-0000-00007A360000}"/>
    <cellStyle name="40% - Accent2 6 5 3 2 2" xfId="38612" xr:uid="{2EE72209-8549-4BF6-A22D-14C6A0B44C41}"/>
    <cellStyle name="40% - Accent2 6 5 3 3" xfId="22717" xr:uid="{00000000-0005-0000-0000-00007B360000}"/>
    <cellStyle name="40% - Accent2 6 5 3 3 2" xfId="46549" xr:uid="{E168E41E-9C6B-463B-9C89-ECF55ABF6783}"/>
    <cellStyle name="40% - Accent2 6 5 3 4" xfId="30671" xr:uid="{54B3BA51-5AE3-4684-8808-A68B9B8F0284}"/>
    <cellStyle name="40% - Accent2 6 5 4" xfId="11234" xr:uid="{00000000-0005-0000-0000-00007C360000}"/>
    <cellStyle name="40% - Accent2 6 5 4 2" xfId="35083" xr:uid="{7C6B5B16-4213-42BF-AFE6-09DCFC296649}"/>
    <cellStyle name="40% - Accent2 6 5 5" xfId="19189" xr:uid="{00000000-0005-0000-0000-00007D360000}"/>
    <cellStyle name="40% - Accent2 6 5 5 2" xfId="43021" xr:uid="{B7F44030-86CA-4327-A6DF-144F6ED90C5E}"/>
    <cellStyle name="40% - Accent2 6 5 6" xfId="27141" xr:uid="{5E8D5422-F491-401A-876F-2844BDE576D9}"/>
    <cellStyle name="40% - Accent2 6 5_Exh G" xfId="2895" xr:uid="{00000000-0005-0000-0000-00007E360000}"/>
    <cellStyle name="40% - Accent2 6 6" xfId="4088" xr:uid="{00000000-0005-0000-0000-00007F360000}"/>
    <cellStyle name="40% - Accent2 6 6 2" xfId="7680" xr:uid="{00000000-0005-0000-0000-000080360000}"/>
    <cellStyle name="40% - Accent2 6 6 2 2" xfId="15650" xr:uid="{00000000-0005-0000-0000-000081360000}"/>
    <cellStyle name="40% - Accent2 6 6 2 2 2" xfId="39492" xr:uid="{558E1EC6-2B7C-42E3-954D-4581B1B9087B}"/>
    <cellStyle name="40% - Accent2 6 6 2 3" xfId="23596" xr:uid="{00000000-0005-0000-0000-000082360000}"/>
    <cellStyle name="40% - Accent2 6 6 2 3 2" xfId="47428" xr:uid="{CBE4F388-9279-4491-B1FE-5D58B5689937}"/>
    <cellStyle name="40% - Accent2 6 6 2 4" xfId="31551" xr:uid="{25B952BD-6588-4BF7-9E63-1A06B73BB6D9}"/>
    <cellStyle name="40% - Accent2 6 6 3" xfId="12112" xr:uid="{00000000-0005-0000-0000-000083360000}"/>
    <cellStyle name="40% - Accent2 6 6 3 2" xfId="35961" xr:uid="{C94D62A3-F4B7-47AA-97F4-05B6FC3D8692}"/>
    <cellStyle name="40% - Accent2 6 6 4" xfId="20067" xr:uid="{00000000-0005-0000-0000-000084360000}"/>
    <cellStyle name="40% - Accent2 6 6 4 2" xfId="43899" xr:uid="{77CDA010-827C-44BA-8F6C-AE1BA065434F}"/>
    <cellStyle name="40% - Accent2 6 6 5" xfId="28020" xr:uid="{CF6079AD-0858-4372-A322-2F12AC542365}"/>
    <cellStyle name="40% - Accent2 6 7" xfId="5908" xr:uid="{00000000-0005-0000-0000-000085360000}"/>
    <cellStyle name="40% - Accent2 6 7 2" xfId="13891" xr:uid="{00000000-0005-0000-0000-000086360000}"/>
    <cellStyle name="40% - Accent2 6 7 2 2" xfId="37734" xr:uid="{08CF703C-91D1-453A-B955-3E1274A8AB17}"/>
    <cellStyle name="40% - Accent2 6 7 3" xfId="21839" xr:uid="{00000000-0005-0000-0000-000087360000}"/>
    <cellStyle name="40% - Accent2 6 7 3 2" xfId="45671" xr:uid="{10382DAC-DB86-4767-8679-ACC8E0C5B572}"/>
    <cellStyle name="40% - Accent2 6 7 4" xfId="29793" xr:uid="{A756305E-BCA2-4CD7-A710-621E168F0A1B}"/>
    <cellStyle name="40% - Accent2 6 8" xfId="9460" xr:uid="{00000000-0005-0000-0000-000088360000}"/>
    <cellStyle name="40% - Accent2 6 8 2" xfId="17418" xr:uid="{00000000-0005-0000-0000-000089360000}"/>
    <cellStyle name="40% - Accent2 6 8 2 2" xfId="41258" xr:uid="{3C492D67-3B31-48E9-982B-B6295B1D1206}"/>
    <cellStyle name="40% - Accent2 6 8 3" xfId="25362" xr:uid="{00000000-0005-0000-0000-00008A360000}"/>
    <cellStyle name="40% - Accent2 6 8 3 2" xfId="49194" xr:uid="{4B627A38-CC68-4605-8163-2FBE936433D6}"/>
    <cellStyle name="40% - Accent2 6 8 4" xfId="33317" xr:uid="{45A3F2D6-18E4-4DCB-B779-A6A9F4940BA4}"/>
    <cellStyle name="40% - Accent2 6 9" xfId="10356" xr:uid="{00000000-0005-0000-0000-00008B360000}"/>
    <cellStyle name="40% - Accent2 6 9 2" xfId="34205" xr:uid="{CDB32A53-74A8-4051-A176-B304E5BB712B}"/>
    <cellStyle name="40% - Accent2 6_Exh G" xfId="2886" xr:uid="{00000000-0005-0000-0000-00008C360000}"/>
    <cellStyle name="40% - Accent2 7" xfId="418" xr:uid="{00000000-0005-0000-0000-00008D360000}"/>
    <cellStyle name="40% - Accent2 7 10" xfId="18315" xr:uid="{00000000-0005-0000-0000-00008E360000}"/>
    <cellStyle name="40% - Accent2 7 10 2" xfId="42147" xr:uid="{49F349FA-4D19-4980-9DC9-B0E55821F18C}"/>
    <cellStyle name="40% - Accent2 7 11" xfId="26267" xr:uid="{AA8184AB-46EC-4732-9C4F-7A3C717436C8}"/>
    <cellStyle name="40% - Accent2 7 2" xfId="419" xr:uid="{00000000-0005-0000-0000-00008F360000}"/>
    <cellStyle name="40% - Accent2 7 2 2" xfId="420" xr:uid="{00000000-0005-0000-0000-000090360000}"/>
    <cellStyle name="40% - Accent2 7 2 2 2" xfId="1446" xr:uid="{00000000-0005-0000-0000-000091360000}"/>
    <cellStyle name="40% - Accent2 7 2 2 2 2" xfId="4973" xr:uid="{00000000-0005-0000-0000-000092360000}"/>
    <cellStyle name="40% - Accent2 7 2 2 2 2 2" xfId="8564" xr:uid="{00000000-0005-0000-0000-000093360000}"/>
    <cellStyle name="40% - Accent2 7 2 2 2 2 2 2" xfId="16534" xr:uid="{00000000-0005-0000-0000-000094360000}"/>
    <cellStyle name="40% - Accent2 7 2 2 2 2 2 2 2" xfId="40376" xr:uid="{0C22E43C-7150-4DB7-84C2-85ADCDD531E3}"/>
    <cellStyle name="40% - Accent2 7 2 2 2 2 2 3" xfId="24480" xr:uid="{00000000-0005-0000-0000-000095360000}"/>
    <cellStyle name="40% - Accent2 7 2 2 2 2 2 3 2" xfId="48312" xr:uid="{6BDB3C7D-5AF2-42A1-BDA7-D7BE58053154}"/>
    <cellStyle name="40% - Accent2 7 2 2 2 2 2 4" xfId="32435" xr:uid="{84368FA0-342A-4CC8-819F-ED78A64EC0F3}"/>
    <cellStyle name="40% - Accent2 7 2 2 2 2 3" xfId="12996" xr:uid="{00000000-0005-0000-0000-000096360000}"/>
    <cellStyle name="40% - Accent2 7 2 2 2 2 3 2" xfId="36845" xr:uid="{C4E85F34-4EF0-4E10-A4CD-8693ACE0272A}"/>
    <cellStyle name="40% - Accent2 7 2 2 2 2 4" xfId="20951" xr:uid="{00000000-0005-0000-0000-000097360000}"/>
    <cellStyle name="40% - Accent2 7 2 2 2 2 4 2" xfId="44783" xr:uid="{06AEDD5B-4BC9-4E31-9555-560FB69CD7AD}"/>
    <cellStyle name="40% - Accent2 7 2 2 2 2 5" xfId="28904" xr:uid="{648E3A5A-DFD9-4BC7-B069-0B83FDDDE759}"/>
    <cellStyle name="40% - Accent2 7 2 2 2 3" xfId="6805" xr:uid="{00000000-0005-0000-0000-000098360000}"/>
    <cellStyle name="40% - Accent2 7 2 2 2 3 2" xfId="14776" xr:uid="{00000000-0005-0000-0000-000099360000}"/>
    <cellStyle name="40% - Accent2 7 2 2 2 3 2 2" xfId="38618" xr:uid="{C43BC31C-29B4-41E4-A67D-907D11F3C9E1}"/>
    <cellStyle name="40% - Accent2 7 2 2 2 3 3" xfId="22723" xr:uid="{00000000-0005-0000-0000-00009A360000}"/>
    <cellStyle name="40% - Accent2 7 2 2 2 3 3 2" xfId="46555" xr:uid="{6C80ABC1-4F35-4219-A9B1-29EB3D1A8B7E}"/>
    <cellStyle name="40% - Accent2 7 2 2 2 3 4" xfId="30677" xr:uid="{E8E4878D-8E2C-4BE7-9EF1-77BA3CC9FC29}"/>
    <cellStyle name="40% - Accent2 7 2 2 2 4" xfId="11240" xr:uid="{00000000-0005-0000-0000-00009B360000}"/>
    <cellStyle name="40% - Accent2 7 2 2 2 4 2" xfId="35089" xr:uid="{632E57E4-6AD8-40BC-BA3C-E57588F03646}"/>
    <cellStyle name="40% - Accent2 7 2 2 2 5" xfId="19195" xr:uid="{00000000-0005-0000-0000-00009C360000}"/>
    <cellStyle name="40% - Accent2 7 2 2 2 5 2" xfId="43027" xr:uid="{201D181C-08BF-41B7-88C8-8DEE0380B289}"/>
    <cellStyle name="40% - Accent2 7 2 2 2 6" xfId="27147" xr:uid="{4651D422-A9A5-4523-B585-389D45A472F3}"/>
    <cellStyle name="40% - Accent2 7 2 2 2_Exh G" xfId="2899" xr:uid="{00000000-0005-0000-0000-00009D360000}"/>
    <cellStyle name="40% - Accent2 7 2 2 3" xfId="4094" xr:uid="{00000000-0005-0000-0000-00009E360000}"/>
    <cellStyle name="40% - Accent2 7 2 2 3 2" xfId="7686" xr:uid="{00000000-0005-0000-0000-00009F360000}"/>
    <cellStyle name="40% - Accent2 7 2 2 3 2 2" xfId="15656" xr:uid="{00000000-0005-0000-0000-0000A0360000}"/>
    <cellStyle name="40% - Accent2 7 2 2 3 2 2 2" xfId="39498" xr:uid="{D5E2D470-0DEA-4EC6-B989-4233FA410B13}"/>
    <cellStyle name="40% - Accent2 7 2 2 3 2 3" xfId="23602" xr:uid="{00000000-0005-0000-0000-0000A1360000}"/>
    <cellStyle name="40% - Accent2 7 2 2 3 2 3 2" xfId="47434" xr:uid="{9D65E10F-5FE1-4134-B2F1-1E6F691C2B47}"/>
    <cellStyle name="40% - Accent2 7 2 2 3 2 4" xfId="31557" xr:uid="{CEC217EF-FFA6-4DBF-891E-991CCC5BEB0B}"/>
    <cellStyle name="40% - Accent2 7 2 2 3 3" xfId="12118" xr:uid="{00000000-0005-0000-0000-0000A2360000}"/>
    <cellStyle name="40% - Accent2 7 2 2 3 3 2" xfId="35967" xr:uid="{E3C86173-A192-4F7A-990D-1A1BB6F2F6F0}"/>
    <cellStyle name="40% - Accent2 7 2 2 3 4" xfId="20073" xr:uid="{00000000-0005-0000-0000-0000A3360000}"/>
    <cellStyle name="40% - Accent2 7 2 2 3 4 2" xfId="43905" xr:uid="{47594CA2-6949-4665-A9EB-3439FF499D40}"/>
    <cellStyle name="40% - Accent2 7 2 2 3 5" xfId="28026" xr:uid="{0515708B-AF52-4960-9319-C399FCC72AE2}"/>
    <cellStyle name="40% - Accent2 7 2 2 4" xfId="5914" xr:uid="{00000000-0005-0000-0000-0000A4360000}"/>
    <cellStyle name="40% - Accent2 7 2 2 4 2" xfId="13897" xr:uid="{00000000-0005-0000-0000-0000A5360000}"/>
    <cellStyle name="40% - Accent2 7 2 2 4 2 2" xfId="37740" xr:uid="{493CD4AB-3D82-4DC8-BE43-5C2F551019FB}"/>
    <cellStyle name="40% - Accent2 7 2 2 4 3" xfId="21845" xr:uid="{00000000-0005-0000-0000-0000A6360000}"/>
    <cellStyle name="40% - Accent2 7 2 2 4 3 2" xfId="45677" xr:uid="{96C90A09-67F9-4D19-8F85-D1E7B2AC04E6}"/>
    <cellStyle name="40% - Accent2 7 2 2 4 4" xfId="29799" xr:uid="{C13597E1-9E45-4B12-B542-CF562238C19D}"/>
    <cellStyle name="40% - Accent2 7 2 2 5" xfId="9466" xr:uid="{00000000-0005-0000-0000-0000A7360000}"/>
    <cellStyle name="40% - Accent2 7 2 2 5 2" xfId="17424" xr:uid="{00000000-0005-0000-0000-0000A8360000}"/>
    <cellStyle name="40% - Accent2 7 2 2 5 2 2" xfId="41264" xr:uid="{7541638C-C3A9-470A-8E7A-21FCE318E45E}"/>
    <cellStyle name="40% - Accent2 7 2 2 5 3" xfId="25368" xr:uid="{00000000-0005-0000-0000-0000A9360000}"/>
    <cellStyle name="40% - Accent2 7 2 2 5 3 2" xfId="49200" xr:uid="{9AC1F3EC-A373-4F50-93E1-0FFD2CF1EB41}"/>
    <cellStyle name="40% - Accent2 7 2 2 5 4" xfId="33323" xr:uid="{642AB921-9388-42EC-943A-33E4439EA606}"/>
    <cellStyle name="40% - Accent2 7 2 2 6" xfId="10362" xr:uid="{00000000-0005-0000-0000-0000AA360000}"/>
    <cellStyle name="40% - Accent2 7 2 2 6 2" xfId="34211" xr:uid="{D13EA1F8-2184-4156-B085-6F4C9C244D19}"/>
    <cellStyle name="40% - Accent2 7 2 2 7" xfId="18317" xr:uid="{00000000-0005-0000-0000-0000AB360000}"/>
    <cellStyle name="40% - Accent2 7 2 2 7 2" xfId="42149" xr:uid="{41AE658E-0606-4F43-8F69-9E68D8186EE6}"/>
    <cellStyle name="40% - Accent2 7 2 2 8" xfId="26269" xr:uid="{237F8F13-19BC-4A22-8212-74B5D3E794E0}"/>
    <cellStyle name="40% - Accent2 7 2 2_Exh G" xfId="2898" xr:uid="{00000000-0005-0000-0000-0000AC360000}"/>
    <cellStyle name="40% - Accent2 7 2 3" xfId="1445" xr:uid="{00000000-0005-0000-0000-0000AD360000}"/>
    <cellStyle name="40% - Accent2 7 2 3 2" xfId="4972" xr:uid="{00000000-0005-0000-0000-0000AE360000}"/>
    <cellStyle name="40% - Accent2 7 2 3 2 2" xfId="8563" xr:uid="{00000000-0005-0000-0000-0000AF360000}"/>
    <cellStyle name="40% - Accent2 7 2 3 2 2 2" xfId="16533" xr:uid="{00000000-0005-0000-0000-0000B0360000}"/>
    <cellStyle name="40% - Accent2 7 2 3 2 2 2 2" xfId="40375" xr:uid="{AC310EAA-33F4-4F35-813E-D87F142B2BED}"/>
    <cellStyle name="40% - Accent2 7 2 3 2 2 3" xfId="24479" xr:uid="{00000000-0005-0000-0000-0000B1360000}"/>
    <cellStyle name="40% - Accent2 7 2 3 2 2 3 2" xfId="48311" xr:uid="{8171B26E-E322-4377-85D7-7A82B015A6C0}"/>
    <cellStyle name="40% - Accent2 7 2 3 2 2 4" xfId="32434" xr:uid="{83D7061A-FF1B-45E8-A4B1-CE6AB73CAD19}"/>
    <cellStyle name="40% - Accent2 7 2 3 2 3" xfId="12995" xr:uid="{00000000-0005-0000-0000-0000B2360000}"/>
    <cellStyle name="40% - Accent2 7 2 3 2 3 2" xfId="36844" xr:uid="{FB95A21E-CABB-466D-90AD-7DAD6220E632}"/>
    <cellStyle name="40% - Accent2 7 2 3 2 4" xfId="20950" xr:uid="{00000000-0005-0000-0000-0000B3360000}"/>
    <cellStyle name="40% - Accent2 7 2 3 2 4 2" xfId="44782" xr:uid="{01C231C2-E9FA-42E8-ABF6-3E9D27C83529}"/>
    <cellStyle name="40% - Accent2 7 2 3 2 5" xfId="28903" xr:uid="{49FCCAE3-DC06-4976-87E8-9A66A9F9DC87}"/>
    <cellStyle name="40% - Accent2 7 2 3 3" xfId="6804" xr:uid="{00000000-0005-0000-0000-0000B4360000}"/>
    <cellStyle name="40% - Accent2 7 2 3 3 2" xfId="14775" xr:uid="{00000000-0005-0000-0000-0000B5360000}"/>
    <cellStyle name="40% - Accent2 7 2 3 3 2 2" xfId="38617" xr:uid="{CE4D672F-DACA-4BBC-97AE-EDE3B45806C9}"/>
    <cellStyle name="40% - Accent2 7 2 3 3 3" xfId="22722" xr:uid="{00000000-0005-0000-0000-0000B6360000}"/>
    <cellStyle name="40% - Accent2 7 2 3 3 3 2" xfId="46554" xr:uid="{75C3B3B7-27F8-49D5-9B19-DA7E6FC03F7E}"/>
    <cellStyle name="40% - Accent2 7 2 3 3 4" xfId="30676" xr:uid="{B6836403-CAD8-4CEE-9B5A-529471FA7862}"/>
    <cellStyle name="40% - Accent2 7 2 3 4" xfId="11239" xr:uid="{00000000-0005-0000-0000-0000B7360000}"/>
    <cellStyle name="40% - Accent2 7 2 3 4 2" xfId="35088" xr:uid="{90965EEA-FF99-4D49-8726-AF0674C12095}"/>
    <cellStyle name="40% - Accent2 7 2 3 5" xfId="19194" xr:uid="{00000000-0005-0000-0000-0000B8360000}"/>
    <cellStyle name="40% - Accent2 7 2 3 5 2" xfId="43026" xr:uid="{1AD125CB-B506-403A-BFD4-7BCB908F6225}"/>
    <cellStyle name="40% - Accent2 7 2 3 6" xfId="27146" xr:uid="{A21EE124-F5BB-4619-B42A-7AEDAB6A7967}"/>
    <cellStyle name="40% - Accent2 7 2 3_Exh G" xfId="2900" xr:uid="{00000000-0005-0000-0000-0000B9360000}"/>
    <cellStyle name="40% - Accent2 7 2 4" xfId="4093" xr:uid="{00000000-0005-0000-0000-0000BA360000}"/>
    <cellStyle name="40% - Accent2 7 2 4 2" xfId="7685" xr:uid="{00000000-0005-0000-0000-0000BB360000}"/>
    <cellStyle name="40% - Accent2 7 2 4 2 2" xfId="15655" xr:uid="{00000000-0005-0000-0000-0000BC360000}"/>
    <cellStyle name="40% - Accent2 7 2 4 2 2 2" xfId="39497" xr:uid="{0D1BD1C7-1C6F-4423-8501-2AF376A8D983}"/>
    <cellStyle name="40% - Accent2 7 2 4 2 3" xfId="23601" xr:uid="{00000000-0005-0000-0000-0000BD360000}"/>
    <cellStyle name="40% - Accent2 7 2 4 2 3 2" xfId="47433" xr:uid="{E250F73E-0C74-4103-8944-A89900813E65}"/>
    <cellStyle name="40% - Accent2 7 2 4 2 4" xfId="31556" xr:uid="{5FF7E5B0-1C80-484E-85C8-143F3E61B891}"/>
    <cellStyle name="40% - Accent2 7 2 4 3" xfId="12117" xr:uid="{00000000-0005-0000-0000-0000BE360000}"/>
    <cellStyle name="40% - Accent2 7 2 4 3 2" xfId="35966" xr:uid="{A2817982-5035-42DC-8737-FA0290F728BF}"/>
    <cellStyle name="40% - Accent2 7 2 4 4" xfId="20072" xr:uid="{00000000-0005-0000-0000-0000BF360000}"/>
    <cellStyle name="40% - Accent2 7 2 4 4 2" xfId="43904" xr:uid="{F4F96E32-72DE-4A96-B58C-BAECC1172AFE}"/>
    <cellStyle name="40% - Accent2 7 2 4 5" xfId="28025" xr:uid="{A1DC503E-D570-4A23-9165-2D7674BC81A8}"/>
    <cellStyle name="40% - Accent2 7 2 5" xfId="5913" xr:uid="{00000000-0005-0000-0000-0000C0360000}"/>
    <cellStyle name="40% - Accent2 7 2 5 2" xfId="13896" xr:uid="{00000000-0005-0000-0000-0000C1360000}"/>
    <cellStyle name="40% - Accent2 7 2 5 2 2" xfId="37739" xr:uid="{5DBE9EAF-B491-4994-9748-9D8DB5998298}"/>
    <cellStyle name="40% - Accent2 7 2 5 3" xfId="21844" xr:uid="{00000000-0005-0000-0000-0000C2360000}"/>
    <cellStyle name="40% - Accent2 7 2 5 3 2" xfId="45676" xr:uid="{B242B8BF-9C0F-457C-B3BA-BA5A391AEB29}"/>
    <cellStyle name="40% - Accent2 7 2 5 4" xfId="29798" xr:uid="{3B316129-2119-464D-836D-165160B42B98}"/>
    <cellStyle name="40% - Accent2 7 2 6" xfId="9465" xr:uid="{00000000-0005-0000-0000-0000C3360000}"/>
    <cellStyle name="40% - Accent2 7 2 6 2" xfId="17423" xr:uid="{00000000-0005-0000-0000-0000C4360000}"/>
    <cellStyle name="40% - Accent2 7 2 6 2 2" xfId="41263" xr:uid="{29AF511E-5FE3-48F9-8CAE-FE6A9D872480}"/>
    <cellStyle name="40% - Accent2 7 2 6 3" xfId="25367" xr:uid="{00000000-0005-0000-0000-0000C5360000}"/>
    <cellStyle name="40% - Accent2 7 2 6 3 2" xfId="49199" xr:uid="{9426A29F-E543-4B36-992A-BFD515240636}"/>
    <cellStyle name="40% - Accent2 7 2 6 4" xfId="33322" xr:uid="{3EE7318E-8C11-4100-828C-85B2BBEC3E64}"/>
    <cellStyle name="40% - Accent2 7 2 7" xfId="10361" xr:uid="{00000000-0005-0000-0000-0000C6360000}"/>
    <cellStyle name="40% - Accent2 7 2 7 2" xfId="34210" xr:uid="{FDC12FF1-0C89-479C-ACBF-14CBD4A52438}"/>
    <cellStyle name="40% - Accent2 7 2 8" xfId="18316" xr:uid="{00000000-0005-0000-0000-0000C7360000}"/>
    <cellStyle name="40% - Accent2 7 2 8 2" xfId="42148" xr:uid="{06BA69F6-AF4C-42A7-9ADA-2A74F9D11FF5}"/>
    <cellStyle name="40% - Accent2 7 2 9" xfId="26268" xr:uid="{0CD0BBA6-E275-48ED-A7DF-24AD2A50D53E}"/>
    <cellStyle name="40% - Accent2 7 2_Exh G" xfId="2897" xr:uid="{00000000-0005-0000-0000-0000C8360000}"/>
    <cellStyle name="40% - Accent2 7 3" xfId="421" xr:uid="{00000000-0005-0000-0000-0000C9360000}"/>
    <cellStyle name="40% - Accent2 7 3 2" xfId="1447" xr:uid="{00000000-0005-0000-0000-0000CA360000}"/>
    <cellStyle name="40% - Accent2 7 3 2 2" xfId="4974" xr:uid="{00000000-0005-0000-0000-0000CB360000}"/>
    <cellStyle name="40% - Accent2 7 3 2 2 2" xfId="8565" xr:uid="{00000000-0005-0000-0000-0000CC360000}"/>
    <cellStyle name="40% - Accent2 7 3 2 2 2 2" xfId="16535" xr:uid="{00000000-0005-0000-0000-0000CD360000}"/>
    <cellStyle name="40% - Accent2 7 3 2 2 2 2 2" xfId="40377" xr:uid="{F97AA14F-CC06-4341-B91B-4C9AEB03FC0D}"/>
    <cellStyle name="40% - Accent2 7 3 2 2 2 3" xfId="24481" xr:uid="{00000000-0005-0000-0000-0000CE360000}"/>
    <cellStyle name="40% - Accent2 7 3 2 2 2 3 2" xfId="48313" xr:uid="{4A3043EF-F69B-48F1-B74F-A2CE9C0BD849}"/>
    <cellStyle name="40% - Accent2 7 3 2 2 2 4" xfId="32436" xr:uid="{BBC32C24-F0B0-440C-B3E2-02B7629E1CA6}"/>
    <cellStyle name="40% - Accent2 7 3 2 2 3" xfId="12997" xr:uid="{00000000-0005-0000-0000-0000CF360000}"/>
    <cellStyle name="40% - Accent2 7 3 2 2 3 2" xfId="36846" xr:uid="{43667967-2EF3-4CDB-A23F-61BD362441BF}"/>
    <cellStyle name="40% - Accent2 7 3 2 2 4" xfId="20952" xr:uid="{00000000-0005-0000-0000-0000D0360000}"/>
    <cellStyle name="40% - Accent2 7 3 2 2 4 2" xfId="44784" xr:uid="{8B4C207A-E704-4323-B304-ED836926CB0A}"/>
    <cellStyle name="40% - Accent2 7 3 2 2 5" xfId="28905" xr:uid="{472C88C6-E884-4E3A-B920-BDC87DEEDA87}"/>
    <cellStyle name="40% - Accent2 7 3 2 3" xfId="6806" xr:uid="{00000000-0005-0000-0000-0000D1360000}"/>
    <cellStyle name="40% - Accent2 7 3 2 3 2" xfId="14777" xr:uid="{00000000-0005-0000-0000-0000D2360000}"/>
    <cellStyle name="40% - Accent2 7 3 2 3 2 2" xfId="38619" xr:uid="{B5EA48A4-0545-45F2-BB84-66CEDB795F0D}"/>
    <cellStyle name="40% - Accent2 7 3 2 3 3" xfId="22724" xr:uid="{00000000-0005-0000-0000-0000D3360000}"/>
    <cellStyle name="40% - Accent2 7 3 2 3 3 2" xfId="46556" xr:uid="{2CF7FB22-0CE4-494D-94C8-3915FEA74B65}"/>
    <cellStyle name="40% - Accent2 7 3 2 3 4" xfId="30678" xr:uid="{5D993C4B-1016-49FB-BB36-0E4DDE82B83D}"/>
    <cellStyle name="40% - Accent2 7 3 2 4" xfId="11241" xr:uid="{00000000-0005-0000-0000-0000D4360000}"/>
    <cellStyle name="40% - Accent2 7 3 2 4 2" xfId="35090" xr:uid="{C599B48A-44FD-4BF5-92CF-AF8F21F2E92C}"/>
    <cellStyle name="40% - Accent2 7 3 2 5" xfId="19196" xr:uid="{00000000-0005-0000-0000-0000D5360000}"/>
    <cellStyle name="40% - Accent2 7 3 2 5 2" xfId="43028" xr:uid="{81CF83E6-758C-4003-B09F-8F2042BBBB00}"/>
    <cellStyle name="40% - Accent2 7 3 2 6" xfId="27148" xr:uid="{3F00A1B1-A547-41D3-AA88-898751EFE32E}"/>
    <cellStyle name="40% - Accent2 7 3 2_Exh G" xfId="2902" xr:uid="{00000000-0005-0000-0000-0000D6360000}"/>
    <cellStyle name="40% - Accent2 7 3 3" xfId="4095" xr:uid="{00000000-0005-0000-0000-0000D7360000}"/>
    <cellStyle name="40% - Accent2 7 3 3 2" xfId="7687" xr:uid="{00000000-0005-0000-0000-0000D8360000}"/>
    <cellStyle name="40% - Accent2 7 3 3 2 2" xfId="15657" xr:uid="{00000000-0005-0000-0000-0000D9360000}"/>
    <cellStyle name="40% - Accent2 7 3 3 2 2 2" xfId="39499" xr:uid="{A2593999-2A32-4CFF-96BD-5A7CA17934DC}"/>
    <cellStyle name="40% - Accent2 7 3 3 2 3" xfId="23603" xr:uid="{00000000-0005-0000-0000-0000DA360000}"/>
    <cellStyle name="40% - Accent2 7 3 3 2 3 2" xfId="47435" xr:uid="{74B00345-67A1-403F-81D8-CC4A95D22530}"/>
    <cellStyle name="40% - Accent2 7 3 3 2 4" xfId="31558" xr:uid="{9A5EEDB8-F7E2-4B67-9186-46EC6D45DA90}"/>
    <cellStyle name="40% - Accent2 7 3 3 3" xfId="12119" xr:uid="{00000000-0005-0000-0000-0000DB360000}"/>
    <cellStyle name="40% - Accent2 7 3 3 3 2" xfId="35968" xr:uid="{8E08186B-40F0-40E5-A168-3B4FF85BF18A}"/>
    <cellStyle name="40% - Accent2 7 3 3 4" xfId="20074" xr:uid="{00000000-0005-0000-0000-0000DC360000}"/>
    <cellStyle name="40% - Accent2 7 3 3 4 2" xfId="43906" xr:uid="{7F7B972F-E4D0-4B98-B0AA-A7E06A4C9AD9}"/>
    <cellStyle name="40% - Accent2 7 3 3 5" xfId="28027" xr:uid="{F9F0E527-E484-4383-BFC4-B84CF6CC844B}"/>
    <cellStyle name="40% - Accent2 7 3 4" xfId="5915" xr:uid="{00000000-0005-0000-0000-0000DD360000}"/>
    <cellStyle name="40% - Accent2 7 3 4 2" xfId="13898" xr:uid="{00000000-0005-0000-0000-0000DE360000}"/>
    <cellStyle name="40% - Accent2 7 3 4 2 2" xfId="37741" xr:uid="{A72ED007-B8D7-4A44-BAD6-BE2352C00928}"/>
    <cellStyle name="40% - Accent2 7 3 4 3" xfId="21846" xr:uid="{00000000-0005-0000-0000-0000DF360000}"/>
    <cellStyle name="40% - Accent2 7 3 4 3 2" xfId="45678" xr:uid="{BBAC55FC-2101-42F1-8FCF-7B45CC14112B}"/>
    <cellStyle name="40% - Accent2 7 3 4 4" xfId="29800" xr:uid="{968B9666-D86F-4D11-AA2D-CB3E6BB6DDD4}"/>
    <cellStyle name="40% - Accent2 7 3 5" xfId="9467" xr:uid="{00000000-0005-0000-0000-0000E0360000}"/>
    <cellStyle name="40% - Accent2 7 3 5 2" xfId="17425" xr:uid="{00000000-0005-0000-0000-0000E1360000}"/>
    <cellStyle name="40% - Accent2 7 3 5 2 2" xfId="41265" xr:uid="{B0BC0397-1FAE-4174-BC62-A677BBA42518}"/>
    <cellStyle name="40% - Accent2 7 3 5 3" xfId="25369" xr:uid="{00000000-0005-0000-0000-0000E2360000}"/>
    <cellStyle name="40% - Accent2 7 3 5 3 2" xfId="49201" xr:uid="{3E47B02B-506E-40EA-91BA-46D1236EA812}"/>
    <cellStyle name="40% - Accent2 7 3 5 4" xfId="33324" xr:uid="{6B0F85D2-AC0A-4040-8BB5-911D767B6C5E}"/>
    <cellStyle name="40% - Accent2 7 3 6" xfId="10363" xr:uid="{00000000-0005-0000-0000-0000E3360000}"/>
    <cellStyle name="40% - Accent2 7 3 6 2" xfId="34212" xr:uid="{3ABCF1F5-E52C-478E-AE25-E1B4A3AD23BB}"/>
    <cellStyle name="40% - Accent2 7 3 7" xfId="18318" xr:uid="{00000000-0005-0000-0000-0000E4360000}"/>
    <cellStyle name="40% - Accent2 7 3 7 2" xfId="42150" xr:uid="{8E8ACCA7-3AE1-441D-A596-C9EC3C4DCF92}"/>
    <cellStyle name="40% - Accent2 7 3 8" xfId="26270" xr:uid="{C2746FC2-F8C7-493F-9A94-C7FEBB37C5A4}"/>
    <cellStyle name="40% - Accent2 7 3_Exh G" xfId="2901" xr:uid="{00000000-0005-0000-0000-0000E5360000}"/>
    <cellStyle name="40% - Accent2 7 4" xfId="952" xr:uid="{00000000-0005-0000-0000-0000E6360000}"/>
    <cellStyle name="40% - Accent2 7 4 2" xfId="1869" xr:uid="{00000000-0005-0000-0000-0000E7360000}"/>
    <cellStyle name="40% - Accent2 7 4 2 2" xfId="5386" xr:uid="{00000000-0005-0000-0000-0000E8360000}"/>
    <cellStyle name="40% - Accent2 7 4 2 2 2" xfId="8977" xr:uid="{00000000-0005-0000-0000-0000E9360000}"/>
    <cellStyle name="40% - Accent2 7 4 2 2 2 2" xfId="16947" xr:uid="{00000000-0005-0000-0000-0000EA360000}"/>
    <cellStyle name="40% - Accent2 7 4 2 2 2 2 2" xfId="40789" xr:uid="{BA0DC2C9-6A80-488E-904D-2345E53C80A0}"/>
    <cellStyle name="40% - Accent2 7 4 2 2 2 3" xfId="24893" xr:uid="{00000000-0005-0000-0000-0000EB360000}"/>
    <cellStyle name="40% - Accent2 7 4 2 2 2 3 2" xfId="48725" xr:uid="{99E14347-C8E3-4543-84D3-8E9BF1AEA74D}"/>
    <cellStyle name="40% - Accent2 7 4 2 2 2 4" xfId="32848" xr:uid="{BC32681A-A18E-4EE8-B4A9-C254988ED70E}"/>
    <cellStyle name="40% - Accent2 7 4 2 2 3" xfId="13409" xr:uid="{00000000-0005-0000-0000-0000EC360000}"/>
    <cellStyle name="40% - Accent2 7 4 2 2 3 2" xfId="37258" xr:uid="{10E0F474-244E-4C92-BD12-C7C4AFFCA27E}"/>
    <cellStyle name="40% - Accent2 7 4 2 2 4" xfId="21364" xr:uid="{00000000-0005-0000-0000-0000ED360000}"/>
    <cellStyle name="40% - Accent2 7 4 2 2 4 2" xfId="45196" xr:uid="{5356ED9A-1F9E-4587-8C22-BAFCA8D8F7A2}"/>
    <cellStyle name="40% - Accent2 7 4 2 2 5" xfId="29317" xr:uid="{201184C0-84BA-4618-A0CD-63278E7467D1}"/>
    <cellStyle name="40% - Accent2 7 4 2 3" xfId="7218" xr:uid="{00000000-0005-0000-0000-0000EE360000}"/>
    <cellStyle name="40% - Accent2 7 4 2 3 2" xfId="15189" xr:uid="{00000000-0005-0000-0000-0000EF360000}"/>
    <cellStyle name="40% - Accent2 7 4 2 3 2 2" xfId="39031" xr:uid="{AD29C9EC-EE4A-404C-90FF-C971E6F4EC8F}"/>
    <cellStyle name="40% - Accent2 7 4 2 3 3" xfId="23136" xr:uid="{00000000-0005-0000-0000-0000F0360000}"/>
    <cellStyle name="40% - Accent2 7 4 2 3 3 2" xfId="46968" xr:uid="{46268CD2-1572-464C-9A7A-B68887E439E5}"/>
    <cellStyle name="40% - Accent2 7 4 2 3 4" xfId="31090" xr:uid="{624B82B3-5FB2-4DEC-A07F-EF4426D40C4A}"/>
    <cellStyle name="40% - Accent2 7 4 2 4" xfId="11653" xr:uid="{00000000-0005-0000-0000-0000F1360000}"/>
    <cellStyle name="40% - Accent2 7 4 2 4 2" xfId="35502" xr:uid="{FC976C31-4B4D-4B33-86FA-87C79DE9D384}"/>
    <cellStyle name="40% - Accent2 7 4 2 5" xfId="19608" xr:uid="{00000000-0005-0000-0000-0000F2360000}"/>
    <cellStyle name="40% - Accent2 7 4 2 5 2" xfId="43440" xr:uid="{A7800988-C5E6-4637-9BA9-FB38FC24F30D}"/>
    <cellStyle name="40% - Accent2 7 4 2 6" xfId="27560" xr:uid="{9FE4E6EA-DEDA-43CE-A096-FB958735A083}"/>
    <cellStyle name="40% - Accent2 7 4 2_Exh G" xfId="2904" xr:uid="{00000000-0005-0000-0000-0000F3360000}"/>
    <cellStyle name="40% - Accent2 7 4 3" xfId="4507" xr:uid="{00000000-0005-0000-0000-0000F4360000}"/>
    <cellStyle name="40% - Accent2 7 4 3 2" xfId="8099" xr:uid="{00000000-0005-0000-0000-0000F5360000}"/>
    <cellStyle name="40% - Accent2 7 4 3 2 2" xfId="16069" xr:uid="{00000000-0005-0000-0000-0000F6360000}"/>
    <cellStyle name="40% - Accent2 7 4 3 2 2 2" xfId="39911" xr:uid="{FC8AE248-9EA9-4258-87AA-88083C7A7C0E}"/>
    <cellStyle name="40% - Accent2 7 4 3 2 3" xfId="24015" xr:uid="{00000000-0005-0000-0000-0000F7360000}"/>
    <cellStyle name="40% - Accent2 7 4 3 2 3 2" xfId="47847" xr:uid="{75B71305-2019-4DC6-B968-4C0172174FB0}"/>
    <cellStyle name="40% - Accent2 7 4 3 2 4" xfId="31970" xr:uid="{EB7E1869-D011-4D8B-A102-B948D1AF5E8A}"/>
    <cellStyle name="40% - Accent2 7 4 3 3" xfId="12531" xr:uid="{00000000-0005-0000-0000-0000F8360000}"/>
    <cellStyle name="40% - Accent2 7 4 3 3 2" xfId="36380" xr:uid="{27B8B578-B4AA-4760-9693-9BF3AAEF6D79}"/>
    <cellStyle name="40% - Accent2 7 4 3 4" xfId="20486" xr:uid="{00000000-0005-0000-0000-0000F9360000}"/>
    <cellStyle name="40% - Accent2 7 4 3 4 2" xfId="44318" xr:uid="{21C53ECF-406B-4D55-BF5B-950F2F5E9D51}"/>
    <cellStyle name="40% - Accent2 7 4 3 5" xfId="28439" xr:uid="{F898D311-3844-4F5C-9C4B-8953BBF61FDF}"/>
    <cellStyle name="40% - Accent2 7 4 4" xfId="6337" xr:uid="{00000000-0005-0000-0000-0000FA360000}"/>
    <cellStyle name="40% - Accent2 7 4 4 2" xfId="14311" xr:uid="{00000000-0005-0000-0000-0000FB360000}"/>
    <cellStyle name="40% - Accent2 7 4 4 2 2" xfId="38153" xr:uid="{BE70F177-F55A-44E6-8ABE-A173A24529BB}"/>
    <cellStyle name="40% - Accent2 7 4 4 3" xfId="22258" xr:uid="{00000000-0005-0000-0000-0000FC360000}"/>
    <cellStyle name="40% - Accent2 7 4 4 3 2" xfId="46090" xr:uid="{8BC97117-6BD5-46EE-87C0-AF4C0E46D07B}"/>
    <cellStyle name="40% - Accent2 7 4 4 4" xfId="30212" xr:uid="{276370F7-F08F-438B-A36D-F74D5C3C9B11}"/>
    <cellStyle name="40% - Accent2 7 4 5" xfId="9879" xr:uid="{00000000-0005-0000-0000-0000FD360000}"/>
    <cellStyle name="40% - Accent2 7 4 5 2" xfId="17837" xr:uid="{00000000-0005-0000-0000-0000FE360000}"/>
    <cellStyle name="40% - Accent2 7 4 5 2 2" xfId="41677" xr:uid="{26872498-F853-430B-B6E7-0305AF89660F}"/>
    <cellStyle name="40% - Accent2 7 4 5 3" xfId="25781" xr:uid="{00000000-0005-0000-0000-0000FF360000}"/>
    <cellStyle name="40% - Accent2 7 4 5 3 2" xfId="49613" xr:uid="{E3C17AC5-ED52-4CCD-9E8A-4C6FE33D00BF}"/>
    <cellStyle name="40% - Accent2 7 4 5 4" xfId="33736" xr:uid="{F063A29D-3A2E-4312-B646-1DA362F29213}"/>
    <cellStyle name="40% - Accent2 7 4 6" xfId="10775" xr:uid="{00000000-0005-0000-0000-000000370000}"/>
    <cellStyle name="40% - Accent2 7 4 6 2" xfId="34624" xr:uid="{004991C6-248C-4E8B-92A1-18552B19F835}"/>
    <cellStyle name="40% - Accent2 7 4 7" xfId="18730" xr:uid="{00000000-0005-0000-0000-000001370000}"/>
    <cellStyle name="40% - Accent2 7 4 7 2" xfId="42562" xr:uid="{56336CA0-804F-4C4F-8D6F-3932CFC928B5}"/>
    <cellStyle name="40% - Accent2 7 4 8" xfId="26682" xr:uid="{D499A65C-B34D-4A32-9B34-372302BE61E8}"/>
    <cellStyle name="40% - Accent2 7 4_Exh G" xfId="2903" xr:uid="{00000000-0005-0000-0000-000002370000}"/>
    <cellStyle name="40% - Accent2 7 5" xfId="1444" xr:uid="{00000000-0005-0000-0000-000003370000}"/>
    <cellStyle name="40% - Accent2 7 5 2" xfId="4971" xr:uid="{00000000-0005-0000-0000-000004370000}"/>
    <cellStyle name="40% - Accent2 7 5 2 2" xfId="8562" xr:uid="{00000000-0005-0000-0000-000005370000}"/>
    <cellStyle name="40% - Accent2 7 5 2 2 2" xfId="16532" xr:uid="{00000000-0005-0000-0000-000006370000}"/>
    <cellStyle name="40% - Accent2 7 5 2 2 2 2" xfId="40374" xr:uid="{074A23DA-BCBA-4A68-801B-C398B093D2DB}"/>
    <cellStyle name="40% - Accent2 7 5 2 2 3" xfId="24478" xr:uid="{00000000-0005-0000-0000-000007370000}"/>
    <cellStyle name="40% - Accent2 7 5 2 2 3 2" xfId="48310" xr:uid="{F4EA54E4-C25F-4D09-9EE4-AD1EB4041BC8}"/>
    <cellStyle name="40% - Accent2 7 5 2 2 4" xfId="32433" xr:uid="{9848D111-ACE0-4B2E-8B58-260BF189F408}"/>
    <cellStyle name="40% - Accent2 7 5 2 3" xfId="12994" xr:uid="{00000000-0005-0000-0000-000008370000}"/>
    <cellStyle name="40% - Accent2 7 5 2 3 2" xfId="36843" xr:uid="{58E1C946-F0E4-4E16-A152-A156AD40495D}"/>
    <cellStyle name="40% - Accent2 7 5 2 4" xfId="20949" xr:uid="{00000000-0005-0000-0000-000009370000}"/>
    <cellStyle name="40% - Accent2 7 5 2 4 2" xfId="44781" xr:uid="{DF78E525-0E2E-488A-BDC7-0031803A2B48}"/>
    <cellStyle name="40% - Accent2 7 5 2 5" xfId="28902" xr:uid="{FD01D8E9-3AD2-4CE7-AF48-09170F5E3444}"/>
    <cellStyle name="40% - Accent2 7 5 3" xfId="6803" xr:uid="{00000000-0005-0000-0000-00000A370000}"/>
    <cellStyle name="40% - Accent2 7 5 3 2" xfId="14774" xr:uid="{00000000-0005-0000-0000-00000B370000}"/>
    <cellStyle name="40% - Accent2 7 5 3 2 2" xfId="38616" xr:uid="{F4B00D8C-FBEB-450B-B88E-2DFFDB7FA3AF}"/>
    <cellStyle name="40% - Accent2 7 5 3 3" xfId="22721" xr:uid="{00000000-0005-0000-0000-00000C370000}"/>
    <cellStyle name="40% - Accent2 7 5 3 3 2" xfId="46553" xr:uid="{470FDA0C-B30D-48F0-9FF0-7E498CD74A8B}"/>
    <cellStyle name="40% - Accent2 7 5 3 4" xfId="30675" xr:uid="{0828E386-E984-4855-8050-3CA03DBE210C}"/>
    <cellStyle name="40% - Accent2 7 5 4" xfId="11238" xr:uid="{00000000-0005-0000-0000-00000D370000}"/>
    <cellStyle name="40% - Accent2 7 5 4 2" xfId="35087" xr:uid="{B5CD9C22-6CEC-4431-8B06-66E54DA7497F}"/>
    <cellStyle name="40% - Accent2 7 5 5" xfId="19193" xr:uid="{00000000-0005-0000-0000-00000E370000}"/>
    <cellStyle name="40% - Accent2 7 5 5 2" xfId="43025" xr:uid="{7381E626-36B5-403F-AC38-56FABCA2ED44}"/>
    <cellStyle name="40% - Accent2 7 5 6" xfId="27145" xr:uid="{F25D8C9B-3697-4A08-B289-361191184CC3}"/>
    <cellStyle name="40% - Accent2 7 5_Exh G" xfId="2905" xr:uid="{00000000-0005-0000-0000-00000F370000}"/>
    <cellStyle name="40% - Accent2 7 6" xfId="4092" xr:uid="{00000000-0005-0000-0000-000010370000}"/>
    <cellStyle name="40% - Accent2 7 6 2" xfId="7684" xr:uid="{00000000-0005-0000-0000-000011370000}"/>
    <cellStyle name="40% - Accent2 7 6 2 2" xfId="15654" xr:uid="{00000000-0005-0000-0000-000012370000}"/>
    <cellStyle name="40% - Accent2 7 6 2 2 2" xfId="39496" xr:uid="{39F5E5DD-C2AE-4DA0-ACBE-1D901A5A70E8}"/>
    <cellStyle name="40% - Accent2 7 6 2 3" xfId="23600" xr:uid="{00000000-0005-0000-0000-000013370000}"/>
    <cellStyle name="40% - Accent2 7 6 2 3 2" xfId="47432" xr:uid="{F86098D9-A776-474B-98C5-36993FAB90F6}"/>
    <cellStyle name="40% - Accent2 7 6 2 4" xfId="31555" xr:uid="{D3828852-ABF2-4F27-975A-C90E33658D8C}"/>
    <cellStyle name="40% - Accent2 7 6 3" xfId="12116" xr:uid="{00000000-0005-0000-0000-000014370000}"/>
    <cellStyle name="40% - Accent2 7 6 3 2" xfId="35965" xr:uid="{1F1383FF-19B4-44E9-A9E7-BDC8B223FE07}"/>
    <cellStyle name="40% - Accent2 7 6 4" xfId="20071" xr:uid="{00000000-0005-0000-0000-000015370000}"/>
    <cellStyle name="40% - Accent2 7 6 4 2" xfId="43903" xr:uid="{A22AC932-784F-4418-8DB2-432805A22C97}"/>
    <cellStyle name="40% - Accent2 7 6 5" xfId="28024" xr:uid="{3964287A-96FB-420A-A85A-BE8EB7401722}"/>
    <cellStyle name="40% - Accent2 7 7" xfId="5912" xr:uid="{00000000-0005-0000-0000-000016370000}"/>
    <cellStyle name="40% - Accent2 7 7 2" xfId="13895" xr:uid="{00000000-0005-0000-0000-000017370000}"/>
    <cellStyle name="40% - Accent2 7 7 2 2" xfId="37738" xr:uid="{61E5A472-18AB-4C33-9DBE-F42B550D6C26}"/>
    <cellStyle name="40% - Accent2 7 7 3" xfId="21843" xr:uid="{00000000-0005-0000-0000-000018370000}"/>
    <cellStyle name="40% - Accent2 7 7 3 2" xfId="45675" xr:uid="{14AFA0CF-3302-40B2-982B-B39ACB2B9F83}"/>
    <cellStyle name="40% - Accent2 7 7 4" xfId="29797" xr:uid="{157F7162-3454-48EC-9D12-5EE990BF8AED}"/>
    <cellStyle name="40% - Accent2 7 8" xfId="9464" xr:uid="{00000000-0005-0000-0000-000019370000}"/>
    <cellStyle name="40% - Accent2 7 8 2" xfId="17422" xr:uid="{00000000-0005-0000-0000-00001A370000}"/>
    <cellStyle name="40% - Accent2 7 8 2 2" xfId="41262" xr:uid="{60AC1A19-73ED-458F-9FFD-222C7EA9B77D}"/>
    <cellStyle name="40% - Accent2 7 8 3" xfId="25366" xr:uid="{00000000-0005-0000-0000-00001B370000}"/>
    <cellStyle name="40% - Accent2 7 8 3 2" xfId="49198" xr:uid="{AF09E9C3-C874-4C2C-ADD2-6C5EFD0BA8E3}"/>
    <cellStyle name="40% - Accent2 7 8 4" xfId="33321" xr:uid="{3C1D2293-B70A-458C-9CA8-0A370D495C33}"/>
    <cellStyle name="40% - Accent2 7 9" xfId="10360" xr:uid="{00000000-0005-0000-0000-00001C370000}"/>
    <cellStyle name="40% - Accent2 7 9 2" xfId="34209" xr:uid="{F797DE64-04DF-4E20-9BD6-09EF7B8A436F}"/>
    <cellStyle name="40% - Accent2 7_Exh G" xfId="2896" xr:uid="{00000000-0005-0000-0000-00001D370000}"/>
    <cellStyle name="40% - Accent2 8" xfId="422" xr:uid="{00000000-0005-0000-0000-00001E370000}"/>
    <cellStyle name="40% - Accent2 8 10" xfId="18319" xr:uid="{00000000-0005-0000-0000-00001F370000}"/>
    <cellStyle name="40% - Accent2 8 10 2" xfId="42151" xr:uid="{FD2D3FB0-35EA-4C6B-8A63-7BB86CC2324F}"/>
    <cellStyle name="40% - Accent2 8 11" xfId="26271" xr:uid="{354F1B97-A954-48CF-B18E-492C2B4DB7D6}"/>
    <cellStyle name="40% - Accent2 8 2" xfId="423" xr:uid="{00000000-0005-0000-0000-000020370000}"/>
    <cellStyle name="40% - Accent2 8 2 2" xfId="424" xr:uid="{00000000-0005-0000-0000-000021370000}"/>
    <cellStyle name="40% - Accent2 8 2 2 2" xfId="1450" xr:uid="{00000000-0005-0000-0000-000022370000}"/>
    <cellStyle name="40% - Accent2 8 2 2 2 2" xfId="4977" xr:uid="{00000000-0005-0000-0000-000023370000}"/>
    <cellStyle name="40% - Accent2 8 2 2 2 2 2" xfId="8568" xr:uid="{00000000-0005-0000-0000-000024370000}"/>
    <cellStyle name="40% - Accent2 8 2 2 2 2 2 2" xfId="16538" xr:uid="{00000000-0005-0000-0000-000025370000}"/>
    <cellStyle name="40% - Accent2 8 2 2 2 2 2 2 2" xfId="40380" xr:uid="{2E225F7A-6CC9-422C-AB33-45D3A2F29E3B}"/>
    <cellStyle name="40% - Accent2 8 2 2 2 2 2 3" xfId="24484" xr:uid="{00000000-0005-0000-0000-000026370000}"/>
    <cellStyle name="40% - Accent2 8 2 2 2 2 2 3 2" xfId="48316" xr:uid="{D7D08312-04AA-4AF0-A3BB-4A2C4BC47B2D}"/>
    <cellStyle name="40% - Accent2 8 2 2 2 2 2 4" xfId="32439" xr:uid="{9537474A-027A-4EB8-B32A-EAA762970771}"/>
    <cellStyle name="40% - Accent2 8 2 2 2 2 3" xfId="13000" xr:uid="{00000000-0005-0000-0000-000027370000}"/>
    <cellStyle name="40% - Accent2 8 2 2 2 2 3 2" xfId="36849" xr:uid="{BA4FBC5A-C18F-4FD5-B05E-1AFE94C7DE82}"/>
    <cellStyle name="40% - Accent2 8 2 2 2 2 4" xfId="20955" xr:uid="{00000000-0005-0000-0000-000028370000}"/>
    <cellStyle name="40% - Accent2 8 2 2 2 2 4 2" xfId="44787" xr:uid="{2DF3C982-5FA9-4E17-AB5C-F7C1CCE12065}"/>
    <cellStyle name="40% - Accent2 8 2 2 2 2 5" xfId="28908" xr:uid="{0E78E2DB-30BF-4CC6-854C-C9819335ABA7}"/>
    <cellStyle name="40% - Accent2 8 2 2 2 3" xfId="6809" xr:uid="{00000000-0005-0000-0000-000029370000}"/>
    <cellStyle name="40% - Accent2 8 2 2 2 3 2" xfId="14780" xr:uid="{00000000-0005-0000-0000-00002A370000}"/>
    <cellStyle name="40% - Accent2 8 2 2 2 3 2 2" xfId="38622" xr:uid="{120FF5A9-BF97-461A-8B75-3C279BE30391}"/>
    <cellStyle name="40% - Accent2 8 2 2 2 3 3" xfId="22727" xr:uid="{00000000-0005-0000-0000-00002B370000}"/>
    <cellStyle name="40% - Accent2 8 2 2 2 3 3 2" xfId="46559" xr:uid="{A7CFE4C6-0FB2-40AB-9F4D-6B895BEE8DD8}"/>
    <cellStyle name="40% - Accent2 8 2 2 2 3 4" xfId="30681" xr:uid="{59934B1E-E5F6-4D73-AB6C-F28F935EC129}"/>
    <cellStyle name="40% - Accent2 8 2 2 2 4" xfId="11244" xr:uid="{00000000-0005-0000-0000-00002C370000}"/>
    <cellStyle name="40% - Accent2 8 2 2 2 4 2" xfId="35093" xr:uid="{87BF1148-0E82-4C1F-9246-AA80F0CABA54}"/>
    <cellStyle name="40% - Accent2 8 2 2 2 5" xfId="19199" xr:uid="{00000000-0005-0000-0000-00002D370000}"/>
    <cellStyle name="40% - Accent2 8 2 2 2 5 2" xfId="43031" xr:uid="{3AB44FAA-9A17-445A-B7FC-1F13C9099B88}"/>
    <cellStyle name="40% - Accent2 8 2 2 2 6" xfId="27151" xr:uid="{7E8C26B2-3F69-4D1E-85F7-8A875D99DC99}"/>
    <cellStyle name="40% - Accent2 8 2 2 2_Exh G" xfId="2909" xr:uid="{00000000-0005-0000-0000-00002E370000}"/>
    <cellStyle name="40% - Accent2 8 2 2 3" xfId="4098" xr:uid="{00000000-0005-0000-0000-00002F370000}"/>
    <cellStyle name="40% - Accent2 8 2 2 3 2" xfId="7690" xr:uid="{00000000-0005-0000-0000-000030370000}"/>
    <cellStyle name="40% - Accent2 8 2 2 3 2 2" xfId="15660" xr:uid="{00000000-0005-0000-0000-000031370000}"/>
    <cellStyle name="40% - Accent2 8 2 2 3 2 2 2" xfId="39502" xr:uid="{114B299D-63DC-4B23-8B35-D8D24AFA2846}"/>
    <cellStyle name="40% - Accent2 8 2 2 3 2 3" xfId="23606" xr:uid="{00000000-0005-0000-0000-000032370000}"/>
    <cellStyle name="40% - Accent2 8 2 2 3 2 3 2" xfId="47438" xr:uid="{CCE8DB8E-7C88-4708-BD71-DDEEE09A005A}"/>
    <cellStyle name="40% - Accent2 8 2 2 3 2 4" xfId="31561" xr:uid="{06E92A8B-F586-408D-91A3-2D3548E8457E}"/>
    <cellStyle name="40% - Accent2 8 2 2 3 3" xfId="12122" xr:uid="{00000000-0005-0000-0000-000033370000}"/>
    <cellStyle name="40% - Accent2 8 2 2 3 3 2" xfId="35971" xr:uid="{66738711-DCB1-4684-9D5D-E5395F2158F8}"/>
    <cellStyle name="40% - Accent2 8 2 2 3 4" xfId="20077" xr:uid="{00000000-0005-0000-0000-000034370000}"/>
    <cellStyle name="40% - Accent2 8 2 2 3 4 2" xfId="43909" xr:uid="{2C53E1B2-9152-4348-AF98-54AF7021F172}"/>
    <cellStyle name="40% - Accent2 8 2 2 3 5" xfId="28030" xr:uid="{1B31AD2C-D755-40F5-8879-6B5E7C117730}"/>
    <cellStyle name="40% - Accent2 8 2 2 4" xfId="5918" xr:uid="{00000000-0005-0000-0000-000035370000}"/>
    <cellStyle name="40% - Accent2 8 2 2 4 2" xfId="13901" xr:uid="{00000000-0005-0000-0000-000036370000}"/>
    <cellStyle name="40% - Accent2 8 2 2 4 2 2" xfId="37744" xr:uid="{5A7873B2-2379-43AC-AE00-C2B6E388A13B}"/>
    <cellStyle name="40% - Accent2 8 2 2 4 3" xfId="21849" xr:uid="{00000000-0005-0000-0000-000037370000}"/>
    <cellStyle name="40% - Accent2 8 2 2 4 3 2" xfId="45681" xr:uid="{2BCBD240-F970-49AA-9979-1CB2B4572231}"/>
    <cellStyle name="40% - Accent2 8 2 2 4 4" xfId="29803" xr:uid="{7B9A35C9-198D-4038-AFC2-58A73947EFD6}"/>
    <cellStyle name="40% - Accent2 8 2 2 5" xfId="9470" xr:uid="{00000000-0005-0000-0000-000038370000}"/>
    <cellStyle name="40% - Accent2 8 2 2 5 2" xfId="17428" xr:uid="{00000000-0005-0000-0000-000039370000}"/>
    <cellStyle name="40% - Accent2 8 2 2 5 2 2" xfId="41268" xr:uid="{9BCA4A96-81C1-45BF-8585-CE4DE73A9584}"/>
    <cellStyle name="40% - Accent2 8 2 2 5 3" xfId="25372" xr:uid="{00000000-0005-0000-0000-00003A370000}"/>
    <cellStyle name="40% - Accent2 8 2 2 5 3 2" xfId="49204" xr:uid="{940E0A9E-4B2F-46B2-8624-0A782994A3A6}"/>
    <cellStyle name="40% - Accent2 8 2 2 5 4" xfId="33327" xr:uid="{5304529B-1D99-4B8C-AB23-A65F496DC415}"/>
    <cellStyle name="40% - Accent2 8 2 2 6" xfId="10366" xr:uid="{00000000-0005-0000-0000-00003B370000}"/>
    <cellStyle name="40% - Accent2 8 2 2 6 2" xfId="34215" xr:uid="{DC8ED17C-428D-4A2A-AA9C-38177B47B7AB}"/>
    <cellStyle name="40% - Accent2 8 2 2 7" xfId="18321" xr:uid="{00000000-0005-0000-0000-00003C370000}"/>
    <cellStyle name="40% - Accent2 8 2 2 7 2" xfId="42153" xr:uid="{849CCEC2-0CCC-4E81-B325-D9C0DE558F70}"/>
    <cellStyle name="40% - Accent2 8 2 2 8" xfId="26273" xr:uid="{F1B71589-FDEC-4EAA-AD2A-9A8E2BD7B337}"/>
    <cellStyle name="40% - Accent2 8 2 2_Exh G" xfId="2908" xr:uid="{00000000-0005-0000-0000-00003D370000}"/>
    <cellStyle name="40% - Accent2 8 2 3" xfId="1449" xr:uid="{00000000-0005-0000-0000-00003E370000}"/>
    <cellStyle name="40% - Accent2 8 2 3 2" xfId="4976" xr:uid="{00000000-0005-0000-0000-00003F370000}"/>
    <cellStyle name="40% - Accent2 8 2 3 2 2" xfId="8567" xr:uid="{00000000-0005-0000-0000-000040370000}"/>
    <cellStyle name="40% - Accent2 8 2 3 2 2 2" xfId="16537" xr:uid="{00000000-0005-0000-0000-000041370000}"/>
    <cellStyle name="40% - Accent2 8 2 3 2 2 2 2" xfId="40379" xr:uid="{3A827EE2-1202-4245-BC86-91144D8121D1}"/>
    <cellStyle name="40% - Accent2 8 2 3 2 2 3" xfId="24483" xr:uid="{00000000-0005-0000-0000-000042370000}"/>
    <cellStyle name="40% - Accent2 8 2 3 2 2 3 2" xfId="48315" xr:uid="{FBD71264-D469-4B71-A41B-2D3F0A4A6904}"/>
    <cellStyle name="40% - Accent2 8 2 3 2 2 4" xfId="32438" xr:uid="{16A20070-C8B5-4F89-BD1E-52994A499078}"/>
    <cellStyle name="40% - Accent2 8 2 3 2 3" xfId="12999" xr:uid="{00000000-0005-0000-0000-000043370000}"/>
    <cellStyle name="40% - Accent2 8 2 3 2 3 2" xfId="36848" xr:uid="{F878BDA6-4906-43D0-A6F6-A826607A51B2}"/>
    <cellStyle name="40% - Accent2 8 2 3 2 4" xfId="20954" xr:uid="{00000000-0005-0000-0000-000044370000}"/>
    <cellStyle name="40% - Accent2 8 2 3 2 4 2" xfId="44786" xr:uid="{267C9137-98EB-4914-BB83-DCAF8A465368}"/>
    <cellStyle name="40% - Accent2 8 2 3 2 5" xfId="28907" xr:uid="{54F5F73B-E7A5-49E7-88A4-AB7AF56742C0}"/>
    <cellStyle name="40% - Accent2 8 2 3 3" xfId="6808" xr:uid="{00000000-0005-0000-0000-000045370000}"/>
    <cellStyle name="40% - Accent2 8 2 3 3 2" xfId="14779" xr:uid="{00000000-0005-0000-0000-000046370000}"/>
    <cellStyle name="40% - Accent2 8 2 3 3 2 2" xfId="38621" xr:uid="{40579D99-C4EA-4D6D-900F-2A790BB3516C}"/>
    <cellStyle name="40% - Accent2 8 2 3 3 3" xfId="22726" xr:uid="{00000000-0005-0000-0000-000047370000}"/>
    <cellStyle name="40% - Accent2 8 2 3 3 3 2" xfId="46558" xr:uid="{CEE7E2F3-8928-4218-8A94-A3FBACF31698}"/>
    <cellStyle name="40% - Accent2 8 2 3 3 4" xfId="30680" xr:uid="{68D4054A-44E6-4635-94DD-452F46B0BD1C}"/>
    <cellStyle name="40% - Accent2 8 2 3 4" xfId="11243" xr:uid="{00000000-0005-0000-0000-000048370000}"/>
    <cellStyle name="40% - Accent2 8 2 3 4 2" xfId="35092" xr:uid="{0898A93A-A03A-4594-9457-46B365BA5D01}"/>
    <cellStyle name="40% - Accent2 8 2 3 5" xfId="19198" xr:uid="{00000000-0005-0000-0000-000049370000}"/>
    <cellStyle name="40% - Accent2 8 2 3 5 2" xfId="43030" xr:uid="{0A8177A0-3811-482B-8F39-8BEA7FC3D9FE}"/>
    <cellStyle name="40% - Accent2 8 2 3 6" xfId="27150" xr:uid="{13DD78FD-D7CD-4E2E-AB22-5F80BF450055}"/>
    <cellStyle name="40% - Accent2 8 2 3_Exh G" xfId="2910" xr:uid="{00000000-0005-0000-0000-00004A370000}"/>
    <cellStyle name="40% - Accent2 8 2 4" xfId="4097" xr:uid="{00000000-0005-0000-0000-00004B370000}"/>
    <cellStyle name="40% - Accent2 8 2 4 2" xfId="7689" xr:uid="{00000000-0005-0000-0000-00004C370000}"/>
    <cellStyle name="40% - Accent2 8 2 4 2 2" xfId="15659" xr:uid="{00000000-0005-0000-0000-00004D370000}"/>
    <cellStyle name="40% - Accent2 8 2 4 2 2 2" xfId="39501" xr:uid="{A59C5477-FC86-4A57-A097-2EB725C75F3C}"/>
    <cellStyle name="40% - Accent2 8 2 4 2 3" xfId="23605" xr:uid="{00000000-0005-0000-0000-00004E370000}"/>
    <cellStyle name="40% - Accent2 8 2 4 2 3 2" xfId="47437" xr:uid="{84370C5C-BE6A-46D4-91D9-4F47A11B7636}"/>
    <cellStyle name="40% - Accent2 8 2 4 2 4" xfId="31560" xr:uid="{E04C9837-CEA9-440B-8532-31D6E5E9CCF5}"/>
    <cellStyle name="40% - Accent2 8 2 4 3" xfId="12121" xr:uid="{00000000-0005-0000-0000-00004F370000}"/>
    <cellStyle name="40% - Accent2 8 2 4 3 2" xfId="35970" xr:uid="{C45ED26A-D3CC-4B56-9CEA-2C53C1A40069}"/>
    <cellStyle name="40% - Accent2 8 2 4 4" xfId="20076" xr:uid="{00000000-0005-0000-0000-000050370000}"/>
    <cellStyle name="40% - Accent2 8 2 4 4 2" xfId="43908" xr:uid="{15B3132C-B154-47F0-B217-9DFCA17966F1}"/>
    <cellStyle name="40% - Accent2 8 2 4 5" xfId="28029" xr:uid="{2F8DE1C1-EA27-4ED0-8CB4-1EA620F3CDA9}"/>
    <cellStyle name="40% - Accent2 8 2 5" xfId="5917" xr:uid="{00000000-0005-0000-0000-000051370000}"/>
    <cellStyle name="40% - Accent2 8 2 5 2" xfId="13900" xr:uid="{00000000-0005-0000-0000-000052370000}"/>
    <cellStyle name="40% - Accent2 8 2 5 2 2" xfId="37743" xr:uid="{7FB0AA73-F617-4ED0-8889-B60251F74622}"/>
    <cellStyle name="40% - Accent2 8 2 5 3" xfId="21848" xr:uid="{00000000-0005-0000-0000-000053370000}"/>
    <cellStyle name="40% - Accent2 8 2 5 3 2" xfId="45680" xr:uid="{5EB0D5C9-44A9-46C3-BD0C-20BDFD60A112}"/>
    <cellStyle name="40% - Accent2 8 2 5 4" xfId="29802" xr:uid="{0C7ADDFB-6C05-4BB1-BD09-2E78F4484E6C}"/>
    <cellStyle name="40% - Accent2 8 2 6" xfId="9469" xr:uid="{00000000-0005-0000-0000-000054370000}"/>
    <cellStyle name="40% - Accent2 8 2 6 2" xfId="17427" xr:uid="{00000000-0005-0000-0000-000055370000}"/>
    <cellStyle name="40% - Accent2 8 2 6 2 2" xfId="41267" xr:uid="{6FA64F2E-0346-4672-870A-864669802986}"/>
    <cellStyle name="40% - Accent2 8 2 6 3" xfId="25371" xr:uid="{00000000-0005-0000-0000-000056370000}"/>
    <cellStyle name="40% - Accent2 8 2 6 3 2" xfId="49203" xr:uid="{A2945D6C-EEB6-44E1-BEB0-927167C9FD31}"/>
    <cellStyle name="40% - Accent2 8 2 6 4" xfId="33326" xr:uid="{F1830CA1-B7DB-47AA-89D7-36D6442C7988}"/>
    <cellStyle name="40% - Accent2 8 2 7" xfId="10365" xr:uid="{00000000-0005-0000-0000-000057370000}"/>
    <cellStyle name="40% - Accent2 8 2 7 2" xfId="34214" xr:uid="{249D487A-1B63-4A1F-AFC7-2CCD413C8E7D}"/>
    <cellStyle name="40% - Accent2 8 2 8" xfId="18320" xr:uid="{00000000-0005-0000-0000-000058370000}"/>
    <cellStyle name="40% - Accent2 8 2 8 2" xfId="42152" xr:uid="{6475669A-4CB5-4A29-8DC2-D0BBA6CE6470}"/>
    <cellStyle name="40% - Accent2 8 2 9" xfId="26272" xr:uid="{1D447BDF-C705-461E-AA6D-2EA76E898E6E}"/>
    <cellStyle name="40% - Accent2 8 2_Exh G" xfId="2907" xr:uid="{00000000-0005-0000-0000-000059370000}"/>
    <cellStyle name="40% - Accent2 8 3" xfId="425" xr:uid="{00000000-0005-0000-0000-00005A370000}"/>
    <cellStyle name="40% - Accent2 8 3 2" xfId="1451" xr:uid="{00000000-0005-0000-0000-00005B370000}"/>
    <cellStyle name="40% - Accent2 8 3 2 2" xfId="4978" xr:uid="{00000000-0005-0000-0000-00005C370000}"/>
    <cellStyle name="40% - Accent2 8 3 2 2 2" xfId="8569" xr:uid="{00000000-0005-0000-0000-00005D370000}"/>
    <cellStyle name="40% - Accent2 8 3 2 2 2 2" xfId="16539" xr:uid="{00000000-0005-0000-0000-00005E370000}"/>
    <cellStyle name="40% - Accent2 8 3 2 2 2 2 2" xfId="40381" xr:uid="{937704CA-DC43-488A-AD75-DE598F2E2F12}"/>
    <cellStyle name="40% - Accent2 8 3 2 2 2 3" xfId="24485" xr:uid="{00000000-0005-0000-0000-00005F370000}"/>
    <cellStyle name="40% - Accent2 8 3 2 2 2 3 2" xfId="48317" xr:uid="{9FAE75CC-7DD1-4C40-BA08-D4236B93E946}"/>
    <cellStyle name="40% - Accent2 8 3 2 2 2 4" xfId="32440" xr:uid="{624CFEA7-8713-4DEB-8E1F-8C56E573CCFE}"/>
    <cellStyle name="40% - Accent2 8 3 2 2 3" xfId="13001" xr:uid="{00000000-0005-0000-0000-000060370000}"/>
    <cellStyle name="40% - Accent2 8 3 2 2 3 2" xfId="36850" xr:uid="{763DB6DF-54BD-473B-A20A-842A494A5C81}"/>
    <cellStyle name="40% - Accent2 8 3 2 2 4" xfId="20956" xr:uid="{00000000-0005-0000-0000-000061370000}"/>
    <cellStyle name="40% - Accent2 8 3 2 2 4 2" xfId="44788" xr:uid="{F2E49562-AF21-485A-B144-A9060B32D176}"/>
    <cellStyle name="40% - Accent2 8 3 2 2 5" xfId="28909" xr:uid="{378FFE98-1E4A-47AE-85DA-590F163EBA9B}"/>
    <cellStyle name="40% - Accent2 8 3 2 3" xfId="6810" xr:uid="{00000000-0005-0000-0000-000062370000}"/>
    <cellStyle name="40% - Accent2 8 3 2 3 2" xfId="14781" xr:uid="{00000000-0005-0000-0000-000063370000}"/>
    <cellStyle name="40% - Accent2 8 3 2 3 2 2" xfId="38623" xr:uid="{CF30239C-DFBD-402D-8C19-E1025FA93020}"/>
    <cellStyle name="40% - Accent2 8 3 2 3 3" xfId="22728" xr:uid="{00000000-0005-0000-0000-000064370000}"/>
    <cellStyle name="40% - Accent2 8 3 2 3 3 2" xfId="46560" xr:uid="{CB684409-D123-46A6-9A02-C8C6693B0260}"/>
    <cellStyle name="40% - Accent2 8 3 2 3 4" xfId="30682" xr:uid="{E947C11B-9989-4B98-BEFC-90B590B19E62}"/>
    <cellStyle name="40% - Accent2 8 3 2 4" xfId="11245" xr:uid="{00000000-0005-0000-0000-000065370000}"/>
    <cellStyle name="40% - Accent2 8 3 2 4 2" xfId="35094" xr:uid="{3568492B-9595-4614-BCB2-3BB54B987030}"/>
    <cellStyle name="40% - Accent2 8 3 2 5" xfId="19200" xr:uid="{00000000-0005-0000-0000-000066370000}"/>
    <cellStyle name="40% - Accent2 8 3 2 5 2" xfId="43032" xr:uid="{C737C923-F77D-45A8-94ED-8367F5F49281}"/>
    <cellStyle name="40% - Accent2 8 3 2 6" xfId="27152" xr:uid="{D106A3B9-821A-44B7-9293-C6DFD7C9BB62}"/>
    <cellStyle name="40% - Accent2 8 3 2_Exh G" xfId="2912" xr:uid="{00000000-0005-0000-0000-000067370000}"/>
    <cellStyle name="40% - Accent2 8 3 3" xfId="4099" xr:uid="{00000000-0005-0000-0000-000068370000}"/>
    <cellStyle name="40% - Accent2 8 3 3 2" xfId="7691" xr:uid="{00000000-0005-0000-0000-000069370000}"/>
    <cellStyle name="40% - Accent2 8 3 3 2 2" xfId="15661" xr:uid="{00000000-0005-0000-0000-00006A370000}"/>
    <cellStyle name="40% - Accent2 8 3 3 2 2 2" xfId="39503" xr:uid="{D68E4870-487F-4794-B352-C0AB8296C924}"/>
    <cellStyle name="40% - Accent2 8 3 3 2 3" xfId="23607" xr:uid="{00000000-0005-0000-0000-00006B370000}"/>
    <cellStyle name="40% - Accent2 8 3 3 2 3 2" xfId="47439" xr:uid="{B2DA4D1B-3CB1-4607-B399-EF71720CD6F6}"/>
    <cellStyle name="40% - Accent2 8 3 3 2 4" xfId="31562" xr:uid="{011F76AE-80E9-427B-90BE-3306BC63A4EA}"/>
    <cellStyle name="40% - Accent2 8 3 3 3" xfId="12123" xr:uid="{00000000-0005-0000-0000-00006C370000}"/>
    <cellStyle name="40% - Accent2 8 3 3 3 2" xfId="35972" xr:uid="{50027826-6B7D-45A1-A7B4-772A58BB38FB}"/>
    <cellStyle name="40% - Accent2 8 3 3 4" xfId="20078" xr:uid="{00000000-0005-0000-0000-00006D370000}"/>
    <cellStyle name="40% - Accent2 8 3 3 4 2" xfId="43910" xr:uid="{F0CEA638-F585-4BE3-A8CA-EA4F9CF54FC0}"/>
    <cellStyle name="40% - Accent2 8 3 3 5" xfId="28031" xr:uid="{A82A6DA4-DEC2-46AC-BCA4-8ABEC16C94AB}"/>
    <cellStyle name="40% - Accent2 8 3 4" xfId="5919" xr:uid="{00000000-0005-0000-0000-00006E370000}"/>
    <cellStyle name="40% - Accent2 8 3 4 2" xfId="13902" xr:uid="{00000000-0005-0000-0000-00006F370000}"/>
    <cellStyle name="40% - Accent2 8 3 4 2 2" xfId="37745" xr:uid="{8326DB53-1B2D-4E76-9DA1-8E2054755F9D}"/>
    <cellStyle name="40% - Accent2 8 3 4 3" xfId="21850" xr:uid="{00000000-0005-0000-0000-000070370000}"/>
    <cellStyle name="40% - Accent2 8 3 4 3 2" xfId="45682" xr:uid="{B13793AB-48B5-4003-83DE-385FA1CB2751}"/>
    <cellStyle name="40% - Accent2 8 3 4 4" xfId="29804" xr:uid="{1105941F-DD78-4E86-A0B5-29C81C615E6C}"/>
    <cellStyle name="40% - Accent2 8 3 5" xfId="9471" xr:uid="{00000000-0005-0000-0000-000071370000}"/>
    <cellStyle name="40% - Accent2 8 3 5 2" xfId="17429" xr:uid="{00000000-0005-0000-0000-000072370000}"/>
    <cellStyle name="40% - Accent2 8 3 5 2 2" xfId="41269" xr:uid="{441881B4-E07B-4B6B-9627-E57DB0EC8F8D}"/>
    <cellStyle name="40% - Accent2 8 3 5 3" xfId="25373" xr:uid="{00000000-0005-0000-0000-000073370000}"/>
    <cellStyle name="40% - Accent2 8 3 5 3 2" xfId="49205" xr:uid="{E6F59260-7A65-42EB-975B-EE3FD5C188CA}"/>
    <cellStyle name="40% - Accent2 8 3 5 4" xfId="33328" xr:uid="{300B4720-39F6-4D61-A593-59D35C107724}"/>
    <cellStyle name="40% - Accent2 8 3 6" xfId="10367" xr:uid="{00000000-0005-0000-0000-000074370000}"/>
    <cellStyle name="40% - Accent2 8 3 6 2" xfId="34216" xr:uid="{971D71F5-4616-4A82-B054-41678F2CF5AC}"/>
    <cellStyle name="40% - Accent2 8 3 7" xfId="18322" xr:uid="{00000000-0005-0000-0000-000075370000}"/>
    <cellStyle name="40% - Accent2 8 3 7 2" xfId="42154" xr:uid="{715D47BD-1D5C-4DB5-A6BA-E633ADECD555}"/>
    <cellStyle name="40% - Accent2 8 3 8" xfId="26274" xr:uid="{671717B4-DB0D-42EA-9287-C427A18470D9}"/>
    <cellStyle name="40% - Accent2 8 3_Exh G" xfId="2911" xr:uid="{00000000-0005-0000-0000-000076370000}"/>
    <cellStyle name="40% - Accent2 8 4" xfId="953" xr:uid="{00000000-0005-0000-0000-000077370000}"/>
    <cellStyle name="40% - Accent2 8 4 2" xfId="1870" xr:uid="{00000000-0005-0000-0000-000078370000}"/>
    <cellStyle name="40% - Accent2 8 4 2 2" xfId="5387" xr:uid="{00000000-0005-0000-0000-000079370000}"/>
    <cellStyle name="40% - Accent2 8 4 2 2 2" xfId="8978" xr:uid="{00000000-0005-0000-0000-00007A370000}"/>
    <cellStyle name="40% - Accent2 8 4 2 2 2 2" xfId="16948" xr:uid="{00000000-0005-0000-0000-00007B370000}"/>
    <cellStyle name="40% - Accent2 8 4 2 2 2 2 2" xfId="40790" xr:uid="{873FED0E-E410-46CF-BEC0-8D75DB6A2716}"/>
    <cellStyle name="40% - Accent2 8 4 2 2 2 3" xfId="24894" xr:uid="{00000000-0005-0000-0000-00007C370000}"/>
    <cellStyle name="40% - Accent2 8 4 2 2 2 3 2" xfId="48726" xr:uid="{DEE7E4DA-22E6-4B04-AEA3-DFB7758390C4}"/>
    <cellStyle name="40% - Accent2 8 4 2 2 2 4" xfId="32849" xr:uid="{11B9DC38-5E8F-448E-8ADF-40EAA46E3BFD}"/>
    <cellStyle name="40% - Accent2 8 4 2 2 3" xfId="13410" xr:uid="{00000000-0005-0000-0000-00007D370000}"/>
    <cellStyle name="40% - Accent2 8 4 2 2 3 2" xfId="37259" xr:uid="{3D34CAA8-9D76-4637-973F-834827894E8B}"/>
    <cellStyle name="40% - Accent2 8 4 2 2 4" xfId="21365" xr:uid="{00000000-0005-0000-0000-00007E370000}"/>
    <cellStyle name="40% - Accent2 8 4 2 2 4 2" xfId="45197" xr:uid="{E786612F-7406-4D9F-B541-E245EC8935A1}"/>
    <cellStyle name="40% - Accent2 8 4 2 2 5" xfId="29318" xr:uid="{A0193097-1013-4091-B3DF-16C23E018C8B}"/>
    <cellStyle name="40% - Accent2 8 4 2 3" xfId="7219" xr:uid="{00000000-0005-0000-0000-00007F370000}"/>
    <cellStyle name="40% - Accent2 8 4 2 3 2" xfId="15190" xr:uid="{00000000-0005-0000-0000-000080370000}"/>
    <cellStyle name="40% - Accent2 8 4 2 3 2 2" xfId="39032" xr:uid="{8C847272-957B-42AD-B126-AA7864737B79}"/>
    <cellStyle name="40% - Accent2 8 4 2 3 3" xfId="23137" xr:uid="{00000000-0005-0000-0000-000081370000}"/>
    <cellStyle name="40% - Accent2 8 4 2 3 3 2" xfId="46969" xr:uid="{BC47ED58-543E-4DD8-9225-2B84360EBD16}"/>
    <cellStyle name="40% - Accent2 8 4 2 3 4" xfId="31091" xr:uid="{9D95F692-1102-4825-8FB9-BBF165DD1E3F}"/>
    <cellStyle name="40% - Accent2 8 4 2 4" xfId="11654" xr:uid="{00000000-0005-0000-0000-000082370000}"/>
    <cellStyle name="40% - Accent2 8 4 2 4 2" xfId="35503" xr:uid="{B40B63B9-7744-4576-A9BC-317A5402B492}"/>
    <cellStyle name="40% - Accent2 8 4 2 5" xfId="19609" xr:uid="{00000000-0005-0000-0000-000083370000}"/>
    <cellStyle name="40% - Accent2 8 4 2 5 2" xfId="43441" xr:uid="{E92B2896-2476-4267-8820-582D35606A2A}"/>
    <cellStyle name="40% - Accent2 8 4 2 6" xfId="27561" xr:uid="{D723C96A-A680-4351-B643-1F9A16BA22EF}"/>
    <cellStyle name="40% - Accent2 8 4 2_Exh G" xfId="2914" xr:uid="{00000000-0005-0000-0000-000084370000}"/>
    <cellStyle name="40% - Accent2 8 4 3" xfId="4508" xr:uid="{00000000-0005-0000-0000-000085370000}"/>
    <cellStyle name="40% - Accent2 8 4 3 2" xfId="8100" xr:uid="{00000000-0005-0000-0000-000086370000}"/>
    <cellStyle name="40% - Accent2 8 4 3 2 2" xfId="16070" xr:uid="{00000000-0005-0000-0000-000087370000}"/>
    <cellStyle name="40% - Accent2 8 4 3 2 2 2" xfId="39912" xr:uid="{BC7A6E09-BF84-42BC-8036-8F67C08307A3}"/>
    <cellStyle name="40% - Accent2 8 4 3 2 3" xfId="24016" xr:uid="{00000000-0005-0000-0000-000088370000}"/>
    <cellStyle name="40% - Accent2 8 4 3 2 3 2" xfId="47848" xr:uid="{D5AE2412-9707-46FA-9E4D-17A651CD0CC3}"/>
    <cellStyle name="40% - Accent2 8 4 3 2 4" xfId="31971" xr:uid="{55DFA4F5-27AE-4D8C-A1C7-EEAF09D1B3D5}"/>
    <cellStyle name="40% - Accent2 8 4 3 3" xfId="12532" xr:uid="{00000000-0005-0000-0000-000089370000}"/>
    <cellStyle name="40% - Accent2 8 4 3 3 2" xfId="36381" xr:uid="{6618377E-56FE-4D77-9168-296DF091970F}"/>
    <cellStyle name="40% - Accent2 8 4 3 4" xfId="20487" xr:uid="{00000000-0005-0000-0000-00008A370000}"/>
    <cellStyle name="40% - Accent2 8 4 3 4 2" xfId="44319" xr:uid="{A75EF86C-2169-4C2A-9480-9A21F582C610}"/>
    <cellStyle name="40% - Accent2 8 4 3 5" xfId="28440" xr:uid="{E982B94F-593C-4E4F-87C0-B8DD22EF99EA}"/>
    <cellStyle name="40% - Accent2 8 4 4" xfId="6338" xr:uid="{00000000-0005-0000-0000-00008B370000}"/>
    <cellStyle name="40% - Accent2 8 4 4 2" xfId="14312" xr:uid="{00000000-0005-0000-0000-00008C370000}"/>
    <cellStyle name="40% - Accent2 8 4 4 2 2" xfId="38154" xr:uid="{23C4C772-4BE1-4B5E-841F-EDE5299540EB}"/>
    <cellStyle name="40% - Accent2 8 4 4 3" xfId="22259" xr:uid="{00000000-0005-0000-0000-00008D370000}"/>
    <cellStyle name="40% - Accent2 8 4 4 3 2" xfId="46091" xr:uid="{FB64CBE3-4D14-422C-AF10-D2A5F5D444F8}"/>
    <cellStyle name="40% - Accent2 8 4 4 4" xfId="30213" xr:uid="{8D6B4493-525C-4518-AB1F-A6908CB25CCA}"/>
    <cellStyle name="40% - Accent2 8 4 5" xfId="9880" xr:uid="{00000000-0005-0000-0000-00008E370000}"/>
    <cellStyle name="40% - Accent2 8 4 5 2" xfId="17838" xr:uid="{00000000-0005-0000-0000-00008F370000}"/>
    <cellStyle name="40% - Accent2 8 4 5 2 2" xfId="41678" xr:uid="{1A41FFB4-889D-41A8-99A1-3045A76DFA07}"/>
    <cellStyle name="40% - Accent2 8 4 5 3" xfId="25782" xr:uid="{00000000-0005-0000-0000-000090370000}"/>
    <cellStyle name="40% - Accent2 8 4 5 3 2" xfId="49614" xr:uid="{3AF30844-6C14-4A26-8CA8-47570F58EBD8}"/>
    <cellStyle name="40% - Accent2 8 4 5 4" xfId="33737" xr:uid="{A521ED10-1DB1-42B7-B652-5DBA9E2EACF7}"/>
    <cellStyle name="40% - Accent2 8 4 6" xfId="10776" xr:uid="{00000000-0005-0000-0000-000091370000}"/>
    <cellStyle name="40% - Accent2 8 4 6 2" xfId="34625" xr:uid="{5DFB1549-C53D-4EB6-9383-D12E5ACD7BD4}"/>
    <cellStyle name="40% - Accent2 8 4 7" xfId="18731" xr:uid="{00000000-0005-0000-0000-000092370000}"/>
    <cellStyle name="40% - Accent2 8 4 7 2" xfId="42563" xr:uid="{21D07A62-7793-4CDE-A0A4-15F37671CDD2}"/>
    <cellStyle name="40% - Accent2 8 4 8" xfId="26683" xr:uid="{B1BCB9A7-AB0D-4A01-977E-5C5F15B70EE0}"/>
    <cellStyle name="40% - Accent2 8 4_Exh G" xfId="2913" xr:uid="{00000000-0005-0000-0000-000093370000}"/>
    <cellStyle name="40% - Accent2 8 5" xfId="1448" xr:uid="{00000000-0005-0000-0000-000094370000}"/>
    <cellStyle name="40% - Accent2 8 5 2" xfId="4975" xr:uid="{00000000-0005-0000-0000-000095370000}"/>
    <cellStyle name="40% - Accent2 8 5 2 2" xfId="8566" xr:uid="{00000000-0005-0000-0000-000096370000}"/>
    <cellStyle name="40% - Accent2 8 5 2 2 2" xfId="16536" xr:uid="{00000000-0005-0000-0000-000097370000}"/>
    <cellStyle name="40% - Accent2 8 5 2 2 2 2" xfId="40378" xr:uid="{E313DED2-6271-4E88-AEFF-E95C74D6D158}"/>
    <cellStyle name="40% - Accent2 8 5 2 2 3" xfId="24482" xr:uid="{00000000-0005-0000-0000-000098370000}"/>
    <cellStyle name="40% - Accent2 8 5 2 2 3 2" xfId="48314" xr:uid="{BFB57539-416D-42AD-843A-F681CEA12F42}"/>
    <cellStyle name="40% - Accent2 8 5 2 2 4" xfId="32437" xr:uid="{17CBA1A4-553D-4C6D-A60F-9B48ABC640F8}"/>
    <cellStyle name="40% - Accent2 8 5 2 3" xfId="12998" xr:uid="{00000000-0005-0000-0000-000099370000}"/>
    <cellStyle name="40% - Accent2 8 5 2 3 2" xfId="36847" xr:uid="{C9BCEA1E-206E-409C-98D6-C8977F560B37}"/>
    <cellStyle name="40% - Accent2 8 5 2 4" xfId="20953" xr:uid="{00000000-0005-0000-0000-00009A370000}"/>
    <cellStyle name="40% - Accent2 8 5 2 4 2" xfId="44785" xr:uid="{17FB4A9E-D5BB-414A-A383-B340D131420D}"/>
    <cellStyle name="40% - Accent2 8 5 2 5" xfId="28906" xr:uid="{6FE6BBA4-DB50-4B09-AA79-AF5B9609E6F6}"/>
    <cellStyle name="40% - Accent2 8 5 3" xfId="6807" xr:uid="{00000000-0005-0000-0000-00009B370000}"/>
    <cellStyle name="40% - Accent2 8 5 3 2" xfId="14778" xr:uid="{00000000-0005-0000-0000-00009C370000}"/>
    <cellStyle name="40% - Accent2 8 5 3 2 2" xfId="38620" xr:uid="{F8784868-AFA1-4977-9133-53A99A7E8BDD}"/>
    <cellStyle name="40% - Accent2 8 5 3 3" xfId="22725" xr:uid="{00000000-0005-0000-0000-00009D370000}"/>
    <cellStyle name="40% - Accent2 8 5 3 3 2" xfId="46557" xr:uid="{BBB9F074-E783-4952-AEB1-FE463626447D}"/>
    <cellStyle name="40% - Accent2 8 5 3 4" xfId="30679" xr:uid="{4D6405A0-9620-4836-8C0F-C5628E75FC12}"/>
    <cellStyle name="40% - Accent2 8 5 4" xfId="11242" xr:uid="{00000000-0005-0000-0000-00009E370000}"/>
    <cellStyle name="40% - Accent2 8 5 4 2" xfId="35091" xr:uid="{56923332-C037-499B-BD93-F231514C241F}"/>
    <cellStyle name="40% - Accent2 8 5 5" xfId="19197" xr:uid="{00000000-0005-0000-0000-00009F370000}"/>
    <cellStyle name="40% - Accent2 8 5 5 2" xfId="43029" xr:uid="{2AC1C9A4-9261-441D-AB23-83C935D26DED}"/>
    <cellStyle name="40% - Accent2 8 5 6" xfId="27149" xr:uid="{A041A3CA-D97F-4D03-884B-6208AFB24A5B}"/>
    <cellStyle name="40% - Accent2 8 5_Exh G" xfId="2915" xr:uid="{00000000-0005-0000-0000-0000A0370000}"/>
    <cellStyle name="40% - Accent2 8 6" xfId="4096" xr:uid="{00000000-0005-0000-0000-0000A1370000}"/>
    <cellStyle name="40% - Accent2 8 6 2" xfId="7688" xr:uid="{00000000-0005-0000-0000-0000A2370000}"/>
    <cellStyle name="40% - Accent2 8 6 2 2" xfId="15658" xr:uid="{00000000-0005-0000-0000-0000A3370000}"/>
    <cellStyle name="40% - Accent2 8 6 2 2 2" xfId="39500" xr:uid="{ADAA81E3-1F7B-4671-B3DA-CCEDF1EC3049}"/>
    <cellStyle name="40% - Accent2 8 6 2 3" xfId="23604" xr:uid="{00000000-0005-0000-0000-0000A4370000}"/>
    <cellStyle name="40% - Accent2 8 6 2 3 2" xfId="47436" xr:uid="{6E791F29-1447-4278-B5AB-BEA85C7A4EF7}"/>
    <cellStyle name="40% - Accent2 8 6 2 4" xfId="31559" xr:uid="{E00E6DB1-7769-48A5-B0B7-F46065B5C7B9}"/>
    <cellStyle name="40% - Accent2 8 6 3" xfId="12120" xr:uid="{00000000-0005-0000-0000-0000A5370000}"/>
    <cellStyle name="40% - Accent2 8 6 3 2" xfId="35969" xr:uid="{FF80691D-FB54-4DAD-91DF-B0A7D68C7551}"/>
    <cellStyle name="40% - Accent2 8 6 4" xfId="20075" xr:uid="{00000000-0005-0000-0000-0000A6370000}"/>
    <cellStyle name="40% - Accent2 8 6 4 2" xfId="43907" xr:uid="{0FE68EFB-6375-45EC-BDD2-A06632531571}"/>
    <cellStyle name="40% - Accent2 8 6 5" xfId="28028" xr:uid="{2A0E37D0-26AD-4F61-8783-91E79883E83F}"/>
    <cellStyle name="40% - Accent2 8 7" xfId="5916" xr:uid="{00000000-0005-0000-0000-0000A7370000}"/>
    <cellStyle name="40% - Accent2 8 7 2" xfId="13899" xr:uid="{00000000-0005-0000-0000-0000A8370000}"/>
    <cellStyle name="40% - Accent2 8 7 2 2" xfId="37742" xr:uid="{A1A14F8A-4773-4A48-A928-FC1D007A3B21}"/>
    <cellStyle name="40% - Accent2 8 7 3" xfId="21847" xr:uid="{00000000-0005-0000-0000-0000A9370000}"/>
    <cellStyle name="40% - Accent2 8 7 3 2" xfId="45679" xr:uid="{2442D272-CF9E-4764-A0F5-C041C27B9590}"/>
    <cellStyle name="40% - Accent2 8 7 4" xfId="29801" xr:uid="{4B44C72D-DB80-452D-A052-EE90005014E9}"/>
    <cellStyle name="40% - Accent2 8 8" xfId="9468" xr:uid="{00000000-0005-0000-0000-0000AA370000}"/>
    <cellStyle name="40% - Accent2 8 8 2" xfId="17426" xr:uid="{00000000-0005-0000-0000-0000AB370000}"/>
    <cellStyle name="40% - Accent2 8 8 2 2" xfId="41266" xr:uid="{C21C516F-7B6A-427C-A0AF-0DDAAD49FCFA}"/>
    <cellStyle name="40% - Accent2 8 8 3" xfId="25370" xr:uid="{00000000-0005-0000-0000-0000AC370000}"/>
    <cellStyle name="40% - Accent2 8 8 3 2" xfId="49202" xr:uid="{DD26547A-3AE5-446A-941F-CA97C360B641}"/>
    <cellStyle name="40% - Accent2 8 8 4" xfId="33325" xr:uid="{A2AF59D1-06FC-4728-935B-A544B8AC9D0B}"/>
    <cellStyle name="40% - Accent2 8 9" xfId="10364" xr:uid="{00000000-0005-0000-0000-0000AD370000}"/>
    <cellStyle name="40% - Accent2 8 9 2" xfId="34213" xr:uid="{A331A7E6-3959-4BE5-B6AD-AE4A76AE8C39}"/>
    <cellStyle name="40% - Accent2 8_Exh G" xfId="2906" xr:uid="{00000000-0005-0000-0000-0000AE370000}"/>
    <cellStyle name="40% - Accent2 9" xfId="426" xr:uid="{00000000-0005-0000-0000-0000AF370000}"/>
    <cellStyle name="40% - Accent2 9 10" xfId="18323" xr:uid="{00000000-0005-0000-0000-0000B0370000}"/>
    <cellStyle name="40% - Accent2 9 10 2" xfId="42155" xr:uid="{9D91FDB2-C365-453E-8144-1F269643EA1E}"/>
    <cellStyle name="40% - Accent2 9 11" xfId="26275" xr:uid="{9B3071E1-9458-4F54-9A6F-7DB759DD7791}"/>
    <cellStyle name="40% - Accent2 9 2" xfId="427" xr:uid="{00000000-0005-0000-0000-0000B1370000}"/>
    <cellStyle name="40% - Accent2 9 2 2" xfId="428" xr:uid="{00000000-0005-0000-0000-0000B2370000}"/>
    <cellStyle name="40% - Accent2 9 2 2 2" xfId="1454" xr:uid="{00000000-0005-0000-0000-0000B3370000}"/>
    <cellStyle name="40% - Accent2 9 2 2 2 2" xfId="4981" xr:uid="{00000000-0005-0000-0000-0000B4370000}"/>
    <cellStyle name="40% - Accent2 9 2 2 2 2 2" xfId="8572" xr:uid="{00000000-0005-0000-0000-0000B5370000}"/>
    <cellStyle name="40% - Accent2 9 2 2 2 2 2 2" xfId="16542" xr:uid="{00000000-0005-0000-0000-0000B6370000}"/>
    <cellStyle name="40% - Accent2 9 2 2 2 2 2 2 2" xfId="40384" xr:uid="{1A818EA2-7691-4330-8554-576F7850859E}"/>
    <cellStyle name="40% - Accent2 9 2 2 2 2 2 3" xfId="24488" xr:uid="{00000000-0005-0000-0000-0000B7370000}"/>
    <cellStyle name="40% - Accent2 9 2 2 2 2 2 3 2" xfId="48320" xr:uid="{A5CD495C-85A5-4FE5-BA81-385108154547}"/>
    <cellStyle name="40% - Accent2 9 2 2 2 2 2 4" xfId="32443" xr:uid="{4F38F85C-B37C-489A-8FA7-9EA6F9789AEA}"/>
    <cellStyle name="40% - Accent2 9 2 2 2 2 3" xfId="13004" xr:uid="{00000000-0005-0000-0000-0000B8370000}"/>
    <cellStyle name="40% - Accent2 9 2 2 2 2 3 2" xfId="36853" xr:uid="{62C34F96-6E74-4C83-B4BA-1C6DB3605904}"/>
    <cellStyle name="40% - Accent2 9 2 2 2 2 4" xfId="20959" xr:uid="{00000000-0005-0000-0000-0000B9370000}"/>
    <cellStyle name="40% - Accent2 9 2 2 2 2 4 2" xfId="44791" xr:uid="{A9F41B72-D9F1-4892-8EB5-9BC63235CB19}"/>
    <cellStyle name="40% - Accent2 9 2 2 2 2 5" xfId="28912" xr:uid="{0733DC69-A294-45A5-A4EB-A56D0E9F15AF}"/>
    <cellStyle name="40% - Accent2 9 2 2 2 3" xfId="6813" xr:uid="{00000000-0005-0000-0000-0000BA370000}"/>
    <cellStyle name="40% - Accent2 9 2 2 2 3 2" xfId="14784" xr:uid="{00000000-0005-0000-0000-0000BB370000}"/>
    <cellStyle name="40% - Accent2 9 2 2 2 3 2 2" xfId="38626" xr:uid="{10A2A6C3-A5CA-4C2D-8804-155387022186}"/>
    <cellStyle name="40% - Accent2 9 2 2 2 3 3" xfId="22731" xr:uid="{00000000-0005-0000-0000-0000BC370000}"/>
    <cellStyle name="40% - Accent2 9 2 2 2 3 3 2" xfId="46563" xr:uid="{420194A5-76D1-42ED-91CA-67D0DC576AC4}"/>
    <cellStyle name="40% - Accent2 9 2 2 2 3 4" xfId="30685" xr:uid="{76DCCD73-6809-45BF-8B7B-3319141C8DE5}"/>
    <cellStyle name="40% - Accent2 9 2 2 2 4" xfId="11248" xr:uid="{00000000-0005-0000-0000-0000BD370000}"/>
    <cellStyle name="40% - Accent2 9 2 2 2 4 2" xfId="35097" xr:uid="{935FABA4-C928-436C-A0B0-F922FDADC186}"/>
    <cellStyle name="40% - Accent2 9 2 2 2 5" xfId="19203" xr:uid="{00000000-0005-0000-0000-0000BE370000}"/>
    <cellStyle name="40% - Accent2 9 2 2 2 5 2" xfId="43035" xr:uid="{38B163DF-5DCA-4268-9F5C-C7B05770CB9F}"/>
    <cellStyle name="40% - Accent2 9 2 2 2 6" xfId="27155" xr:uid="{739B09BB-1764-4BB2-AEF0-29280343C519}"/>
    <cellStyle name="40% - Accent2 9 2 2 2_Exh G" xfId="2919" xr:uid="{00000000-0005-0000-0000-0000BF370000}"/>
    <cellStyle name="40% - Accent2 9 2 2 3" xfId="4102" xr:uid="{00000000-0005-0000-0000-0000C0370000}"/>
    <cellStyle name="40% - Accent2 9 2 2 3 2" xfId="7694" xr:uid="{00000000-0005-0000-0000-0000C1370000}"/>
    <cellStyle name="40% - Accent2 9 2 2 3 2 2" xfId="15664" xr:uid="{00000000-0005-0000-0000-0000C2370000}"/>
    <cellStyle name="40% - Accent2 9 2 2 3 2 2 2" xfId="39506" xr:uid="{FA9D3525-5638-45BF-B2BF-591F2CA8F684}"/>
    <cellStyle name="40% - Accent2 9 2 2 3 2 3" xfId="23610" xr:uid="{00000000-0005-0000-0000-0000C3370000}"/>
    <cellStyle name="40% - Accent2 9 2 2 3 2 3 2" xfId="47442" xr:uid="{B774D899-44E0-41E2-9EE9-7A888C21B027}"/>
    <cellStyle name="40% - Accent2 9 2 2 3 2 4" xfId="31565" xr:uid="{AD255D7D-0B95-47CE-AAC5-5B9C727F3110}"/>
    <cellStyle name="40% - Accent2 9 2 2 3 3" xfId="12126" xr:uid="{00000000-0005-0000-0000-0000C4370000}"/>
    <cellStyle name="40% - Accent2 9 2 2 3 3 2" xfId="35975" xr:uid="{AC8EF79F-DB46-4FE8-B4B4-43902ED61CBA}"/>
    <cellStyle name="40% - Accent2 9 2 2 3 4" xfId="20081" xr:uid="{00000000-0005-0000-0000-0000C5370000}"/>
    <cellStyle name="40% - Accent2 9 2 2 3 4 2" xfId="43913" xr:uid="{C8F06135-2199-41AE-8921-E976EDA667F2}"/>
    <cellStyle name="40% - Accent2 9 2 2 3 5" xfId="28034" xr:uid="{1D86BF30-15EB-424B-84B7-8C8290F05E66}"/>
    <cellStyle name="40% - Accent2 9 2 2 4" xfId="5922" xr:uid="{00000000-0005-0000-0000-0000C6370000}"/>
    <cellStyle name="40% - Accent2 9 2 2 4 2" xfId="13905" xr:uid="{00000000-0005-0000-0000-0000C7370000}"/>
    <cellStyle name="40% - Accent2 9 2 2 4 2 2" xfId="37748" xr:uid="{739F20C5-B67D-442D-98F8-C076F416C404}"/>
    <cellStyle name="40% - Accent2 9 2 2 4 3" xfId="21853" xr:uid="{00000000-0005-0000-0000-0000C8370000}"/>
    <cellStyle name="40% - Accent2 9 2 2 4 3 2" xfId="45685" xr:uid="{55811174-9025-4278-A321-A25AAFFFEB4E}"/>
    <cellStyle name="40% - Accent2 9 2 2 4 4" xfId="29807" xr:uid="{51F1E1B5-EDE1-4FF4-B198-7FE6D9E7074B}"/>
    <cellStyle name="40% - Accent2 9 2 2 5" xfId="9474" xr:uid="{00000000-0005-0000-0000-0000C9370000}"/>
    <cellStyle name="40% - Accent2 9 2 2 5 2" xfId="17432" xr:uid="{00000000-0005-0000-0000-0000CA370000}"/>
    <cellStyle name="40% - Accent2 9 2 2 5 2 2" xfId="41272" xr:uid="{E5CAF9CD-FFF3-4C77-9F46-29542368B91E}"/>
    <cellStyle name="40% - Accent2 9 2 2 5 3" xfId="25376" xr:uid="{00000000-0005-0000-0000-0000CB370000}"/>
    <cellStyle name="40% - Accent2 9 2 2 5 3 2" xfId="49208" xr:uid="{CBDB4F8D-19E4-4404-97E0-CBE820B69B3D}"/>
    <cellStyle name="40% - Accent2 9 2 2 5 4" xfId="33331" xr:uid="{7217F120-38CB-4759-B2B5-42A27FFAC177}"/>
    <cellStyle name="40% - Accent2 9 2 2 6" xfId="10370" xr:uid="{00000000-0005-0000-0000-0000CC370000}"/>
    <cellStyle name="40% - Accent2 9 2 2 6 2" xfId="34219" xr:uid="{AD229586-A75A-4D63-9205-5AE526A2D5FC}"/>
    <cellStyle name="40% - Accent2 9 2 2 7" xfId="18325" xr:uid="{00000000-0005-0000-0000-0000CD370000}"/>
    <cellStyle name="40% - Accent2 9 2 2 7 2" xfId="42157" xr:uid="{23193DAD-342C-4584-8CD8-C0E7D034429E}"/>
    <cellStyle name="40% - Accent2 9 2 2 8" xfId="26277" xr:uid="{38EE6F9E-4A24-469F-A16E-0A340FF16C1D}"/>
    <cellStyle name="40% - Accent2 9 2 2_Exh G" xfId="2918" xr:uid="{00000000-0005-0000-0000-0000CE370000}"/>
    <cellStyle name="40% - Accent2 9 2 3" xfId="1453" xr:uid="{00000000-0005-0000-0000-0000CF370000}"/>
    <cellStyle name="40% - Accent2 9 2 3 2" xfId="4980" xr:uid="{00000000-0005-0000-0000-0000D0370000}"/>
    <cellStyle name="40% - Accent2 9 2 3 2 2" xfId="8571" xr:uid="{00000000-0005-0000-0000-0000D1370000}"/>
    <cellStyle name="40% - Accent2 9 2 3 2 2 2" xfId="16541" xr:uid="{00000000-0005-0000-0000-0000D2370000}"/>
    <cellStyle name="40% - Accent2 9 2 3 2 2 2 2" xfId="40383" xr:uid="{9DF12AF6-0C55-4F9E-B6F7-420525AF1D8A}"/>
    <cellStyle name="40% - Accent2 9 2 3 2 2 3" xfId="24487" xr:uid="{00000000-0005-0000-0000-0000D3370000}"/>
    <cellStyle name="40% - Accent2 9 2 3 2 2 3 2" xfId="48319" xr:uid="{0E56A1AE-BDA8-45DB-B33E-369C08A91B23}"/>
    <cellStyle name="40% - Accent2 9 2 3 2 2 4" xfId="32442" xr:uid="{3C25C93C-8648-4CA5-BC40-6D4237ADD252}"/>
    <cellStyle name="40% - Accent2 9 2 3 2 3" xfId="13003" xr:uid="{00000000-0005-0000-0000-0000D4370000}"/>
    <cellStyle name="40% - Accent2 9 2 3 2 3 2" xfId="36852" xr:uid="{0A43FE63-BEF9-4DB8-B964-2F2F7DEDBBDD}"/>
    <cellStyle name="40% - Accent2 9 2 3 2 4" xfId="20958" xr:uid="{00000000-0005-0000-0000-0000D5370000}"/>
    <cellStyle name="40% - Accent2 9 2 3 2 4 2" xfId="44790" xr:uid="{E37BF21A-4D06-4C98-B90F-D56E34E475A0}"/>
    <cellStyle name="40% - Accent2 9 2 3 2 5" xfId="28911" xr:uid="{024C505E-6FA0-40FC-A2AE-92995E20562E}"/>
    <cellStyle name="40% - Accent2 9 2 3 3" xfId="6812" xr:uid="{00000000-0005-0000-0000-0000D6370000}"/>
    <cellStyle name="40% - Accent2 9 2 3 3 2" xfId="14783" xr:uid="{00000000-0005-0000-0000-0000D7370000}"/>
    <cellStyle name="40% - Accent2 9 2 3 3 2 2" xfId="38625" xr:uid="{BEBF3962-A3CB-43B1-AD40-3918B3B7EFAF}"/>
    <cellStyle name="40% - Accent2 9 2 3 3 3" xfId="22730" xr:uid="{00000000-0005-0000-0000-0000D8370000}"/>
    <cellStyle name="40% - Accent2 9 2 3 3 3 2" xfId="46562" xr:uid="{7AD98134-79FE-4F52-86B5-35254B0D059A}"/>
    <cellStyle name="40% - Accent2 9 2 3 3 4" xfId="30684" xr:uid="{2BBF786B-DE70-4C8D-8474-8D8444EAB932}"/>
    <cellStyle name="40% - Accent2 9 2 3 4" xfId="11247" xr:uid="{00000000-0005-0000-0000-0000D9370000}"/>
    <cellStyle name="40% - Accent2 9 2 3 4 2" xfId="35096" xr:uid="{86C2B4FD-7D41-4138-A882-164E655F6C7F}"/>
    <cellStyle name="40% - Accent2 9 2 3 5" xfId="19202" xr:uid="{00000000-0005-0000-0000-0000DA370000}"/>
    <cellStyle name="40% - Accent2 9 2 3 5 2" xfId="43034" xr:uid="{ECDDEC4C-D31C-4524-891B-0D9CC8CFC646}"/>
    <cellStyle name="40% - Accent2 9 2 3 6" xfId="27154" xr:uid="{DFA5B8FD-DA1D-4D03-8D37-3F64CAE4E617}"/>
    <cellStyle name="40% - Accent2 9 2 3_Exh G" xfId="2920" xr:uid="{00000000-0005-0000-0000-0000DB370000}"/>
    <cellStyle name="40% - Accent2 9 2 4" xfId="4101" xr:uid="{00000000-0005-0000-0000-0000DC370000}"/>
    <cellStyle name="40% - Accent2 9 2 4 2" xfId="7693" xr:uid="{00000000-0005-0000-0000-0000DD370000}"/>
    <cellStyle name="40% - Accent2 9 2 4 2 2" xfId="15663" xr:uid="{00000000-0005-0000-0000-0000DE370000}"/>
    <cellStyle name="40% - Accent2 9 2 4 2 2 2" xfId="39505" xr:uid="{4F1B26FE-6F09-467F-9419-DED247948235}"/>
    <cellStyle name="40% - Accent2 9 2 4 2 3" xfId="23609" xr:uid="{00000000-0005-0000-0000-0000DF370000}"/>
    <cellStyle name="40% - Accent2 9 2 4 2 3 2" xfId="47441" xr:uid="{B55BDB90-638B-4A1C-AC5E-245FE7A06799}"/>
    <cellStyle name="40% - Accent2 9 2 4 2 4" xfId="31564" xr:uid="{BEB32DAF-CAE3-4E95-8030-A5545C205AC0}"/>
    <cellStyle name="40% - Accent2 9 2 4 3" xfId="12125" xr:uid="{00000000-0005-0000-0000-0000E0370000}"/>
    <cellStyle name="40% - Accent2 9 2 4 3 2" xfId="35974" xr:uid="{F5C6A411-21D8-4448-8E39-AFDD403887E2}"/>
    <cellStyle name="40% - Accent2 9 2 4 4" xfId="20080" xr:uid="{00000000-0005-0000-0000-0000E1370000}"/>
    <cellStyle name="40% - Accent2 9 2 4 4 2" xfId="43912" xr:uid="{EF5F5EA9-DE80-488B-B53C-CA081D2AE2FA}"/>
    <cellStyle name="40% - Accent2 9 2 4 5" xfId="28033" xr:uid="{A2516867-F9FE-4624-B365-B2C88DB17678}"/>
    <cellStyle name="40% - Accent2 9 2 5" xfId="5921" xr:uid="{00000000-0005-0000-0000-0000E2370000}"/>
    <cellStyle name="40% - Accent2 9 2 5 2" xfId="13904" xr:uid="{00000000-0005-0000-0000-0000E3370000}"/>
    <cellStyle name="40% - Accent2 9 2 5 2 2" xfId="37747" xr:uid="{56C92A42-B2DD-4836-AA70-EF9674018CB5}"/>
    <cellStyle name="40% - Accent2 9 2 5 3" xfId="21852" xr:uid="{00000000-0005-0000-0000-0000E4370000}"/>
    <cellStyle name="40% - Accent2 9 2 5 3 2" xfId="45684" xr:uid="{58CEA88D-C075-442B-9336-C9DDF3DDD660}"/>
    <cellStyle name="40% - Accent2 9 2 5 4" xfId="29806" xr:uid="{4C334CD2-E586-4F44-9B9C-818BB771E86C}"/>
    <cellStyle name="40% - Accent2 9 2 6" xfId="9473" xr:uid="{00000000-0005-0000-0000-0000E5370000}"/>
    <cellStyle name="40% - Accent2 9 2 6 2" xfId="17431" xr:uid="{00000000-0005-0000-0000-0000E6370000}"/>
    <cellStyle name="40% - Accent2 9 2 6 2 2" xfId="41271" xr:uid="{C25CB17D-35BE-45D8-9C61-5AD1970BE244}"/>
    <cellStyle name="40% - Accent2 9 2 6 3" xfId="25375" xr:uid="{00000000-0005-0000-0000-0000E7370000}"/>
    <cellStyle name="40% - Accent2 9 2 6 3 2" xfId="49207" xr:uid="{97CBC0E7-2491-4457-8B03-779050793471}"/>
    <cellStyle name="40% - Accent2 9 2 6 4" xfId="33330" xr:uid="{0C5C4C72-16BD-4907-93BD-68CA9E58B38D}"/>
    <cellStyle name="40% - Accent2 9 2 7" xfId="10369" xr:uid="{00000000-0005-0000-0000-0000E8370000}"/>
    <cellStyle name="40% - Accent2 9 2 7 2" xfId="34218" xr:uid="{77B53D50-72F6-40A3-8C4B-1014FDF2FEB9}"/>
    <cellStyle name="40% - Accent2 9 2 8" xfId="18324" xr:uid="{00000000-0005-0000-0000-0000E9370000}"/>
    <cellStyle name="40% - Accent2 9 2 8 2" xfId="42156" xr:uid="{CC2A0CDC-32AF-4A6D-A56D-F74B0593AC6E}"/>
    <cellStyle name="40% - Accent2 9 2 9" xfId="26276" xr:uid="{3FACE7AA-7F60-4ABC-BF64-6E4F4EE04223}"/>
    <cellStyle name="40% - Accent2 9 2_Exh G" xfId="2917" xr:uid="{00000000-0005-0000-0000-0000EA370000}"/>
    <cellStyle name="40% - Accent2 9 3" xfId="429" xr:uid="{00000000-0005-0000-0000-0000EB370000}"/>
    <cellStyle name="40% - Accent2 9 3 2" xfId="1455" xr:uid="{00000000-0005-0000-0000-0000EC370000}"/>
    <cellStyle name="40% - Accent2 9 3 2 2" xfId="4982" xr:uid="{00000000-0005-0000-0000-0000ED370000}"/>
    <cellStyle name="40% - Accent2 9 3 2 2 2" xfId="8573" xr:uid="{00000000-0005-0000-0000-0000EE370000}"/>
    <cellStyle name="40% - Accent2 9 3 2 2 2 2" xfId="16543" xr:uid="{00000000-0005-0000-0000-0000EF370000}"/>
    <cellStyle name="40% - Accent2 9 3 2 2 2 2 2" xfId="40385" xr:uid="{9306A775-9FDC-4F8F-82E8-C9CC5BBF55E4}"/>
    <cellStyle name="40% - Accent2 9 3 2 2 2 3" xfId="24489" xr:uid="{00000000-0005-0000-0000-0000F0370000}"/>
    <cellStyle name="40% - Accent2 9 3 2 2 2 3 2" xfId="48321" xr:uid="{0187C5FD-F4AE-4C26-B74F-BD3B6B25B2F1}"/>
    <cellStyle name="40% - Accent2 9 3 2 2 2 4" xfId="32444" xr:uid="{2CB3993B-E102-4D23-BA8C-4D1E85D44147}"/>
    <cellStyle name="40% - Accent2 9 3 2 2 3" xfId="13005" xr:uid="{00000000-0005-0000-0000-0000F1370000}"/>
    <cellStyle name="40% - Accent2 9 3 2 2 3 2" xfId="36854" xr:uid="{8913A634-014C-490D-A7A6-775191DD6514}"/>
    <cellStyle name="40% - Accent2 9 3 2 2 4" xfId="20960" xr:uid="{00000000-0005-0000-0000-0000F2370000}"/>
    <cellStyle name="40% - Accent2 9 3 2 2 4 2" xfId="44792" xr:uid="{C822EECF-A8CE-4DDD-8E83-EAACDA9ABAEB}"/>
    <cellStyle name="40% - Accent2 9 3 2 2 5" xfId="28913" xr:uid="{093434C1-93B2-455C-837A-4DF056AE6734}"/>
    <cellStyle name="40% - Accent2 9 3 2 3" xfId="6814" xr:uid="{00000000-0005-0000-0000-0000F3370000}"/>
    <cellStyle name="40% - Accent2 9 3 2 3 2" xfId="14785" xr:uid="{00000000-0005-0000-0000-0000F4370000}"/>
    <cellStyle name="40% - Accent2 9 3 2 3 2 2" xfId="38627" xr:uid="{86E944D1-F4D8-489B-87D6-D8673E37C7A6}"/>
    <cellStyle name="40% - Accent2 9 3 2 3 3" xfId="22732" xr:uid="{00000000-0005-0000-0000-0000F5370000}"/>
    <cellStyle name="40% - Accent2 9 3 2 3 3 2" xfId="46564" xr:uid="{64057FBE-10FF-474F-BB75-B0EE16BD9B85}"/>
    <cellStyle name="40% - Accent2 9 3 2 3 4" xfId="30686" xr:uid="{41B38F75-1AB0-4D89-925C-FED12BF7A74B}"/>
    <cellStyle name="40% - Accent2 9 3 2 4" xfId="11249" xr:uid="{00000000-0005-0000-0000-0000F6370000}"/>
    <cellStyle name="40% - Accent2 9 3 2 4 2" xfId="35098" xr:uid="{4BDF730A-6C7B-4F4C-8C5A-AE74DBBCAFC2}"/>
    <cellStyle name="40% - Accent2 9 3 2 5" xfId="19204" xr:uid="{00000000-0005-0000-0000-0000F7370000}"/>
    <cellStyle name="40% - Accent2 9 3 2 5 2" xfId="43036" xr:uid="{B5308980-702F-4C38-BB80-72451CB056E1}"/>
    <cellStyle name="40% - Accent2 9 3 2 6" xfId="27156" xr:uid="{4DA81E0F-B881-44A5-AC8E-A8BFBBCE34BC}"/>
    <cellStyle name="40% - Accent2 9 3 2_Exh G" xfId="2922" xr:uid="{00000000-0005-0000-0000-0000F8370000}"/>
    <cellStyle name="40% - Accent2 9 3 3" xfId="4103" xr:uid="{00000000-0005-0000-0000-0000F9370000}"/>
    <cellStyle name="40% - Accent2 9 3 3 2" xfId="7695" xr:uid="{00000000-0005-0000-0000-0000FA370000}"/>
    <cellStyle name="40% - Accent2 9 3 3 2 2" xfId="15665" xr:uid="{00000000-0005-0000-0000-0000FB370000}"/>
    <cellStyle name="40% - Accent2 9 3 3 2 2 2" xfId="39507" xr:uid="{6B11E242-8AD7-48E9-9AF6-28FE7A467315}"/>
    <cellStyle name="40% - Accent2 9 3 3 2 3" xfId="23611" xr:uid="{00000000-0005-0000-0000-0000FC370000}"/>
    <cellStyle name="40% - Accent2 9 3 3 2 3 2" xfId="47443" xr:uid="{0405BFD6-2C35-4DB9-8AD5-B92E4511581A}"/>
    <cellStyle name="40% - Accent2 9 3 3 2 4" xfId="31566" xr:uid="{A54B87EA-E5DA-4007-8074-FD74416D4E6D}"/>
    <cellStyle name="40% - Accent2 9 3 3 3" xfId="12127" xr:uid="{00000000-0005-0000-0000-0000FD370000}"/>
    <cellStyle name="40% - Accent2 9 3 3 3 2" xfId="35976" xr:uid="{02F08A68-B2BE-49D9-B697-6F4F06518E19}"/>
    <cellStyle name="40% - Accent2 9 3 3 4" xfId="20082" xr:uid="{00000000-0005-0000-0000-0000FE370000}"/>
    <cellStyle name="40% - Accent2 9 3 3 4 2" xfId="43914" xr:uid="{4DB60B6E-7628-4631-A76B-360273C3C945}"/>
    <cellStyle name="40% - Accent2 9 3 3 5" xfId="28035" xr:uid="{222BACE6-9123-4CF3-BB70-24960BAF1EA4}"/>
    <cellStyle name="40% - Accent2 9 3 4" xfId="5923" xr:uid="{00000000-0005-0000-0000-0000FF370000}"/>
    <cellStyle name="40% - Accent2 9 3 4 2" xfId="13906" xr:uid="{00000000-0005-0000-0000-000000380000}"/>
    <cellStyle name="40% - Accent2 9 3 4 2 2" xfId="37749" xr:uid="{578D6B04-978D-4D5A-B763-DC544BF320B5}"/>
    <cellStyle name="40% - Accent2 9 3 4 3" xfId="21854" xr:uid="{00000000-0005-0000-0000-000001380000}"/>
    <cellStyle name="40% - Accent2 9 3 4 3 2" xfId="45686" xr:uid="{30D3F7B4-EB3D-40EF-96C5-BE7D751315EB}"/>
    <cellStyle name="40% - Accent2 9 3 4 4" xfId="29808" xr:uid="{D7E1E6C8-DD5F-4515-B796-A51F451DCC5B}"/>
    <cellStyle name="40% - Accent2 9 3 5" xfId="9475" xr:uid="{00000000-0005-0000-0000-000002380000}"/>
    <cellStyle name="40% - Accent2 9 3 5 2" xfId="17433" xr:uid="{00000000-0005-0000-0000-000003380000}"/>
    <cellStyle name="40% - Accent2 9 3 5 2 2" xfId="41273" xr:uid="{68506962-92E0-4F84-820F-FDF7D0213437}"/>
    <cellStyle name="40% - Accent2 9 3 5 3" xfId="25377" xr:uid="{00000000-0005-0000-0000-000004380000}"/>
    <cellStyle name="40% - Accent2 9 3 5 3 2" xfId="49209" xr:uid="{92750618-9641-42BA-8DDF-02D30751E469}"/>
    <cellStyle name="40% - Accent2 9 3 5 4" xfId="33332" xr:uid="{0C849CF7-3A69-499E-A76B-CCA610845635}"/>
    <cellStyle name="40% - Accent2 9 3 6" xfId="10371" xr:uid="{00000000-0005-0000-0000-000005380000}"/>
    <cellStyle name="40% - Accent2 9 3 6 2" xfId="34220" xr:uid="{D3D4B0E4-39C6-4180-9B07-F412090606A2}"/>
    <cellStyle name="40% - Accent2 9 3 7" xfId="18326" xr:uid="{00000000-0005-0000-0000-000006380000}"/>
    <cellStyle name="40% - Accent2 9 3 7 2" xfId="42158" xr:uid="{170EAA3B-7D7F-4CC7-AC74-35FF8411F793}"/>
    <cellStyle name="40% - Accent2 9 3 8" xfId="26278" xr:uid="{1B4C55E8-A639-4DF7-B9D0-18B3BE2BE7AB}"/>
    <cellStyle name="40% - Accent2 9 3_Exh G" xfId="2921" xr:uid="{00000000-0005-0000-0000-000007380000}"/>
    <cellStyle name="40% - Accent2 9 4" xfId="954" xr:uid="{00000000-0005-0000-0000-000008380000}"/>
    <cellStyle name="40% - Accent2 9 4 2" xfId="1871" xr:uid="{00000000-0005-0000-0000-000009380000}"/>
    <cellStyle name="40% - Accent2 9 4 2 2" xfId="5388" xr:uid="{00000000-0005-0000-0000-00000A380000}"/>
    <cellStyle name="40% - Accent2 9 4 2 2 2" xfId="8979" xr:uid="{00000000-0005-0000-0000-00000B380000}"/>
    <cellStyle name="40% - Accent2 9 4 2 2 2 2" xfId="16949" xr:uid="{00000000-0005-0000-0000-00000C380000}"/>
    <cellStyle name="40% - Accent2 9 4 2 2 2 2 2" xfId="40791" xr:uid="{E0A122CE-FC9E-46E6-B656-3A956257736B}"/>
    <cellStyle name="40% - Accent2 9 4 2 2 2 3" xfId="24895" xr:uid="{00000000-0005-0000-0000-00000D380000}"/>
    <cellStyle name="40% - Accent2 9 4 2 2 2 3 2" xfId="48727" xr:uid="{97A90131-A3F0-4C23-9ED8-16F093D3E548}"/>
    <cellStyle name="40% - Accent2 9 4 2 2 2 4" xfId="32850" xr:uid="{2FDC8149-86A8-4961-9365-AC034DFDD490}"/>
    <cellStyle name="40% - Accent2 9 4 2 2 3" xfId="13411" xr:uid="{00000000-0005-0000-0000-00000E380000}"/>
    <cellStyle name="40% - Accent2 9 4 2 2 3 2" xfId="37260" xr:uid="{9886D8A9-947C-4E3B-BA61-87C055BE628C}"/>
    <cellStyle name="40% - Accent2 9 4 2 2 4" xfId="21366" xr:uid="{00000000-0005-0000-0000-00000F380000}"/>
    <cellStyle name="40% - Accent2 9 4 2 2 4 2" xfId="45198" xr:uid="{C636207B-95C7-4BE3-8629-1FE24291882E}"/>
    <cellStyle name="40% - Accent2 9 4 2 2 5" xfId="29319" xr:uid="{B0836826-6B98-45D2-8A1F-5EBF4D0638EE}"/>
    <cellStyle name="40% - Accent2 9 4 2 3" xfId="7220" xr:uid="{00000000-0005-0000-0000-000010380000}"/>
    <cellStyle name="40% - Accent2 9 4 2 3 2" xfId="15191" xr:uid="{00000000-0005-0000-0000-000011380000}"/>
    <cellStyle name="40% - Accent2 9 4 2 3 2 2" xfId="39033" xr:uid="{8CB4FD69-E3AA-4208-AAE4-CB81641F20AD}"/>
    <cellStyle name="40% - Accent2 9 4 2 3 3" xfId="23138" xr:uid="{00000000-0005-0000-0000-000012380000}"/>
    <cellStyle name="40% - Accent2 9 4 2 3 3 2" xfId="46970" xr:uid="{CB8B7546-9AFA-4556-BAB4-B0A4E718ABF6}"/>
    <cellStyle name="40% - Accent2 9 4 2 3 4" xfId="31092" xr:uid="{C78F0782-194A-47CF-8166-4B08920677AF}"/>
    <cellStyle name="40% - Accent2 9 4 2 4" xfId="11655" xr:uid="{00000000-0005-0000-0000-000013380000}"/>
    <cellStyle name="40% - Accent2 9 4 2 4 2" xfId="35504" xr:uid="{71501CCD-E144-44ED-8D21-44FC393552A7}"/>
    <cellStyle name="40% - Accent2 9 4 2 5" xfId="19610" xr:uid="{00000000-0005-0000-0000-000014380000}"/>
    <cellStyle name="40% - Accent2 9 4 2 5 2" xfId="43442" xr:uid="{2F2A41AC-71FC-45FB-8914-F6714453273C}"/>
    <cellStyle name="40% - Accent2 9 4 2 6" xfId="27562" xr:uid="{CBD7ECC6-695C-4C9D-88C0-A5B03EDC9A20}"/>
    <cellStyle name="40% - Accent2 9 4 2_Exh G" xfId="2924" xr:uid="{00000000-0005-0000-0000-000015380000}"/>
    <cellStyle name="40% - Accent2 9 4 3" xfId="4509" xr:uid="{00000000-0005-0000-0000-000016380000}"/>
    <cellStyle name="40% - Accent2 9 4 3 2" xfId="8101" xr:uid="{00000000-0005-0000-0000-000017380000}"/>
    <cellStyle name="40% - Accent2 9 4 3 2 2" xfId="16071" xr:uid="{00000000-0005-0000-0000-000018380000}"/>
    <cellStyle name="40% - Accent2 9 4 3 2 2 2" xfId="39913" xr:uid="{FBB72158-22C5-4F6A-9684-7C2345134078}"/>
    <cellStyle name="40% - Accent2 9 4 3 2 3" xfId="24017" xr:uid="{00000000-0005-0000-0000-000019380000}"/>
    <cellStyle name="40% - Accent2 9 4 3 2 3 2" xfId="47849" xr:uid="{C9D2ED9E-9BD3-4987-BF00-929D31D34C52}"/>
    <cellStyle name="40% - Accent2 9 4 3 2 4" xfId="31972" xr:uid="{549D9582-2044-4CE7-952A-49E218904A11}"/>
    <cellStyle name="40% - Accent2 9 4 3 3" xfId="12533" xr:uid="{00000000-0005-0000-0000-00001A380000}"/>
    <cellStyle name="40% - Accent2 9 4 3 3 2" xfId="36382" xr:uid="{713A8996-D1BA-44F7-9428-9B9ADCCE8662}"/>
    <cellStyle name="40% - Accent2 9 4 3 4" xfId="20488" xr:uid="{00000000-0005-0000-0000-00001B380000}"/>
    <cellStyle name="40% - Accent2 9 4 3 4 2" xfId="44320" xr:uid="{5073C482-9A95-45B5-8566-4F1813C905BE}"/>
    <cellStyle name="40% - Accent2 9 4 3 5" xfId="28441" xr:uid="{13A11FA9-127A-430E-BDF9-7D731714D3B2}"/>
    <cellStyle name="40% - Accent2 9 4 4" xfId="6339" xr:uid="{00000000-0005-0000-0000-00001C380000}"/>
    <cellStyle name="40% - Accent2 9 4 4 2" xfId="14313" xr:uid="{00000000-0005-0000-0000-00001D380000}"/>
    <cellStyle name="40% - Accent2 9 4 4 2 2" xfId="38155" xr:uid="{0B5E94B6-7358-457E-BFE4-8621CBF0CA0F}"/>
    <cellStyle name="40% - Accent2 9 4 4 3" xfId="22260" xr:uid="{00000000-0005-0000-0000-00001E380000}"/>
    <cellStyle name="40% - Accent2 9 4 4 3 2" xfId="46092" xr:uid="{A6E95926-D0E9-4B72-81DA-4993D26D964A}"/>
    <cellStyle name="40% - Accent2 9 4 4 4" xfId="30214" xr:uid="{08750E39-DFC9-4069-B973-A9A6E0AA9ED8}"/>
    <cellStyle name="40% - Accent2 9 4 5" xfId="9881" xr:uid="{00000000-0005-0000-0000-00001F380000}"/>
    <cellStyle name="40% - Accent2 9 4 5 2" xfId="17839" xr:uid="{00000000-0005-0000-0000-000020380000}"/>
    <cellStyle name="40% - Accent2 9 4 5 2 2" xfId="41679" xr:uid="{4A67C841-9A28-4224-9B65-597308EB24D1}"/>
    <cellStyle name="40% - Accent2 9 4 5 3" xfId="25783" xr:uid="{00000000-0005-0000-0000-000021380000}"/>
    <cellStyle name="40% - Accent2 9 4 5 3 2" xfId="49615" xr:uid="{637120D7-D8BF-4C0F-8BCC-D9CD74F913B7}"/>
    <cellStyle name="40% - Accent2 9 4 5 4" xfId="33738" xr:uid="{FFDC60B5-21E1-4FCA-B332-6633A363CA3C}"/>
    <cellStyle name="40% - Accent2 9 4 6" xfId="10777" xr:uid="{00000000-0005-0000-0000-000022380000}"/>
    <cellStyle name="40% - Accent2 9 4 6 2" xfId="34626" xr:uid="{9E28BF84-998F-49F4-A0D9-F285D50BB857}"/>
    <cellStyle name="40% - Accent2 9 4 7" xfId="18732" xr:uid="{00000000-0005-0000-0000-000023380000}"/>
    <cellStyle name="40% - Accent2 9 4 7 2" xfId="42564" xr:uid="{A24F91E9-4FF4-4624-8AB2-7695D2F9656F}"/>
    <cellStyle name="40% - Accent2 9 4 8" xfId="26684" xr:uid="{FE117CEB-FEE7-482E-BE80-B12375EBF09E}"/>
    <cellStyle name="40% - Accent2 9 4_Exh G" xfId="2923" xr:uid="{00000000-0005-0000-0000-000024380000}"/>
    <cellStyle name="40% - Accent2 9 5" xfId="1452" xr:uid="{00000000-0005-0000-0000-000025380000}"/>
    <cellStyle name="40% - Accent2 9 5 2" xfId="4979" xr:uid="{00000000-0005-0000-0000-000026380000}"/>
    <cellStyle name="40% - Accent2 9 5 2 2" xfId="8570" xr:uid="{00000000-0005-0000-0000-000027380000}"/>
    <cellStyle name="40% - Accent2 9 5 2 2 2" xfId="16540" xr:uid="{00000000-0005-0000-0000-000028380000}"/>
    <cellStyle name="40% - Accent2 9 5 2 2 2 2" xfId="40382" xr:uid="{97E0802C-2D32-4541-9BF4-D6370A5F97E1}"/>
    <cellStyle name="40% - Accent2 9 5 2 2 3" xfId="24486" xr:uid="{00000000-0005-0000-0000-000029380000}"/>
    <cellStyle name="40% - Accent2 9 5 2 2 3 2" xfId="48318" xr:uid="{D28ED6C3-9AD5-4392-BF5F-3B7FA1C39564}"/>
    <cellStyle name="40% - Accent2 9 5 2 2 4" xfId="32441" xr:uid="{15FD246A-3044-44DA-927A-CFD7D9643CB1}"/>
    <cellStyle name="40% - Accent2 9 5 2 3" xfId="13002" xr:uid="{00000000-0005-0000-0000-00002A380000}"/>
    <cellStyle name="40% - Accent2 9 5 2 3 2" xfId="36851" xr:uid="{811C7A58-82DE-4C38-8AC7-0658EDB5BA3F}"/>
    <cellStyle name="40% - Accent2 9 5 2 4" xfId="20957" xr:uid="{00000000-0005-0000-0000-00002B380000}"/>
    <cellStyle name="40% - Accent2 9 5 2 4 2" xfId="44789" xr:uid="{70CE2AEE-49E9-488A-9BA2-B47053553A7B}"/>
    <cellStyle name="40% - Accent2 9 5 2 5" xfId="28910" xr:uid="{01325990-1747-4DDC-9D20-1C2603CCE963}"/>
    <cellStyle name="40% - Accent2 9 5 3" xfId="6811" xr:uid="{00000000-0005-0000-0000-00002C380000}"/>
    <cellStyle name="40% - Accent2 9 5 3 2" xfId="14782" xr:uid="{00000000-0005-0000-0000-00002D380000}"/>
    <cellStyle name="40% - Accent2 9 5 3 2 2" xfId="38624" xr:uid="{483359A7-7839-46A8-959B-0DFE307724E6}"/>
    <cellStyle name="40% - Accent2 9 5 3 3" xfId="22729" xr:uid="{00000000-0005-0000-0000-00002E380000}"/>
    <cellStyle name="40% - Accent2 9 5 3 3 2" xfId="46561" xr:uid="{80659E03-F25C-4E60-9456-EB937C950C97}"/>
    <cellStyle name="40% - Accent2 9 5 3 4" xfId="30683" xr:uid="{5B943B17-053C-4D8E-B2EA-2E7FD40207A8}"/>
    <cellStyle name="40% - Accent2 9 5 4" xfId="11246" xr:uid="{00000000-0005-0000-0000-00002F380000}"/>
    <cellStyle name="40% - Accent2 9 5 4 2" xfId="35095" xr:uid="{4632288E-7FF8-48E2-BDDC-74800F93B36C}"/>
    <cellStyle name="40% - Accent2 9 5 5" xfId="19201" xr:uid="{00000000-0005-0000-0000-000030380000}"/>
    <cellStyle name="40% - Accent2 9 5 5 2" xfId="43033" xr:uid="{3B9DC9D8-366F-423C-B531-AF00C43CEFD6}"/>
    <cellStyle name="40% - Accent2 9 5 6" xfId="27153" xr:uid="{AEAF5638-78D7-43CF-8BFE-C98A13F1CF30}"/>
    <cellStyle name="40% - Accent2 9 5_Exh G" xfId="2925" xr:uid="{00000000-0005-0000-0000-000031380000}"/>
    <cellStyle name="40% - Accent2 9 6" xfId="4100" xr:uid="{00000000-0005-0000-0000-000032380000}"/>
    <cellStyle name="40% - Accent2 9 6 2" xfId="7692" xr:uid="{00000000-0005-0000-0000-000033380000}"/>
    <cellStyle name="40% - Accent2 9 6 2 2" xfId="15662" xr:uid="{00000000-0005-0000-0000-000034380000}"/>
    <cellStyle name="40% - Accent2 9 6 2 2 2" xfId="39504" xr:uid="{2D5B5EDA-F6E1-4B45-B707-19E2FE4A4BAD}"/>
    <cellStyle name="40% - Accent2 9 6 2 3" xfId="23608" xr:uid="{00000000-0005-0000-0000-000035380000}"/>
    <cellStyle name="40% - Accent2 9 6 2 3 2" xfId="47440" xr:uid="{E2461A19-0D85-49A1-BB6B-29CC4399E9F1}"/>
    <cellStyle name="40% - Accent2 9 6 2 4" xfId="31563" xr:uid="{B2179914-3F62-438E-AFE6-D202F966EFC1}"/>
    <cellStyle name="40% - Accent2 9 6 3" xfId="12124" xr:uid="{00000000-0005-0000-0000-000036380000}"/>
    <cellStyle name="40% - Accent2 9 6 3 2" xfId="35973" xr:uid="{2D723C34-25F6-478B-8364-D9224EBEBD0C}"/>
    <cellStyle name="40% - Accent2 9 6 4" xfId="20079" xr:uid="{00000000-0005-0000-0000-000037380000}"/>
    <cellStyle name="40% - Accent2 9 6 4 2" xfId="43911" xr:uid="{275AC6AE-9F15-4E0D-8403-7B62CB4A4916}"/>
    <cellStyle name="40% - Accent2 9 6 5" xfId="28032" xr:uid="{51E2E43E-F68C-43FA-A868-66F5DD671B44}"/>
    <cellStyle name="40% - Accent2 9 7" xfId="5920" xr:uid="{00000000-0005-0000-0000-000038380000}"/>
    <cellStyle name="40% - Accent2 9 7 2" xfId="13903" xr:uid="{00000000-0005-0000-0000-000039380000}"/>
    <cellStyle name="40% - Accent2 9 7 2 2" xfId="37746" xr:uid="{318007FF-F307-45B4-A394-F6D204A13515}"/>
    <cellStyle name="40% - Accent2 9 7 3" xfId="21851" xr:uid="{00000000-0005-0000-0000-00003A380000}"/>
    <cellStyle name="40% - Accent2 9 7 3 2" xfId="45683" xr:uid="{A339FC58-0829-423F-9EC2-03387681CC21}"/>
    <cellStyle name="40% - Accent2 9 7 4" xfId="29805" xr:uid="{9C2F696A-32E6-436E-8A7F-7DCE9F539027}"/>
    <cellStyle name="40% - Accent2 9 8" xfId="9472" xr:uid="{00000000-0005-0000-0000-00003B380000}"/>
    <cellStyle name="40% - Accent2 9 8 2" xfId="17430" xr:uid="{00000000-0005-0000-0000-00003C380000}"/>
    <cellStyle name="40% - Accent2 9 8 2 2" xfId="41270" xr:uid="{6F5455DB-E785-40C3-A635-EACF1363CC04}"/>
    <cellStyle name="40% - Accent2 9 8 3" xfId="25374" xr:uid="{00000000-0005-0000-0000-00003D380000}"/>
    <cellStyle name="40% - Accent2 9 8 3 2" xfId="49206" xr:uid="{6989F803-62AE-4CB6-8E37-EDDC92C1BAA0}"/>
    <cellStyle name="40% - Accent2 9 8 4" xfId="33329" xr:uid="{CC2C912B-8DCE-4837-8F58-E22635F91000}"/>
    <cellStyle name="40% - Accent2 9 9" xfId="10368" xr:uid="{00000000-0005-0000-0000-00003E380000}"/>
    <cellStyle name="40% - Accent2 9 9 2" xfId="34217" xr:uid="{7A798301-80B6-4F6C-B333-B1D8E60F054C}"/>
    <cellStyle name="40% - Accent2 9_Exh G" xfId="2916" xr:uid="{00000000-0005-0000-0000-00003F380000}"/>
    <cellStyle name="40% - Accent3" xfId="49690" builtinId="39" customBuiltin="1"/>
    <cellStyle name="40% - Accent3 10" xfId="430" xr:uid="{00000000-0005-0000-0000-000040380000}"/>
    <cellStyle name="40% - Accent3 10 10" xfId="18327" xr:uid="{00000000-0005-0000-0000-000041380000}"/>
    <cellStyle name="40% - Accent3 10 10 2" xfId="42159" xr:uid="{F831439E-9CE4-46F0-B1A3-85C89AFD2B20}"/>
    <cellStyle name="40% - Accent3 10 11" xfId="26279" xr:uid="{D810F4AB-48F8-4CAB-9BBF-71C12F070960}"/>
    <cellStyle name="40% - Accent3 10 2" xfId="431" xr:uid="{00000000-0005-0000-0000-000042380000}"/>
    <cellStyle name="40% - Accent3 10 2 2" xfId="432" xr:uid="{00000000-0005-0000-0000-000043380000}"/>
    <cellStyle name="40% - Accent3 10 2 2 2" xfId="1458" xr:uid="{00000000-0005-0000-0000-000044380000}"/>
    <cellStyle name="40% - Accent3 10 2 2 2 2" xfId="4985" xr:uid="{00000000-0005-0000-0000-000045380000}"/>
    <cellStyle name="40% - Accent3 10 2 2 2 2 2" xfId="8576" xr:uid="{00000000-0005-0000-0000-000046380000}"/>
    <cellStyle name="40% - Accent3 10 2 2 2 2 2 2" xfId="16546" xr:uid="{00000000-0005-0000-0000-000047380000}"/>
    <cellStyle name="40% - Accent3 10 2 2 2 2 2 2 2" xfId="40388" xr:uid="{4ADF53B9-1AFC-4A7C-BAB0-BD4F851947D6}"/>
    <cellStyle name="40% - Accent3 10 2 2 2 2 2 3" xfId="24492" xr:uid="{00000000-0005-0000-0000-000048380000}"/>
    <cellStyle name="40% - Accent3 10 2 2 2 2 2 3 2" xfId="48324" xr:uid="{0F1C19A8-C569-4BC3-BFE5-4C02C00D5279}"/>
    <cellStyle name="40% - Accent3 10 2 2 2 2 2 4" xfId="32447" xr:uid="{F61D1097-BD2B-48D4-91B4-63D5A76F6CA5}"/>
    <cellStyle name="40% - Accent3 10 2 2 2 2 3" xfId="13008" xr:uid="{00000000-0005-0000-0000-000049380000}"/>
    <cellStyle name="40% - Accent3 10 2 2 2 2 3 2" xfId="36857" xr:uid="{ED84CC49-7143-4F23-AA0B-B0F8F18E82C1}"/>
    <cellStyle name="40% - Accent3 10 2 2 2 2 4" xfId="20963" xr:uid="{00000000-0005-0000-0000-00004A380000}"/>
    <cellStyle name="40% - Accent3 10 2 2 2 2 4 2" xfId="44795" xr:uid="{CF32FC18-5D42-41CB-8614-7ABE8835AACC}"/>
    <cellStyle name="40% - Accent3 10 2 2 2 2 5" xfId="28916" xr:uid="{44E7EC81-EDB7-4049-9DB3-A6C143AE4270}"/>
    <cellStyle name="40% - Accent3 10 2 2 2 3" xfId="6817" xr:uid="{00000000-0005-0000-0000-00004B380000}"/>
    <cellStyle name="40% - Accent3 10 2 2 2 3 2" xfId="14788" xr:uid="{00000000-0005-0000-0000-00004C380000}"/>
    <cellStyle name="40% - Accent3 10 2 2 2 3 2 2" xfId="38630" xr:uid="{B78C71F7-BC37-4BC9-B565-E6763E13DC9B}"/>
    <cellStyle name="40% - Accent3 10 2 2 2 3 3" xfId="22735" xr:uid="{00000000-0005-0000-0000-00004D380000}"/>
    <cellStyle name="40% - Accent3 10 2 2 2 3 3 2" xfId="46567" xr:uid="{FA5AB461-E856-4EAB-B2B3-83C457EED532}"/>
    <cellStyle name="40% - Accent3 10 2 2 2 3 4" xfId="30689" xr:uid="{3E8C87B7-C977-4C61-A4D5-AA5597E419D0}"/>
    <cellStyle name="40% - Accent3 10 2 2 2 4" xfId="11252" xr:uid="{00000000-0005-0000-0000-00004E380000}"/>
    <cellStyle name="40% - Accent3 10 2 2 2 4 2" xfId="35101" xr:uid="{33583B8E-C932-4C73-8DB4-1F48098BA284}"/>
    <cellStyle name="40% - Accent3 10 2 2 2 5" xfId="19207" xr:uid="{00000000-0005-0000-0000-00004F380000}"/>
    <cellStyle name="40% - Accent3 10 2 2 2 5 2" xfId="43039" xr:uid="{6866EE04-3C06-41C6-BA2E-3C8A7EBB07EF}"/>
    <cellStyle name="40% - Accent3 10 2 2 2 6" xfId="27159" xr:uid="{E1E2D537-17AB-4481-ACCD-76829A80C41C}"/>
    <cellStyle name="40% - Accent3 10 2 2 2_Exh G" xfId="2929" xr:uid="{00000000-0005-0000-0000-000050380000}"/>
    <cellStyle name="40% - Accent3 10 2 2 3" xfId="4106" xr:uid="{00000000-0005-0000-0000-000051380000}"/>
    <cellStyle name="40% - Accent3 10 2 2 3 2" xfId="7698" xr:uid="{00000000-0005-0000-0000-000052380000}"/>
    <cellStyle name="40% - Accent3 10 2 2 3 2 2" xfId="15668" xr:uid="{00000000-0005-0000-0000-000053380000}"/>
    <cellStyle name="40% - Accent3 10 2 2 3 2 2 2" xfId="39510" xr:uid="{B387E84B-44A7-4107-BE5D-B86F94428621}"/>
    <cellStyle name="40% - Accent3 10 2 2 3 2 3" xfId="23614" xr:uid="{00000000-0005-0000-0000-000054380000}"/>
    <cellStyle name="40% - Accent3 10 2 2 3 2 3 2" xfId="47446" xr:uid="{CCD626C6-D190-4C24-A32F-7F3A1E39389A}"/>
    <cellStyle name="40% - Accent3 10 2 2 3 2 4" xfId="31569" xr:uid="{BF1606F1-6083-4208-8312-3AD92567EF84}"/>
    <cellStyle name="40% - Accent3 10 2 2 3 3" xfId="12130" xr:uid="{00000000-0005-0000-0000-000055380000}"/>
    <cellStyle name="40% - Accent3 10 2 2 3 3 2" xfId="35979" xr:uid="{7EE5735C-17AB-46E7-B095-EEE516917AA2}"/>
    <cellStyle name="40% - Accent3 10 2 2 3 4" xfId="20085" xr:uid="{00000000-0005-0000-0000-000056380000}"/>
    <cellStyle name="40% - Accent3 10 2 2 3 4 2" xfId="43917" xr:uid="{915469C6-78A1-43AD-BBEF-494B3885C7AA}"/>
    <cellStyle name="40% - Accent3 10 2 2 3 5" xfId="28038" xr:uid="{7BEA732F-0C8C-4A27-B277-CF09AB3C0723}"/>
    <cellStyle name="40% - Accent3 10 2 2 4" xfId="5926" xr:uid="{00000000-0005-0000-0000-000057380000}"/>
    <cellStyle name="40% - Accent3 10 2 2 4 2" xfId="13909" xr:uid="{00000000-0005-0000-0000-000058380000}"/>
    <cellStyle name="40% - Accent3 10 2 2 4 2 2" xfId="37752" xr:uid="{54E30A2B-ACDD-41BA-A3F6-00937812F181}"/>
    <cellStyle name="40% - Accent3 10 2 2 4 3" xfId="21857" xr:uid="{00000000-0005-0000-0000-000059380000}"/>
    <cellStyle name="40% - Accent3 10 2 2 4 3 2" xfId="45689" xr:uid="{AB9F3E5B-71BA-41A1-B885-0823C8966DCE}"/>
    <cellStyle name="40% - Accent3 10 2 2 4 4" xfId="29811" xr:uid="{F5D757E8-FA08-4132-AC59-747F5A0F27E7}"/>
    <cellStyle name="40% - Accent3 10 2 2 5" xfId="9478" xr:uid="{00000000-0005-0000-0000-00005A380000}"/>
    <cellStyle name="40% - Accent3 10 2 2 5 2" xfId="17436" xr:uid="{00000000-0005-0000-0000-00005B380000}"/>
    <cellStyle name="40% - Accent3 10 2 2 5 2 2" xfId="41276" xr:uid="{E625AFE7-6541-49DC-A2A4-87A265EA5968}"/>
    <cellStyle name="40% - Accent3 10 2 2 5 3" xfId="25380" xr:uid="{00000000-0005-0000-0000-00005C380000}"/>
    <cellStyle name="40% - Accent3 10 2 2 5 3 2" xfId="49212" xr:uid="{A03713F1-BB47-486D-806E-614395F32A19}"/>
    <cellStyle name="40% - Accent3 10 2 2 5 4" xfId="33335" xr:uid="{2EAC7D85-FDBD-47AF-B863-5E660D1C7FE1}"/>
    <cellStyle name="40% - Accent3 10 2 2 6" xfId="10374" xr:uid="{00000000-0005-0000-0000-00005D380000}"/>
    <cellStyle name="40% - Accent3 10 2 2 6 2" xfId="34223" xr:uid="{F6EB6D4C-E59B-46AE-B6AD-9713CCE94657}"/>
    <cellStyle name="40% - Accent3 10 2 2 7" xfId="18329" xr:uid="{00000000-0005-0000-0000-00005E380000}"/>
    <cellStyle name="40% - Accent3 10 2 2 7 2" xfId="42161" xr:uid="{76265628-1937-472D-9AA6-1851D1453CFA}"/>
    <cellStyle name="40% - Accent3 10 2 2 8" xfId="26281" xr:uid="{B5DA5BB1-2E8D-4A6E-AB0F-00D204B7B6AC}"/>
    <cellStyle name="40% - Accent3 10 2 2_Exh G" xfId="2928" xr:uid="{00000000-0005-0000-0000-00005F380000}"/>
    <cellStyle name="40% - Accent3 10 2 3" xfId="1457" xr:uid="{00000000-0005-0000-0000-000060380000}"/>
    <cellStyle name="40% - Accent3 10 2 3 2" xfId="4984" xr:uid="{00000000-0005-0000-0000-000061380000}"/>
    <cellStyle name="40% - Accent3 10 2 3 2 2" xfId="8575" xr:uid="{00000000-0005-0000-0000-000062380000}"/>
    <cellStyle name="40% - Accent3 10 2 3 2 2 2" xfId="16545" xr:uid="{00000000-0005-0000-0000-000063380000}"/>
    <cellStyle name="40% - Accent3 10 2 3 2 2 2 2" xfId="40387" xr:uid="{67C75F41-CF5D-4D5F-BC34-D13541E55A25}"/>
    <cellStyle name="40% - Accent3 10 2 3 2 2 3" xfId="24491" xr:uid="{00000000-0005-0000-0000-000064380000}"/>
    <cellStyle name="40% - Accent3 10 2 3 2 2 3 2" xfId="48323" xr:uid="{84EF1E45-C767-46C3-A850-FBD293714D47}"/>
    <cellStyle name="40% - Accent3 10 2 3 2 2 4" xfId="32446" xr:uid="{6B15F6C4-5E22-49D7-BB56-C3F3A63C144B}"/>
    <cellStyle name="40% - Accent3 10 2 3 2 3" xfId="13007" xr:uid="{00000000-0005-0000-0000-000065380000}"/>
    <cellStyle name="40% - Accent3 10 2 3 2 3 2" xfId="36856" xr:uid="{25F4567A-9DD1-429F-85D2-B1D4FC2F2CF5}"/>
    <cellStyle name="40% - Accent3 10 2 3 2 4" xfId="20962" xr:uid="{00000000-0005-0000-0000-000066380000}"/>
    <cellStyle name="40% - Accent3 10 2 3 2 4 2" xfId="44794" xr:uid="{B5C60053-7BA6-4B9A-B269-9ECE30D8AF52}"/>
    <cellStyle name="40% - Accent3 10 2 3 2 5" xfId="28915" xr:uid="{922D32B1-8C59-40EA-A2AA-005E9C9AA880}"/>
    <cellStyle name="40% - Accent3 10 2 3 3" xfId="6816" xr:uid="{00000000-0005-0000-0000-000067380000}"/>
    <cellStyle name="40% - Accent3 10 2 3 3 2" xfId="14787" xr:uid="{00000000-0005-0000-0000-000068380000}"/>
    <cellStyle name="40% - Accent3 10 2 3 3 2 2" xfId="38629" xr:uid="{9FD37FA0-46F7-4DB3-B3A0-A597DA15394B}"/>
    <cellStyle name="40% - Accent3 10 2 3 3 3" xfId="22734" xr:uid="{00000000-0005-0000-0000-000069380000}"/>
    <cellStyle name="40% - Accent3 10 2 3 3 3 2" xfId="46566" xr:uid="{0688A684-3870-46F9-A19C-82673019AF8B}"/>
    <cellStyle name="40% - Accent3 10 2 3 3 4" xfId="30688" xr:uid="{EE9A72E7-B372-45A0-B74A-A24C68E203F7}"/>
    <cellStyle name="40% - Accent3 10 2 3 4" xfId="11251" xr:uid="{00000000-0005-0000-0000-00006A380000}"/>
    <cellStyle name="40% - Accent3 10 2 3 4 2" xfId="35100" xr:uid="{84DE924A-F527-4637-A4B1-248E5FF10910}"/>
    <cellStyle name="40% - Accent3 10 2 3 5" xfId="19206" xr:uid="{00000000-0005-0000-0000-00006B380000}"/>
    <cellStyle name="40% - Accent3 10 2 3 5 2" xfId="43038" xr:uid="{58351DA0-0A4B-4E28-B477-2732B64F0128}"/>
    <cellStyle name="40% - Accent3 10 2 3 6" xfId="27158" xr:uid="{8276EF07-84B3-41FB-A8BD-698A876DA13D}"/>
    <cellStyle name="40% - Accent3 10 2 3_Exh G" xfId="2930" xr:uid="{00000000-0005-0000-0000-00006C380000}"/>
    <cellStyle name="40% - Accent3 10 2 4" xfId="4105" xr:uid="{00000000-0005-0000-0000-00006D380000}"/>
    <cellStyle name="40% - Accent3 10 2 4 2" xfId="7697" xr:uid="{00000000-0005-0000-0000-00006E380000}"/>
    <cellStyle name="40% - Accent3 10 2 4 2 2" xfId="15667" xr:uid="{00000000-0005-0000-0000-00006F380000}"/>
    <cellStyle name="40% - Accent3 10 2 4 2 2 2" xfId="39509" xr:uid="{66A61A3D-52A2-4ED1-A648-3D6303B16986}"/>
    <cellStyle name="40% - Accent3 10 2 4 2 3" xfId="23613" xr:uid="{00000000-0005-0000-0000-000070380000}"/>
    <cellStyle name="40% - Accent3 10 2 4 2 3 2" xfId="47445" xr:uid="{16D638F0-C546-41A3-996E-784E69425CBA}"/>
    <cellStyle name="40% - Accent3 10 2 4 2 4" xfId="31568" xr:uid="{3DB5626B-CD0E-45AD-849B-522CCE9DECB7}"/>
    <cellStyle name="40% - Accent3 10 2 4 3" xfId="12129" xr:uid="{00000000-0005-0000-0000-000071380000}"/>
    <cellStyle name="40% - Accent3 10 2 4 3 2" xfId="35978" xr:uid="{4F2FD807-A3CE-4500-8C80-2DC9E87C5BA5}"/>
    <cellStyle name="40% - Accent3 10 2 4 4" xfId="20084" xr:uid="{00000000-0005-0000-0000-000072380000}"/>
    <cellStyle name="40% - Accent3 10 2 4 4 2" xfId="43916" xr:uid="{B48392DA-3F3D-4681-9129-2D90A2D76A0C}"/>
    <cellStyle name="40% - Accent3 10 2 4 5" xfId="28037" xr:uid="{1A23CCF9-6515-4498-B676-9713CB7BAB64}"/>
    <cellStyle name="40% - Accent3 10 2 5" xfId="5925" xr:uid="{00000000-0005-0000-0000-000073380000}"/>
    <cellStyle name="40% - Accent3 10 2 5 2" xfId="13908" xr:uid="{00000000-0005-0000-0000-000074380000}"/>
    <cellStyle name="40% - Accent3 10 2 5 2 2" xfId="37751" xr:uid="{7985F66D-DCBC-45E8-8309-56FE0827E004}"/>
    <cellStyle name="40% - Accent3 10 2 5 3" xfId="21856" xr:uid="{00000000-0005-0000-0000-000075380000}"/>
    <cellStyle name="40% - Accent3 10 2 5 3 2" xfId="45688" xr:uid="{A32A415E-03CC-4EEA-8738-D701E5BBCBBF}"/>
    <cellStyle name="40% - Accent3 10 2 5 4" xfId="29810" xr:uid="{804503F3-5B5E-485C-97D5-6647BAB9959E}"/>
    <cellStyle name="40% - Accent3 10 2 6" xfId="9477" xr:uid="{00000000-0005-0000-0000-000076380000}"/>
    <cellStyle name="40% - Accent3 10 2 6 2" xfId="17435" xr:uid="{00000000-0005-0000-0000-000077380000}"/>
    <cellStyle name="40% - Accent3 10 2 6 2 2" xfId="41275" xr:uid="{FD228C64-EDF0-466E-938E-A34068666FDD}"/>
    <cellStyle name="40% - Accent3 10 2 6 3" xfId="25379" xr:uid="{00000000-0005-0000-0000-000078380000}"/>
    <cellStyle name="40% - Accent3 10 2 6 3 2" xfId="49211" xr:uid="{088BD30A-F8FD-4C06-93DD-1E639BB198A6}"/>
    <cellStyle name="40% - Accent3 10 2 6 4" xfId="33334" xr:uid="{73A9AF9E-7292-45FE-BAF9-91CAF8AFA342}"/>
    <cellStyle name="40% - Accent3 10 2 7" xfId="10373" xr:uid="{00000000-0005-0000-0000-000079380000}"/>
    <cellStyle name="40% - Accent3 10 2 7 2" xfId="34222" xr:uid="{AF50873E-6695-41F1-A900-FE7BA96E521D}"/>
    <cellStyle name="40% - Accent3 10 2 8" xfId="18328" xr:uid="{00000000-0005-0000-0000-00007A380000}"/>
    <cellStyle name="40% - Accent3 10 2 8 2" xfId="42160" xr:uid="{347D3231-3DD6-4ECA-BEE6-ACB2AB618C2D}"/>
    <cellStyle name="40% - Accent3 10 2 9" xfId="26280" xr:uid="{F65C36E8-EF32-4683-B2F2-5C0C10BF1857}"/>
    <cellStyle name="40% - Accent3 10 2_Exh G" xfId="2927" xr:uid="{00000000-0005-0000-0000-00007B380000}"/>
    <cellStyle name="40% - Accent3 10 3" xfId="433" xr:uid="{00000000-0005-0000-0000-00007C380000}"/>
    <cellStyle name="40% - Accent3 10 3 2" xfId="1459" xr:uid="{00000000-0005-0000-0000-00007D380000}"/>
    <cellStyle name="40% - Accent3 10 3 2 2" xfId="4986" xr:uid="{00000000-0005-0000-0000-00007E380000}"/>
    <cellStyle name="40% - Accent3 10 3 2 2 2" xfId="8577" xr:uid="{00000000-0005-0000-0000-00007F380000}"/>
    <cellStyle name="40% - Accent3 10 3 2 2 2 2" xfId="16547" xr:uid="{00000000-0005-0000-0000-000080380000}"/>
    <cellStyle name="40% - Accent3 10 3 2 2 2 2 2" xfId="40389" xr:uid="{7CBF3352-1812-4B51-A510-FAA3FFF999DC}"/>
    <cellStyle name="40% - Accent3 10 3 2 2 2 3" xfId="24493" xr:uid="{00000000-0005-0000-0000-000081380000}"/>
    <cellStyle name="40% - Accent3 10 3 2 2 2 3 2" xfId="48325" xr:uid="{F6E650E8-2C45-4B05-9A54-8C3C198E1640}"/>
    <cellStyle name="40% - Accent3 10 3 2 2 2 4" xfId="32448" xr:uid="{3E03B960-75D8-4E33-8F4F-9CB8B1B70ADF}"/>
    <cellStyle name="40% - Accent3 10 3 2 2 3" xfId="13009" xr:uid="{00000000-0005-0000-0000-000082380000}"/>
    <cellStyle name="40% - Accent3 10 3 2 2 3 2" xfId="36858" xr:uid="{60125317-CE1A-468C-999D-091E358F65BF}"/>
    <cellStyle name="40% - Accent3 10 3 2 2 4" xfId="20964" xr:uid="{00000000-0005-0000-0000-000083380000}"/>
    <cellStyle name="40% - Accent3 10 3 2 2 4 2" xfId="44796" xr:uid="{D94F06A1-0FDF-4265-9A41-81F1A5437831}"/>
    <cellStyle name="40% - Accent3 10 3 2 2 5" xfId="28917" xr:uid="{E40BB5FB-A31B-4026-A3C4-2C33AEF72108}"/>
    <cellStyle name="40% - Accent3 10 3 2 3" xfId="6818" xr:uid="{00000000-0005-0000-0000-000084380000}"/>
    <cellStyle name="40% - Accent3 10 3 2 3 2" xfId="14789" xr:uid="{00000000-0005-0000-0000-000085380000}"/>
    <cellStyle name="40% - Accent3 10 3 2 3 2 2" xfId="38631" xr:uid="{B284695C-B384-48E0-BB99-3D5F38CFDD17}"/>
    <cellStyle name="40% - Accent3 10 3 2 3 3" xfId="22736" xr:uid="{00000000-0005-0000-0000-000086380000}"/>
    <cellStyle name="40% - Accent3 10 3 2 3 3 2" xfId="46568" xr:uid="{5CB2E02D-276C-4742-8003-0B9C8D80642B}"/>
    <cellStyle name="40% - Accent3 10 3 2 3 4" xfId="30690" xr:uid="{86DC389C-951B-4144-BBB7-A794CDCAC4AA}"/>
    <cellStyle name="40% - Accent3 10 3 2 4" xfId="11253" xr:uid="{00000000-0005-0000-0000-000087380000}"/>
    <cellStyle name="40% - Accent3 10 3 2 4 2" xfId="35102" xr:uid="{A8622CA6-6607-4B34-8C4B-B4BF71CFAA23}"/>
    <cellStyle name="40% - Accent3 10 3 2 5" xfId="19208" xr:uid="{00000000-0005-0000-0000-000088380000}"/>
    <cellStyle name="40% - Accent3 10 3 2 5 2" xfId="43040" xr:uid="{6C846587-00D9-430A-AFE1-9EF6FCA473C9}"/>
    <cellStyle name="40% - Accent3 10 3 2 6" xfId="27160" xr:uid="{62342D30-BA6E-40DB-975E-094393D498A2}"/>
    <cellStyle name="40% - Accent3 10 3 2_Exh G" xfId="2932" xr:uid="{00000000-0005-0000-0000-000089380000}"/>
    <cellStyle name="40% - Accent3 10 3 3" xfId="4107" xr:uid="{00000000-0005-0000-0000-00008A380000}"/>
    <cellStyle name="40% - Accent3 10 3 3 2" xfId="7699" xr:uid="{00000000-0005-0000-0000-00008B380000}"/>
    <cellStyle name="40% - Accent3 10 3 3 2 2" xfId="15669" xr:uid="{00000000-0005-0000-0000-00008C380000}"/>
    <cellStyle name="40% - Accent3 10 3 3 2 2 2" xfId="39511" xr:uid="{E594CA9E-19D5-438A-8972-DCE25D9C7F98}"/>
    <cellStyle name="40% - Accent3 10 3 3 2 3" xfId="23615" xr:uid="{00000000-0005-0000-0000-00008D380000}"/>
    <cellStyle name="40% - Accent3 10 3 3 2 3 2" xfId="47447" xr:uid="{337E24D0-3B15-4474-AEB0-6B14F8F7BD9D}"/>
    <cellStyle name="40% - Accent3 10 3 3 2 4" xfId="31570" xr:uid="{4D372761-8712-46CC-9618-72B043B06DE6}"/>
    <cellStyle name="40% - Accent3 10 3 3 3" xfId="12131" xr:uid="{00000000-0005-0000-0000-00008E380000}"/>
    <cellStyle name="40% - Accent3 10 3 3 3 2" xfId="35980" xr:uid="{248422C4-BB54-48B3-A5AC-F30C1180A30F}"/>
    <cellStyle name="40% - Accent3 10 3 3 4" xfId="20086" xr:uid="{00000000-0005-0000-0000-00008F380000}"/>
    <cellStyle name="40% - Accent3 10 3 3 4 2" xfId="43918" xr:uid="{6DE92F73-860C-473B-8931-3FD98D93FA01}"/>
    <cellStyle name="40% - Accent3 10 3 3 5" xfId="28039" xr:uid="{FA297A70-201F-4760-9CD6-A9E7654F2340}"/>
    <cellStyle name="40% - Accent3 10 3 4" xfId="5927" xr:uid="{00000000-0005-0000-0000-000090380000}"/>
    <cellStyle name="40% - Accent3 10 3 4 2" xfId="13910" xr:uid="{00000000-0005-0000-0000-000091380000}"/>
    <cellStyle name="40% - Accent3 10 3 4 2 2" xfId="37753" xr:uid="{D0E667E1-ECB1-4C7C-93B1-778108907DE0}"/>
    <cellStyle name="40% - Accent3 10 3 4 3" xfId="21858" xr:uid="{00000000-0005-0000-0000-000092380000}"/>
    <cellStyle name="40% - Accent3 10 3 4 3 2" xfId="45690" xr:uid="{029BEFBE-0D43-47C6-84D9-FE1680F1D3A7}"/>
    <cellStyle name="40% - Accent3 10 3 4 4" xfId="29812" xr:uid="{572A82EB-A3E6-4444-8DD9-7D79F2AC5999}"/>
    <cellStyle name="40% - Accent3 10 3 5" xfId="9479" xr:uid="{00000000-0005-0000-0000-000093380000}"/>
    <cellStyle name="40% - Accent3 10 3 5 2" xfId="17437" xr:uid="{00000000-0005-0000-0000-000094380000}"/>
    <cellStyle name="40% - Accent3 10 3 5 2 2" xfId="41277" xr:uid="{003E2AD7-DCC0-411A-B14D-B3E15AF51825}"/>
    <cellStyle name="40% - Accent3 10 3 5 3" xfId="25381" xr:uid="{00000000-0005-0000-0000-000095380000}"/>
    <cellStyle name="40% - Accent3 10 3 5 3 2" xfId="49213" xr:uid="{478A9ABB-4F1C-4400-9478-A25C4A0B5C56}"/>
    <cellStyle name="40% - Accent3 10 3 5 4" xfId="33336" xr:uid="{679CA8AD-433D-4A67-A1DD-B0021967EE4B}"/>
    <cellStyle name="40% - Accent3 10 3 6" xfId="10375" xr:uid="{00000000-0005-0000-0000-000096380000}"/>
    <cellStyle name="40% - Accent3 10 3 6 2" xfId="34224" xr:uid="{2EB6B681-B278-4328-86C3-EF9028C1547D}"/>
    <cellStyle name="40% - Accent3 10 3 7" xfId="18330" xr:uid="{00000000-0005-0000-0000-000097380000}"/>
    <cellStyle name="40% - Accent3 10 3 7 2" xfId="42162" xr:uid="{492307DA-A0E6-4B2C-9B66-006D977B5C46}"/>
    <cellStyle name="40% - Accent3 10 3 8" xfId="26282" xr:uid="{5D556E8E-8959-413F-A7AF-CC47994571CB}"/>
    <cellStyle name="40% - Accent3 10 3_Exh G" xfId="2931" xr:uid="{00000000-0005-0000-0000-000098380000}"/>
    <cellStyle name="40% - Accent3 10 4" xfId="955" xr:uid="{00000000-0005-0000-0000-000099380000}"/>
    <cellStyle name="40% - Accent3 10 5" xfId="1456" xr:uid="{00000000-0005-0000-0000-00009A380000}"/>
    <cellStyle name="40% - Accent3 10 5 2" xfId="4983" xr:uid="{00000000-0005-0000-0000-00009B380000}"/>
    <cellStyle name="40% - Accent3 10 5 2 2" xfId="8574" xr:uid="{00000000-0005-0000-0000-00009C380000}"/>
    <cellStyle name="40% - Accent3 10 5 2 2 2" xfId="16544" xr:uid="{00000000-0005-0000-0000-00009D380000}"/>
    <cellStyle name="40% - Accent3 10 5 2 2 2 2" xfId="40386" xr:uid="{57CF7236-C52C-4116-AD2B-A740996AC313}"/>
    <cellStyle name="40% - Accent3 10 5 2 2 3" xfId="24490" xr:uid="{00000000-0005-0000-0000-00009E380000}"/>
    <cellStyle name="40% - Accent3 10 5 2 2 3 2" xfId="48322" xr:uid="{710CA8F1-2F65-456F-8861-7F56EE9223A2}"/>
    <cellStyle name="40% - Accent3 10 5 2 2 4" xfId="32445" xr:uid="{92ECF40B-78C8-472C-A463-256868206ABD}"/>
    <cellStyle name="40% - Accent3 10 5 2 3" xfId="13006" xr:uid="{00000000-0005-0000-0000-00009F380000}"/>
    <cellStyle name="40% - Accent3 10 5 2 3 2" xfId="36855" xr:uid="{FAA50A9D-5DB3-4618-91DD-9116B5886629}"/>
    <cellStyle name="40% - Accent3 10 5 2 4" xfId="20961" xr:uid="{00000000-0005-0000-0000-0000A0380000}"/>
    <cellStyle name="40% - Accent3 10 5 2 4 2" xfId="44793" xr:uid="{0CA7B6D4-DB24-41D8-8C41-75B77392DC87}"/>
    <cellStyle name="40% - Accent3 10 5 2 5" xfId="28914" xr:uid="{3CE86311-98C7-4F85-9D64-236EECF6340B}"/>
    <cellStyle name="40% - Accent3 10 5 3" xfId="6815" xr:uid="{00000000-0005-0000-0000-0000A1380000}"/>
    <cellStyle name="40% - Accent3 10 5 3 2" xfId="14786" xr:uid="{00000000-0005-0000-0000-0000A2380000}"/>
    <cellStyle name="40% - Accent3 10 5 3 2 2" xfId="38628" xr:uid="{E34BC18E-6798-42B8-A29F-264CCB86014D}"/>
    <cellStyle name="40% - Accent3 10 5 3 3" xfId="22733" xr:uid="{00000000-0005-0000-0000-0000A3380000}"/>
    <cellStyle name="40% - Accent3 10 5 3 3 2" xfId="46565" xr:uid="{7B2D2981-2526-4157-AFF3-52D33A681628}"/>
    <cellStyle name="40% - Accent3 10 5 3 4" xfId="30687" xr:uid="{EEB5EC87-28E5-4133-8509-7936AC7D95C9}"/>
    <cellStyle name="40% - Accent3 10 5 4" xfId="11250" xr:uid="{00000000-0005-0000-0000-0000A4380000}"/>
    <cellStyle name="40% - Accent3 10 5 4 2" xfId="35099" xr:uid="{CD0DB8F3-7BAA-4EEB-A112-7402E4F91F11}"/>
    <cellStyle name="40% - Accent3 10 5 5" xfId="19205" xr:uid="{00000000-0005-0000-0000-0000A5380000}"/>
    <cellStyle name="40% - Accent3 10 5 5 2" xfId="43037" xr:uid="{9413FE93-0D7C-4DD2-B1F5-9D8DFAB0EADF}"/>
    <cellStyle name="40% - Accent3 10 5 6" xfId="27157" xr:uid="{A8A508A4-FA45-4C0B-83A0-F37A985B15E1}"/>
    <cellStyle name="40% - Accent3 10 5_Exh G" xfId="2933" xr:uid="{00000000-0005-0000-0000-0000A6380000}"/>
    <cellStyle name="40% - Accent3 10 6" xfId="4104" xr:uid="{00000000-0005-0000-0000-0000A7380000}"/>
    <cellStyle name="40% - Accent3 10 6 2" xfId="7696" xr:uid="{00000000-0005-0000-0000-0000A8380000}"/>
    <cellStyle name="40% - Accent3 10 6 2 2" xfId="15666" xr:uid="{00000000-0005-0000-0000-0000A9380000}"/>
    <cellStyle name="40% - Accent3 10 6 2 2 2" xfId="39508" xr:uid="{22EDDD45-9990-4602-99E3-58175A1AACDD}"/>
    <cellStyle name="40% - Accent3 10 6 2 3" xfId="23612" xr:uid="{00000000-0005-0000-0000-0000AA380000}"/>
    <cellStyle name="40% - Accent3 10 6 2 3 2" xfId="47444" xr:uid="{627A2A13-FF4C-44C0-9818-7BF63B452079}"/>
    <cellStyle name="40% - Accent3 10 6 2 4" xfId="31567" xr:uid="{EC7EF4B0-6F00-4B32-BF3F-862CAEB5BE21}"/>
    <cellStyle name="40% - Accent3 10 6 3" xfId="12128" xr:uid="{00000000-0005-0000-0000-0000AB380000}"/>
    <cellStyle name="40% - Accent3 10 6 3 2" xfId="35977" xr:uid="{F7D1DEDF-ECA7-4C68-8675-4970AF887DB2}"/>
    <cellStyle name="40% - Accent3 10 6 4" xfId="20083" xr:uid="{00000000-0005-0000-0000-0000AC380000}"/>
    <cellStyle name="40% - Accent3 10 6 4 2" xfId="43915" xr:uid="{0CA7035D-C1C3-4B39-8E5A-DF3A6A00ADEC}"/>
    <cellStyle name="40% - Accent3 10 6 5" xfId="28036" xr:uid="{6B743942-CF46-4A19-AABA-68D1AB26F2D0}"/>
    <cellStyle name="40% - Accent3 10 7" xfId="5924" xr:uid="{00000000-0005-0000-0000-0000AD380000}"/>
    <cellStyle name="40% - Accent3 10 7 2" xfId="13907" xr:uid="{00000000-0005-0000-0000-0000AE380000}"/>
    <cellStyle name="40% - Accent3 10 7 2 2" xfId="37750" xr:uid="{9DE25303-D850-4FFC-AEE5-9E1A7767DCFA}"/>
    <cellStyle name="40% - Accent3 10 7 3" xfId="21855" xr:uid="{00000000-0005-0000-0000-0000AF380000}"/>
    <cellStyle name="40% - Accent3 10 7 3 2" xfId="45687" xr:uid="{4E993591-69AD-46A3-A8CF-7282729E5591}"/>
    <cellStyle name="40% - Accent3 10 7 4" xfId="29809" xr:uid="{57811158-C316-40B4-83CB-3D3E2D990143}"/>
    <cellStyle name="40% - Accent3 10 8" xfId="9476" xr:uid="{00000000-0005-0000-0000-0000B0380000}"/>
    <cellStyle name="40% - Accent3 10 8 2" xfId="17434" xr:uid="{00000000-0005-0000-0000-0000B1380000}"/>
    <cellStyle name="40% - Accent3 10 8 2 2" xfId="41274" xr:uid="{6BBAA99D-C26A-4994-A7C7-17D70B1BAEC6}"/>
    <cellStyle name="40% - Accent3 10 8 3" xfId="25378" xr:uid="{00000000-0005-0000-0000-0000B2380000}"/>
    <cellStyle name="40% - Accent3 10 8 3 2" xfId="49210" xr:uid="{7BAA4C92-A62C-40E5-96C1-932654397E29}"/>
    <cellStyle name="40% - Accent3 10 8 4" xfId="33333" xr:uid="{942B01AD-C54D-4410-AD40-9B788B8083C2}"/>
    <cellStyle name="40% - Accent3 10 9" xfId="10372" xr:uid="{00000000-0005-0000-0000-0000B3380000}"/>
    <cellStyle name="40% - Accent3 10 9 2" xfId="34221" xr:uid="{F4FB3A4B-5865-4361-B659-7E66520C4CA1}"/>
    <cellStyle name="40% - Accent3 10_Exh G" xfId="2926" xr:uid="{00000000-0005-0000-0000-0000B4380000}"/>
    <cellStyle name="40% - Accent3 11" xfId="434" xr:uid="{00000000-0005-0000-0000-0000B5380000}"/>
    <cellStyle name="40% - Accent3 11 10" xfId="26283" xr:uid="{8F5055ED-DD13-4687-A390-BC148DC9BBBF}"/>
    <cellStyle name="40% - Accent3 11 2" xfId="435" xr:uid="{00000000-0005-0000-0000-0000B6380000}"/>
    <cellStyle name="40% - Accent3 11 2 2" xfId="436" xr:uid="{00000000-0005-0000-0000-0000B7380000}"/>
    <cellStyle name="40% - Accent3 11 2 2 2" xfId="1462" xr:uid="{00000000-0005-0000-0000-0000B8380000}"/>
    <cellStyle name="40% - Accent3 11 2 2 2 2" xfId="4989" xr:uid="{00000000-0005-0000-0000-0000B9380000}"/>
    <cellStyle name="40% - Accent3 11 2 2 2 2 2" xfId="8580" xr:uid="{00000000-0005-0000-0000-0000BA380000}"/>
    <cellStyle name="40% - Accent3 11 2 2 2 2 2 2" xfId="16550" xr:uid="{00000000-0005-0000-0000-0000BB380000}"/>
    <cellStyle name="40% - Accent3 11 2 2 2 2 2 2 2" xfId="40392" xr:uid="{40763EC8-81EC-4482-A071-81A1D83D1F59}"/>
    <cellStyle name="40% - Accent3 11 2 2 2 2 2 3" xfId="24496" xr:uid="{00000000-0005-0000-0000-0000BC380000}"/>
    <cellStyle name="40% - Accent3 11 2 2 2 2 2 3 2" xfId="48328" xr:uid="{8DD30D96-002A-49D5-9CD9-9592164E91D8}"/>
    <cellStyle name="40% - Accent3 11 2 2 2 2 2 4" xfId="32451" xr:uid="{2384EE59-06FA-41C2-BBD5-9D5F35DFFBA6}"/>
    <cellStyle name="40% - Accent3 11 2 2 2 2 3" xfId="13012" xr:uid="{00000000-0005-0000-0000-0000BD380000}"/>
    <cellStyle name="40% - Accent3 11 2 2 2 2 3 2" xfId="36861" xr:uid="{F5FD0C82-FB74-4517-9EE1-481219644F67}"/>
    <cellStyle name="40% - Accent3 11 2 2 2 2 4" xfId="20967" xr:uid="{00000000-0005-0000-0000-0000BE380000}"/>
    <cellStyle name="40% - Accent3 11 2 2 2 2 4 2" xfId="44799" xr:uid="{A48C8847-82FC-4728-AE89-9447F4EAF998}"/>
    <cellStyle name="40% - Accent3 11 2 2 2 2 5" xfId="28920" xr:uid="{25BF4C8B-5B70-4B91-BF3D-1E66ABB24A1A}"/>
    <cellStyle name="40% - Accent3 11 2 2 2 3" xfId="6821" xr:uid="{00000000-0005-0000-0000-0000BF380000}"/>
    <cellStyle name="40% - Accent3 11 2 2 2 3 2" xfId="14792" xr:uid="{00000000-0005-0000-0000-0000C0380000}"/>
    <cellStyle name="40% - Accent3 11 2 2 2 3 2 2" xfId="38634" xr:uid="{A09EE429-8FA6-43E5-BE42-742DCD344DDD}"/>
    <cellStyle name="40% - Accent3 11 2 2 2 3 3" xfId="22739" xr:uid="{00000000-0005-0000-0000-0000C1380000}"/>
    <cellStyle name="40% - Accent3 11 2 2 2 3 3 2" xfId="46571" xr:uid="{7ADCF931-99A0-45D4-974C-E7437BC91225}"/>
    <cellStyle name="40% - Accent3 11 2 2 2 3 4" xfId="30693" xr:uid="{302AC81F-A427-466B-B6DF-08DBAAF0CF56}"/>
    <cellStyle name="40% - Accent3 11 2 2 2 4" xfId="11256" xr:uid="{00000000-0005-0000-0000-0000C2380000}"/>
    <cellStyle name="40% - Accent3 11 2 2 2 4 2" xfId="35105" xr:uid="{1CB6CBA2-B1F5-4F31-BD7D-683680834177}"/>
    <cellStyle name="40% - Accent3 11 2 2 2 5" xfId="19211" xr:uid="{00000000-0005-0000-0000-0000C3380000}"/>
    <cellStyle name="40% - Accent3 11 2 2 2 5 2" xfId="43043" xr:uid="{3803AAE6-DD49-44ED-A590-DDCB3C334563}"/>
    <cellStyle name="40% - Accent3 11 2 2 2 6" xfId="27163" xr:uid="{D63D38DA-38E9-48AC-A191-E89B4785EB75}"/>
    <cellStyle name="40% - Accent3 11 2 2 2_Exh G" xfId="2937" xr:uid="{00000000-0005-0000-0000-0000C4380000}"/>
    <cellStyle name="40% - Accent3 11 2 2 3" xfId="4110" xr:uid="{00000000-0005-0000-0000-0000C5380000}"/>
    <cellStyle name="40% - Accent3 11 2 2 3 2" xfId="7702" xr:uid="{00000000-0005-0000-0000-0000C6380000}"/>
    <cellStyle name="40% - Accent3 11 2 2 3 2 2" xfId="15672" xr:uid="{00000000-0005-0000-0000-0000C7380000}"/>
    <cellStyle name="40% - Accent3 11 2 2 3 2 2 2" xfId="39514" xr:uid="{E7C4C7EE-BC8B-49D8-BAAD-540353C9A63D}"/>
    <cellStyle name="40% - Accent3 11 2 2 3 2 3" xfId="23618" xr:uid="{00000000-0005-0000-0000-0000C8380000}"/>
    <cellStyle name="40% - Accent3 11 2 2 3 2 3 2" xfId="47450" xr:uid="{D814541F-D38B-440A-894E-A4EDCCD048CA}"/>
    <cellStyle name="40% - Accent3 11 2 2 3 2 4" xfId="31573" xr:uid="{25332F0F-D894-4F6C-88D4-AA5984DBCA69}"/>
    <cellStyle name="40% - Accent3 11 2 2 3 3" xfId="12134" xr:uid="{00000000-0005-0000-0000-0000C9380000}"/>
    <cellStyle name="40% - Accent3 11 2 2 3 3 2" xfId="35983" xr:uid="{2CB9E787-0B73-4F52-931D-74402B3F7BFB}"/>
    <cellStyle name="40% - Accent3 11 2 2 3 4" xfId="20089" xr:uid="{00000000-0005-0000-0000-0000CA380000}"/>
    <cellStyle name="40% - Accent3 11 2 2 3 4 2" xfId="43921" xr:uid="{3DFBFCF9-0A6A-4B26-95CA-6284029300D9}"/>
    <cellStyle name="40% - Accent3 11 2 2 3 5" xfId="28042" xr:uid="{29B73428-76E3-4598-8AEF-C41E85A93CE9}"/>
    <cellStyle name="40% - Accent3 11 2 2 4" xfId="5930" xr:uid="{00000000-0005-0000-0000-0000CB380000}"/>
    <cellStyle name="40% - Accent3 11 2 2 4 2" xfId="13913" xr:uid="{00000000-0005-0000-0000-0000CC380000}"/>
    <cellStyle name="40% - Accent3 11 2 2 4 2 2" xfId="37756" xr:uid="{7B4A6E72-355B-413E-BD4E-381F371F9C6D}"/>
    <cellStyle name="40% - Accent3 11 2 2 4 3" xfId="21861" xr:uid="{00000000-0005-0000-0000-0000CD380000}"/>
    <cellStyle name="40% - Accent3 11 2 2 4 3 2" xfId="45693" xr:uid="{A34D1EF0-3DB1-41D1-ABD6-B3FCC14281B7}"/>
    <cellStyle name="40% - Accent3 11 2 2 4 4" xfId="29815" xr:uid="{5A64A901-0F26-4B40-A945-1D8C96BF6EF0}"/>
    <cellStyle name="40% - Accent3 11 2 2 5" xfId="9482" xr:uid="{00000000-0005-0000-0000-0000CE380000}"/>
    <cellStyle name="40% - Accent3 11 2 2 5 2" xfId="17440" xr:uid="{00000000-0005-0000-0000-0000CF380000}"/>
    <cellStyle name="40% - Accent3 11 2 2 5 2 2" xfId="41280" xr:uid="{350A71AD-E72E-408F-9CD2-8A459D143D72}"/>
    <cellStyle name="40% - Accent3 11 2 2 5 3" xfId="25384" xr:uid="{00000000-0005-0000-0000-0000D0380000}"/>
    <cellStyle name="40% - Accent3 11 2 2 5 3 2" xfId="49216" xr:uid="{37C370B5-6B71-4328-8FB1-45059FD08D81}"/>
    <cellStyle name="40% - Accent3 11 2 2 5 4" xfId="33339" xr:uid="{772216DB-2AB2-42D3-B1A1-91C47EB0CEC5}"/>
    <cellStyle name="40% - Accent3 11 2 2 6" xfId="10378" xr:uid="{00000000-0005-0000-0000-0000D1380000}"/>
    <cellStyle name="40% - Accent3 11 2 2 6 2" xfId="34227" xr:uid="{AF2B092E-7EF2-4DA7-B7A1-5E816514F928}"/>
    <cellStyle name="40% - Accent3 11 2 2 7" xfId="18333" xr:uid="{00000000-0005-0000-0000-0000D2380000}"/>
    <cellStyle name="40% - Accent3 11 2 2 7 2" xfId="42165" xr:uid="{09759246-EAA5-4E14-B925-0D1DBFD90654}"/>
    <cellStyle name="40% - Accent3 11 2 2 8" xfId="26285" xr:uid="{13C75EB2-F282-4401-9339-984B7DFC822C}"/>
    <cellStyle name="40% - Accent3 11 2 2_Exh G" xfId="2936" xr:uid="{00000000-0005-0000-0000-0000D3380000}"/>
    <cellStyle name="40% - Accent3 11 2 3" xfId="1461" xr:uid="{00000000-0005-0000-0000-0000D4380000}"/>
    <cellStyle name="40% - Accent3 11 2 3 2" xfId="4988" xr:uid="{00000000-0005-0000-0000-0000D5380000}"/>
    <cellStyle name="40% - Accent3 11 2 3 2 2" xfId="8579" xr:uid="{00000000-0005-0000-0000-0000D6380000}"/>
    <cellStyle name="40% - Accent3 11 2 3 2 2 2" xfId="16549" xr:uid="{00000000-0005-0000-0000-0000D7380000}"/>
    <cellStyle name="40% - Accent3 11 2 3 2 2 2 2" xfId="40391" xr:uid="{6752436D-C1A1-47A3-8604-41A3322EAAAF}"/>
    <cellStyle name="40% - Accent3 11 2 3 2 2 3" xfId="24495" xr:uid="{00000000-0005-0000-0000-0000D8380000}"/>
    <cellStyle name="40% - Accent3 11 2 3 2 2 3 2" xfId="48327" xr:uid="{C711F6FD-661D-4406-A818-79D48C62ADA3}"/>
    <cellStyle name="40% - Accent3 11 2 3 2 2 4" xfId="32450" xr:uid="{E648DF9B-F0F4-407A-9AC5-A56BA159523A}"/>
    <cellStyle name="40% - Accent3 11 2 3 2 3" xfId="13011" xr:uid="{00000000-0005-0000-0000-0000D9380000}"/>
    <cellStyle name="40% - Accent3 11 2 3 2 3 2" xfId="36860" xr:uid="{3E6F95E6-EEB3-4347-883E-64BB8F1B0617}"/>
    <cellStyle name="40% - Accent3 11 2 3 2 4" xfId="20966" xr:uid="{00000000-0005-0000-0000-0000DA380000}"/>
    <cellStyle name="40% - Accent3 11 2 3 2 4 2" xfId="44798" xr:uid="{9A507236-BCF2-4416-8735-E1BC70616B54}"/>
    <cellStyle name="40% - Accent3 11 2 3 2 5" xfId="28919" xr:uid="{2F6044A9-6550-4C0D-89C6-278AF9FE7688}"/>
    <cellStyle name="40% - Accent3 11 2 3 3" xfId="6820" xr:uid="{00000000-0005-0000-0000-0000DB380000}"/>
    <cellStyle name="40% - Accent3 11 2 3 3 2" xfId="14791" xr:uid="{00000000-0005-0000-0000-0000DC380000}"/>
    <cellStyle name="40% - Accent3 11 2 3 3 2 2" xfId="38633" xr:uid="{536B4A12-CF59-4E9D-A898-F494C987BEEE}"/>
    <cellStyle name="40% - Accent3 11 2 3 3 3" xfId="22738" xr:uid="{00000000-0005-0000-0000-0000DD380000}"/>
    <cellStyle name="40% - Accent3 11 2 3 3 3 2" xfId="46570" xr:uid="{0EA0C4AD-C023-40E4-B8EC-A9E1524BC493}"/>
    <cellStyle name="40% - Accent3 11 2 3 3 4" xfId="30692" xr:uid="{94B5F2A5-614F-48BF-9905-0DC4B1A47786}"/>
    <cellStyle name="40% - Accent3 11 2 3 4" xfId="11255" xr:uid="{00000000-0005-0000-0000-0000DE380000}"/>
    <cellStyle name="40% - Accent3 11 2 3 4 2" xfId="35104" xr:uid="{750F56FC-08F8-47F6-A971-AC8BCA034096}"/>
    <cellStyle name="40% - Accent3 11 2 3 5" xfId="19210" xr:uid="{00000000-0005-0000-0000-0000DF380000}"/>
    <cellStyle name="40% - Accent3 11 2 3 5 2" xfId="43042" xr:uid="{321A63C9-414E-4605-ADBB-EC91054DECB8}"/>
    <cellStyle name="40% - Accent3 11 2 3 6" xfId="27162" xr:uid="{4AA82CF9-D8C8-46D4-BC2C-D0ABD27DF618}"/>
    <cellStyle name="40% - Accent3 11 2 3_Exh G" xfId="2938" xr:uid="{00000000-0005-0000-0000-0000E0380000}"/>
    <cellStyle name="40% - Accent3 11 2 4" xfId="4109" xr:uid="{00000000-0005-0000-0000-0000E1380000}"/>
    <cellStyle name="40% - Accent3 11 2 4 2" xfId="7701" xr:uid="{00000000-0005-0000-0000-0000E2380000}"/>
    <cellStyle name="40% - Accent3 11 2 4 2 2" xfId="15671" xr:uid="{00000000-0005-0000-0000-0000E3380000}"/>
    <cellStyle name="40% - Accent3 11 2 4 2 2 2" xfId="39513" xr:uid="{2005AB95-4A3D-44C5-A537-499F584E98A7}"/>
    <cellStyle name="40% - Accent3 11 2 4 2 3" xfId="23617" xr:uid="{00000000-0005-0000-0000-0000E4380000}"/>
    <cellStyle name="40% - Accent3 11 2 4 2 3 2" xfId="47449" xr:uid="{88C18D3A-097A-488A-BCB4-F54A61F2B8D0}"/>
    <cellStyle name="40% - Accent3 11 2 4 2 4" xfId="31572" xr:uid="{7D4E0D5B-5F90-4A1D-95A0-2A1E3AB37243}"/>
    <cellStyle name="40% - Accent3 11 2 4 3" xfId="12133" xr:uid="{00000000-0005-0000-0000-0000E5380000}"/>
    <cellStyle name="40% - Accent3 11 2 4 3 2" xfId="35982" xr:uid="{14178B1D-F80D-4579-988C-8AC72E54BCF1}"/>
    <cellStyle name="40% - Accent3 11 2 4 4" xfId="20088" xr:uid="{00000000-0005-0000-0000-0000E6380000}"/>
    <cellStyle name="40% - Accent3 11 2 4 4 2" xfId="43920" xr:uid="{BE3C46B3-5E4E-4102-ADCB-B4326559894A}"/>
    <cellStyle name="40% - Accent3 11 2 4 5" xfId="28041" xr:uid="{8F4B148B-F681-4FA4-86F4-416BB5558CE8}"/>
    <cellStyle name="40% - Accent3 11 2 5" xfId="5929" xr:uid="{00000000-0005-0000-0000-0000E7380000}"/>
    <cellStyle name="40% - Accent3 11 2 5 2" xfId="13912" xr:uid="{00000000-0005-0000-0000-0000E8380000}"/>
    <cellStyle name="40% - Accent3 11 2 5 2 2" xfId="37755" xr:uid="{1C4372FD-8C11-4458-ADF3-4CFAF68BB87B}"/>
    <cellStyle name="40% - Accent3 11 2 5 3" xfId="21860" xr:uid="{00000000-0005-0000-0000-0000E9380000}"/>
    <cellStyle name="40% - Accent3 11 2 5 3 2" xfId="45692" xr:uid="{F79211D0-55E6-49DF-A612-398B413DE6E7}"/>
    <cellStyle name="40% - Accent3 11 2 5 4" xfId="29814" xr:uid="{5A6860B3-75EB-4CE0-8822-58F8D5AD79A7}"/>
    <cellStyle name="40% - Accent3 11 2 6" xfId="9481" xr:uid="{00000000-0005-0000-0000-0000EA380000}"/>
    <cellStyle name="40% - Accent3 11 2 6 2" xfId="17439" xr:uid="{00000000-0005-0000-0000-0000EB380000}"/>
    <cellStyle name="40% - Accent3 11 2 6 2 2" xfId="41279" xr:uid="{8FF46466-E96F-4ABD-83C5-86ACF79ADBCB}"/>
    <cellStyle name="40% - Accent3 11 2 6 3" xfId="25383" xr:uid="{00000000-0005-0000-0000-0000EC380000}"/>
    <cellStyle name="40% - Accent3 11 2 6 3 2" xfId="49215" xr:uid="{24FC201F-C163-4556-9E0C-D0ABEAC2695B}"/>
    <cellStyle name="40% - Accent3 11 2 6 4" xfId="33338" xr:uid="{4BC5800E-219B-4C31-8CF2-1F85987B7C83}"/>
    <cellStyle name="40% - Accent3 11 2 7" xfId="10377" xr:uid="{00000000-0005-0000-0000-0000ED380000}"/>
    <cellStyle name="40% - Accent3 11 2 7 2" xfId="34226" xr:uid="{82EEA6BB-344F-4F8B-8DD7-6818AEFE357B}"/>
    <cellStyle name="40% - Accent3 11 2 8" xfId="18332" xr:uid="{00000000-0005-0000-0000-0000EE380000}"/>
    <cellStyle name="40% - Accent3 11 2 8 2" xfId="42164" xr:uid="{A18AD9A0-0D02-4B0F-8C70-39EFDAD768C8}"/>
    <cellStyle name="40% - Accent3 11 2 9" xfId="26284" xr:uid="{7A6A4971-7B57-4DC7-BD62-900658D9F806}"/>
    <cellStyle name="40% - Accent3 11 2_Exh G" xfId="2935" xr:uid="{00000000-0005-0000-0000-0000EF380000}"/>
    <cellStyle name="40% - Accent3 11 3" xfId="437" xr:uid="{00000000-0005-0000-0000-0000F0380000}"/>
    <cellStyle name="40% - Accent3 11 3 2" xfId="1463" xr:uid="{00000000-0005-0000-0000-0000F1380000}"/>
    <cellStyle name="40% - Accent3 11 3 2 2" xfId="4990" xr:uid="{00000000-0005-0000-0000-0000F2380000}"/>
    <cellStyle name="40% - Accent3 11 3 2 2 2" xfId="8581" xr:uid="{00000000-0005-0000-0000-0000F3380000}"/>
    <cellStyle name="40% - Accent3 11 3 2 2 2 2" xfId="16551" xr:uid="{00000000-0005-0000-0000-0000F4380000}"/>
    <cellStyle name="40% - Accent3 11 3 2 2 2 2 2" xfId="40393" xr:uid="{BE05F68D-FA96-477D-BE49-6C619173E8F9}"/>
    <cellStyle name="40% - Accent3 11 3 2 2 2 3" xfId="24497" xr:uid="{00000000-0005-0000-0000-0000F5380000}"/>
    <cellStyle name="40% - Accent3 11 3 2 2 2 3 2" xfId="48329" xr:uid="{E8152564-311A-4C63-AB70-8669AE4EB4C4}"/>
    <cellStyle name="40% - Accent3 11 3 2 2 2 4" xfId="32452" xr:uid="{7F266F41-EC47-424E-9D91-70C9723687AB}"/>
    <cellStyle name="40% - Accent3 11 3 2 2 3" xfId="13013" xr:uid="{00000000-0005-0000-0000-0000F6380000}"/>
    <cellStyle name="40% - Accent3 11 3 2 2 3 2" xfId="36862" xr:uid="{68BA6606-8298-43B6-8081-BF93AB2DA7B4}"/>
    <cellStyle name="40% - Accent3 11 3 2 2 4" xfId="20968" xr:uid="{00000000-0005-0000-0000-0000F7380000}"/>
    <cellStyle name="40% - Accent3 11 3 2 2 4 2" xfId="44800" xr:uid="{CC1169C7-4CC0-4EDB-A8EF-337A19561243}"/>
    <cellStyle name="40% - Accent3 11 3 2 2 5" xfId="28921" xr:uid="{9248ED0F-DCB0-4048-BC6E-2A9F90616DF1}"/>
    <cellStyle name="40% - Accent3 11 3 2 3" xfId="6822" xr:uid="{00000000-0005-0000-0000-0000F8380000}"/>
    <cellStyle name="40% - Accent3 11 3 2 3 2" xfId="14793" xr:uid="{00000000-0005-0000-0000-0000F9380000}"/>
    <cellStyle name="40% - Accent3 11 3 2 3 2 2" xfId="38635" xr:uid="{8EB315DB-3E8E-48B4-930D-553F9C1C1895}"/>
    <cellStyle name="40% - Accent3 11 3 2 3 3" xfId="22740" xr:uid="{00000000-0005-0000-0000-0000FA380000}"/>
    <cellStyle name="40% - Accent3 11 3 2 3 3 2" xfId="46572" xr:uid="{BE9F07CA-81DB-4349-A79F-BD19A266DED8}"/>
    <cellStyle name="40% - Accent3 11 3 2 3 4" xfId="30694" xr:uid="{1BEE36D1-0AAC-4451-8C14-5E3A01F1AAAD}"/>
    <cellStyle name="40% - Accent3 11 3 2 4" xfId="11257" xr:uid="{00000000-0005-0000-0000-0000FB380000}"/>
    <cellStyle name="40% - Accent3 11 3 2 4 2" xfId="35106" xr:uid="{82E891E5-5E60-4920-89C0-060B1A8CD6EB}"/>
    <cellStyle name="40% - Accent3 11 3 2 5" xfId="19212" xr:uid="{00000000-0005-0000-0000-0000FC380000}"/>
    <cellStyle name="40% - Accent3 11 3 2 5 2" xfId="43044" xr:uid="{D01B0282-CB8F-431C-AC3F-B13CAB30EA69}"/>
    <cellStyle name="40% - Accent3 11 3 2 6" xfId="27164" xr:uid="{6965F987-6A4D-441D-BF9E-773CFFB2C506}"/>
    <cellStyle name="40% - Accent3 11 3 2_Exh G" xfId="2940" xr:uid="{00000000-0005-0000-0000-0000FD380000}"/>
    <cellStyle name="40% - Accent3 11 3 3" xfId="4111" xr:uid="{00000000-0005-0000-0000-0000FE380000}"/>
    <cellStyle name="40% - Accent3 11 3 3 2" xfId="7703" xr:uid="{00000000-0005-0000-0000-0000FF380000}"/>
    <cellStyle name="40% - Accent3 11 3 3 2 2" xfId="15673" xr:uid="{00000000-0005-0000-0000-000000390000}"/>
    <cellStyle name="40% - Accent3 11 3 3 2 2 2" xfId="39515" xr:uid="{61B36BA2-834D-4B7B-AF8C-B9D7539CB6B7}"/>
    <cellStyle name="40% - Accent3 11 3 3 2 3" xfId="23619" xr:uid="{00000000-0005-0000-0000-000001390000}"/>
    <cellStyle name="40% - Accent3 11 3 3 2 3 2" xfId="47451" xr:uid="{7582120C-97E8-4534-A3EC-9348D1E7B090}"/>
    <cellStyle name="40% - Accent3 11 3 3 2 4" xfId="31574" xr:uid="{41CE5280-2E3D-4E54-BD00-A101F079624D}"/>
    <cellStyle name="40% - Accent3 11 3 3 3" xfId="12135" xr:uid="{00000000-0005-0000-0000-000002390000}"/>
    <cellStyle name="40% - Accent3 11 3 3 3 2" xfId="35984" xr:uid="{704D2823-7778-460F-83FA-F4BA2D4AE157}"/>
    <cellStyle name="40% - Accent3 11 3 3 4" xfId="20090" xr:uid="{00000000-0005-0000-0000-000003390000}"/>
    <cellStyle name="40% - Accent3 11 3 3 4 2" xfId="43922" xr:uid="{59465280-A2E6-42AC-A1F8-D8BB685C87CD}"/>
    <cellStyle name="40% - Accent3 11 3 3 5" xfId="28043" xr:uid="{B2F10BE6-D94C-41D4-AD1E-B0A5BD9E9507}"/>
    <cellStyle name="40% - Accent3 11 3 4" xfId="5931" xr:uid="{00000000-0005-0000-0000-000004390000}"/>
    <cellStyle name="40% - Accent3 11 3 4 2" xfId="13914" xr:uid="{00000000-0005-0000-0000-000005390000}"/>
    <cellStyle name="40% - Accent3 11 3 4 2 2" xfId="37757" xr:uid="{312CB3EA-84E5-4616-93D0-2E4F2903D8B3}"/>
    <cellStyle name="40% - Accent3 11 3 4 3" xfId="21862" xr:uid="{00000000-0005-0000-0000-000006390000}"/>
    <cellStyle name="40% - Accent3 11 3 4 3 2" xfId="45694" xr:uid="{39DD4414-2ADF-4186-A978-5B238ECA292B}"/>
    <cellStyle name="40% - Accent3 11 3 4 4" xfId="29816" xr:uid="{01A0B7CB-E5C8-437F-8C4F-47AE3C5550D1}"/>
    <cellStyle name="40% - Accent3 11 3 5" xfId="9483" xr:uid="{00000000-0005-0000-0000-000007390000}"/>
    <cellStyle name="40% - Accent3 11 3 5 2" xfId="17441" xr:uid="{00000000-0005-0000-0000-000008390000}"/>
    <cellStyle name="40% - Accent3 11 3 5 2 2" xfId="41281" xr:uid="{879F2AE0-4B0C-45F9-B3CE-F39BA81EDCA3}"/>
    <cellStyle name="40% - Accent3 11 3 5 3" xfId="25385" xr:uid="{00000000-0005-0000-0000-000009390000}"/>
    <cellStyle name="40% - Accent3 11 3 5 3 2" xfId="49217" xr:uid="{BED1F27F-3EE0-43D0-AC03-0F9A0C3FF7AB}"/>
    <cellStyle name="40% - Accent3 11 3 5 4" xfId="33340" xr:uid="{A1D03E28-86A3-4845-89A7-16FDBDC9820A}"/>
    <cellStyle name="40% - Accent3 11 3 6" xfId="10379" xr:uid="{00000000-0005-0000-0000-00000A390000}"/>
    <cellStyle name="40% - Accent3 11 3 6 2" xfId="34228" xr:uid="{AD292949-BEA0-4D43-AECC-E69E422100E6}"/>
    <cellStyle name="40% - Accent3 11 3 7" xfId="18334" xr:uid="{00000000-0005-0000-0000-00000B390000}"/>
    <cellStyle name="40% - Accent3 11 3 7 2" xfId="42166" xr:uid="{662658F5-0C42-4C32-A03F-DF0710BE4A85}"/>
    <cellStyle name="40% - Accent3 11 3 8" xfId="26286" xr:uid="{DEFE11F3-9078-4B9D-8734-8DD5F6BC9E22}"/>
    <cellStyle name="40% - Accent3 11 3_Exh G" xfId="2939" xr:uid="{00000000-0005-0000-0000-00000C390000}"/>
    <cellStyle name="40% - Accent3 11 4" xfId="1460" xr:uid="{00000000-0005-0000-0000-00000D390000}"/>
    <cellStyle name="40% - Accent3 11 4 2" xfId="4987" xr:uid="{00000000-0005-0000-0000-00000E390000}"/>
    <cellStyle name="40% - Accent3 11 4 2 2" xfId="8578" xr:uid="{00000000-0005-0000-0000-00000F390000}"/>
    <cellStyle name="40% - Accent3 11 4 2 2 2" xfId="16548" xr:uid="{00000000-0005-0000-0000-000010390000}"/>
    <cellStyle name="40% - Accent3 11 4 2 2 2 2" xfId="40390" xr:uid="{7020D6BF-BDF0-4F92-B0DC-3B743A5454DD}"/>
    <cellStyle name="40% - Accent3 11 4 2 2 3" xfId="24494" xr:uid="{00000000-0005-0000-0000-000011390000}"/>
    <cellStyle name="40% - Accent3 11 4 2 2 3 2" xfId="48326" xr:uid="{6BEE27FE-E814-4AFB-92DA-1D7F403B6196}"/>
    <cellStyle name="40% - Accent3 11 4 2 2 4" xfId="32449" xr:uid="{5E952A09-7548-4E32-BD2E-2648C4A2660C}"/>
    <cellStyle name="40% - Accent3 11 4 2 3" xfId="13010" xr:uid="{00000000-0005-0000-0000-000012390000}"/>
    <cellStyle name="40% - Accent3 11 4 2 3 2" xfId="36859" xr:uid="{52E0DE41-90C9-4AF2-B1F3-37C1AEA787F2}"/>
    <cellStyle name="40% - Accent3 11 4 2 4" xfId="20965" xr:uid="{00000000-0005-0000-0000-000013390000}"/>
    <cellStyle name="40% - Accent3 11 4 2 4 2" xfId="44797" xr:uid="{3E75B81B-5987-4B52-8213-E37DAD0B10A7}"/>
    <cellStyle name="40% - Accent3 11 4 2 5" xfId="28918" xr:uid="{09FC0DEF-D2AB-4BB3-8F5D-9C8CCB4AB696}"/>
    <cellStyle name="40% - Accent3 11 4 3" xfId="6819" xr:uid="{00000000-0005-0000-0000-000014390000}"/>
    <cellStyle name="40% - Accent3 11 4 3 2" xfId="14790" xr:uid="{00000000-0005-0000-0000-000015390000}"/>
    <cellStyle name="40% - Accent3 11 4 3 2 2" xfId="38632" xr:uid="{442B0495-BFB3-441A-BE67-7876860685AE}"/>
    <cellStyle name="40% - Accent3 11 4 3 3" xfId="22737" xr:uid="{00000000-0005-0000-0000-000016390000}"/>
    <cellStyle name="40% - Accent3 11 4 3 3 2" xfId="46569" xr:uid="{FBE9C73A-8AC9-45ED-94E3-D58D167BEB0C}"/>
    <cellStyle name="40% - Accent3 11 4 3 4" xfId="30691" xr:uid="{C3ED9023-FE0E-4C8E-A551-51E17A83D975}"/>
    <cellStyle name="40% - Accent3 11 4 4" xfId="11254" xr:uid="{00000000-0005-0000-0000-000017390000}"/>
    <cellStyle name="40% - Accent3 11 4 4 2" xfId="35103" xr:uid="{76DD4F48-2506-4D05-B55E-F2717C7F8700}"/>
    <cellStyle name="40% - Accent3 11 4 5" xfId="19209" xr:uid="{00000000-0005-0000-0000-000018390000}"/>
    <cellStyle name="40% - Accent3 11 4 5 2" xfId="43041" xr:uid="{455C5A0D-B57A-4861-8F50-FE43C5DF68FC}"/>
    <cellStyle name="40% - Accent3 11 4 6" xfId="27161" xr:uid="{FDF3405E-35AF-4D74-BA5C-7F2FD6B3132C}"/>
    <cellStyle name="40% - Accent3 11 4_Exh G" xfId="2941" xr:uid="{00000000-0005-0000-0000-000019390000}"/>
    <cellStyle name="40% - Accent3 11 5" xfId="4108" xr:uid="{00000000-0005-0000-0000-00001A390000}"/>
    <cellStyle name="40% - Accent3 11 5 2" xfId="7700" xr:uid="{00000000-0005-0000-0000-00001B390000}"/>
    <cellStyle name="40% - Accent3 11 5 2 2" xfId="15670" xr:uid="{00000000-0005-0000-0000-00001C390000}"/>
    <cellStyle name="40% - Accent3 11 5 2 2 2" xfId="39512" xr:uid="{405322EF-B947-4654-BAD5-1BE979060CBF}"/>
    <cellStyle name="40% - Accent3 11 5 2 3" xfId="23616" xr:uid="{00000000-0005-0000-0000-00001D390000}"/>
    <cellStyle name="40% - Accent3 11 5 2 3 2" xfId="47448" xr:uid="{7DA761A5-6F12-4F9B-923C-A9F3771C7E1C}"/>
    <cellStyle name="40% - Accent3 11 5 2 4" xfId="31571" xr:uid="{3C56DDB6-415E-4F86-BD9F-E9494A401534}"/>
    <cellStyle name="40% - Accent3 11 5 3" xfId="12132" xr:uid="{00000000-0005-0000-0000-00001E390000}"/>
    <cellStyle name="40% - Accent3 11 5 3 2" xfId="35981" xr:uid="{F3A363EA-8818-4340-88B4-FF80CE831EBB}"/>
    <cellStyle name="40% - Accent3 11 5 4" xfId="20087" xr:uid="{00000000-0005-0000-0000-00001F390000}"/>
    <cellStyle name="40% - Accent3 11 5 4 2" xfId="43919" xr:uid="{CDC4BB20-1F24-4086-B535-A9170C9D9CF2}"/>
    <cellStyle name="40% - Accent3 11 5 5" xfId="28040" xr:uid="{66BF3940-5B8A-49CC-B575-1F41470EF590}"/>
    <cellStyle name="40% - Accent3 11 6" xfId="5928" xr:uid="{00000000-0005-0000-0000-000020390000}"/>
    <cellStyle name="40% - Accent3 11 6 2" xfId="13911" xr:uid="{00000000-0005-0000-0000-000021390000}"/>
    <cellStyle name="40% - Accent3 11 6 2 2" xfId="37754" xr:uid="{BE003510-9B29-4120-A042-A7F0293D2F83}"/>
    <cellStyle name="40% - Accent3 11 6 3" xfId="21859" xr:uid="{00000000-0005-0000-0000-000022390000}"/>
    <cellStyle name="40% - Accent3 11 6 3 2" xfId="45691" xr:uid="{B8B20C70-9A7A-4656-BD5F-6D73CAA5611D}"/>
    <cellStyle name="40% - Accent3 11 6 4" xfId="29813" xr:uid="{2CF0CBD9-01A6-418A-8718-81CDA7DDCD5C}"/>
    <cellStyle name="40% - Accent3 11 7" xfId="9480" xr:uid="{00000000-0005-0000-0000-000023390000}"/>
    <cellStyle name="40% - Accent3 11 7 2" xfId="17438" xr:uid="{00000000-0005-0000-0000-000024390000}"/>
    <cellStyle name="40% - Accent3 11 7 2 2" xfId="41278" xr:uid="{9FBE0641-1697-45EC-B214-9C6CE5CA1E1E}"/>
    <cellStyle name="40% - Accent3 11 7 3" xfId="25382" xr:uid="{00000000-0005-0000-0000-000025390000}"/>
    <cellStyle name="40% - Accent3 11 7 3 2" xfId="49214" xr:uid="{31BB3123-251B-4CFC-9CCA-AF791198B233}"/>
    <cellStyle name="40% - Accent3 11 7 4" xfId="33337" xr:uid="{92FB7D10-5D44-475E-88F8-F4E7B7D90E8D}"/>
    <cellStyle name="40% - Accent3 11 8" xfId="10376" xr:uid="{00000000-0005-0000-0000-000026390000}"/>
    <cellStyle name="40% - Accent3 11 8 2" xfId="34225" xr:uid="{3E8BE526-9602-4A2E-91EE-7B405E51F524}"/>
    <cellStyle name="40% - Accent3 11 9" xfId="18331" xr:uid="{00000000-0005-0000-0000-000027390000}"/>
    <cellStyle name="40% - Accent3 11 9 2" xfId="42163" xr:uid="{A9D09D68-AA8F-4574-A3BA-3BCC6D391B80}"/>
    <cellStyle name="40% - Accent3 11_Exh G" xfId="2934" xr:uid="{00000000-0005-0000-0000-000028390000}"/>
    <cellStyle name="40% - Accent3 12" xfId="438" xr:uid="{00000000-0005-0000-0000-000029390000}"/>
    <cellStyle name="40% - Accent3 12 10" xfId="26287" xr:uid="{50B186F4-BE75-4323-B915-2830404B5BFB}"/>
    <cellStyle name="40% - Accent3 12 2" xfId="439" xr:uid="{00000000-0005-0000-0000-00002A390000}"/>
    <cellStyle name="40% - Accent3 12 2 2" xfId="440" xr:uid="{00000000-0005-0000-0000-00002B390000}"/>
    <cellStyle name="40% - Accent3 12 2 2 2" xfId="1466" xr:uid="{00000000-0005-0000-0000-00002C390000}"/>
    <cellStyle name="40% - Accent3 12 2 2 2 2" xfId="4993" xr:uid="{00000000-0005-0000-0000-00002D390000}"/>
    <cellStyle name="40% - Accent3 12 2 2 2 2 2" xfId="8584" xr:uid="{00000000-0005-0000-0000-00002E390000}"/>
    <cellStyle name="40% - Accent3 12 2 2 2 2 2 2" xfId="16554" xr:uid="{00000000-0005-0000-0000-00002F390000}"/>
    <cellStyle name="40% - Accent3 12 2 2 2 2 2 2 2" xfId="40396" xr:uid="{7988C3AF-B379-4A46-9BD9-5C7A576F58E3}"/>
    <cellStyle name="40% - Accent3 12 2 2 2 2 2 3" xfId="24500" xr:uid="{00000000-0005-0000-0000-000030390000}"/>
    <cellStyle name="40% - Accent3 12 2 2 2 2 2 3 2" xfId="48332" xr:uid="{205E6C44-0175-4927-B8E8-B27765C5F738}"/>
    <cellStyle name="40% - Accent3 12 2 2 2 2 2 4" xfId="32455" xr:uid="{17A8B17F-B5EF-4787-91A3-5F18AF2C59FF}"/>
    <cellStyle name="40% - Accent3 12 2 2 2 2 3" xfId="13016" xr:uid="{00000000-0005-0000-0000-000031390000}"/>
    <cellStyle name="40% - Accent3 12 2 2 2 2 3 2" xfId="36865" xr:uid="{86E47A43-1BDF-41AF-9143-FE0E81A2A3DF}"/>
    <cellStyle name="40% - Accent3 12 2 2 2 2 4" xfId="20971" xr:uid="{00000000-0005-0000-0000-000032390000}"/>
    <cellStyle name="40% - Accent3 12 2 2 2 2 4 2" xfId="44803" xr:uid="{609A2972-33C7-4B1F-A11F-B046C83FB3E4}"/>
    <cellStyle name="40% - Accent3 12 2 2 2 2 5" xfId="28924" xr:uid="{50E90ABA-0FA0-4118-B243-D904C49B2E2C}"/>
    <cellStyle name="40% - Accent3 12 2 2 2 3" xfId="6825" xr:uid="{00000000-0005-0000-0000-000033390000}"/>
    <cellStyle name="40% - Accent3 12 2 2 2 3 2" xfId="14796" xr:uid="{00000000-0005-0000-0000-000034390000}"/>
    <cellStyle name="40% - Accent3 12 2 2 2 3 2 2" xfId="38638" xr:uid="{87A979DD-E811-435D-987E-AA8DADDFD688}"/>
    <cellStyle name="40% - Accent3 12 2 2 2 3 3" xfId="22743" xr:uid="{00000000-0005-0000-0000-000035390000}"/>
    <cellStyle name="40% - Accent3 12 2 2 2 3 3 2" xfId="46575" xr:uid="{5464DD08-18D5-421E-9828-062B5CF1D7C3}"/>
    <cellStyle name="40% - Accent3 12 2 2 2 3 4" xfId="30697" xr:uid="{32D9DA5C-F987-4F39-94C3-BBF4FFE80DDD}"/>
    <cellStyle name="40% - Accent3 12 2 2 2 4" xfId="11260" xr:uid="{00000000-0005-0000-0000-000036390000}"/>
    <cellStyle name="40% - Accent3 12 2 2 2 4 2" xfId="35109" xr:uid="{79D8D395-7A45-480D-9DC2-EEAC402A71E5}"/>
    <cellStyle name="40% - Accent3 12 2 2 2 5" xfId="19215" xr:uid="{00000000-0005-0000-0000-000037390000}"/>
    <cellStyle name="40% - Accent3 12 2 2 2 5 2" xfId="43047" xr:uid="{CAC01408-6B3E-485E-971B-95F0F9DC2662}"/>
    <cellStyle name="40% - Accent3 12 2 2 2 6" xfId="27167" xr:uid="{B29BD3DC-0E6D-44C5-95CA-B2E45A62B582}"/>
    <cellStyle name="40% - Accent3 12 2 2 2_Exh G" xfId="2945" xr:uid="{00000000-0005-0000-0000-000038390000}"/>
    <cellStyle name="40% - Accent3 12 2 2 3" xfId="4114" xr:uid="{00000000-0005-0000-0000-000039390000}"/>
    <cellStyle name="40% - Accent3 12 2 2 3 2" xfId="7706" xr:uid="{00000000-0005-0000-0000-00003A390000}"/>
    <cellStyle name="40% - Accent3 12 2 2 3 2 2" xfId="15676" xr:uid="{00000000-0005-0000-0000-00003B390000}"/>
    <cellStyle name="40% - Accent3 12 2 2 3 2 2 2" xfId="39518" xr:uid="{B4243537-B338-46F8-BFC8-5A0739C974EE}"/>
    <cellStyle name="40% - Accent3 12 2 2 3 2 3" xfId="23622" xr:uid="{00000000-0005-0000-0000-00003C390000}"/>
    <cellStyle name="40% - Accent3 12 2 2 3 2 3 2" xfId="47454" xr:uid="{D5E10D40-CB94-4053-AD0D-793CE5AC302E}"/>
    <cellStyle name="40% - Accent3 12 2 2 3 2 4" xfId="31577" xr:uid="{93D7DC1D-7DF9-48CE-B638-A5C3D6EFE876}"/>
    <cellStyle name="40% - Accent3 12 2 2 3 3" xfId="12138" xr:uid="{00000000-0005-0000-0000-00003D390000}"/>
    <cellStyle name="40% - Accent3 12 2 2 3 3 2" xfId="35987" xr:uid="{C715E25E-892A-4EF3-BBFC-8742BDB68C80}"/>
    <cellStyle name="40% - Accent3 12 2 2 3 4" xfId="20093" xr:uid="{00000000-0005-0000-0000-00003E390000}"/>
    <cellStyle name="40% - Accent3 12 2 2 3 4 2" xfId="43925" xr:uid="{6BC43147-A819-4555-81D5-166F6A6483BF}"/>
    <cellStyle name="40% - Accent3 12 2 2 3 5" xfId="28046" xr:uid="{31CE2B8A-73A7-4F15-81C5-DFEBC38EDD7C}"/>
    <cellStyle name="40% - Accent3 12 2 2 4" xfId="5934" xr:uid="{00000000-0005-0000-0000-00003F390000}"/>
    <cellStyle name="40% - Accent3 12 2 2 4 2" xfId="13917" xr:uid="{00000000-0005-0000-0000-000040390000}"/>
    <cellStyle name="40% - Accent3 12 2 2 4 2 2" xfId="37760" xr:uid="{E0E329F9-DE25-4804-AA78-7D6EE64476B3}"/>
    <cellStyle name="40% - Accent3 12 2 2 4 3" xfId="21865" xr:uid="{00000000-0005-0000-0000-000041390000}"/>
    <cellStyle name="40% - Accent3 12 2 2 4 3 2" xfId="45697" xr:uid="{D1729AC8-68E6-469B-9264-688495BA4E2E}"/>
    <cellStyle name="40% - Accent3 12 2 2 4 4" xfId="29819" xr:uid="{3B1CD2E5-C7EA-470A-8A04-204A9078CE53}"/>
    <cellStyle name="40% - Accent3 12 2 2 5" xfId="9486" xr:uid="{00000000-0005-0000-0000-000042390000}"/>
    <cellStyle name="40% - Accent3 12 2 2 5 2" xfId="17444" xr:uid="{00000000-0005-0000-0000-000043390000}"/>
    <cellStyle name="40% - Accent3 12 2 2 5 2 2" xfId="41284" xr:uid="{08E61AA6-D227-4F60-8784-D0AF8117889E}"/>
    <cellStyle name="40% - Accent3 12 2 2 5 3" xfId="25388" xr:uid="{00000000-0005-0000-0000-000044390000}"/>
    <cellStyle name="40% - Accent3 12 2 2 5 3 2" xfId="49220" xr:uid="{82B6F76B-46CE-42F3-B3E9-65F375629FE2}"/>
    <cellStyle name="40% - Accent3 12 2 2 5 4" xfId="33343" xr:uid="{CF13B194-5C21-4630-BBEE-B9322B9135FD}"/>
    <cellStyle name="40% - Accent3 12 2 2 6" xfId="10382" xr:uid="{00000000-0005-0000-0000-000045390000}"/>
    <cellStyle name="40% - Accent3 12 2 2 6 2" xfId="34231" xr:uid="{29321987-3C10-4BA5-B604-6602F7F67447}"/>
    <cellStyle name="40% - Accent3 12 2 2 7" xfId="18337" xr:uid="{00000000-0005-0000-0000-000046390000}"/>
    <cellStyle name="40% - Accent3 12 2 2 7 2" xfId="42169" xr:uid="{1FECD364-E191-465C-ADFD-DAFA9A8183D6}"/>
    <cellStyle name="40% - Accent3 12 2 2 8" xfId="26289" xr:uid="{4F6DC7E0-4732-48AA-9C29-43D916E9B383}"/>
    <cellStyle name="40% - Accent3 12 2 2_Exh G" xfId="2944" xr:uid="{00000000-0005-0000-0000-000047390000}"/>
    <cellStyle name="40% - Accent3 12 2 3" xfId="1465" xr:uid="{00000000-0005-0000-0000-000048390000}"/>
    <cellStyle name="40% - Accent3 12 2 3 2" xfId="4992" xr:uid="{00000000-0005-0000-0000-000049390000}"/>
    <cellStyle name="40% - Accent3 12 2 3 2 2" xfId="8583" xr:uid="{00000000-0005-0000-0000-00004A390000}"/>
    <cellStyle name="40% - Accent3 12 2 3 2 2 2" xfId="16553" xr:uid="{00000000-0005-0000-0000-00004B390000}"/>
    <cellStyle name="40% - Accent3 12 2 3 2 2 2 2" xfId="40395" xr:uid="{4B5216E2-E9D3-4799-AAD6-801E1864D253}"/>
    <cellStyle name="40% - Accent3 12 2 3 2 2 3" xfId="24499" xr:uid="{00000000-0005-0000-0000-00004C390000}"/>
    <cellStyle name="40% - Accent3 12 2 3 2 2 3 2" xfId="48331" xr:uid="{EBC0A154-9F9B-48D6-805E-A94439427F4E}"/>
    <cellStyle name="40% - Accent3 12 2 3 2 2 4" xfId="32454" xr:uid="{D201A6FB-EDD1-4C55-B80E-86B3EECCF19A}"/>
    <cellStyle name="40% - Accent3 12 2 3 2 3" xfId="13015" xr:uid="{00000000-0005-0000-0000-00004D390000}"/>
    <cellStyle name="40% - Accent3 12 2 3 2 3 2" xfId="36864" xr:uid="{8C3C42BB-C68A-4899-961D-93B132BEFDAD}"/>
    <cellStyle name="40% - Accent3 12 2 3 2 4" xfId="20970" xr:uid="{00000000-0005-0000-0000-00004E390000}"/>
    <cellStyle name="40% - Accent3 12 2 3 2 4 2" xfId="44802" xr:uid="{0506F050-F712-4B7D-97FA-7AF0A8ABCC04}"/>
    <cellStyle name="40% - Accent3 12 2 3 2 5" xfId="28923" xr:uid="{A9FF8579-0413-4A58-A489-5068E4F3C351}"/>
    <cellStyle name="40% - Accent3 12 2 3 3" xfId="6824" xr:uid="{00000000-0005-0000-0000-00004F390000}"/>
    <cellStyle name="40% - Accent3 12 2 3 3 2" xfId="14795" xr:uid="{00000000-0005-0000-0000-000050390000}"/>
    <cellStyle name="40% - Accent3 12 2 3 3 2 2" xfId="38637" xr:uid="{792F113B-880C-45FB-AFB2-8F8F42D71713}"/>
    <cellStyle name="40% - Accent3 12 2 3 3 3" xfId="22742" xr:uid="{00000000-0005-0000-0000-000051390000}"/>
    <cellStyle name="40% - Accent3 12 2 3 3 3 2" xfId="46574" xr:uid="{2CCE9B6D-A835-4990-9869-2236D92DC173}"/>
    <cellStyle name="40% - Accent3 12 2 3 3 4" xfId="30696" xr:uid="{226F4F81-DC77-45C9-AFF3-6EEBF0D2C5E3}"/>
    <cellStyle name="40% - Accent3 12 2 3 4" xfId="11259" xr:uid="{00000000-0005-0000-0000-000052390000}"/>
    <cellStyle name="40% - Accent3 12 2 3 4 2" xfId="35108" xr:uid="{05F1B0E2-86A2-40AC-8B6F-6AD1D808C827}"/>
    <cellStyle name="40% - Accent3 12 2 3 5" xfId="19214" xr:uid="{00000000-0005-0000-0000-000053390000}"/>
    <cellStyle name="40% - Accent3 12 2 3 5 2" xfId="43046" xr:uid="{FCD480A1-A667-466C-A64E-D31920E4038F}"/>
    <cellStyle name="40% - Accent3 12 2 3 6" xfId="27166" xr:uid="{7FC0AA22-CECC-486C-820F-D9DC2931A087}"/>
    <cellStyle name="40% - Accent3 12 2 3_Exh G" xfId="2946" xr:uid="{00000000-0005-0000-0000-000054390000}"/>
    <cellStyle name="40% - Accent3 12 2 4" xfId="4113" xr:uid="{00000000-0005-0000-0000-000055390000}"/>
    <cellStyle name="40% - Accent3 12 2 4 2" xfId="7705" xr:uid="{00000000-0005-0000-0000-000056390000}"/>
    <cellStyle name="40% - Accent3 12 2 4 2 2" xfId="15675" xr:uid="{00000000-0005-0000-0000-000057390000}"/>
    <cellStyle name="40% - Accent3 12 2 4 2 2 2" xfId="39517" xr:uid="{71EA8572-EB79-4711-95F4-079789EFB982}"/>
    <cellStyle name="40% - Accent3 12 2 4 2 3" xfId="23621" xr:uid="{00000000-0005-0000-0000-000058390000}"/>
    <cellStyle name="40% - Accent3 12 2 4 2 3 2" xfId="47453" xr:uid="{35220E10-A6E9-4395-8A52-2806656C5B45}"/>
    <cellStyle name="40% - Accent3 12 2 4 2 4" xfId="31576" xr:uid="{DE2F3C5B-7AC0-47AC-B7BE-BB30CF68AD8C}"/>
    <cellStyle name="40% - Accent3 12 2 4 3" xfId="12137" xr:uid="{00000000-0005-0000-0000-000059390000}"/>
    <cellStyle name="40% - Accent3 12 2 4 3 2" xfId="35986" xr:uid="{7FE52DB4-25AA-4F4D-9324-648717165EF3}"/>
    <cellStyle name="40% - Accent3 12 2 4 4" xfId="20092" xr:uid="{00000000-0005-0000-0000-00005A390000}"/>
    <cellStyle name="40% - Accent3 12 2 4 4 2" xfId="43924" xr:uid="{9B2DC97B-56B0-4438-BF4A-18638C6FC841}"/>
    <cellStyle name="40% - Accent3 12 2 4 5" xfId="28045" xr:uid="{9E1A6068-80EF-481F-A6C7-12301424A7FC}"/>
    <cellStyle name="40% - Accent3 12 2 5" xfId="5933" xr:uid="{00000000-0005-0000-0000-00005B390000}"/>
    <cellStyle name="40% - Accent3 12 2 5 2" xfId="13916" xr:uid="{00000000-0005-0000-0000-00005C390000}"/>
    <cellStyle name="40% - Accent3 12 2 5 2 2" xfId="37759" xr:uid="{BF9FA8F7-36D8-49E1-8C23-C973F8BB5300}"/>
    <cellStyle name="40% - Accent3 12 2 5 3" xfId="21864" xr:uid="{00000000-0005-0000-0000-00005D390000}"/>
    <cellStyle name="40% - Accent3 12 2 5 3 2" xfId="45696" xr:uid="{AC8E5D6F-AD05-4941-A6CD-F4408AD67CE6}"/>
    <cellStyle name="40% - Accent3 12 2 5 4" xfId="29818" xr:uid="{AB2C0784-303A-4188-B6C9-2BACE265E918}"/>
    <cellStyle name="40% - Accent3 12 2 6" xfId="9485" xr:uid="{00000000-0005-0000-0000-00005E390000}"/>
    <cellStyle name="40% - Accent3 12 2 6 2" xfId="17443" xr:uid="{00000000-0005-0000-0000-00005F390000}"/>
    <cellStyle name="40% - Accent3 12 2 6 2 2" xfId="41283" xr:uid="{8697538C-A0A3-4A69-9287-D24DBEAAB65F}"/>
    <cellStyle name="40% - Accent3 12 2 6 3" xfId="25387" xr:uid="{00000000-0005-0000-0000-000060390000}"/>
    <cellStyle name="40% - Accent3 12 2 6 3 2" xfId="49219" xr:uid="{0BF601B8-4FC8-466C-A4FA-4A9D99C1B946}"/>
    <cellStyle name="40% - Accent3 12 2 6 4" xfId="33342" xr:uid="{6497C456-0A91-44A0-9562-B0CC2D83BA71}"/>
    <cellStyle name="40% - Accent3 12 2 7" xfId="10381" xr:uid="{00000000-0005-0000-0000-000061390000}"/>
    <cellStyle name="40% - Accent3 12 2 7 2" xfId="34230" xr:uid="{5D27C993-36F1-4B4C-A2FB-10A7173918FE}"/>
    <cellStyle name="40% - Accent3 12 2 8" xfId="18336" xr:uid="{00000000-0005-0000-0000-000062390000}"/>
    <cellStyle name="40% - Accent3 12 2 8 2" xfId="42168" xr:uid="{88453CA9-18D8-4AF3-96A8-2E17115A01CA}"/>
    <cellStyle name="40% - Accent3 12 2 9" xfId="26288" xr:uid="{D96F55E0-9E26-41F7-85B7-AB70B0AA4225}"/>
    <cellStyle name="40% - Accent3 12 2_Exh G" xfId="2943" xr:uid="{00000000-0005-0000-0000-000063390000}"/>
    <cellStyle name="40% - Accent3 12 3" xfId="441" xr:uid="{00000000-0005-0000-0000-000064390000}"/>
    <cellStyle name="40% - Accent3 12 3 2" xfId="1467" xr:uid="{00000000-0005-0000-0000-000065390000}"/>
    <cellStyle name="40% - Accent3 12 3 2 2" xfId="4994" xr:uid="{00000000-0005-0000-0000-000066390000}"/>
    <cellStyle name="40% - Accent3 12 3 2 2 2" xfId="8585" xr:uid="{00000000-0005-0000-0000-000067390000}"/>
    <cellStyle name="40% - Accent3 12 3 2 2 2 2" xfId="16555" xr:uid="{00000000-0005-0000-0000-000068390000}"/>
    <cellStyle name="40% - Accent3 12 3 2 2 2 2 2" xfId="40397" xr:uid="{D6AE9146-F760-406B-A690-C79B69145070}"/>
    <cellStyle name="40% - Accent3 12 3 2 2 2 3" xfId="24501" xr:uid="{00000000-0005-0000-0000-000069390000}"/>
    <cellStyle name="40% - Accent3 12 3 2 2 2 3 2" xfId="48333" xr:uid="{C36EBAAC-7703-4C84-97F5-A838526C9008}"/>
    <cellStyle name="40% - Accent3 12 3 2 2 2 4" xfId="32456" xr:uid="{B78D403A-FDF0-45DD-A2CC-E07435D902AC}"/>
    <cellStyle name="40% - Accent3 12 3 2 2 3" xfId="13017" xr:uid="{00000000-0005-0000-0000-00006A390000}"/>
    <cellStyle name="40% - Accent3 12 3 2 2 3 2" xfId="36866" xr:uid="{476340BA-9DEB-4B2E-BB14-BEFE8303DF0B}"/>
    <cellStyle name="40% - Accent3 12 3 2 2 4" xfId="20972" xr:uid="{00000000-0005-0000-0000-00006B390000}"/>
    <cellStyle name="40% - Accent3 12 3 2 2 4 2" xfId="44804" xr:uid="{8516379E-F56F-4815-AB18-CED6200C76AC}"/>
    <cellStyle name="40% - Accent3 12 3 2 2 5" xfId="28925" xr:uid="{49AD85C0-B852-4450-B848-FF8683903DAA}"/>
    <cellStyle name="40% - Accent3 12 3 2 3" xfId="6826" xr:uid="{00000000-0005-0000-0000-00006C390000}"/>
    <cellStyle name="40% - Accent3 12 3 2 3 2" xfId="14797" xr:uid="{00000000-0005-0000-0000-00006D390000}"/>
    <cellStyle name="40% - Accent3 12 3 2 3 2 2" xfId="38639" xr:uid="{2D54C9F8-A9E6-4F5D-BAEE-409DABF48F4B}"/>
    <cellStyle name="40% - Accent3 12 3 2 3 3" xfId="22744" xr:uid="{00000000-0005-0000-0000-00006E390000}"/>
    <cellStyle name="40% - Accent3 12 3 2 3 3 2" xfId="46576" xr:uid="{17B91554-099C-41CA-9B50-79663DDB0537}"/>
    <cellStyle name="40% - Accent3 12 3 2 3 4" xfId="30698" xr:uid="{AD2A565C-EFCA-430F-8D5A-57A6A69720AF}"/>
    <cellStyle name="40% - Accent3 12 3 2 4" xfId="11261" xr:uid="{00000000-0005-0000-0000-00006F390000}"/>
    <cellStyle name="40% - Accent3 12 3 2 4 2" xfId="35110" xr:uid="{2D23CE79-0A5F-44E9-B8E8-50583ACAB488}"/>
    <cellStyle name="40% - Accent3 12 3 2 5" xfId="19216" xr:uid="{00000000-0005-0000-0000-000070390000}"/>
    <cellStyle name="40% - Accent3 12 3 2 5 2" xfId="43048" xr:uid="{6216D79A-33F0-44D0-9BFB-71E356B51E91}"/>
    <cellStyle name="40% - Accent3 12 3 2 6" xfId="27168" xr:uid="{D6F267CC-DAFE-4DBD-AA93-CE82E0479EE5}"/>
    <cellStyle name="40% - Accent3 12 3 2_Exh G" xfId="2948" xr:uid="{00000000-0005-0000-0000-000071390000}"/>
    <cellStyle name="40% - Accent3 12 3 3" xfId="4115" xr:uid="{00000000-0005-0000-0000-000072390000}"/>
    <cellStyle name="40% - Accent3 12 3 3 2" xfId="7707" xr:uid="{00000000-0005-0000-0000-000073390000}"/>
    <cellStyle name="40% - Accent3 12 3 3 2 2" xfId="15677" xr:uid="{00000000-0005-0000-0000-000074390000}"/>
    <cellStyle name="40% - Accent3 12 3 3 2 2 2" xfId="39519" xr:uid="{CE876B4A-5E22-4A57-A6A3-C0FFE9D126F0}"/>
    <cellStyle name="40% - Accent3 12 3 3 2 3" xfId="23623" xr:uid="{00000000-0005-0000-0000-000075390000}"/>
    <cellStyle name="40% - Accent3 12 3 3 2 3 2" xfId="47455" xr:uid="{E7284B5E-4320-46E7-8824-2CC060C4157F}"/>
    <cellStyle name="40% - Accent3 12 3 3 2 4" xfId="31578" xr:uid="{96E8D99F-4F52-4532-B24E-3E28CC5F4C65}"/>
    <cellStyle name="40% - Accent3 12 3 3 3" xfId="12139" xr:uid="{00000000-0005-0000-0000-000076390000}"/>
    <cellStyle name="40% - Accent3 12 3 3 3 2" xfId="35988" xr:uid="{756EA774-118F-4E62-80D9-6075ACF60D17}"/>
    <cellStyle name="40% - Accent3 12 3 3 4" xfId="20094" xr:uid="{00000000-0005-0000-0000-000077390000}"/>
    <cellStyle name="40% - Accent3 12 3 3 4 2" xfId="43926" xr:uid="{AEB77B8E-2F4F-49BD-8C9A-396F25A68900}"/>
    <cellStyle name="40% - Accent3 12 3 3 5" xfId="28047" xr:uid="{5046BE75-D0B2-4DC7-BF73-7791AA1C644C}"/>
    <cellStyle name="40% - Accent3 12 3 4" xfId="5935" xr:uid="{00000000-0005-0000-0000-000078390000}"/>
    <cellStyle name="40% - Accent3 12 3 4 2" xfId="13918" xr:uid="{00000000-0005-0000-0000-000079390000}"/>
    <cellStyle name="40% - Accent3 12 3 4 2 2" xfId="37761" xr:uid="{7224D535-DEEB-4457-A373-4164D02F53BB}"/>
    <cellStyle name="40% - Accent3 12 3 4 3" xfId="21866" xr:uid="{00000000-0005-0000-0000-00007A390000}"/>
    <cellStyle name="40% - Accent3 12 3 4 3 2" xfId="45698" xr:uid="{327DA871-78F5-4E34-B3E2-4E99141A4FFB}"/>
    <cellStyle name="40% - Accent3 12 3 4 4" xfId="29820" xr:uid="{FD2BF93A-4BAE-4432-B054-02F6ACC78DA7}"/>
    <cellStyle name="40% - Accent3 12 3 5" xfId="9487" xr:uid="{00000000-0005-0000-0000-00007B390000}"/>
    <cellStyle name="40% - Accent3 12 3 5 2" xfId="17445" xr:uid="{00000000-0005-0000-0000-00007C390000}"/>
    <cellStyle name="40% - Accent3 12 3 5 2 2" xfId="41285" xr:uid="{590827D8-B4D0-48A1-83F2-184AD14A1F09}"/>
    <cellStyle name="40% - Accent3 12 3 5 3" xfId="25389" xr:uid="{00000000-0005-0000-0000-00007D390000}"/>
    <cellStyle name="40% - Accent3 12 3 5 3 2" xfId="49221" xr:uid="{BC0A6678-8C36-4E04-AF80-07644C358952}"/>
    <cellStyle name="40% - Accent3 12 3 5 4" xfId="33344" xr:uid="{F5DC7111-F962-4C75-B761-BFC0E198ACDA}"/>
    <cellStyle name="40% - Accent3 12 3 6" xfId="10383" xr:uid="{00000000-0005-0000-0000-00007E390000}"/>
    <cellStyle name="40% - Accent3 12 3 6 2" xfId="34232" xr:uid="{481CC3B3-AB38-46E1-975E-7D7BA15C957A}"/>
    <cellStyle name="40% - Accent3 12 3 7" xfId="18338" xr:uid="{00000000-0005-0000-0000-00007F390000}"/>
    <cellStyle name="40% - Accent3 12 3 7 2" xfId="42170" xr:uid="{C45E880E-1BEA-4D4E-80C2-CB9BB3E582F8}"/>
    <cellStyle name="40% - Accent3 12 3 8" xfId="26290" xr:uid="{220DCA65-4909-4E73-A23F-AC325021E8FB}"/>
    <cellStyle name="40% - Accent3 12 3_Exh G" xfId="2947" xr:uid="{00000000-0005-0000-0000-000080390000}"/>
    <cellStyle name="40% - Accent3 12 4" xfId="1464" xr:uid="{00000000-0005-0000-0000-000081390000}"/>
    <cellStyle name="40% - Accent3 12 4 2" xfId="4991" xr:uid="{00000000-0005-0000-0000-000082390000}"/>
    <cellStyle name="40% - Accent3 12 4 2 2" xfId="8582" xr:uid="{00000000-0005-0000-0000-000083390000}"/>
    <cellStyle name="40% - Accent3 12 4 2 2 2" xfId="16552" xr:uid="{00000000-0005-0000-0000-000084390000}"/>
    <cellStyle name="40% - Accent3 12 4 2 2 2 2" xfId="40394" xr:uid="{410CB908-2538-42EB-9C49-2818464BEC30}"/>
    <cellStyle name="40% - Accent3 12 4 2 2 3" xfId="24498" xr:uid="{00000000-0005-0000-0000-000085390000}"/>
    <cellStyle name="40% - Accent3 12 4 2 2 3 2" xfId="48330" xr:uid="{448F98A2-DC71-4D90-AFE0-7E2D6187BB0B}"/>
    <cellStyle name="40% - Accent3 12 4 2 2 4" xfId="32453" xr:uid="{08406362-11F9-4C7C-80DC-93285FE0E848}"/>
    <cellStyle name="40% - Accent3 12 4 2 3" xfId="13014" xr:uid="{00000000-0005-0000-0000-000086390000}"/>
    <cellStyle name="40% - Accent3 12 4 2 3 2" xfId="36863" xr:uid="{7ECA8A21-022A-4067-B22A-125FF28A30A5}"/>
    <cellStyle name="40% - Accent3 12 4 2 4" xfId="20969" xr:uid="{00000000-0005-0000-0000-000087390000}"/>
    <cellStyle name="40% - Accent3 12 4 2 4 2" xfId="44801" xr:uid="{4D81998C-C1F4-4D56-9CD7-CB8B9887E7F7}"/>
    <cellStyle name="40% - Accent3 12 4 2 5" xfId="28922" xr:uid="{85AF902D-0194-42FC-BD89-DFD14C400217}"/>
    <cellStyle name="40% - Accent3 12 4 3" xfId="6823" xr:uid="{00000000-0005-0000-0000-000088390000}"/>
    <cellStyle name="40% - Accent3 12 4 3 2" xfId="14794" xr:uid="{00000000-0005-0000-0000-000089390000}"/>
    <cellStyle name="40% - Accent3 12 4 3 2 2" xfId="38636" xr:uid="{8F36CAC2-7C2B-40C0-BEFE-8CD1E9C8CA24}"/>
    <cellStyle name="40% - Accent3 12 4 3 3" xfId="22741" xr:uid="{00000000-0005-0000-0000-00008A390000}"/>
    <cellStyle name="40% - Accent3 12 4 3 3 2" xfId="46573" xr:uid="{04A3F83D-0EE0-4F9F-BCC7-2941A5CBCCE9}"/>
    <cellStyle name="40% - Accent3 12 4 3 4" xfId="30695" xr:uid="{95F424DB-33BC-43F2-871A-23EEE963DE06}"/>
    <cellStyle name="40% - Accent3 12 4 4" xfId="11258" xr:uid="{00000000-0005-0000-0000-00008B390000}"/>
    <cellStyle name="40% - Accent3 12 4 4 2" xfId="35107" xr:uid="{2BD9F799-14F1-4EA2-A97F-578266B08C49}"/>
    <cellStyle name="40% - Accent3 12 4 5" xfId="19213" xr:uid="{00000000-0005-0000-0000-00008C390000}"/>
    <cellStyle name="40% - Accent3 12 4 5 2" xfId="43045" xr:uid="{3BAB6FFA-8C3E-4C86-8424-F720290376EC}"/>
    <cellStyle name="40% - Accent3 12 4 6" xfId="27165" xr:uid="{BE21B014-1878-403E-A2CD-AA589CE5ECFA}"/>
    <cellStyle name="40% - Accent3 12 4_Exh G" xfId="2949" xr:uid="{00000000-0005-0000-0000-00008D390000}"/>
    <cellStyle name="40% - Accent3 12 5" xfId="4112" xr:uid="{00000000-0005-0000-0000-00008E390000}"/>
    <cellStyle name="40% - Accent3 12 5 2" xfId="7704" xr:uid="{00000000-0005-0000-0000-00008F390000}"/>
    <cellStyle name="40% - Accent3 12 5 2 2" xfId="15674" xr:uid="{00000000-0005-0000-0000-000090390000}"/>
    <cellStyle name="40% - Accent3 12 5 2 2 2" xfId="39516" xr:uid="{D432A8A4-EE95-48A7-B507-6178153DA09B}"/>
    <cellStyle name="40% - Accent3 12 5 2 3" xfId="23620" xr:uid="{00000000-0005-0000-0000-000091390000}"/>
    <cellStyle name="40% - Accent3 12 5 2 3 2" xfId="47452" xr:uid="{92B19D84-7C4D-4368-BE46-F8A3F738F79B}"/>
    <cellStyle name="40% - Accent3 12 5 2 4" xfId="31575" xr:uid="{27CA6606-503A-434C-91A2-713A980800AB}"/>
    <cellStyle name="40% - Accent3 12 5 3" xfId="12136" xr:uid="{00000000-0005-0000-0000-000092390000}"/>
    <cellStyle name="40% - Accent3 12 5 3 2" xfId="35985" xr:uid="{692D875C-8E20-4878-9029-ADC9E2E1274A}"/>
    <cellStyle name="40% - Accent3 12 5 4" xfId="20091" xr:uid="{00000000-0005-0000-0000-000093390000}"/>
    <cellStyle name="40% - Accent3 12 5 4 2" xfId="43923" xr:uid="{1F35F925-DCCD-4BCB-B798-5F9025A02204}"/>
    <cellStyle name="40% - Accent3 12 5 5" xfId="28044" xr:uid="{C1E5CEC0-253D-4B3D-82BF-217BFD88F8A1}"/>
    <cellStyle name="40% - Accent3 12 6" xfId="5932" xr:uid="{00000000-0005-0000-0000-000094390000}"/>
    <cellStyle name="40% - Accent3 12 6 2" xfId="13915" xr:uid="{00000000-0005-0000-0000-000095390000}"/>
    <cellStyle name="40% - Accent3 12 6 2 2" xfId="37758" xr:uid="{C2294583-BDC9-4DF5-AFA3-7193351689DA}"/>
    <cellStyle name="40% - Accent3 12 6 3" xfId="21863" xr:uid="{00000000-0005-0000-0000-000096390000}"/>
    <cellStyle name="40% - Accent3 12 6 3 2" xfId="45695" xr:uid="{E129C3E6-8EDA-453E-9562-3293EA3ED901}"/>
    <cellStyle name="40% - Accent3 12 6 4" xfId="29817" xr:uid="{D86A4760-DCCF-4E17-8995-01CA903B7B5A}"/>
    <cellStyle name="40% - Accent3 12 7" xfId="9484" xr:uid="{00000000-0005-0000-0000-000097390000}"/>
    <cellStyle name="40% - Accent3 12 7 2" xfId="17442" xr:uid="{00000000-0005-0000-0000-000098390000}"/>
    <cellStyle name="40% - Accent3 12 7 2 2" xfId="41282" xr:uid="{BC9D215B-46D6-4A55-B7D7-79CE569E7E93}"/>
    <cellStyle name="40% - Accent3 12 7 3" xfId="25386" xr:uid="{00000000-0005-0000-0000-000099390000}"/>
    <cellStyle name="40% - Accent3 12 7 3 2" xfId="49218" xr:uid="{A141F370-971F-42D1-962B-2B3FC359CE59}"/>
    <cellStyle name="40% - Accent3 12 7 4" xfId="33341" xr:uid="{5B752A54-FB93-4779-B138-F9519C8353AA}"/>
    <cellStyle name="40% - Accent3 12 8" xfId="10380" xr:uid="{00000000-0005-0000-0000-00009A390000}"/>
    <cellStyle name="40% - Accent3 12 8 2" xfId="34229" xr:uid="{559F1E7B-3A78-47C7-A97A-BFCC13497E15}"/>
    <cellStyle name="40% - Accent3 12 9" xfId="18335" xr:uid="{00000000-0005-0000-0000-00009B390000}"/>
    <cellStyle name="40% - Accent3 12 9 2" xfId="42167" xr:uid="{17632AB3-8AD7-440E-8D1C-C6A4DE32DB58}"/>
    <cellStyle name="40% - Accent3 12_Exh G" xfId="2942" xr:uid="{00000000-0005-0000-0000-00009C390000}"/>
    <cellStyle name="40% - Accent3 13" xfId="442" xr:uid="{00000000-0005-0000-0000-00009D390000}"/>
    <cellStyle name="40% - Accent3 13 10" xfId="26291" xr:uid="{A6B4D995-40AC-4BDA-8E85-11967BD18740}"/>
    <cellStyle name="40% - Accent3 13 2" xfId="443" xr:uid="{00000000-0005-0000-0000-00009E390000}"/>
    <cellStyle name="40% - Accent3 13 2 2" xfId="444" xr:uid="{00000000-0005-0000-0000-00009F390000}"/>
    <cellStyle name="40% - Accent3 13 2 2 2" xfId="1470" xr:uid="{00000000-0005-0000-0000-0000A0390000}"/>
    <cellStyle name="40% - Accent3 13 2 2 2 2" xfId="4997" xr:uid="{00000000-0005-0000-0000-0000A1390000}"/>
    <cellStyle name="40% - Accent3 13 2 2 2 2 2" xfId="8588" xr:uid="{00000000-0005-0000-0000-0000A2390000}"/>
    <cellStyle name="40% - Accent3 13 2 2 2 2 2 2" xfId="16558" xr:uid="{00000000-0005-0000-0000-0000A3390000}"/>
    <cellStyle name="40% - Accent3 13 2 2 2 2 2 2 2" xfId="40400" xr:uid="{CD11F873-70C1-4B2F-9C5C-34CC9C3F0CEC}"/>
    <cellStyle name="40% - Accent3 13 2 2 2 2 2 3" xfId="24504" xr:uid="{00000000-0005-0000-0000-0000A4390000}"/>
    <cellStyle name="40% - Accent3 13 2 2 2 2 2 3 2" xfId="48336" xr:uid="{2043A819-FBFA-4D4F-8332-1A4AF652D94D}"/>
    <cellStyle name="40% - Accent3 13 2 2 2 2 2 4" xfId="32459" xr:uid="{10FA5580-26EE-4386-B726-E80DFAE7C2C5}"/>
    <cellStyle name="40% - Accent3 13 2 2 2 2 3" xfId="13020" xr:uid="{00000000-0005-0000-0000-0000A5390000}"/>
    <cellStyle name="40% - Accent3 13 2 2 2 2 3 2" xfId="36869" xr:uid="{DC18C896-EBCD-4D84-AB00-579357532564}"/>
    <cellStyle name="40% - Accent3 13 2 2 2 2 4" xfId="20975" xr:uid="{00000000-0005-0000-0000-0000A6390000}"/>
    <cellStyle name="40% - Accent3 13 2 2 2 2 4 2" xfId="44807" xr:uid="{F3312416-2791-406A-AAD1-41677AF1F1D3}"/>
    <cellStyle name="40% - Accent3 13 2 2 2 2 5" xfId="28928" xr:uid="{62D7F712-C27B-411A-B2E7-EA4405E58C1D}"/>
    <cellStyle name="40% - Accent3 13 2 2 2 3" xfId="6829" xr:uid="{00000000-0005-0000-0000-0000A7390000}"/>
    <cellStyle name="40% - Accent3 13 2 2 2 3 2" xfId="14800" xr:uid="{00000000-0005-0000-0000-0000A8390000}"/>
    <cellStyle name="40% - Accent3 13 2 2 2 3 2 2" xfId="38642" xr:uid="{451D3F83-D2A5-4E1C-93ED-D5BF065B860C}"/>
    <cellStyle name="40% - Accent3 13 2 2 2 3 3" xfId="22747" xr:uid="{00000000-0005-0000-0000-0000A9390000}"/>
    <cellStyle name="40% - Accent3 13 2 2 2 3 3 2" xfId="46579" xr:uid="{646E9C59-923C-4B24-8670-8D8E38C96F0A}"/>
    <cellStyle name="40% - Accent3 13 2 2 2 3 4" xfId="30701" xr:uid="{15966F91-2377-4939-9BC6-B6962E14C227}"/>
    <cellStyle name="40% - Accent3 13 2 2 2 4" xfId="11264" xr:uid="{00000000-0005-0000-0000-0000AA390000}"/>
    <cellStyle name="40% - Accent3 13 2 2 2 4 2" xfId="35113" xr:uid="{85B97C23-DAD8-4A6A-A4A3-DAF947940DBD}"/>
    <cellStyle name="40% - Accent3 13 2 2 2 5" xfId="19219" xr:uid="{00000000-0005-0000-0000-0000AB390000}"/>
    <cellStyle name="40% - Accent3 13 2 2 2 5 2" xfId="43051" xr:uid="{10A9D414-4E93-414C-9A53-2AC7A5F59F99}"/>
    <cellStyle name="40% - Accent3 13 2 2 2 6" xfId="27171" xr:uid="{4ECE735D-8204-4E08-95E2-E089209EFED9}"/>
    <cellStyle name="40% - Accent3 13 2 2 2_Exh G" xfId="2953" xr:uid="{00000000-0005-0000-0000-0000AC390000}"/>
    <cellStyle name="40% - Accent3 13 2 2 3" xfId="4118" xr:uid="{00000000-0005-0000-0000-0000AD390000}"/>
    <cellStyle name="40% - Accent3 13 2 2 3 2" xfId="7710" xr:uid="{00000000-0005-0000-0000-0000AE390000}"/>
    <cellStyle name="40% - Accent3 13 2 2 3 2 2" xfId="15680" xr:uid="{00000000-0005-0000-0000-0000AF390000}"/>
    <cellStyle name="40% - Accent3 13 2 2 3 2 2 2" xfId="39522" xr:uid="{FD55D23B-6226-4ACF-ABED-733E3FCD5A3B}"/>
    <cellStyle name="40% - Accent3 13 2 2 3 2 3" xfId="23626" xr:uid="{00000000-0005-0000-0000-0000B0390000}"/>
    <cellStyle name="40% - Accent3 13 2 2 3 2 3 2" xfId="47458" xr:uid="{81839022-D968-4DDA-B2A3-7ACD2F8E2444}"/>
    <cellStyle name="40% - Accent3 13 2 2 3 2 4" xfId="31581" xr:uid="{C58B0839-1534-4A1A-B77C-E02168EFC624}"/>
    <cellStyle name="40% - Accent3 13 2 2 3 3" xfId="12142" xr:uid="{00000000-0005-0000-0000-0000B1390000}"/>
    <cellStyle name="40% - Accent3 13 2 2 3 3 2" xfId="35991" xr:uid="{62DCD7CA-467F-4429-99F9-6ECEB9F31D81}"/>
    <cellStyle name="40% - Accent3 13 2 2 3 4" xfId="20097" xr:uid="{00000000-0005-0000-0000-0000B2390000}"/>
    <cellStyle name="40% - Accent3 13 2 2 3 4 2" xfId="43929" xr:uid="{CA18A6F7-0318-43C1-BE26-E60ECE5ABC7F}"/>
    <cellStyle name="40% - Accent3 13 2 2 3 5" xfId="28050" xr:uid="{72D01BD1-B121-4DD5-8483-DA146120D2D0}"/>
    <cellStyle name="40% - Accent3 13 2 2 4" xfId="5938" xr:uid="{00000000-0005-0000-0000-0000B3390000}"/>
    <cellStyle name="40% - Accent3 13 2 2 4 2" xfId="13921" xr:uid="{00000000-0005-0000-0000-0000B4390000}"/>
    <cellStyle name="40% - Accent3 13 2 2 4 2 2" xfId="37764" xr:uid="{B56F07F5-F9F8-48E5-9A26-E425BE6443E3}"/>
    <cellStyle name="40% - Accent3 13 2 2 4 3" xfId="21869" xr:uid="{00000000-0005-0000-0000-0000B5390000}"/>
    <cellStyle name="40% - Accent3 13 2 2 4 3 2" xfId="45701" xr:uid="{0960330C-CE38-4423-8797-258AE8D087DC}"/>
    <cellStyle name="40% - Accent3 13 2 2 4 4" xfId="29823" xr:uid="{39B0C29D-CBF4-45FE-87D4-90417DDE7FC0}"/>
    <cellStyle name="40% - Accent3 13 2 2 5" xfId="9490" xr:uid="{00000000-0005-0000-0000-0000B6390000}"/>
    <cellStyle name="40% - Accent3 13 2 2 5 2" xfId="17448" xr:uid="{00000000-0005-0000-0000-0000B7390000}"/>
    <cellStyle name="40% - Accent3 13 2 2 5 2 2" xfId="41288" xr:uid="{0AEF84EC-E5E2-4E87-9D95-0A7175861B75}"/>
    <cellStyle name="40% - Accent3 13 2 2 5 3" xfId="25392" xr:uid="{00000000-0005-0000-0000-0000B8390000}"/>
    <cellStyle name="40% - Accent3 13 2 2 5 3 2" xfId="49224" xr:uid="{EEDA3109-8DC0-4001-9252-AC8B75F07010}"/>
    <cellStyle name="40% - Accent3 13 2 2 5 4" xfId="33347" xr:uid="{BD9959F4-154C-4F37-87BC-0970EA9851D5}"/>
    <cellStyle name="40% - Accent3 13 2 2 6" xfId="10386" xr:uid="{00000000-0005-0000-0000-0000B9390000}"/>
    <cellStyle name="40% - Accent3 13 2 2 6 2" xfId="34235" xr:uid="{BDDFD51A-A62E-4619-99D9-D6B31BB5EF14}"/>
    <cellStyle name="40% - Accent3 13 2 2 7" xfId="18341" xr:uid="{00000000-0005-0000-0000-0000BA390000}"/>
    <cellStyle name="40% - Accent3 13 2 2 7 2" xfId="42173" xr:uid="{6263E635-B7D5-4215-BB47-D86CF0D10D22}"/>
    <cellStyle name="40% - Accent3 13 2 2 8" xfId="26293" xr:uid="{A733CE9D-5A08-434E-940F-66DB66AC02D7}"/>
    <cellStyle name="40% - Accent3 13 2 2_Exh G" xfId="2952" xr:uid="{00000000-0005-0000-0000-0000BB390000}"/>
    <cellStyle name="40% - Accent3 13 2 3" xfId="1469" xr:uid="{00000000-0005-0000-0000-0000BC390000}"/>
    <cellStyle name="40% - Accent3 13 2 3 2" xfId="4996" xr:uid="{00000000-0005-0000-0000-0000BD390000}"/>
    <cellStyle name="40% - Accent3 13 2 3 2 2" xfId="8587" xr:uid="{00000000-0005-0000-0000-0000BE390000}"/>
    <cellStyle name="40% - Accent3 13 2 3 2 2 2" xfId="16557" xr:uid="{00000000-0005-0000-0000-0000BF390000}"/>
    <cellStyle name="40% - Accent3 13 2 3 2 2 2 2" xfId="40399" xr:uid="{68E905F7-0270-49CF-AFDA-C628FCDA4806}"/>
    <cellStyle name="40% - Accent3 13 2 3 2 2 3" xfId="24503" xr:uid="{00000000-0005-0000-0000-0000C0390000}"/>
    <cellStyle name="40% - Accent3 13 2 3 2 2 3 2" xfId="48335" xr:uid="{32C466D3-4E43-4606-8FB1-D6BEF7E08EB6}"/>
    <cellStyle name="40% - Accent3 13 2 3 2 2 4" xfId="32458" xr:uid="{9A67C178-E161-4DFF-BB2B-368E87F88544}"/>
    <cellStyle name="40% - Accent3 13 2 3 2 3" xfId="13019" xr:uid="{00000000-0005-0000-0000-0000C1390000}"/>
    <cellStyle name="40% - Accent3 13 2 3 2 3 2" xfId="36868" xr:uid="{BD259F23-98C9-483E-BFE3-6988A1A8E645}"/>
    <cellStyle name="40% - Accent3 13 2 3 2 4" xfId="20974" xr:uid="{00000000-0005-0000-0000-0000C2390000}"/>
    <cellStyle name="40% - Accent3 13 2 3 2 4 2" xfId="44806" xr:uid="{0D89719E-95B1-4AD7-B271-8D319A04396C}"/>
    <cellStyle name="40% - Accent3 13 2 3 2 5" xfId="28927" xr:uid="{D75ADBFD-4B23-4D76-936D-A1D814CE1D64}"/>
    <cellStyle name="40% - Accent3 13 2 3 3" xfId="6828" xr:uid="{00000000-0005-0000-0000-0000C3390000}"/>
    <cellStyle name="40% - Accent3 13 2 3 3 2" xfId="14799" xr:uid="{00000000-0005-0000-0000-0000C4390000}"/>
    <cellStyle name="40% - Accent3 13 2 3 3 2 2" xfId="38641" xr:uid="{91F7CD96-F461-474C-86DE-E706AB391610}"/>
    <cellStyle name="40% - Accent3 13 2 3 3 3" xfId="22746" xr:uid="{00000000-0005-0000-0000-0000C5390000}"/>
    <cellStyle name="40% - Accent3 13 2 3 3 3 2" xfId="46578" xr:uid="{F7ED104B-0D3E-4CEA-B246-8F4F736AAECF}"/>
    <cellStyle name="40% - Accent3 13 2 3 3 4" xfId="30700" xr:uid="{50885B64-6D0D-4DC9-847C-C65AC862815E}"/>
    <cellStyle name="40% - Accent3 13 2 3 4" xfId="11263" xr:uid="{00000000-0005-0000-0000-0000C6390000}"/>
    <cellStyle name="40% - Accent3 13 2 3 4 2" xfId="35112" xr:uid="{36A24932-8FDB-47C2-BDF7-15E0437D5FE3}"/>
    <cellStyle name="40% - Accent3 13 2 3 5" xfId="19218" xr:uid="{00000000-0005-0000-0000-0000C7390000}"/>
    <cellStyle name="40% - Accent3 13 2 3 5 2" xfId="43050" xr:uid="{F07E5A24-74F0-405E-AA2D-0F9BF92B8C78}"/>
    <cellStyle name="40% - Accent3 13 2 3 6" xfId="27170" xr:uid="{7C2D23A3-2F0A-487A-9023-44D6319E30E8}"/>
    <cellStyle name="40% - Accent3 13 2 3_Exh G" xfId="2954" xr:uid="{00000000-0005-0000-0000-0000C8390000}"/>
    <cellStyle name="40% - Accent3 13 2 4" xfId="4117" xr:uid="{00000000-0005-0000-0000-0000C9390000}"/>
    <cellStyle name="40% - Accent3 13 2 4 2" xfId="7709" xr:uid="{00000000-0005-0000-0000-0000CA390000}"/>
    <cellStyle name="40% - Accent3 13 2 4 2 2" xfId="15679" xr:uid="{00000000-0005-0000-0000-0000CB390000}"/>
    <cellStyle name="40% - Accent3 13 2 4 2 2 2" xfId="39521" xr:uid="{8C2D98DC-F5DC-4A3D-8D26-4F26BD7EBBB4}"/>
    <cellStyle name="40% - Accent3 13 2 4 2 3" xfId="23625" xr:uid="{00000000-0005-0000-0000-0000CC390000}"/>
    <cellStyle name="40% - Accent3 13 2 4 2 3 2" xfId="47457" xr:uid="{DCAB4954-DEA7-4FB9-A7F8-D8DF4DAAA26F}"/>
    <cellStyle name="40% - Accent3 13 2 4 2 4" xfId="31580" xr:uid="{9FDA7654-43EB-4E59-934B-5DB7DC3B9E32}"/>
    <cellStyle name="40% - Accent3 13 2 4 3" xfId="12141" xr:uid="{00000000-0005-0000-0000-0000CD390000}"/>
    <cellStyle name="40% - Accent3 13 2 4 3 2" xfId="35990" xr:uid="{7E7DD5A7-ECBD-4879-AABE-5511CEB22295}"/>
    <cellStyle name="40% - Accent3 13 2 4 4" xfId="20096" xr:uid="{00000000-0005-0000-0000-0000CE390000}"/>
    <cellStyle name="40% - Accent3 13 2 4 4 2" xfId="43928" xr:uid="{B53EB556-A98D-48CB-A7CF-331E62E3DB90}"/>
    <cellStyle name="40% - Accent3 13 2 4 5" xfId="28049" xr:uid="{E5EF464A-D3BB-40E0-A716-0D527B4FA662}"/>
    <cellStyle name="40% - Accent3 13 2 5" xfId="5937" xr:uid="{00000000-0005-0000-0000-0000CF390000}"/>
    <cellStyle name="40% - Accent3 13 2 5 2" xfId="13920" xr:uid="{00000000-0005-0000-0000-0000D0390000}"/>
    <cellStyle name="40% - Accent3 13 2 5 2 2" xfId="37763" xr:uid="{3D32EE5C-6D9A-4D07-B894-F8DCE74A2813}"/>
    <cellStyle name="40% - Accent3 13 2 5 3" xfId="21868" xr:uid="{00000000-0005-0000-0000-0000D1390000}"/>
    <cellStyle name="40% - Accent3 13 2 5 3 2" xfId="45700" xr:uid="{10C50A3D-618E-4896-B06F-68BDE2447BBF}"/>
    <cellStyle name="40% - Accent3 13 2 5 4" xfId="29822" xr:uid="{F5FF86D4-81B5-4509-907D-AD970833B49C}"/>
    <cellStyle name="40% - Accent3 13 2 6" xfId="9489" xr:uid="{00000000-0005-0000-0000-0000D2390000}"/>
    <cellStyle name="40% - Accent3 13 2 6 2" xfId="17447" xr:uid="{00000000-0005-0000-0000-0000D3390000}"/>
    <cellStyle name="40% - Accent3 13 2 6 2 2" xfId="41287" xr:uid="{5294745F-EFA3-4966-BE86-3CFAEF4B0E8A}"/>
    <cellStyle name="40% - Accent3 13 2 6 3" xfId="25391" xr:uid="{00000000-0005-0000-0000-0000D4390000}"/>
    <cellStyle name="40% - Accent3 13 2 6 3 2" xfId="49223" xr:uid="{D084D615-3A2E-46F8-9403-D425EED2E3BD}"/>
    <cellStyle name="40% - Accent3 13 2 6 4" xfId="33346" xr:uid="{D689EDB2-DA10-447B-BD70-8BF00B34A30E}"/>
    <cellStyle name="40% - Accent3 13 2 7" xfId="10385" xr:uid="{00000000-0005-0000-0000-0000D5390000}"/>
    <cellStyle name="40% - Accent3 13 2 7 2" xfId="34234" xr:uid="{19BEA041-8CF5-4034-AD2C-15059855A29D}"/>
    <cellStyle name="40% - Accent3 13 2 8" xfId="18340" xr:uid="{00000000-0005-0000-0000-0000D6390000}"/>
    <cellStyle name="40% - Accent3 13 2 8 2" xfId="42172" xr:uid="{A1A01E94-A931-476F-9AA1-200C247609DC}"/>
    <cellStyle name="40% - Accent3 13 2 9" xfId="26292" xr:uid="{5848D651-68F3-4BF1-87CE-9DCFCA1BA442}"/>
    <cellStyle name="40% - Accent3 13 2_Exh G" xfId="2951" xr:uid="{00000000-0005-0000-0000-0000D7390000}"/>
    <cellStyle name="40% - Accent3 13 3" xfId="445" xr:uid="{00000000-0005-0000-0000-0000D8390000}"/>
    <cellStyle name="40% - Accent3 13 3 2" xfId="1471" xr:uid="{00000000-0005-0000-0000-0000D9390000}"/>
    <cellStyle name="40% - Accent3 13 3 2 2" xfId="4998" xr:uid="{00000000-0005-0000-0000-0000DA390000}"/>
    <cellStyle name="40% - Accent3 13 3 2 2 2" xfId="8589" xr:uid="{00000000-0005-0000-0000-0000DB390000}"/>
    <cellStyle name="40% - Accent3 13 3 2 2 2 2" xfId="16559" xr:uid="{00000000-0005-0000-0000-0000DC390000}"/>
    <cellStyle name="40% - Accent3 13 3 2 2 2 2 2" xfId="40401" xr:uid="{62354B5D-CCDE-40E7-B9B9-B7CB739BE6F8}"/>
    <cellStyle name="40% - Accent3 13 3 2 2 2 3" xfId="24505" xr:uid="{00000000-0005-0000-0000-0000DD390000}"/>
    <cellStyle name="40% - Accent3 13 3 2 2 2 3 2" xfId="48337" xr:uid="{D739A099-CD00-41C0-8C82-5F7123577100}"/>
    <cellStyle name="40% - Accent3 13 3 2 2 2 4" xfId="32460" xr:uid="{B016E22B-DF2B-4C59-8064-94BA7DB5205A}"/>
    <cellStyle name="40% - Accent3 13 3 2 2 3" xfId="13021" xr:uid="{00000000-0005-0000-0000-0000DE390000}"/>
    <cellStyle name="40% - Accent3 13 3 2 2 3 2" xfId="36870" xr:uid="{F04DB6E1-1BAC-45FC-A4E7-219200A23E73}"/>
    <cellStyle name="40% - Accent3 13 3 2 2 4" xfId="20976" xr:uid="{00000000-0005-0000-0000-0000DF390000}"/>
    <cellStyle name="40% - Accent3 13 3 2 2 4 2" xfId="44808" xr:uid="{ADC09437-7B6B-43FF-BA83-237ADAFA9C8E}"/>
    <cellStyle name="40% - Accent3 13 3 2 2 5" xfId="28929" xr:uid="{7D87D8D1-1858-4404-BFC4-EF9CD889DF7C}"/>
    <cellStyle name="40% - Accent3 13 3 2 3" xfId="6830" xr:uid="{00000000-0005-0000-0000-0000E0390000}"/>
    <cellStyle name="40% - Accent3 13 3 2 3 2" xfId="14801" xr:uid="{00000000-0005-0000-0000-0000E1390000}"/>
    <cellStyle name="40% - Accent3 13 3 2 3 2 2" xfId="38643" xr:uid="{B7CFF18F-812E-4F8A-8B9B-2271E8EDDADB}"/>
    <cellStyle name="40% - Accent3 13 3 2 3 3" xfId="22748" xr:uid="{00000000-0005-0000-0000-0000E2390000}"/>
    <cellStyle name="40% - Accent3 13 3 2 3 3 2" xfId="46580" xr:uid="{40006922-D74F-42AC-8996-8E8660F969C6}"/>
    <cellStyle name="40% - Accent3 13 3 2 3 4" xfId="30702" xr:uid="{D223818E-8709-4F54-8A8F-9BA84CEF0B0D}"/>
    <cellStyle name="40% - Accent3 13 3 2 4" xfId="11265" xr:uid="{00000000-0005-0000-0000-0000E3390000}"/>
    <cellStyle name="40% - Accent3 13 3 2 4 2" xfId="35114" xr:uid="{E17D8EAD-0705-4719-8AED-88B27F426F3B}"/>
    <cellStyle name="40% - Accent3 13 3 2 5" xfId="19220" xr:uid="{00000000-0005-0000-0000-0000E4390000}"/>
    <cellStyle name="40% - Accent3 13 3 2 5 2" xfId="43052" xr:uid="{B3CED1C2-5B6C-4332-AFE2-E70EB56E4E85}"/>
    <cellStyle name="40% - Accent3 13 3 2 6" xfId="27172" xr:uid="{C04FAEEF-8C73-4009-9033-CBD159D22E75}"/>
    <cellStyle name="40% - Accent3 13 3 2_Exh G" xfId="2956" xr:uid="{00000000-0005-0000-0000-0000E5390000}"/>
    <cellStyle name="40% - Accent3 13 3 3" xfId="4119" xr:uid="{00000000-0005-0000-0000-0000E6390000}"/>
    <cellStyle name="40% - Accent3 13 3 3 2" xfId="7711" xr:uid="{00000000-0005-0000-0000-0000E7390000}"/>
    <cellStyle name="40% - Accent3 13 3 3 2 2" xfId="15681" xr:uid="{00000000-0005-0000-0000-0000E8390000}"/>
    <cellStyle name="40% - Accent3 13 3 3 2 2 2" xfId="39523" xr:uid="{79DB8F3E-E5A9-4B69-93E2-FAC63B993CB4}"/>
    <cellStyle name="40% - Accent3 13 3 3 2 3" xfId="23627" xr:uid="{00000000-0005-0000-0000-0000E9390000}"/>
    <cellStyle name="40% - Accent3 13 3 3 2 3 2" xfId="47459" xr:uid="{586C955A-10D4-42D5-BD7C-2407286AC35A}"/>
    <cellStyle name="40% - Accent3 13 3 3 2 4" xfId="31582" xr:uid="{ECC06B10-11A6-4435-97E9-0FBEAFE1C82B}"/>
    <cellStyle name="40% - Accent3 13 3 3 3" xfId="12143" xr:uid="{00000000-0005-0000-0000-0000EA390000}"/>
    <cellStyle name="40% - Accent3 13 3 3 3 2" xfId="35992" xr:uid="{23C68C35-7FF1-422A-9B36-47E29D6D6135}"/>
    <cellStyle name="40% - Accent3 13 3 3 4" xfId="20098" xr:uid="{00000000-0005-0000-0000-0000EB390000}"/>
    <cellStyle name="40% - Accent3 13 3 3 4 2" xfId="43930" xr:uid="{0934E5E7-44B6-4EAE-8E67-18674D3ED2A0}"/>
    <cellStyle name="40% - Accent3 13 3 3 5" xfId="28051" xr:uid="{429EB644-17B9-4E3F-BADC-00BEEAB10629}"/>
    <cellStyle name="40% - Accent3 13 3 4" xfId="5939" xr:uid="{00000000-0005-0000-0000-0000EC390000}"/>
    <cellStyle name="40% - Accent3 13 3 4 2" xfId="13922" xr:uid="{00000000-0005-0000-0000-0000ED390000}"/>
    <cellStyle name="40% - Accent3 13 3 4 2 2" xfId="37765" xr:uid="{41693659-54F9-47C0-BBF2-84BE60C9B0DB}"/>
    <cellStyle name="40% - Accent3 13 3 4 3" xfId="21870" xr:uid="{00000000-0005-0000-0000-0000EE390000}"/>
    <cellStyle name="40% - Accent3 13 3 4 3 2" xfId="45702" xr:uid="{9DE9B664-5408-44D9-926A-E6F999F0A1EC}"/>
    <cellStyle name="40% - Accent3 13 3 4 4" xfId="29824" xr:uid="{6C941219-3EA9-4136-A22E-0FF62DBB56B5}"/>
    <cellStyle name="40% - Accent3 13 3 5" xfId="9491" xr:uid="{00000000-0005-0000-0000-0000EF390000}"/>
    <cellStyle name="40% - Accent3 13 3 5 2" xfId="17449" xr:uid="{00000000-0005-0000-0000-0000F0390000}"/>
    <cellStyle name="40% - Accent3 13 3 5 2 2" xfId="41289" xr:uid="{A88133B5-4789-4C2B-A71D-987BBAE0C06D}"/>
    <cellStyle name="40% - Accent3 13 3 5 3" xfId="25393" xr:uid="{00000000-0005-0000-0000-0000F1390000}"/>
    <cellStyle name="40% - Accent3 13 3 5 3 2" xfId="49225" xr:uid="{C25D845A-A8EF-49CE-BF89-8548FFB388A2}"/>
    <cellStyle name="40% - Accent3 13 3 5 4" xfId="33348" xr:uid="{6B56F987-7726-4282-8974-985D998A4B78}"/>
    <cellStyle name="40% - Accent3 13 3 6" xfId="10387" xr:uid="{00000000-0005-0000-0000-0000F2390000}"/>
    <cellStyle name="40% - Accent3 13 3 6 2" xfId="34236" xr:uid="{03427FCF-8E57-4793-9DEB-0BF58062B2DF}"/>
    <cellStyle name="40% - Accent3 13 3 7" xfId="18342" xr:uid="{00000000-0005-0000-0000-0000F3390000}"/>
    <cellStyle name="40% - Accent3 13 3 7 2" xfId="42174" xr:uid="{22C7A55D-C986-4846-BB86-A57AD06979C0}"/>
    <cellStyle name="40% - Accent3 13 3 8" xfId="26294" xr:uid="{72B9E3F4-F9BD-4AB5-9366-62926B972A9E}"/>
    <cellStyle name="40% - Accent3 13 3_Exh G" xfId="2955" xr:uid="{00000000-0005-0000-0000-0000F4390000}"/>
    <cellStyle name="40% - Accent3 13 4" xfId="1468" xr:uid="{00000000-0005-0000-0000-0000F5390000}"/>
    <cellStyle name="40% - Accent3 13 4 2" xfId="4995" xr:uid="{00000000-0005-0000-0000-0000F6390000}"/>
    <cellStyle name="40% - Accent3 13 4 2 2" xfId="8586" xr:uid="{00000000-0005-0000-0000-0000F7390000}"/>
    <cellStyle name="40% - Accent3 13 4 2 2 2" xfId="16556" xr:uid="{00000000-0005-0000-0000-0000F8390000}"/>
    <cellStyle name="40% - Accent3 13 4 2 2 2 2" xfId="40398" xr:uid="{35EE409E-C5C7-4FEE-9CE4-1A078213EF26}"/>
    <cellStyle name="40% - Accent3 13 4 2 2 3" xfId="24502" xr:uid="{00000000-0005-0000-0000-0000F9390000}"/>
    <cellStyle name="40% - Accent3 13 4 2 2 3 2" xfId="48334" xr:uid="{B5CC02B1-AA53-4EC2-B511-1B81424C2601}"/>
    <cellStyle name="40% - Accent3 13 4 2 2 4" xfId="32457" xr:uid="{92CFF5E3-A8B4-4248-B6B0-B0864F69657C}"/>
    <cellStyle name="40% - Accent3 13 4 2 3" xfId="13018" xr:uid="{00000000-0005-0000-0000-0000FA390000}"/>
    <cellStyle name="40% - Accent3 13 4 2 3 2" xfId="36867" xr:uid="{C38B6737-041D-44C7-9658-8FA5B8963179}"/>
    <cellStyle name="40% - Accent3 13 4 2 4" xfId="20973" xr:uid="{00000000-0005-0000-0000-0000FB390000}"/>
    <cellStyle name="40% - Accent3 13 4 2 4 2" xfId="44805" xr:uid="{516389AB-AC12-4010-A8E2-46CED23D284F}"/>
    <cellStyle name="40% - Accent3 13 4 2 5" xfId="28926" xr:uid="{D49181B4-8CDA-40DC-A83D-FB867839133A}"/>
    <cellStyle name="40% - Accent3 13 4 3" xfId="6827" xr:uid="{00000000-0005-0000-0000-0000FC390000}"/>
    <cellStyle name="40% - Accent3 13 4 3 2" xfId="14798" xr:uid="{00000000-0005-0000-0000-0000FD390000}"/>
    <cellStyle name="40% - Accent3 13 4 3 2 2" xfId="38640" xr:uid="{69415B6B-2E89-42E1-BE2A-79EE5A721892}"/>
    <cellStyle name="40% - Accent3 13 4 3 3" xfId="22745" xr:uid="{00000000-0005-0000-0000-0000FE390000}"/>
    <cellStyle name="40% - Accent3 13 4 3 3 2" xfId="46577" xr:uid="{8BB64479-FEED-49DB-BD07-3C63955BCEA3}"/>
    <cellStyle name="40% - Accent3 13 4 3 4" xfId="30699" xr:uid="{F866B10B-1994-4149-AF92-9A46F40D57E1}"/>
    <cellStyle name="40% - Accent3 13 4 4" xfId="11262" xr:uid="{00000000-0005-0000-0000-0000FF390000}"/>
    <cellStyle name="40% - Accent3 13 4 4 2" xfId="35111" xr:uid="{91267AAF-5CE9-4A32-B7DE-05B737EE0A27}"/>
    <cellStyle name="40% - Accent3 13 4 5" xfId="19217" xr:uid="{00000000-0005-0000-0000-0000003A0000}"/>
    <cellStyle name="40% - Accent3 13 4 5 2" xfId="43049" xr:uid="{58C3064E-4570-460E-BD9A-EA6A71C259B9}"/>
    <cellStyle name="40% - Accent3 13 4 6" xfId="27169" xr:uid="{BC5EBF7A-08B7-4803-808F-B19799FE6328}"/>
    <cellStyle name="40% - Accent3 13 4_Exh G" xfId="2957" xr:uid="{00000000-0005-0000-0000-0000013A0000}"/>
    <cellStyle name="40% - Accent3 13 5" xfId="4116" xr:uid="{00000000-0005-0000-0000-0000023A0000}"/>
    <cellStyle name="40% - Accent3 13 5 2" xfId="7708" xr:uid="{00000000-0005-0000-0000-0000033A0000}"/>
    <cellStyle name="40% - Accent3 13 5 2 2" xfId="15678" xr:uid="{00000000-0005-0000-0000-0000043A0000}"/>
    <cellStyle name="40% - Accent3 13 5 2 2 2" xfId="39520" xr:uid="{FB8E4AD8-EC04-436E-832F-2E091FC6E626}"/>
    <cellStyle name="40% - Accent3 13 5 2 3" xfId="23624" xr:uid="{00000000-0005-0000-0000-0000053A0000}"/>
    <cellStyle name="40% - Accent3 13 5 2 3 2" xfId="47456" xr:uid="{993BB98F-D660-4A8F-B325-DF43D87F15D4}"/>
    <cellStyle name="40% - Accent3 13 5 2 4" xfId="31579" xr:uid="{3FA39635-EC52-422F-839F-4CD26660AEDD}"/>
    <cellStyle name="40% - Accent3 13 5 3" xfId="12140" xr:uid="{00000000-0005-0000-0000-0000063A0000}"/>
    <cellStyle name="40% - Accent3 13 5 3 2" xfId="35989" xr:uid="{C8A3FFED-02F5-417D-AFB1-B084F568047D}"/>
    <cellStyle name="40% - Accent3 13 5 4" xfId="20095" xr:uid="{00000000-0005-0000-0000-0000073A0000}"/>
    <cellStyle name="40% - Accent3 13 5 4 2" xfId="43927" xr:uid="{E136148B-18A7-4C71-B6A4-ADBF3AFC4AB6}"/>
    <cellStyle name="40% - Accent3 13 5 5" xfId="28048" xr:uid="{8E4BB517-17C1-4C7D-98C2-BE8B49A4DD57}"/>
    <cellStyle name="40% - Accent3 13 6" xfId="5936" xr:uid="{00000000-0005-0000-0000-0000083A0000}"/>
    <cellStyle name="40% - Accent3 13 6 2" xfId="13919" xr:uid="{00000000-0005-0000-0000-0000093A0000}"/>
    <cellStyle name="40% - Accent3 13 6 2 2" xfId="37762" xr:uid="{8444A1B9-07D2-40A9-80E9-6229B3071D67}"/>
    <cellStyle name="40% - Accent3 13 6 3" xfId="21867" xr:uid="{00000000-0005-0000-0000-00000A3A0000}"/>
    <cellStyle name="40% - Accent3 13 6 3 2" xfId="45699" xr:uid="{9ACB47D0-FB66-47D1-B9B3-15F762DAD765}"/>
    <cellStyle name="40% - Accent3 13 6 4" xfId="29821" xr:uid="{22767A29-401A-4319-9F96-8D60BF2B9A5A}"/>
    <cellStyle name="40% - Accent3 13 7" xfId="9488" xr:uid="{00000000-0005-0000-0000-00000B3A0000}"/>
    <cellStyle name="40% - Accent3 13 7 2" xfId="17446" xr:uid="{00000000-0005-0000-0000-00000C3A0000}"/>
    <cellStyle name="40% - Accent3 13 7 2 2" xfId="41286" xr:uid="{BE9CE187-8131-41D1-89A8-6BF785ED95C1}"/>
    <cellStyle name="40% - Accent3 13 7 3" xfId="25390" xr:uid="{00000000-0005-0000-0000-00000D3A0000}"/>
    <cellStyle name="40% - Accent3 13 7 3 2" xfId="49222" xr:uid="{DC3FC18A-91A4-4B52-B3CF-8DAD272ADC80}"/>
    <cellStyle name="40% - Accent3 13 7 4" xfId="33345" xr:uid="{C0920F0A-0976-4F53-970C-DD1E0912E052}"/>
    <cellStyle name="40% - Accent3 13 8" xfId="10384" xr:uid="{00000000-0005-0000-0000-00000E3A0000}"/>
    <cellStyle name="40% - Accent3 13 8 2" xfId="34233" xr:uid="{F928DB4B-6181-4E2B-B5F5-48E36AD3EA90}"/>
    <cellStyle name="40% - Accent3 13 9" xfId="18339" xr:uid="{00000000-0005-0000-0000-00000F3A0000}"/>
    <cellStyle name="40% - Accent3 13 9 2" xfId="42171" xr:uid="{DB69F4A0-CA54-4C96-ACC5-CFC5EB839BBE}"/>
    <cellStyle name="40% - Accent3 13_Exh G" xfId="2950" xr:uid="{00000000-0005-0000-0000-0000103A0000}"/>
    <cellStyle name="40% - Accent3 14" xfId="446" xr:uid="{00000000-0005-0000-0000-0000113A0000}"/>
    <cellStyle name="40% - Accent3 14 2" xfId="447" xr:uid="{00000000-0005-0000-0000-0000123A0000}"/>
    <cellStyle name="40% - Accent3 14 2 2" xfId="1473" xr:uid="{00000000-0005-0000-0000-0000133A0000}"/>
    <cellStyle name="40% - Accent3 14 2 2 2" xfId="5000" xr:uid="{00000000-0005-0000-0000-0000143A0000}"/>
    <cellStyle name="40% - Accent3 14 2 2 2 2" xfId="8591" xr:uid="{00000000-0005-0000-0000-0000153A0000}"/>
    <cellStyle name="40% - Accent3 14 2 2 2 2 2" xfId="16561" xr:uid="{00000000-0005-0000-0000-0000163A0000}"/>
    <cellStyle name="40% - Accent3 14 2 2 2 2 2 2" xfId="40403" xr:uid="{21EF5200-9080-4EE6-9D97-E15DCA6E809B}"/>
    <cellStyle name="40% - Accent3 14 2 2 2 2 3" xfId="24507" xr:uid="{00000000-0005-0000-0000-0000173A0000}"/>
    <cellStyle name="40% - Accent3 14 2 2 2 2 3 2" xfId="48339" xr:uid="{A689177E-BA92-4CB5-8917-F4E92066C5B2}"/>
    <cellStyle name="40% - Accent3 14 2 2 2 2 4" xfId="32462" xr:uid="{E5EB68AF-2B13-4F9A-B6B2-4534559A585B}"/>
    <cellStyle name="40% - Accent3 14 2 2 2 3" xfId="13023" xr:uid="{00000000-0005-0000-0000-0000183A0000}"/>
    <cellStyle name="40% - Accent3 14 2 2 2 3 2" xfId="36872" xr:uid="{15DEC2A2-4CAE-4843-90F2-D79CDA84CDAF}"/>
    <cellStyle name="40% - Accent3 14 2 2 2 4" xfId="20978" xr:uid="{00000000-0005-0000-0000-0000193A0000}"/>
    <cellStyle name="40% - Accent3 14 2 2 2 4 2" xfId="44810" xr:uid="{675B44B3-A1E9-4B62-91A8-73E2733F4F1D}"/>
    <cellStyle name="40% - Accent3 14 2 2 2 5" xfId="28931" xr:uid="{BA645A7D-27A4-445C-B7E6-36B040128D2B}"/>
    <cellStyle name="40% - Accent3 14 2 2 3" xfId="6832" xr:uid="{00000000-0005-0000-0000-00001A3A0000}"/>
    <cellStyle name="40% - Accent3 14 2 2 3 2" xfId="14803" xr:uid="{00000000-0005-0000-0000-00001B3A0000}"/>
    <cellStyle name="40% - Accent3 14 2 2 3 2 2" xfId="38645" xr:uid="{1F1B55A7-6CBF-4080-991C-5708D853361D}"/>
    <cellStyle name="40% - Accent3 14 2 2 3 3" xfId="22750" xr:uid="{00000000-0005-0000-0000-00001C3A0000}"/>
    <cellStyle name="40% - Accent3 14 2 2 3 3 2" xfId="46582" xr:uid="{2FF48617-F8E0-49F1-B12E-7A9DE5ABFDAF}"/>
    <cellStyle name="40% - Accent3 14 2 2 3 4" xfId="30704" xr:uid="{822CDEC6-0793-4B25-9B29-3C49F8EFC09A}"/>
    <cellStyle name="40% - Accent3 14 2 2 4" xfId="11267" xr:uid="{00000000-0005-0000-0000-00001D3A0000}"/>
    <cellStyle name="40% - Accent3 14 2 2 4 2" xfId="35116" xr:uid="{A7F2F857-3C08-4B02-8F24-6F29AE69256A}"/>
    <cellStyle name="40% - Accent3 14 2 2 5" xfId="19222" xr:uid="{00000000-0005-0000-0000-00001E3A0000}"/>
    <cellStyle name="40% - Accent3 14 2 2 5 2" xfId="43054" xr:uid="{00444751-394F-478E-ADB9-0AFB98A300F7}"/>
    <cellStyle name="40% - Accent3 14 2 2 6" xfId="27174" xr:uid="{172C901E-9543-4207-9E27-F3BACACCA96C}"/>
    <cellStyle name="40% - Accent3 14 2 2_Exh G" xfId="2960" xr:uid="{00000000-0005-0000-0000-00001F3A0000}"/>
    <cellStyle name="40% - Accent3 14 2 3" xfId="4121" xr:uid="{00000000-0005-0000-0000-0000203A0000}"/>
    <cellStyle name="40% - Accent3 14 2 3 2" xfId="7713" xr:uid="{00000000-0005-0000-0000-0000213A0000}"/>
    <cellStyle name="40% - Accent3 14 2 3 2 2" xfId="15683" xr:uid="{00000000-0005-0000-0000-0000223A0000}"/>
    <cellStyle name="40% - Accent3 14 2 3 2 2 2" xfId="39525" xr:uid="{B6A0E23C-A935-4695-9D2F-FC5C75AFD790}"/>
    <cellStyle name="40% - Accent3 14 2 3 2 3" xfId="23629" xr:uid="{00000000-0005-0000-0000-0000233A0000}"/>
    <cellStyle name="40% - Accent3 14 2 3 2 3 2" xfId="47461" xr:uid="{16A889FF-70C1-4B3C-951F-2B3BE3B35202}"/>
    <cellStyle name="40% - Accent3 14 2 3 2 4" xfId="31584" xr:uid="{3CA7F7B8-FC80-41C7-80E8-2E7F286B1C0C}"/>
    <cellStyle name="40% - Accent3 14 2 3 3" xfId="12145" xr:uid="{00000000-0005-0000-0000-0000243A0000}"/>
    <cellStyle name="40% - Accent3 14 2 3 3 2" xfId="35994" xr:uid="{D0A9B773-8226-4563-852B-81287FE81522}"/>
    <cellStyle name="40% - Accent3 14 2 3 4" xfId="20100" xr:uid="{00000000-0005-0000-0000-0000253A0000}"/>
    <cellStyle name="40% - Accent3 14 2 3 4 2" xfId="43932" xr:uid="{071894DB-26B4-4952-8A5C-F319E898F554}"/>
    <cellStyle name="40% - Accent3 14 2 3 5" xfId="28053" xr:uid="{EB9675C2-B9BE-4EDB-A687-7EB3F3D37F24}"/>
    <cellStyle name="40% - Accent3 14 2 4" xfId="5941" xr:uid="{00000000-0005-0000-0000-0000263A0000}"/>
    <cellStyle name="40% - Accent3 14 2 4 2" xfId="13924" xr:uid="{00000000-0005-0000-0000-0000273A0000}"/>
    <cellStyle name="40% - Accent3 14 2 4 2 2" xfId="37767" xr:uid="{78CE96DE-E3BB-4DB9-AEEF-12B045B6947D}"/>
    <cellStyle name="40% - Accent3 14 2 4 3" xfId="21872" xr:uid="{00000000-0005-0000-0000-0000283A0000}"/>
    <cellStyle name="40% - Accent3 14 2 4 3 2" xfId="45704" xr:uid="{0608D19E-2CE2-427B-AAE9-A1FC6408BD62}"/>
    <cellStyle name="40% - Accent3 14 2 4 4" xfId="29826" xr:uid="{FA69A4A5-4136-43DB-9EAE-F158936931BD}"/>
    <cellStyle name="40% - Accent3 14 2 5" xfId="9493" xr:uid="{00000000-0005-0000-0000-0000293A0000}"/>
    <cellStyle name="40% - Accent3 14 2 5 2" xfId="17451" xr:uid="{00000000-0005-0000-0000-00002A3A0000}"/>
    <cellStyle name="40% - Accent3 14 2 5 2 2" xfId="41291" xr:uid="{C190524B-F9BF-48A2-8C3B-D4B07EF682EF}"/>
    <cellStyle name="40% - Accent3 14 2 5 3" xfId="25395" xr:uid="{00000000-0005-0000-0000-00002B3A0000}"/>
    <cellStyle name="40% - Accent3 14 2 5 3 2" xfId="49227" xr:uid="{37C21661-1EE5-4CC3-B2CA-08977F1EECBE}"/>
    <cellStyle name="40% - Accent3 14 2 5 4" xfId="33350" xr:uid="{0D4B9B0A-F1D2-4224-9E32-FC12BD8E275F}"/>
    <cellStyle name="40% - Accent3 14 2 6" xfId="10389" xr:uid="{00000000-0005-0000-0000-00002C3A0000}"/>
    <cellStyle name="40% - Accent3 14 2 6 2" xfId="34238" xr:uid="{AAC915C6-DAC5-44F8-8FC5-2602C249FE7D}"/>
    <cellStyle name="40% - Accent3 14 2 7" xfId="18344" xr:uid="{00000000-0005-0000-0000-00002D3A0000}"/>
    <cellStyle name="40% - Accent3 14 2 7 2" xfId="42176" xr:uid="{28CB3C27-75FC-43EF-9600-5FDF4FFA0DFC}"/>
    <cellStyle name="40% - Accent3 14 2 8" xfId="26296" xr:uid="{28D63E3F-9003-42C0-8161-0DC3763C36D1}"/>
    <cellStyle name="40% - Accent3 14 2_Exh G" xfId="2959" xr:uid="{00000000-0005-0000-0000-00002E3A0000}"/>
    <cellStyle name="40% - Accent3 14 3" xfId="1472" xr:uid="{00000000-0005-0000-0000-00002F3A0000}"/>
    <cellStyle name="40% - Accent3 14 3 2" xfId="4999" xr:uid="{00000000-0005-0000-0000-0000303A0000}"/>
    <cellStyle name="40% - Accent3 14 3 2 2" xfId="8590" xr:uid="{00000000-0005-0000-0000-0000313A0000}"/>
    <cellStyle name="40% - Accent3 14 3 2 2 2" xfId="16560" xr:uid="{00000000-0005-0000-0000-0000323A0000}"/>
    <cellStyle name="40% - Accent3 14 3 2 2 2 2" xfId="40402" xr:uid="{5F2AA02B-CC26-4890-A5D6-09B276433BEE}"/>
    <cellStyle name="40% - Accent3 14 3 2 2 3" xfId="24506" xr:uid="{00000000-0005-0000-0000-0000333A0000}"/>
    <cellStyle name="40% - Accent3 14 3 2 2 3 2" xfId="48338" xr:uid="{7FA589DA-796C-4799-B807-BE3406C2A7AB}"/>
    <cellStyle name="40% - Accent3 14 3 2 2 4" xfId="32461" xr:uid="{8957CA48-5826-4DBA-934E-05E7EE1869B2}"/>
    <cellStyle name="40% - Accent3 14 3 2 3" xfId="13022" xr:uid="{00000000-0005-0000-0000-0000343A0000}"/>
    <cellStyle name="40% - Accent3 14 3 2 3 2" xfId="36871" xr:uid="{B7725456-64DD-4F9F-8D53-F0278DE089C2}"/>
    <cellStyle name="40% - Accent3 14 3 2 4" xfId="20977" xr:uid="{00000000-0005-0000-0000-0000353A0000}"/>
    <cellStyle name="40% - Accent3 14 3 2 4 2" xfId="44809" xr:uid="{8CCCC2C5-018F-499E-AC27-ACA3D94DB6EE}"/>
    <cellStyle name="40% - Accent3 14 3 2 5" xfId="28930" xr:uid="{3EE9CFD2-39B0-46F4-B642-0F39C534A890}"/>
    <cellStyle name="40% - Accent3 14 3 3" xfId="6831" xr:uid="{00000000-0005-0000-0000-0000363A0000}"/>
    <cellStyle name="40% - Accent3 14 3 3 2" xfId="14802" xr:uid="{00000000-0005-0000-0000-0000373A0000}"/>
    <cellStyle name="40% - Accent3 14 3 3 2 2" xfId="38644" xr:uid="{0CF72982-F1E4-44EF-BD98-47081902237C}"/>
    <cellStyle name="40% - Accent3 14 3 3 3" xfId="22749" xr:uid="{00000000-0005-0000-0000-0000383A0000}"/>
    <cellStyle name="40% - Accent3 14 3 3 3 2" xfId="46581" xr:uid="{90D05A74-4586-4B34-85D4-7345DDC09542}"/>
    <cellStyle name="40% - Accent3 14 3 3 4" xfId="30703" xr:uid="{17F64991-BF6F-4162-8566-D2315FAD1A52}"/>
    <cellStyle name="40% - Accent3 14 3 4" xfId="11266" xr:uid="{00000000-0005-0000-0000-0000393A0000}"/>
    <cellStyle name="40% - Accent3 14 3 4 2" xfId="35115" xr:uid="{7558A0CE-9881-44E4-801E-B31B0C868789}"/>
    <cellStyle name="40% - Accent3 14 3 5" xfId="19221" xr:uid="{00000000-0005-0000-0000-00003A3A0000}"/>
    <cellStyle name="40% - Accent3 14 3 5 2" xfId="43053" xr:uid="{03F0C95B-6F81-493E-8981-D79B75BAE43A}"/>
    <cellStyle name="40% - Accent3 14 3 6" xfId="27173" xr:uid="{66DF7E40-1EB5-4837-AACC-D3920A120865}"/>
    <cellStyle name="40% - Accent3 14 3_Exh G" xfId="2961" xr:uid="{00000000-0005-0000-0000-00003B3A0000}"/>
    <cellStyle name="40% - Accent3 14 4" xfId="4120" xr:uid="{00000000-0005-0000-0000-00003C3A0000}"/>
    <cellStyle name="40% - Accent3 14 4 2" xfId="7712" xr:uid="{00000000-0005-0000-0000-00003D3A0000}"/>
    <cellStyle name="40% - Accent3 14 4 2 2" xfId="15682" xr:uid="{00000000-0005-0000-0000-00003E3A0000}"/>
    <cellStyle name="40% - Accent3 14 4 2 2 2" xfId="39524" xr:uid="{82A34EAB-6CC6-46CD-9406-801D0487EA34}"/>
    <cellStyle name="40% - Accent3 14 4 2 3" xfId="23628" xr:uid="{00000000-0005-0000-0000-00003F3A0000}"/>
    <cellStyle name="40% - Accent3 14 4 2 3 2" xfId="47460" xr:uid="{668413C1-23A5-459B-B524-4CCE8DF814AC}"/>
    <cellStyle name="40% - Accent3 14 4 2 4" xfId="31583" xr:uid="{B8998B08-94F2-4E34-A522-A54510D2111D}"/>
    <cellStyle name="40% - Accent3 14 4 3" xfId="12144" xr:uid="{00000000-0005-0000-0000-0000403A0000}"/>
    <cellStyle name="40% - Accent3 14 4 3 2" xfId="35993" xr:uid="{2E1551DA-97D4-4017-AB7A-76411D12B415}"/>
    <cellStyle name="40% - Accent3 14 4 4" xfId="20099" xr:uid="{00000000-0005-0000-0000-0000413A0000}"/>
    <cellStyle name="40% - Accent3 14 4 4 2" xfId="43931" xr:uid="{37CD7FFA-D06E-4700-A09F-563D2D441153}"/>
    <cellStyle name="40% - Accent3 14 4 5" xfId="28052" xr:uid="{10673A11-8415-4ABC-BABF-86434214C925}"/>
    <cellStyle name="40% - Accent3 14 5" xfId="5940" xr:uid="{00000000-0005-0000-0000-0000423A0000}"/>
    <cellStyle name="40% - Accent3 14 5 2" xfId="13923" xr:uid="{00000000-0005-0000-0000-0000433A0000}"/>
    <cellStyle name="40% - Accent3 14 5 2 2" xfId="37766" xr:uid="{1AE2E17C-6AB5-4607-9758-2BACBC4F2084}"/>
    <cellStyle name="40% - Accent3 14 5 3" xfId="21871" xr:uid="{00000000-0005-0000-0000-0000443A0000}"/>
    <cellStyle name="40% - Accent3 14 5 3 2" xfId="45703" xr:uid="{BEE57E93-1459-4BE1-8116-762D81693D26}"/>
    <cellStyle name="40% - Accent3 14 5 4" xfId="29825" xr:uid="{80899754-4F0E-4872-BD3F-19618D04DBB7}"/>
    <cellStyle name="40% - Accent3 14 6" xfId="9492" xr:uid="{00000000-0005-0000-0000-0000453A0000}"/>
    <cellStyle name="40% - Accent3 14 6 2" xfId="17450" xr:uid="{00000000-0005-0000-0000-0000463A0000}"/>
    <cellStyle name="40% - Accent3 14 6 2 2" xfId="41290" xr:uid="{F4C33A78-F2A2-4A77-9A81-384148D399BE}"/>
    <cellStyle name="40% - Accent3 14 6 3" xfId="25394" xr:uid="{00000000-0005-0000-0000-0000473A0000}"/>
    <cellStyle name="40% - Accent3 14 6 3 2" xfId="49226" xr:uid="{403188BF-B2F9-483B-9A08-9A9A943B2A04}"/>
    <cellStyle name="40% - Accent3 14 6 4" xfId="33349" xr:uid="{7A17EB1B-6395-4634-A828-1F7C9525027F}"/>
    <cellStyle name="40% - Accent3 14 7" xfId="10388" xr:uid="{00000000-0005-0000-0000-0000483A0000}"/>
    <cellStyle name="40% - Accent3 14 7 2" xfId="34237" xr:uid="{0D65C353-42D5-4E5E-9473-75298B8BB129}"/>
    <cellStyle name="40% - Accent3 14 8" xfId="18343" xr:uid="{00000000-0005-0000-0000-0000493A0000}"/>
    <cellStyle name="40% - Accent3 14 8 2" xfId="42175" xr:uid="{8526F4BB-9806-4844-90F7-0CE1CA3DAFCE}"/>
    <cellStyle name="40% - Accent3 14 9" xfId="26295" xr:uid="{CEBEF26D-23C3-4E51-8877-23C9596A6718}"/>
    <cellStyle name="40% - Accent3 14_Exh G" xfId="2958" xr:uid="{00000000-0005-0000-0000-00004A3A0000}"/>
    <cellStyle name="40% - Accent3 15" xfId="448" xr:uid="{00000000-0005-0000-0000-00004B3A0000}"/>
    <cellStyle name="40% - Accent3 15 2" xfId="1474" xr:uid="{00000000-0005-0000-0000-00004C3A0000}"/>
    <cellStyle name="40% - Accent3 15 2 2" xfId="5001" xr:uid="{00000000-0005-0000-0000-00004D3A0000}"/>
    <cellStyle name="40% - Accent3 15 2 2 2" xfId="8592" xr:uid="{00000000-0005-0000-0000-00004E3A0000}"/>
    <cellStyle name="40% - Accent3 15 2 2 2 2" xfId="16562" xr:uid="{00000000-0005-0000-0000-00004F3A0000}"/>
    <cellStyle name="40% - Accent3 15 2 2 2 2 2" xfId="40404" xr:uid="{4A379F22-C969-485A-94DC-ECC91F9FFB95}"/>
    <cellStyle name="40% - Accent3 15 2 2 2 3" xfId="24508" xr:uid="{00000000-0005-0000-0000-0000503A0000}"/>
    <cellStyle name="40% - Accent3 15 2 2 2 3 2" xfId="48340" xr:uid="{FE79684E-2CE5-43B5-902B-FFD810990671}"/>
    <cellStyle name="40% - Accent3 15 2 2 2 4" xfId="32463" xr:uid="{AEB45EC4-D087-476B-92CF-1DAFDDCCC73C}"/>
    <cellStyle name="40% - Accent3 15 2 2 3" xfId="13024" xr:uid="{00000000-0005-0000-0000-0000513A0000}"/>
    <cellStyle name="40% - Accent3 15 2 2 3 2" xfId="36873" xr:uid="{33916CFC-9BF7-46D9-A646-7FF344A14CCC}"/>
    <cellStyle name="40% - Accent3 15 2 2 4" xfId="20979" xr:uid="{00000000-0005-0000-0000-0000523A0000}"/>
    <cellStyle name="40% - Accent3 15 2 2 4 2" xfId="44811" xr:uid="{65A777F0-8799-4994-93F6-E20D6D682738}"/>
    <cellStyle name="40% - Accent3 15 2 2 5" xfId="28932" xr:uid="{7E300B5B-9123-4B4B-BD42-86D80536454C}"/>
    <cellStyle name="40% - Accent3 15 2 3" xfId="6833" xr:uid="{00000000-0005-0000-0000-0000533A0000}"/>
    <cellStyle name="40% - Accent3 15 2 3 2" xfId="14804" xr:uid="{00000000-0005-0000-0000-0000543A0000}"/>
    <cellStyle name="40% - Accent3 15 2 3 2 2" xfId="38646" xr:uid="{1051C95B-DC07-4E2C-974D-3F9DE32F0B96}"/>
    <cellStyle name="40% - Accent3 15 2 3 3" xfId="22751" xr:uid="{00000000-0005-0000-0000-0000553A0000}"/>
    <cellStyle name="40% - Accent3 15 2 3 3 2" xfId="46583" xr:uid="{EEDB673B-FBCC-45F8-BBDB-5DCA988676B3}"/>
    <cellStyle name="40% - Accent3 15 2 3 4" xfId="30705" xr:uid="{C351BF88-8427-450E-A851-540070D96C57}"/>
    <cellStyle name="40% - Accent3 15 2 4" xfId="11268" xr:uid="{00000000-0005-0000-0000-0000563A0000}"/>
    <cellStyle name="40% - Accent3 15 2 4 2" xfId="35117" xr:uid="{2E1F7FB1-E2FA-497B-B1BF-D392F055FE30}"/>
    <cellStyle name="40% - Accent3 15 2 5" xfId="19223" xr:uid="{00000000-0005-0000-0000-0000573A0000}"/>
    <cellStyle name="40% - Accent3 15 2 5 2" xfId="43055" xr:uid="{7A911C76-DBA6-420E-8DCE-05394107EC83}"/>
    <cellStyle name="40% - Accent3 15 2 6" xfId="27175" xr:uid="{D1D4B29E-A001-4638-AE7D-FCA513E4CC6F}"/>
    <cellStyle name="40% - Accent3 15 2_Exh G" xfId="2963" xr:uid="{00000000-0005-0000-0000-0000583A0000}"/>
    <cellStyle name="40% - Accent3 15 3" xfId="4122" xr:uid="{00000000-0005-0000-0000-0000593A0000}"/>
    <cellStyle name="40% - Accent3 15 3 2" xfId="7714" xr:uid="{00000000-0005-0000-0000-00005A3A0000}"/>
    <cellStyle name="40% - Accent3 15 3 2 2" xfId="15684" xr:uid="{00000000-0005-0000-0000-00005B3A0000}"/>
    <cellStyle name="40% - Accent3 15 3 2 2 2" xfId="39526" xr:uid="{A4D1C3B7-0231-49A7-959F-68999D959F51}"/>
    <cellStyle name="40% - Accent3 15 3 2 3" xfId="23630" xr:uid="{00000000-0005-0000-0000-00005C3A0000}"/>
    <cellStyle name="40% - Accent3 15 3 2 3 2" xfId="47462" xr:uid="{D14CB2B5-4A0B-459A-8E52-D95BD591539E}"/>
    <cellStyle name="40% - Accent3 15 3 2 4" xfId="31585" xr:uid="{3A899E47-32C7-458F-B0CE-CDC7455EEF0B}"/>
    <cellStyle name="40% - Accent3 15 3 3" xfId="12146" xr:uid="{00000000-0005-0000-0000-00005D3A0000}"/>
    <cellStyle name="40% - Accent3 15 3 3 2" xfId="35995" xr:uid="{0A0B8FA5-7940-494D-9FD6-13B6AA097E83}"/>
    <cellStyle name="40% - Accent3 15 3 4" xfId="20101" xr:uid="{00000000-0005-0000-0000-00005E3A0000}"/>
    <cellStyle name="40% - Accent3 15 3 4 2" xfId="43933" xr:uid="{255752D0-6B0D-4EBC-B1EA-266492368E32}"/>
    <cellStyle name="40% - Accent3 15 3 5" xfId="28054" xr:uid="{F75186E6-0675-4706-8AC8-B32E7EB6FD54}"/>
    <cellStyle name="40% - Accent3 15 4" xfId="5942" xr:uid="{00000000-0005-0000-0000-00005F3A0000}"/>
    <cellStyle name="40% - Accent3 15 4 2" xfId="13925" xr:uid="{00000000-0005-0000-0000-0000603A0000}"/>
    <cellStyle name="40% - Accent3 15 4 2 2" xfId="37768" xr:uid="{2B9E15FA-AB63-4303-82E5-CB0EBA97F95B}"/>
    <cellStyle name="40% - Accent3 15 4 3" xfId="21873" xr:uid="{00000000-0005-0000-0000-0000613A0000}"/>
    <cellStyle name="40% - Accent3 15 4 3 2" xfId="45705" xr:uid="{80C59D2D-4073-41CC-B10C-C17D99157B05}"/>
    <cellStyle name="40% - Accent3 15 4 4" xfId="29827" xr:uid="{4260F208-B198-4ED7-B12E-281EBB1742BC}"/>
    <cellStyle name="40% - Accent3 15 5" xfId="9494" xr:uid="{00000000-0005-0000-0000-0000623A0000}"/>
    <cellStyle name="40% - Accent3 15 5 2" xfId="17452" xr:uid="{00000000-0005-0000-0000-0000633A0000}"/>
    <cellStyle name="40% - Accent3 15 5 2 2" xfId="41292" xr:uid="{19FEA6D8-8456-49D3-A869-4DE2C6BE5810}"/>
    <cellStyle name="40% - Accent3 15 5 3" xfId="25396" xr:uid="{00000000-0005-0000-0000-0000643A0000}"/>
    <cellStyle name="40% - Accent3 15 5 3 2" xfId="49228" xr:uid="{5E59979B-5978-494A-8D7E-24228FCE4BC0}"/>
    <cellStyle name="40% - Accent3 15 5 4" xfId="33351" xr:uid="{BA4FB271-FE89-4996-8290-C42C77614978}"/>
    <cellStyle name="40% - Accent3 15 6" xfId="10390" xr:uid="{00000000-0005-0000-0000-0000653A0000}"/>
    <cellStyle name="40% - Accent3 15 6 2" xfId="34239" xr:uid="{6414D527-02AE-46B7-BC65-BC8493D8838D}"/>
    <cellStyle name="40% - Accent3 15 7" xfId="18345" xr:uid="{00000000-0005-0000-0000-0000663A0000}"/>
    <cellStyle name="40% - Accent3 15 7 2" xfId="42177" xr:uid="{C58DF456-73C7-4A58-BB5E-0D3480E80FC8}"/>
    <cellStyle name="40% - Accent3 15 8" xfId="26297" xr:uid="{6A522C98-A31D-4FFD-8923-E45B7734DE20}"/>
    <cellStyle name="40% - Accent3 15_Exh G" xfId="2962" xr:uid="{00000000-0005-0000-0000-0000673A0000}"/>
    <cellStyle name="40% - Accent3 16" xfId="848" xr:uid="{00000000-0005-0000-0000-0000683A0000}"/>
    <cellStyle name="40% - Accent3 16 2" xfId="1783" xr:uid="{00000000-0005-0000-0000-0000693A0000}"/>
    <cellStyle name="40% - Accent3 16 2 2" xfId="5303" xr:uid="{00000000-0005-0000-0000-00006A3A0000}"/>
    <cellStyle name="40% - Accent3 16 2 2 2" xfId="8894" xr:uid="{00000000-0005-0000-0000-00006B3A0000}"/>
    <cellStyle name="40% - Accent3 16 2 2 2 2" xfId="16864" xr:uid="{00000000-0005-0000-0000-00006C3A0000}"/>
    <cellStyle name="40% - Accent3 16 2 2 2 2 2" xfId="40706" xr:uid="{C00246A6-7E8E-4667-B4AF-7BA41B586E7E}"/>
    <cellStyle name="40% - Accent3 16 2 2 2 3" xfId="24810" xr:uid="{00000000-0005-0000-0000-00006D3A0000}"/>
    <cellStyle name="40% - Accent3 16 2 2 2 3 2" xfId="48642" xr:uid="{F6FD2929-E683-401D-87C5-274DD0670086}"/>
    <cellStyle name="40% - Accent3 16 2 2 2 4" xfId="32765" xr:uid="{9A158853-A394-4850-A2F0-251A6D2A32FA}"/>
    <cellStyle name="40% - Accent3 16 2 2 3" xfId="13326" xr:uid="{00000000-0005-0000-0000-00006E3A0000}"/>
    <cellStyle name="40% - Accent3 16 2 2 3 2" xfId="37175" xr:uid="{9BC83367-BC56-4514-BC54-EB3FB15265E5}"/>
    <cellStyle name="40% - Accent3 16 2 2 4" xfId="21281" xr:uid="{00000000-0005-0000-0000-00006F3A0000}"/>
    <cellStyle name="40% - Accent3 16 2 2 4 2" xfId="45113" xr:uid="{A8B68BC7-CE3C-4E69-ADB8-E3ADA3684124}"/>
    <cellStyle name="40% - Accent3 16 2 2 5" xfId="29234" xr:uid="{04D7B683-83D1-424E-8D4B-CCB52FDA61C9}"/>
    <cellStyle name="40% - Accent3 16 2 3" xfId="7135" xr:uid="{00000000-0005-0000-0000-0000703A0000}"/>
    <cellStyle name="40% - Accent3 16 2 3 2" xfId="15106" xr:uid="{00000000-0005-0000-0000-0000713A0000}"/>
    <cellStyle name="40% - Accent3 16 2 3 2 2" xfId="38948" xr:uid="{847680C3-31A1-4D4F-9B1F-FB592CF49D77}"/>
    <cellStyle name="40% - Accent3 16 2 3 3" xfId="23053" xr:uid="{00000000-0005-0000-0000-0000723A0000}"/>
    <cellStyle name="40% - Accent3 16 2 3 3 2" xfId="46885" xr:uid="{A0B5083E-BB28-4D34-BBE1-38FA8E9BF984}"/>
    <cellStyle name="40% - Accent3 16 2 3 4" xfId="31007" xr:uid="{49F85900-9B4E-4DAD-9B70-872E7BCB1456}"/>
    <cellStyle name="40% - Accent3 16 2 4" xfId="11570" xr:uid="{00000000-0005-0000-0000-0000733A0000}"/>
    <cellStyle name="40% - Accent3 16 2 4 2" xfId="35419" xr:uid="{826E88CF-E929-4B78-9ADA-E7B773FFFF99}"/>
    <cellStyle name="40% - Accent3 16 2 5" xfId="19525" xr:uid="{00000000-0005-0000-0000-0000743A0000}"/>
    <cellStyle name="40% - Accent3 16 2 5 2" xfId="43357" xr:uid="{A6F0EB9D-5C11-44CF-AEC4-692DDB7DE294}"/>
    <cellStyle name="40% - Accent3 16 2 6" xfId="27477" xr:uid="{7251BE49-863C-470D-BF9F-86F422A67108}"/>
    <cellStyle name="40% - Accent3 16 2_Exh G" xfId="2965" xr:uid="{00000000-0005-0000-0000-0000753A0000}"/>
    <cellStyle name="40% - Accent3 16 3" xfId="4424" xr:uid="{00000000-0005-0000-0000-0000763A0000}"/>
    <cellStyle name="40% - Accent3 16 3 2" xfId="8016" xr:uid="{00000000-0005-0000-0000-0000773A0000}"/>
    <cellStyle name="40% - Accent3 16 3 2 2" xfId="15986" xr:uid="{00000000-0005-0000-0000-0000783A0000}"/>
    <cellStyle name="40% - Accent3 16 3 2 2 2" xfId="39828" xr:uid="{C46C76FA-653A-41B3-AF33-5025A8EC4985}"/>
    <cellStyle name="40% - Accent3 16 3 2 3" xfId="23932" xr:uid="{00000000-0005-0000-0000-0000793A0000}"/>
    <cellStyle name="40% - Accent3 16 3 2 3 2" xfId="47764" xr:uid="{F2AF127B-CBAE-4960-B70E-BD9193CA6DC2}"/>
    <cellStyle name="40% - Accent3 16 3 2 4" xfId="31887" xr:uid="{82B8B9F9-0A7D-49A7-8D8F-91168BF1AFDC}"/>
    <cellStyle name="40% - Accent3 16 3 3" xfId="12448" xr:uid="{00000000-0005-0000-0000-00007A3A0000}"/>
    <cellStyle name="40% - Accent3 16 3 3 2" xfId="36297" xr:uid="{488FBD45-AB32-4587-884D-7A6D275ABCC4}"/>
    <cellStyle name="40% - Accent3 16 3 4" xfId="20403" xr:uid="{00000000-0005-0000-0000-00007B3A0000}"/>
    <cellStyle name="40% - Accent3 16 3 4 2" xfId="44235" xr:uid="{DCDB982A-F2DB-4657-816B-4922A4E3D031}"/>
    <cellStyle name="40% - Accent3 16 3 5" xfId="28356" xr:uid="{B035E3F1-B1A6-4ABA-891B-4D293A732C68}"/>
    <cellStyle name="40% - Accent3 16 4" xfId="6254" xr:uid="{00000000-0005-0000-0000-00007C3A0000}"/>
    <cellStyle name="40% - Accent3 16 4 2" xfId="14228" xr:uid="{00000000-0005-0000-0000-00007D3A0000}"/>
    <cellStyle name="40% - Accent3 16 4 2 2" xfId="38070" xr:uid="{402802C7-D1D0-442A-9CDC-05D1936008D3}"/>
    <cellStyle name="40% - Accent3 16 4 3" xfId="22175" xr:uid="{00000000-0005-0000-0000-00007E3A0000}"/>
    <cellStyle name="40% - Accent3 16 4 3 2" xfId="46007" xr:uid="{1970E9D0-902C-4BDB-A54F-7B0FD4E4E42F}"/>
    <cellStyle name="40% - Accent3 16 4 4" xfId="30129" xr:uid="{D813B370-7E2B-4F7F-944F-369648BDB02A}"/>
    <cellStyle name="40% - Accent3 16 5" xfId="9796" xr:uid="{00000000-0005-0000-0000-00007F3A0000}"/>
    <cellStyle name="40% - Accent3 16 5 2" xfId="17754" xr:uid="{00000000-0005-0000-0000-0000803A0000}"/>
    <cellStyle name="40% - Accent3 16 5 2 2" xfId="41594" xr:uid="{B7490AAF-851C-4196-9E41-C6082AFAFA27}"/>
    <cellStyle name="40% - Accent3 16 5 3" xfId="25698" xr:uid="{00000000-0005-0000-0000-0000813A0000}"/>
    <cellStyle name="40% - Accent3 16 5 3 2" xfId="49530" xr:uid="{52D35C39-FB9A-4058-AB53-B547A3173399}"/>
    <cellStyle name="40% - Accent3 16 5 4" xfId="33653" xr:uid="{4F385817-30EA-4764-81B1-05965244F0AD}"/>
    <cellStyle name="40% - Accent3 16 6" xfId="10692" xr:uid="{00000000-0005-0000-0000-0000823A0000}"/>
    <cellStyle name="40% - Accent3 16 6 2" xfId="34541" xr:uid="{CBADDE26-0D7F-43FD-B5DF-712CC0E17895}"/>
    <cellStyle name="40% - Accent3 16 7" xfId="18647" xr:uid="{00000000-0005-0000-0000-0000833A0000}"/>
    <cellStyle name="40% - Accent3 16 7 2" xfId="42479" xr:uid="{46193FFC-290F-4849-9341-C07AD8236B91}"/>
    <cellStyle name="40% - Accent3 16 8" xfId="26599" xr:uid="{260C1336-D9C4-4DC7-BF8E-884CA3689D4A}"/>
    <cellStyle name="40% - Accent3 16_Exh G" xfId="2964" xr:uid="{00000000-0005-0000-0000-0000843A0000}"/>
    <cellStyle name="40% - Accent3 17" xfId="49788" xr:uid="{B5A0FDEE-3C92-4941-950E-9F4541255B67}"/>
    <cellStyle name="40% - Accent3 18" xfId="49828" xr:uid="{4BF84331-B3E6-48AD-9E6C-B74C0D149D2E}"/>
    <cellStyle name="40% - Accent3 2" xfId="449" xr:uid="{00000000-0005-0000-0000-0000853A0000}"/>
    <cellStyle name="40% - Accent3 2 10" xfId="18346" xr:uid="{00000000-0005-0000-0000-0000863A0000}"/>
    <cellStyle name="40% - Accent3 2 10 2" xfId="42178" xr:uid="{7A2B3FE4-B290-4600-B073-C503C513786D}"/>
    <cellStyle name="40% - Accent3 2 11" xfId="26298" xr:uid="{A7E8C0D5-F0C0-42AF-8378-4D421BAED0FB}"/>
    <cellStyle name="40% - Accent3 2 12" xfId="49773" xr:uid="{4085C49D-FE00-49C5-8B1B-9EE9C3396E0A}"/>
    <cellStyle name="40% - Accent3 2 13" xfId="49801" xr:uid="{7C300A7D-4D9D-4390-B3D5-8A3F5265E0B3}"/>
    <cellStyle name="40% - Accent3 2 14" xfId="49842" xr:uid="{7D0DF1D4-680D-4752-9644-44106F53D062}"/>
    <cellStyle name="40% - Accent3 2 2" xfId="450" xr:uid="{00000000-0005-0000-0000-0000873A0000}"/>
    <cellStyle name="40% - Accent3 2 2 10" xfId="26299" xr:uid="{7D48DA43-DD1C-4FC8-A570-9BA14E71EF48}"/>
    <cellStyle name="40% - Accent3 2 2 2" xfId="451" xr:uid="{00000000-0005-0000-0000-0000883A0000}"/>
    <cellStyle name="40% - Accent3 2 2 2 2" xfId="1477" xr:uid="{00000000-0005-0000-0000-0000893A0000}"/>
    <cellStyle name="40% - Accent3 2 2 2 2 2" xfId="5004" xr:uid="{00000000-0005-0000-0000-00008A3A0000}"/>
    <cellStyle name="40% - Accent3 2 2 2 2 2 2" xfId="8595" xr:uid="{00000000-0005-0000-0000-00008B3A0000}"/>
    <cellStyle name="40% - Accent3 2 2 2 2 2 2 2" xfId="16565" xr:uid="{00000000-0005-0000-0000-00008C3A0000}"/>
    <cellStyle name="40% - Accent3 2 2 2 2 2 2 2 2" xfId="40407" xr:uid="{ADCE7281-6F28-46E3-8152-27AB6C0C7409}"/>
    <cellStyle name="40% - Accent3 2 2 2 2 2 2 3" xfId="24511" xr:uid="{00000000-0005-0000-0000-00008D3A0000}"/>
    <cellStyle name="40% - Accent3 2 2 2 2 2 2 3 2" xfId="48343" xr:uid="{859B4CA4-5C8F-4FF6-AB23-7B6C8CA8DBCE}"/>
    <cellStyle name="40% - Accent3 2 2 2 2 2 2 4" xfId="32466" xr:uid="{B71BE78A-787D-4CD5-928C-688974FD787F}"/>
    <cellStyle name="40% - Accent3 2 2 2 2 2 3" xfId="13027" xr:uid="{00000000-0005-0000-0000-00008E3A0000}"/>
    <cellStyle name="40% - Accent3 2 2 2 2 2 3 2" xfId="36876" xr:uid="{AACD2DBF-BC87-4111-96EE-2A1759297FF3}"/>
    <cellStyle name="40% - Accent3 2 2 2 2 2 4" xfId="20982" xr:uid="{00000000-0005-0000-0000-00008F3A0000}"/>
    <cellStyle name="40% - Accent3 2 2 2 2 2 4 2" xfId="44814" xr:uid="{67335228-AF7F-416F-A8CD-1B1C8984E046}"/>
    <cellStyle name="40% - Accent3 2 2 2 2 2 5" xfId="28935" xr:uid="{5552ED23-20BA-4255-8CA8-FE9796663671}"/>
    <cellStyle name="40% - Accent3 2 2 2 2 3" xfId="6836" xr:uid="{00000000-0005-0000-0000-0000903A0000}"/>
    <cellStyle name="40% - Accent3 2 2 2 2 3 2" xfId="14807" xr:uid="{00000000-0005-0000-0000-0000913A0000}"/>
    <cellStyle name="40% - Accent3 2 2 2 2 3 2 2" xfId="38649" xr:uid="{6CC10204-B634-4AFB-8F00-A4B1132BAA93}"/>
    <cellStyle name="40% - Accent3 2 2 2 2 3 3" xfId="22754" xr:uid="{00000000-0005-0000-0000-0000923A0000}"/>
    <cellStyle name="40% - Accent3 2 2 2 2 3 3 2" xfId="46586" xr:uid="{466C78E7-8669-40FE-B533-555250AF4848}"/>
    <cellStyle name="40% - Accent3 2 2 2 2 3 4" xfId="30708" xr:uid="{D0C000A1-1E0F-4A74-921E-F7C8E9CF5E29}"/>
    <cellStyle name="40% - Accent3 2 2 2 2 4" xfId="11271" xr:uid="{00000000-0005-0000-0000-0000933A0000}"/>
    <cellStyle name="40% - Accent3 2 2 2 2 4 2" xfId="35120" xr:uid="{4B1024AC-8AC6-4E94-A5D8-36EDC57A2958}"/>
    <cellStyle name="40% - Accent3 2 2 2 2 5" xfId="19226" xr:uid="{00000000-0005-0000-0000-0000943A0000}"/>
    <cellStyle name="40% - Accent3 2 2 2 2 5 2" xfId="43058" xr:uid="{649AB02B-F385-441C-81C2-27190274CAC3}"/>
    <cellStyle name="40% - Accent3 2 2 2 2 6" xfId="27178" xr:uid="{F3C6840D-4281-4870-BEF5-D4AF9D815C21}"/>
    <cellStyle name="40% - Accent3 2 2 2 2_Exh G" xfId="2969" xr:uid="{00000000-0005-0000-0000-0000953A0000}"/>
    <cellStyle name="40% - Accent3 2 2 2 3" xfId="4125" xr:uid="{00000000-0005-0000-0000-0000963A0000}"/>
    <cellStyle name="40% - Accent3 2 2 2 3 2" xfId="7717" xr:uid="{00000000-0005-0000-0000-0000973A0000}"/>
    <cellStyle name="40% - Accent3 2 2 2 3 2 2" xfId="15687" xr:uid="{00000000-0005-0000-0000-0000983A0000}"/>
    <cellStyle name="40% - Accent3 2 2 2 3 2 2 2" xfId="39529" xr:uid="{C263BD32-78A6-4F1F-9DDC-90847D8F54C6}"/>
    <cellStyle name="40% - Accent3 2 2 2 3 2 3" xfId="23633" xr:uid="{00000000-0005-0000-0000-0000993A0000}"/>
    <cellStyle name="40% - Accent3 2 2 2 3 2 3 2" xfId="47465" xr:uid="{CB5294B1-D976-4726-9AA2-8BCCE5F4DD93}"/>
    <cellStyle name="40% - Accent3 2 2 2 3 2 4" xfId="31588" xr:uid="{3FDFD176-D9E2-4392-9C20-D89BE6FB9381}"/>
    <cellStyle name="40% - Accent3 2 2 2 3 3" xfId="12149" xr:uid="{00000000-0005-0000-0000-00009A3A0000}"/>
    <cellStyle name="40% - Accent3 2 2 2 3 3 2" xfId="35998" xr:uid="{C0B14F54-4382-4F7F-9122-ADBAEB481CFB}"/>
    <cellStyle name="40% - Accent3 2 2 2 3 4" xfId="20104" xr:uid="{00000000-0005-0000-0000-00009B3A0000}"/>
    <cellStyle name="40% - Accent3 2 2 2 3 4 2" xfId="43936" xr:uid="{6C45C45B-3850-4BE3-B49B-28CFD6CB860D}"/>
    <cellStyle name="40% - Accent3 2 2 2 3 5" xfId="28057" xr:uid="{6E1AD0D5-15D5-43BE-A25F-89BAA6669C10}"/>
    <cellStyle name="40% - Accent3 2 2 2 4" xfId="5945" xr:uid="{00000000-0005-0000-0000-00009C3A0000}"/>
    <cellStyle name="40% - Accent3 2 2 2 4 2" xfId="13928" xr:uid="{00000000-0005-0000-0000-00009D3A0000}"/>
    <cellStyle name="40% - Accent3 2 2 2 4 2 2" xfId="37771" xr:uid="{8D73D9B6-EE58-499D-8FC6-6BA6A971F1F2}"/>
    <cellStyle name="40% - Accent3 2 2 2 4 3" xfId="21876" xr:uid="{00000000-0005-0000-0000-00009E3A0000}"/>
    <cellStyle name="40% - Accent3 2 2 2 4 3 2" xfId="45708" xr:uid="{B5F4DE68-21AB-47EC-A5B1-84844899A91B}"/>
    <cellStyle name="40% - Accent3 2 2 2 4 4" xfId="29830" xr:uid="{BEDE1A66-5FFB-43EA-A0D8-1D135CAA0242}"/>
    <cellStyle name="40% - Accent3 2 2 2 5" xfId="9497" xr:uid="{00000000-0005-0000-0000-00009F3A0000}"/>
    <cellStyle name="40% - Accent3 2 2 2 5 2" xfId="17455" xr:uid="{00000000-0005-0000-0000-0000A03A0000}"/>
    <cellStyle name="40% - Accent3 2 2 2 5 2 2" xfId="41295" xr:uid="{816C1C03-B1C8-4248-B416-A563AE37FCCB}"/>
    <cellStyle name="40% - Accent3 2 2 2 5 3" xfId="25399" xr:uid="{00000000-0005-0000-0000-0000A13A0000}"/>
    <cellStyle name="40% - Accent3 2 2 2 5 3 2" xfId="49231" xr:uid="{61B429D2-3A8F-4723-8B0C-1F642B97567A}"/>
    <cellStyle name="40% - Accent3 2 2 2 5 4" xfId="33354" xr:uid="{A149798B-A0C7-4FE3-BD19-888F0F304E92}"/>
    <cellStyle name="40% - Accent3 2 2 2 6" xfId="10393" xr:uid="{00000000-0005-0000-0000-0000A23A0000}"/>
    <cellStyle name="40% - Accent3 2 2 2 6 2" xfId="34242" xr:uid="{5A067A69-98AC-4FEF-9315-6188375B3A9C}"/>
    <cellStyle name="40% - Accent3 2 2 2 7" xfId="18348" xr:uid="{00000000-0005-0000-0000-0000A33A0000}"/>
    <cellStyle name="40% - Accent3 2 2 2 7 2" xfId="42180" xr:uid="{ABBA2932-FF6C-4655-BC77-C3CD5968EB2F}"/>
    <cellStyle name="40% - Accent3 2 2 2 8" xfId="26300" xr:uid="{B779F9D0-A486-45D9-9071-AD33937BA10F}"/>
    <cellStyle name="40% - Accent3 2 2 2_Exh G" xfId="2968" xr:uid="{00000000-0005-0000-0000-0000A43A0000}"/>
    <cellStyle name="40% - Accent3 2 2 3" xfId="957" xr:uid="{00000000-0005-0000-0000-0000A53A0000}"/>
    <cellStyle name="40% - Accent3 2 2 3 2" xfId="1873" xr:uid="{00000000-0005-0000-0000-0000A63A0000}"/>
    <cellStyle name="40% - Accent3 2 2 3 2 2" xfId="5390" xr:uid="{00000000-0005-0000-0000-0000A73A0000}"/>
    <cellStyle name="40% - Accent3 2 2 3 2 2 2" xfId="8981" xr:uid="{00000000-0005-0000-0000-0000A83A0000}"/>
    <cellStyle name="40% - Accent3 2 2 3 2 2 2 2" xfId="16951" xr:uid="{00000000-0005-0000-0000-0000A93A0000}"/>
    <cellStyle name="40% - Accent3 2 2 3 2 2 2 2 2" xfId="40793" xr:uid="{C33510FC-5D48-4FD7-93FE-AD2AA36B697D}"/>
    <cellStyle name="40% - Accent3 2 2 3 2 2 2 3" xfId="24897" xr:uid="{00000000-0005-0000-0000-0000AA3A0000}"/>
    <cellStyle name="40% - Accent3 2 2 3 2 2 2 3 2" xfId="48729" xr:uid="{9AC6BBC4-044E-448C-9B5B-0CCDD2E716D5}"/>
    <cellStyle name="40% - Accent3 2 2 3 2 2 2 4" xfId="32852" xr:uid="{17A2C1BD-A671-437E-9386-2EDA86085986}"/>
    <cellStyle name="40% - Accent3 2 2 3 2 2 3" xfId="13413" xr:uid="{00000000-0005-0000-0000-0000AB3A0000}"/>
    <cellStyle name="40% - Accent3 2 2 3 2 2 3 2" xfId="37262" xr:uid="{3645D12E-561E-4816-B50A-E83B85DAC5F2}"/>
    <cellStyle name="40% - Accent3 2 2 3 2 2 4" xfId="21368" xr:uid="{00000000-0005-0000-0000-0000AC3A0000}"/>
    <cellStyle name="40% - Accent3 2 2 3 2 2 4 2" xfId="45200" xr:uid="{392E8F05-52D8-4ECB-81FE-E0DC2957F684}"/>
    <cellStyle name="40% - Accent3 2 2 3 2 2 5" xfId="29321" xr:uid="{AF2EEAC0-9B35-4F4B-8A9B-58258EEE2F85}"/>
    <cellStyle name="40% - Accent3 2 2 3 2 3" xfId="7222" xr:uid="{00000000-0005-0000-0000-0000AD3A0000}"/>
    <cellStyle name="40% - Accent3 2 2 3 2 3 2" xfId="15193" xr:uid="{00000000-0005-0000-0000-0000AE3A0000}"/>
    <cellStyle name="40% - Accent3 2 2 3 2 3 2 2" xfId="39035" xr:uid="{AB3070BA-7EA1-4D9A-85B8-48FC172B14CD}"/>
    <cellStyle name="40% - Accent3 2 2 3 2 3 3" xfId="23140" xr:uid="{00000000-0005-0000-0000-0000AF3A0000}"/>
    <cellStyle name="40% - Accent3 2 2 3 2 3 3 2" xfId="46972" xr:uid="{BAE6A505-B8DB-4CA8-8CEB-C495C677E298}"/>
    <cellStyle name="40% - Accent3 2 2 3 2 3 4" xfId="31094" xr:uid="{D8DF29FF-BE79-4656-8160-7D8DA79FC4E9}"/>
    <cellStyle name="40% - Accent3 2 2 3 2 4" xfId="11657" xr:uid="{00000000-0005-0000-0000-0000B03A0000}"/>
    <cellStyle name="40% - Accent3 2 2 3 2 4 2" xfId="35506" xr:uid="{22373061-D192-416F-846D-37C4AF9F2337}"/>
    <cellStyle name="40% - Accent3 2 2 3 2 5" xfId="19612" xr:uid="{00000000-0005-0000-0000-0000B13A0000}"/>
    <cellStyle name="40% - Accent3 2 2 3 2 5 2" xfId="43444" xr:uid="{CAA2DEBD-ED19-4D4E-8C40-E4CC65932EB1}"/>
    <cellStyle name="40% - Accent3 2 2 3 2 6" xfId="27564" xr:uid="{FCE4F190-391A-432F-BD72-3D15D92A0375}"/>
    <cellStyle name="40% - Accent3 2 2 3 2_Exh G" xfId="2971" xr:uid="{00000000-0005-0000-0000-0000B23A0000}"/>
    <cellStyle name="40% - Accent3 2 2 3 3" xfId="4511" xr:uid="{00000000-0005-0000-0000-0000B33A0000}"/>
    <cellStyle name="40% - Accent3 2 2 3 3 2" xfId="8103" xr:uid="{00000000-0005-0000-0000-0000B43A0000}"/>
    <cellStyle name="40% - Accent3 2 2 3 3 2 2" xfId="16073" xr:uid="{00000000-0005-0000-0000-0000B53A0000}"/>
    <cellStyle name="40% - Accent3 2 2 3 3 2 2 2" xfId="39915" xr:uid="{C7CFF903-1CE9-4C8C-B757-4D6CF715D5C8}"/>
    <cellStyle name="40% - Accent3 2 2 3 3 2 3" xfId="24019" xr:uid="{00000000-0005-0000-0000-0000B63A0000}"/>
    <cellStyle name="40% - Accent3 2 2 3 3 2 3 2" xfId="47851" xr:uid="{A2220823-7BB6-495A-8277-1A7296654717}"/>
    <cellStyle name="40% - Accent3 2 2 3 3 2 4" xfId="31974" xr:uid="{8EE633D3-C334-457E-AB52-B92C6A94EE61}"/>
    <cellStyle name="40% - Accent3 2 2 3 3 3" xfId="12535" xr:uid="{00000000-0005-0000-0000-0000B73A0000}"/>
    <cellStyle name="40% - Accent3 2 2 3 3 3 2" xfId="36384" xr:uid="{ED5C498B-2466-4B22-AEF1-0EE592328615}"/>
    <cellStyle name="40% - Accent3 2 2 3 3 4" xfId="20490" xr:uid="{00000000-0005-0000-0000-0000B83A0000}"/>
    <cellStyle name="40% - Accent3 2 2 3 3 4 2" xfId="44322" xr:uid="{EB7ABD14-1A09-40B4-8198-0B25949576C6}"/>
    <cellStyle name="40% - Accent3 2 2 3 3 5" xfId="28443" xr:uid="{E3ECE1E7-09F4-498A-873D-1626841BD0C7}"/>
    <cellStyle name="40% - Accent3 2 2 3 4" xfId="6341" xr:uid="{00000000-0005-0000-0000-0000B93A0000}"/>
    <cellStyle name="40% - Accent3 2 2 3 4 2" xfId="14315" xr:uid="{00000000-0005-0000-0000-0000BA3A0000}"/>
    <cellStyle name="40% - Accent3 2 2 3 4 2 2" xfId="38157" xr:uid="{70C5B956-9521-4C9F-9118-ECEAA7BD6755}"/>
    <cellStyle name="40% - Accent3 2 2 3 4 3" xfId="22262" xr:uid="{00000000-0005-0000-0000-0000BB3A0000}"/>
    <cellStyle name="40% - Accent3 2 2 3 4 3 2" xfId="46094" xr:uid="{EAB37710-F226-4626-B820-4A7C18148683}"/>
    <cellStyle name="40% - Accent3 2 2 3 4 4" xfId="30216" xr:uid="{0882152C-E34B-40EC-B252-A6D7D3A2DB87}"/>
    <cellStyle name="40% - Accent3 2 2 3 5" xfId="9883" xr:uid="{00000000-0005-0000-0000-0000BC3A0000}"/>
    <cellStyle name="40% - Accent3 2 2 3 5 2" xfId="17841" xr:uid="{00000000-0005-0000-0000-0000BD3A0000}"/>
    <cellStyle name="40% - Accent3 2 2 3 5 2 2" xfId="41681" xr:uid="{D5F720F7-ED6B-4C91-B4ED-CBFC32B53D90}"/>
    <cellStyle name="40% - Accent3 2 2 3 5 3" xfId="25785" xr:uid="{00000000-0005-0000-0000-0000BE3A0000}"/>
    <cellStyle name="40% - Accent3 2 2 3 5 3 2" xfId="49617" xr:uid="{D261D20F-78B8-4978-950E-67564B837379}"/>
    <cellStyle name="40% - Accent3 2 2 3 5 4" xfId="33740" xr:uid="{8885A18C-2353-4D2D-AB67-01E3EE2D18AB}"/>
    <cellStyle name="40% - Accent3 2 2 3 6" xfId="10779" xr:uid="{00000000-0005-0000-0000-0000BF3A0000}"/>
    <cellStyle name="40% - Accent3 2 2 3 6 2" xfId="34628" xr:uid="{5DDBB17F-B1D6-4124-B6BB-C4C83F4C9E59}"/>
    <cellStyle name="40% - Accent3 2 2 3 7" xfId="18734" xr:uid="{00000000-0005-0000-0000-0000C03A0000}"/>
    <cellStyle name="40% - Accent3 2 2 3 7 2" xfId="42566" xr:uid="{142466A8-B9F5-4948-AB86-149C0513CE8F}"/>
    <cellStyle name="40% - Accent3 2 2 3 8" xfId="26686" xr:uid="{206602D6-6E46-4659-AF2A-777B36E1EE6C}"/>
    <cellStyle name="40% - Accent3 2 2 3_Exh G" xfId="2970" xr:uid="{00000000-0005-0000-0000-0000C13A0000}"/>
    <cellStyle name="40% - Accent3 2 2 4" xfId="1476" xr:uid="{00000000-0005-0000-0000-0000C23A0000}"/>
    <cellStyle name="40% - Accent3 2 2 4 2" xfId="5003" xr:uid="{00000000-0005-0000-0000-0000C33A0000}"/>
    <cellStyle name="40% - Accent3 2 2 4 2 2" xfId="8594" xr:uid="{00000000-0005-0000-0000-0000C43A0000}"/>
    <cellStyle name="40% - Accent3 2 2 4 2 2 2" xfId="16564" xr:uid="{00000000-0005-0000-0000-0000C53A0000}"/>
    <cellStyle name="40% - Accent3 2 2 4 2 2 2 2" xfId="40406" xr:uid="{6BEABD72-4234-4120-A3AD-EFFE10CCF6D8}"/>
    <cellStyle name="40% - Accent3 2 2 4 2 2 3" xfId="24510" xr:uid="{00000000-0005-0000-0000-0000C63A0000}"/>
    <cellStyle name="40% - Accent3 2 2 4 2 2 3 2" xfId="48342" xr:uid="{2B57C6A1-D164-4BA5-9634-7C3DCE075B91}"/>
    <cellStyle name="40% - Accent3 2 2 4 2 2 4" xfId="32465" xr:uid="{A7BBACC3-D0C5-47F6-8143-C4EEC25FBAD8}"/>
    <cellStyle name="40% - Accent3 2 2 4 2 3" xfId="13026" xr:uid="{00000000-0005-0000-0000-0000C73A0000}"/>
    <cellStyle name="40% - Accent3 2 2 4 2 3 2" xfId="36875" xr:uid="{66ADBAD3-4587-44E7-9590-85D0746C37FD}"/>
    <cellStyle name="40% - Accent3 2 2 4 2 4" xfId="20981" xr:uid="{00000000-0005-0000-0000-0000C83A0000}"/>
    <cellStyle name="40% - Accent3 2 2 4 2 4 2" xfId="44813" xr:uid="{EEDEA5CA-5886-400D-BCB3-4857517C83AE}"/>
    <cellStyle name="40% - Accent3 2 2 4 2 5" xfId="28934" xr:uid="{72A4D209-B309-4E01-B74D-8A7978A3F8E5}"/>
    <cellStyle name="40% - Accent3 2 2 4 3" xfId="6835" xr:uid="{00000000-0005-0000-0000-0000C93A0000}"/>
    <cellStyle name="40% - Accent3 2 2 4 3 2" xfId="14806" xr:uid="{00000000-0005-0000-0000-0000CA3A0000}"/>
    <cellStyle name="40% - Accent3 2 2 4 3 2 2" xfId="38648" xr:uid="{858A59F3-500C-4FE6-A0A9-CD16202AF61C}"/>
    <cellStyle name="40% - Accent3 2 2 4 3 3" xfId="22753" xr:uid="{00000000-0005-0000-0000-0000CB3A0000}"/>
    <cellStyle name="40% - Accent3 2 2 4 3 3 2" xfId="46585" xr:uid="{1DB4BD3F-A63D-42DB-8A07-FF1284AF4235}"/>
    <cellStyle name="40% - Accent3 2 2 4 3 4" xfId="30707" xr:uid="{C32CEFC2-DEB1-4611-B722-9C5136FE2052}"/>
    <cellStyle name="40% - Accent3 2 2 4 4" xfId="11270" xr:uid="{00000000-0005-0000-0000-0000CC3A0000}"/>
    <cellStyle name="40% - Accent3 2 2 4 4 2" xfId="35119" xr:uid="{079AE1AC-6991-47AD-9B5C-86698C2BF61A}"/>
    <cellStyle name="40% - Accent3 2 2 4 5" xfId="19225" xr:uid="{00000000-0005-0000-0000-0000CD3A0000}"/>
    <cellStyle name="40% - Accent3 2 2 4 5 2" xfId="43057" xr:uid="{34A286D4-E313-4592-A162-307204CF739D}"/>
    <cellStyle name="40% - Accent3 2 2 4 6" xfId="27177" xr:uid="{08057D1B-E4A7-4E96-A8C1-43D3943D58A5}"/>
    <cellStyle name="40% - Accent3 2 2 4_Exh G" xfId="2972" xr:uid="{00000000-0005-0000-0000-0000CE3A0000}"/>
    <cellStyle name="40% - Accent3 2 2 5" xfId="4124" xr:uid="{00000000-0005-0000-0000-0000CF3A0000}"/>
    <cellStyle name="40% - Accent3 2 2 5 2" xfId="7716" xr:uid="{00000000-0005-0000-0000-0000D03A0000}"/>
    <cellStyle name="40% - Accent3 2 2 5 2 2" xfId="15686" xr:uid="{00000000-0005-0000-0000-0000D13A0000}"/>
    <cellStyle name="40% - Accent3 2 2 5 2 2 2" xfId="39528" xr:uid="{38D54554-84A9-43CE-9EDC-F142F2B9FEF1}"/>
    <cellStyle name="40% - Accent3 2 2 5 2 3" xfId="23632" xr:uid="{00000000-0005-0000-0000-0000D23A0000}"/>
    <cellStyle name="40% - Accent3 2 2 5 2 3 2" xfId="47464" xr:uid="{3B27707F-5478-4F09-9F52-7D556DC312F6}"/>
    <cellStyle name="40% - Accent3 2 2 5 2 4" xfId="31587" xr:uid="{74A376AF-5B03-47DB-8901-08B73FCB6BAC}"/>
    <cellStyle name="40% - Accent3 2 2 5 3" xfId="12148" xr:uid="{00000000-0005-0000-0000-0000D33A0000}"/>
    <cellStyle name="40% - Accent3 2 2 5 3 2" xfId="35997" xr:uid="{6A16E0AF-7D2B-4414-BCE0-F494699305EC}"/>
    <cellStyle name="40% - Accent3 2 2 5 4" xfId="20103" xr:uid="{00000000-0005-0000-0000-0000D43A0000}"/>
    <cellStyle name="40% - Accent3 2 2 5 4 2" xfId="43935" xr:uid="{E3AEB532-A264-4ABA-B55C-1452DC8882CC}"/>
    <cellStyle name="40% - Accent3 2 2 5 5" xfId="28056" xr:uid="{5AECE65E-F272-4CA6-B05A-C8A850D67388}"/>
    <cellStyle name="40% - Accent3 2 2 6" xfId="5944" xr:uid="{00000000-0005-0000-0000-0000D53A0000}"/>
    <cellStyle name="40% - Accent3 2 2 6 2" xfId="13927" xr:uid="{00000000-0005-0000-0000-0000D63A0000}"/>
    <cellStyle name="40% - Accent3 2 2 6 2 2" xfId="37770" xr:uid="{D06C02E9-D11C-4C2B-A0F0-3C9F11C8E9FB}"/>
    <cellStyle name="40% - Accent3 2 2 6 3" xfId="21875" xr:uid="{00000000-0005-0000-0000-0000D73A0000}"/>
    <cellStyle name="40% - Accent3 2 2 6 3 2" xfId="45707" xr:uid="{3049EC53-994A-4EAC-A0CE-AB520FBC36B7}"/>
    <cellStyle name="40% - Accent3 2 2 6 4" xfId="29829" xr:uid="{301BA5BE-CA8B-4922-AFFD-B80F0398A8FD}"/>
    <cellStyle name="40% - Accent3 2 2 7" xfId="9496" xr:uid="{00000000-0005-0000-0000-0000D83A0000}"/>
    <cellStyle name="40% - Accent3 2 2 7 2" xfId="17454" xr:uid="{00000000-0005-0000-0000-0000D93A0000}"/>
    <cellStyle name="40% - Accent3 2 2 7 2 2" xfId="41294" xr:uid="{9BFD0686-B206-4204-B95F-B58DFE2285C6}"/>
    <cellStyle name="40% - Accent3 2 2 7 3" xfId="25398" xr:uid="{00000000-0005-0000-0000-0000DA3A0000}"/>
    <cellStyle name="40% - Accent3 2 2 7 3 2" xfId="49230" xr:uid="{4FC7DAA1-9BE9-469D-9345-D9AF6D3C5B8B}"/>
    <cellStyle name="40% - Accent3 2 2 7 4" xfId="33353" xr:uid="{173BFA41-8510-406B-93C7-50F688BC698A}"/>
    <cellStyle name="40% - Accent3 2 2 8" xfId="10392" xr:uid="{00000000-0005-0000-0000-0000DB3A0000}"/>
    <cellStyle name="40% - Accent3 2 2 8 2" xfId="34241" xr:uid="{5EE09E95-8013-4508-AC58-DA8A380F54BB}"/>
    <cellStyle name="40% - Accent3 2 2 9" xfId="18347" xr:uid="{00000000-0005-0000-0000-0000DC3A0000}"/>
    <cellStyle name="40% - Accent3 2 2 9 2" xfId="42179" xr:uid="{D9E93EEC-9050-4A3E-A7F7-B02CE7E3D0C3}"/>
    <cellStyle name="40% - Accent3 2 2_Exh G" xfId="2967" xr:uid="{00000000-0005-0000-0000-0000DD3A0000}"/>
    <cellStyle name="40% - Accent3 2 3" xfId="452" xr:uid="{00000000-0005-0000-0000-0000DE3A0000}"/>
    <cellStyle name="40% - Accent3 2 3 2" xfId="1478" xr:uid="{00000000-0005-0000-0000-0000DF3A0000}"/>
    <cellStyle name="40% - Accent3 2 3 2 2" xfId="5005" xr:uid="{00000000-0005-0000-0000-0000E03A0000}"/>
    <cellStyle name="40% - Accent3 2 3 2 2 2" xfId="8596" xr:uid="{00000000-0005-0000-0000-0000E13A0000}"/>
    <cellStyle name="40% - Accent3 2 3 2 2 2 2" xfId="16566" xr:uid="{00000000-0005-0000-0000-0000E23A0000}"/>
    <cellStyle name="40% - Accent3 2 3 2 2 2 2 2" xfId="40408" xr:uid="{0294EA6B-31E3-450A-8A4E-B249E986AC3B}"/>
    <cellStyle name="40% - Accent3 2 3 2 2 2 3" xfId="24512" xr:uid="{00000000-0005-0000-0000-0000E33A0000}"/>
    <cellStyle name="40% - Accent3 2 3 2 2 2 3 2" xfId="48344" xr:uid="{BFD53A17-C5F4-426D-8572-BEC81430F098}"/>
    <cellStyle name="40% - Accent3 2 3 2 2 2 4" xfId="32467" xr:uid="{F3B168F8-1023-43F3-BE82-D9388502BED6}"/>
    <cellStyle name="40% - Accent3 2 3 2 2 3" xfId="13028" xr:uid="{00000000-0005-0000-0000-0000E43A0000}"/>
    <cellStyle name="40% - Accent3 2 3 2 2 3 2" xfId="36877" xr:uid="{721FB7C1-12C6-40E8-A7BD-4D4437265747}"/>
    <cellStyle name="40% - Accent3 2 3 2 2 4" xfId="20983" xr:uid="{00000000-0005-0000-0000-0000E53A0000}"/>
    <cellStyle name="40% - Accent3 2 3 2 2 4 2" xfId="44815" xr:uid="{B7DFD727-49CE-462B-AC36-E2799E44FAB6}"/>
    <cellStyle name="40% - Accent3 2 3 2 2 5" xfId="28936" xr:uid="{9D12B387-5FF1-4923-A365-032CFBA4DF4A}"/>
    <cellStyle name="40% - Accent3 2 3 2 3" xfId="6837" xr:uid="{00000000-0005-0000-0000-0000E63A0000}"/>
    <cellStyle name="40% - Accent3 2 3 2 3 2" xfId="14808" xr:uid="{00000000-0005-0000-0000-0000E73A0000}"/>
    <cellStyle name="40% - Accent3 2 3 2 3 2 2" xfId="38650" xr:uid="{3A1F212D-BAC7-4902-AF50-40547F588CD1}"/>
    <cellStyle name="40% - Accent3 2 3 2 3 3" xfId="22755" xr:uid="{00000000-0005-0000-0000-0000E83A0000}"/>
    <cellStyle name="40% - Accent3 2 3 2 3 3 2" xfId="46587" xr:uid="{B4CCFD1C-C33B-4104-9198-1527CDF47F9B}"/>
    <cellStyle name="40% - Accent3 2 3 2 3 4" xfId="30709" xr:uid="{36AB1F0A-9C84-41C8-9B5B-ECEA51FC917A}"/>
    <cellStyle name="40% - Accent3 2 3 2 4" xfId="11272" xr:uid="{00000000-0005-0000-0000-0000E93A0000}"/>
    <cellStyle name="40% - Accent3 2 3 2 4 2" xfId="35121" xr:uid="{8AFA6D9B-371A-41D8-A9F2-34555B3D5D17}"/>
    <cellStyle name="40% - Accent3 2 3 2 5" xfId="19227" xr:uid="{00000000-0005-0000-0000-0000EA3A0000}"/>
    <cellStyle name="40% - Accent3 2 3 2 5 2" xfId="43059" xr:uid="{5A69EDB6-6DCE-4C85-A86D-3F67F254C390}"/>
    <cellStyle name="40% - Accent3 2 3 2 6" xfId="27179" xr:uid="{AFFCBD1A-D52C-458C-ABFE-834AE1756B17}"/>
    <cellStyle name="40% - Accent3 2 3 2_Exh G" xfId="2974" xr:uid="{00000000-0005-0000-0000-0000EB3A0000}"/>
    <cellStyle name="40% - Accent3 2 3 3" xfId="4126" xr:uid="{00000000-0005-0000-0000-0000EC3A0000}"/>
    <cellStyle name="40% - Accent3 2 3 3 2" xfId="7718" xr:uid="{00000000-0005-0000-0000-0000ED3A0000}"/>
    <cellStyle name="40% - Accent3 2 3 3 2 2" xfId="15688" xr:uid="{00000000-0005-0000-0000-0000EE3A0000}"/>
    <cellStyle name="40% - Accent3 2 3 3 2 2 2" xfId="39530" xr:uid="{E4F646F9-D6D0-430D-B471-A8E8C7FF2372}"/>
    <cellStyle name="40% - Accent3 2 3 3 2 3" xfId="23634" xr:uid="{00000000-0005-0000-0000-0000EF3A0000}"/>
    <cellStyle name="40% - Accent3 2 3 3 2 3 2" xfId="47466" xr:uid="{18322633-D754-492E-B125-5C84598D496E}"/>
    <cellStyle name="40% - Accent3 2 3 3 2 4" xfId="31589" xr:uid="{49D14A43-65BC-4411-91B6-4C1B65724134}"/>
    <cellStyle name="40% - Accent3 2 3 3 3" xfId="12150" xr:uid="{00000000-0005-0000-0000-0000F03A0000}"/>
    <cellStyle name="40% - Accent3 2 3 3 3 2" xfId="35999" xr:uid="{A3C217A5-B534-4159-9A6C-6B4D003C4213}"/>
    <cellStyle name="40% - Accent3 2 3 3 4" xfId="20105" xr:uid="{00000000-0005-0000-0000-0000F13A0000}"/>
    <cellStyle name="40% - Accent3 2 3 3 4 2" xfId="43937" xr:uid="{945E9BE4-369B-4B9B-B9E6-0ECE4F482C00}"/>
    <cellStyle name="40% - Accent3 2 3 3 5" xfId="28058" xr:uid="{D2CC25F3-753F-423F-9BF2-3A7C1DF58652}"/>
    <cellStyle name="40% - Accent3 2 3 4" xfId="5946" xr:uid="{00000000-0005-0000-0000-0000F23A0000}"/>
    <cellStyle name="40% - Accent3 2 3 4 2" xfId="13929" xr:uid="{00000000-0005-0000-0000-0000F33A0000}"/>
    <cellStyle name="40% - Accent3 2 3 4 2 2" xfId="37772" xr:uid="{0B6A40C8-2D56-4AF8-B12B-078271406EE2}"/>
    <cellStyle name="40% - Accent3 2 3 4 3" xfId="21877" xr:uid="{00000000-0005-0000-0000-0000F43A0000}"/>
    <cellStyle name="40% - Accent3 2 3 4 3 2" xfId="45709" xr:uid="{08C112D0-0D37-4F94-9D5F-D417DDCB5D75}"/>
    <cellStyle name="40% - Accent3 2 3 4 4" xfId="29831" xr:uid="{53E7F7FF-E53A-4B6C-BCD7-50DEDBF1733B}"/>
    <cellStyle name="40% - Accent3 2 3 5" xfId="9498" xr:uid="{00000000-0005-0000-0000-0000F53A0000}"/>
    <cellStyle name="40% - Accent3 2 3 5 2" xfId="17456" xr:uid="{00000000-0005-0000-0000-0000F63A0000}"/>
    <cellStyle name="40% - Accent3 2 3 5 2 2" xfId="41296" xr:uid="{5CA29F0C-4904-4D1B-8A81-18CDD92FBFF7}"/>
    <cellStyle name="40% - Accent3 2 3 5 3" xfId="25400" xr:uid="{00000000-0005-0000-0000-0000F73A0000}"/>
    <cellStyle name="40% - Accent3 2 3 5 3 2" xfId="49232" xr:uid="{C7F902B5-9795-4900-9FE2-49C917C1798C}"/>
    <cellStyle name="40% - Accent3 2 3 5 4" xfId="33355" xr:uid="{BE193C23-5853-4E05-8712-D407B15DDF00}"/>
    <cellStyle name="40% - Accent3 2 3 6" xfId="10394" xr:uid="{00000000-0005-0000-0000-0000F83A0000}"/>
    <cellStyle name="40% - Accent3 2 3 6 2" xfId="34243" xr:uid="{17B2FB13-96E4-4403-B1A3-C1F05F84B156}"/>
    <cellStyle name="40% - Accent3 2 3 7" xfId="18349" xr:uid="{00000000-0005-0000-0000-0000F93A0000}"/>
    <cellStyle name="40% - Accent3 2 3 7 2" xfId="42181" xr:uid="{9D020610-8E1D-4B8F-A350-73B10A33BF6C}"/>
    <cellStyle name="40% - Accent3 2 3 8" xfId="26301" xr:uid="{8E51D905-D830-4AF0-A09A-B33AE5740BDD}"/>
    <cellStyle name="40% - Accent3 2 3_Exh G" xfId="2973" xr:uid="{00000000-0005-0000-0000-0000FA3A0000}"/>
    <cellStyle name="40% - Accent3 2 4" xfId="956" xr:uid="{00000000-0005-0000-0000-0000FB3A0000}"/>
    <cellStyle name="40% - Accent3 2 4 2" xfId="1872" xr:uid="{00000000-0005-0000-0000-0000FC3A0000}"/>
    <cellStyle name="40% - Accent3 2 4 2 2" xfId="5389" xr:uid="{00000000-0005-0000-0000-0000FD3A0000}"/>
    <cellStyle name="40% - Accent3 2 4 2 2 2" xfId="8980" xr:uid="{00000000-0005-0000-0000-0000FE3A0000}"/>
    <cellStyle name="40% - Accent3 2 4 2 2 2 2" xfId="16950" xr:uid="{00000000-0005-0000-0000-0000FF3A0000}"/>
    <cellStyle name="40% - Accent3 2 4 2 2 2 2 2" xfId="40792" xr:uid="{3F596DF9-9117-484E-991D-CD4A7573423C}"/>
    <cellStyle name="40% - Accent3 2 4 2 2 2 3" xfId="24896" xr:uid="{00000000-0005-0000-0000-0000003B0000}"/>
    <cellStyle name="40% - Accent3 2 4 2 2 2 3 2" xfId="48728" xr:uid="{C8F833CE-3CA8-4509-BD87-7E235147B72F}"/>
    <cellStyle name="40% - Accent3 2 4 2 2 2 4" xfId="32851" xr:uid="{6BAC8680-054C-45B8-941C-F2E8085A6978}"/>
    <cellStyle name="40% - Accent3 2 4 2 2 3" xfId="13412" xr:uid="{00000000-0005-0000-0000-0000013B0000}"/>
    <cellStyle name="40% - Accent3 2 4 2 2 3 2" xfId="37261" xr:uid="{450DDEDA-9AA3-47BB-9650-AC31DEBF5BAE}"/>
    <cellStyle name="40% - Accent3 2 4 2 2 4" xfId="21367" xr:uid="{00000000-0005-0000-0000-0000023B0000}"/>
    <cellStyle name="40% - Accent3 2 4 2 2 4 2" xfId="45199" xr:uid="{A03D2543-B4E3-429A-B50C-B8987B079FA3}"/>
    <cellStyle name="40% - Accent3 2 4 2 2 5" xfId="29320" xr:uid="{E5438105-E04C-4837-B8A3-CA6125FE749A}"/>
    <cellStyle name="40% - Accent3 2 4 2 3" xfId="7221" xr:uid="{00000000-0005-0000-0000-0000033B0000}"/>
    <cellStyle name="40% - Accent3 2 4 2 3 2" xfId="15192" xr:uid="{00000000-0005-0000-0000-0000043B0000}"/>
    <cellStyle name="40% - Accent3 2 4 2 3 2 2" xfId="39034" xr:uid="{BCA5E0B8-2706-41B4-8846-8569F111BDC5}"/>
    <cellStyle name="40% - Accent3 2 4 2 3 3" xfId="23139" xr:uid="{00000000-0005-0000-0000-0000053B0000}"/>
    <cellStyle name="40% - Accent3 2 4 2 3 3 2" xfId="46971" xr:uid="{5B03E917-E20A-46CF-A767-AF34355A2400}"/>
    <cellStyle name="40% - Accent3 2 4 2 3 4" xfId="31093" xr:uid="{B84155AA-A230-45F5-B289-A00D28D82DE5}"/>
    <cellStyle name="40% - Accent3 2 4 2 4" xfId="11656" xr:uid="{00000000-0005-0000-0000-0000063B0000}"/>
    <cellStyle name="40% - Accent3 2 4 2 4 2" xfId="35505" xr:uid="{392C26FF-8008-4B06-B6CC-03F53248AF8B}"/>
    <cellStyle name="40% - Accent3 2 4 2 5" xfId="19611" xr:uid="{00000000-0005-0000-0000-0000073B0000}"/>
    <cellStyle name="40% - Accent3 2 4 2 5 2" xfId="43443" xr:uid="{B4C3FCE1-23E2-4F59-B34A-27FCA4E477A8}"/>
    <cellStyle name="40% - Accent3 2 4 2 6" xfId="27563" xr:uid="{448076D5-964A-4AB6-A56C-29CD880E4B43}"/>
    <cellStyle name="40% - Accent3 2 4 2_Exh G" xfId="2976" xr:uid="{00000000-0005-0000-0000-0000083B0000}"/>
    <cellStyle name="40% - Accent3 2 4 3" xfId="4510" xr:uid="{00000000-0005-0000-0000-0000093B0000}"/>
    <cellStyle name="40% - Accent3 2 4 3 2" xfId="8102" xr:uid="{00000000-0005-0000-0000-00000A3B0000}"/>
    <cellStyle name="40% - Accent3 2 4 3 2 2" xfId="16072" xr:uid="{00000000-0005-0000-0000-00000B3B0000}"/>
    <cellStyle name="40% - Accent3 2 4 3 2 2 2" xfId="39914" xr:uid="{7970BCF9-B73E-46BC-A797-8344FF390488}"/>
    <cellStyle name="40% - Accent3 2 4 3 2 3" xfId="24018" xr:uid="{00000000-0005-0000-0000-00000C3B0000}"/>
    <cellStyle name="40% - Accent3 2 4 3 2 3 2" xfId="47850" xr:uid="{3A06B993-FCC2-433B-892A-08B1DBFFDCF4}"/>
    <cellStyle name="40% - Accent3 2 4 3 2 4" xfId="31973" xr:uid="{71EF2147-B969-48AE-8D9E-296B300121FB}"/>
    <cellStyle name="40% - Accent3 2 4 3 3" xfId="12534" xr:uid="{00000000-0005-0000-0000-00000D3B0000}"/>
    <cellStyle name="40% - Accent3 2 4 3 3 2" xfId="36383" xr:uid="{A8AF6CEC-9CF4-4CE7-9DAF-79E82B1CEE6C}"/>
    <cellStyle name="40% - Accent3 2 4 3 4" xfId="20489" xr:uid="{00000000-0005-0000-0000-00000E3B0000}"/>
    <cellStyle name="40% - Accent3 2 4 3 4 2" xfId="44321" xr:uid="{24504149-B0B6-442A-8633-2C59964BDC47}"/>
    <cellStyle name="40% - Accent3 2 4 3 5" xfId="28442" xr:uid="{9A81BBA9-BC1A-4511-A5CC-CB37DA269750}"/>
    <cellStyle name="40% - Accent3 2 4 4" xfId="6340" xr:uid="{00000000-0005-0000-0000-00000F3B0000}"/>
    <cellStyle name="40% - Accent3 2 4 4 2" xfId="14314" xr:uid="{00000000-0005-0000-0000-0000103B0000}"/>
    <cellStyle name="40% - Accent3 2 4 4 2 2" xfId="38156" xr:uid="{AB636680-BBE1-4A01-B4C3-5D6B0600C7B7}"/>
    <cellStyle name="40% - Accent3 2 4 4 3" xfId="22261" xr:uid="{00000000-0005-0000-0000-0000113B0000}"/>
    <cellStyle name="40% - Accent3 2 4 4 3 2" xfId="46093" xr:uid="{8C4BDD92-7652-4F4B-8BFF-7221BF5B2B77}"/>
    <cellStyle name="40% - Accent3 2 4 4 4" xfId="30215" xr:uid="{CFB1D4CB-741D-4E0F-A144-CC12DE386340}"/>
    <cellStyle name="40% - Accent3 2 4 5" xfId="9882" xr:uid="{00000000-0005-0000-0000-0000123B0000}"/>
    <cellStyle name="40% - Accent3 2 4 5 2" xfId="17840" xr:uid="{00000000-0005-0000-0000-0000133B0000}"/>
    <cellStyle name="40% - Accent3 2 4 5 2 2" xfId="41680" xr:uid="{A51BBF09-92BD-4C6F-9295-101A735F810D}"/>
    <cellStyle name="40% - Accent3 2 4 5 3" xfId="25784" xr:uid="{00000000-0005-0000-0000-0000143B0000}"/>
    <cellStyle name="40% - Accent3 2 4 5 3 2" xfId="49616" xr:uid="{D8A8035C-553B-49EE-99C0-DB2697EFD200}"/>
    <cellStyle name="40% - Accent3 2 4 5 4" xfId="33739" xr:uid="{3C646A9E-FAB2-4AE8-9E7B-14F538B016A8}"/>
    <cellStyle name="40% - Accent3 2 4 6" xfId="10778" xr:uid="{00000000-0005-0000-0000-0000153B0000}"/>
    <cellStyle name="40% - Accent3 2 4 6 2" xfId="34627" xr:uid="{1A6A08F0-D8C7-4980-B663-D1E5DCFB83C6}"/>
    <cellStyle name="40% - Accent3 2 4 7" xfId="18733" xr:uid="{00000000-0005-0000-0000-0000163B0000}"/>
    <cellStyle name="40% - Accent3 2 4 7 2" xfId="42565" xr:uid="{88471D29-611D-419D-9833-1E4515CB78A6}"/>
    <cellStyle name="40% - Accent3 2 4 8" xfId="26685" xr:uid="{36F87092-FBAC-4B45-A510-903CC9B0511D}"/>
    <cellStyle name="40% - Accent3 2 4_Exh G" xfId="2975" xr:uid="{00000000-0005-0000-0000-0000173B0000}"/>
    <cellStyle name="40% - Accent3 2 5" xfId="1475" xr:uid="{00000000-0005-0000-0000-0000183B0000}"/>
    <cellStyle name="40% - Accent3 2 5 2" xfId="5002" xr:uid="{00000000-0005-0000-0000-0000193B0000}"/>
    <cellStyle name="40% - Accent3 2 5 2 2" xfId="8593" xr:uid="{00000000-0005-0000-0000-00001A3B0000}"/>
    <cellStyle name="40% - Accent3 2 5 2 2 2" xfId="16563" xr:uid="{00000000-0005-0000-0000-00001B3B0000}"/>
    <cellStyle name="40% - Accent3 2 5 2 2 2 2" xfId="40405" xr:uid="{CE362DA3-D81F-4194-9624-3089B6E44F16}"/>
    <cellStyle name="40% - Accent3 2 5 2 2 3" xfId="24509" xr:uid="{00000000-0005-0000-0000-00001C3B0000}"/>
    <cellStyle name="40% - Accent3 2 5 2 2 3 2" xfId="48341" xr:uid="{111DC688-0536-4591-A396-08655B873BF5}"/>
    <cellStyle name="40% - Accent3 2 5 2 2 4" xfId="32464" xr:uid="{E6B9578F-911B-431D-BB00-FE426770F777}"/>
    <cellStyle name="40% - Accent3 2 5 2 3" xfId="13025" xr:uid="{00000000-0005-0000-0000-00001D3B0000}"/>
    <cellStyle name="40% - Accent3 2 5 2 3 2" xfId="36874" xr:uid="{A8A70E1D-CF29-4C4B-B9A4-2A0D474828B5}"/>
    <cellStyle name="40% - Accent3 2 5 2 4" xfId="20980" xr:uid="{00000000-0005-0000-0000-00001E3B0000}"/>
    <cellStyle name="40% - Accent3 2 5 2 4 2" xfId="44812" xr:uid="{08040266-AEFD-4A08-90C4-E9EA0A39464A}"/>
    <cellStyle name="40% - Accent3 2 5 2 5" xfId="28933" xr:uid="{F67DE4CE-4D13-4500-8592-9E026FC6EDB2}"/>
    <cellStyle name="40% - Accent3 2 5 3" xfId="6834" xr:uid="{00000000-0005-0000-0000-00001F3B0000}"/>
    <cellStyle name="40% - Accent3 2 5 3 2" xfId="14805" xr:uid="{00000000-0005-0000-0000-0000203B0000}"/>
    <cellStyle name="40% - Accent3 2 5 3 2 2" xfId="38647" xr:uid="{571F654E-E890-459D-B6DC-34C2FBCEB3D0}"/>
    <cellStyle name="40% - Accent3 2 5 3 3" xfId="22752" xr:uid="{00000000-0005-0000-0000-0000213B0000}"/>
    <cellStyle name="40% - Accent3 2 5 3 3 2" xfId="46584" xr:uid="{2FDE20DE-6301-443C-8D54-C13B7C4BD618}"/>
    <cellStyle name="40% - Accent3 2 5 3 4" xfId="30706" xr:uid="{F42DA1AF-2E05-4B06-95A5-84FF7D8B9016}"/>
    <cellStyle name="40% - Accent3 2 5 4" xfId="11269" xr:uid="{00000000-0005-0000-0000-0000223B0000}"/>
    <cellStyle name="40% - Accent3 2 5 4 2" xfId="35118" xr:uid="{548B657B-01D8-4508-9607-27E7C30EECCF}"/>
    <cellStyle name="40% - Accent3 2 5 5" xfId="19224" xr:uid="{00000000-0005-0000-0000-0000233B0000}"/>
    <cellStyle name="40% - Accent3 2 5 5 2" xfId="43056" xr:uid="{191DE97C-60CD-4C3B-A4AF-1F627BEB1E8E}"/>
    <cellStyle name="40% - Accent3 2 5 6" xfId="27176" xr:uid="{F0D550D7-123D-4DC1-8B4E-E09155983FB5}"/>
    <cellStyle name="40% - Accent3 2 5_Exh G" xfId="2977" xr:uid="{00000000-0005-0000-0000-0000243B0000}"/>
    <cellStyle name="40% - Accent3 2 6" xfId="4123" xr:uid="{00000000-0005-0000-0000-0000253B0000}"/>
    <cellStyle name="40% - Accent3 2 6 2" xfId="7715" xr:uid="{00000000-0005-0000-0000-0000263B0000}"/>
    <cellStyle name="40% - Accent3 2 6 2 2" xfId="15685" xr:uid="{00000000-0005-0000-0000-0000273B0000}"/>
    <cellStyle name="40% - Accent3 2 6 2 2 2" xfId="39527" xr:uid="{FB7D4E27-99B4-4496-AA74-065D79996944}"/>
    <cellStyle name="40% - Accent3 2 6 2 3" xfId="23631" xr:uid="{00000000-0005-0000-0000-0000283B0000}"/>
    <cellStyle name="40% - Accent3 2 6 2 3 2" xfId="47463" xr:uid="{8FFA6930-35F8-4EFC-8B40-856A61C4AD52}"/>
    <cellStyle name="40% - Accent3 2 6 2 4" xfId="31586" xr:uid="{2BE48BBD-2E4C-4797-B404-867A841244A0}"/>
    <cellStyle name="40% - Accent3 2 6 3" xfId="12147" xr:uid="{00000000-0005-0000-0000-0000293B0000}"/>
    <cellStyle name="40% - Accent3 2 6 3 2" xfId="35996" xr:uid="{193B230F-9289-41CF-B170-81F872AB74F6}"/>
    <cellStyle name="40% - Accent3 2 6 4" xfId="20102" xr:uid="{00000000-0005-0000-0000-00002A3B0000}"/>
    <cellStyle name="40% - Accent3 2 6 4 2" xfId="43934" xr:uid="{CE74F4B7-BC40-441C-BE79-9015F619E072}"/>
    <cellStyle name="40% - Accent3 2 6 5" xfId="28055" xr:uid="{76DC5860-3E97-44D3-BD40-FF4CFAD8FE09}"/>
    <cellStyle name="40% - Accent3 2 7" xfId="5943" xr:uid="{00000000-0005-0000-0000-00002B3B0000}"/>
    <cellStyle name="40% - Accent3 2 7 2" xfId="13926" xr:uid="{00000000-0005-0000-0000-00002C3B0000}"/>
    <cellStyle name="40% - Accent3 2 7 2 2" xfId="37769" xr:uid="{C6B22499-2982-4124-9912-518D83CF0751}"/>
    <cellStyle name="40% - Accent3 2 7 3" xfId="21874" xr:uid="{00000000-0005-0000-0000-00002D3B0000}"/>
    <cellStyle name="40% - Accent3 2 7 3 2" xfId="45706" xr:uid="{8AB73E0B-81DF-4A5E-9FFB-844E87D697AB}"/>
    <cellStyle name="40% - Accent3 2 7 4" xfId="29828" xr:uid="{018A2D26-A64E-4C75-9232-D14066022254}"/>
    <cellStyle name="40% - Accent3 2 8" xfId="9495" xr:uid="{00000000-0005-0000-0000-00002E3B0000}"/>
    <cellStyle name="40% - Accent3 2 8 2" xfId="17453" xr:uid="{00000000-0005-0000-0000-00002F3B0000}"/>
    <cellStyle name="40% - Accent3 2 8 2 2" xfId="41293" xr:uid="{8FFF155C-0DA3-4EB7-90CD-EE157A95907C}"/>
    <cellStyle name="40% - Accent3 2 8 3" xfId="25397" xr:uid="{00000000-0005-0000-0000-0000303B0000}"/>
    <cellStyle name="40% - Accent3 2 8 3 2" xfId="49229" xr:uid="{01AC0852-4F72-4A1A-93DF-21A2BCC9B57E}"/>
    <cellStyle name="40% - Accent3 2 8 4" xfId="33352" xr:uid="{ADB43071-9C41-44C9-ACF2-4BD8F6500B8E}"/>
    <cellStyle name="40% - Accent3 2 9" xfId="10391" xr:uid="{00000000-0005-0000-0000-0000313B0000}"/>
    <cellStyle name="40% - Accent3 2 9 2" xfId="34240" xr:uid="{B4ECEE46-6D4F-4D1E-9A3A-199C697FF548}"/>
    <cellStyle name="40% - Accent3 2_Exh G" xfId="2966" xr:uid="{00000000-0005-0000-0000-0000323B0000}"/>
    <cellStyle name="40% - Accent3 3" xfId="453" xr:uid="{00000000-0005-0000-0000-0000333B0000}"/>
    <cellStyle name="40% - Accent3 3 10" xfId="18350" xr:uid="{00000000-0005-0000-0000-0000343B0000}"/>
    <cellStyle name="40% - Accent3 3 10 2" xfId="42182" xr:uid="{76782FC0-6D58-400C-A461-77C7EC129723}"/>
    <cellStyle name="40% - Accent3 3 11" xfId="26302" xr:uid="{EB9C26F5-AB3D-48F1-A549-28260D74122A}"/>
    <cellStyle name="40% - Accent3 3 12" xfId="49759" xr:uid="{7446BB79-9E0C-4567-BAFA-59C504C43327}"/>
    <cellStyle name="40% - Accent3 3 13" xfId="49813" xr:uid="{191CA0B3-1FFC-48F8-AFE1-7779E4E20301}"/>
    <cellStyle name="40% - Accent3 3 2" xfId="454" xr:uid="{00000000-0005-0000-0000-0000353B0000}"/>
    <cellStyle name="40% - Accent3 3 2 10" xfId="26303" xr:uid="{06F7914C-B3E8-4A93-A1AB-866D146EA7FD}"/>
    <cellStyle name="40% - Accent3 3 2 2" xfId="455" xr:uid="{00000000-0005-0000-0000-0000363B0000}"/>
    <cellStyle name="40% - Accent3 3 2 2 2" xfId="1481" xr:uid="{00000000-0005-0000-0000-0000373B0000}"/>
    <cellStyle name="40% - Accent3 3 2 2 2 2" xfId="5008" xr:uid="{00000000-0005-0000-0000-0000383B0000}"/>
    <cellStyle name="40% - Accent3 3 2 2 2 2 2" xfId="8599" xr:uid="{00000000-0005-0000-0000-0000393B0000}"/>
    <cellStyle name="40% - Accent3 3 2 2 2 2 2 2" xfId="16569" xr:uid="{00000000-0005-0000-0000-00003A3B0000}"/>
    <cellStyle name="40% - Accent3 3 2 2 2 2 2 2 2" xfId="40411" xr:uid="{D9E7A983-BD3C-4FA1-8B48-5E15B26BC213}"/>
    <cellStyle name="40% - Accent3 3 2 2 2 2 2 3" xfId="24515" xr:uid="{00000000-0005-0000-0000-00003B3B0000}"/>
    <cellStyle name="40% - Accent3 3 2 2 2 2 2 3 2" xfId="48347" xr:uid="{839C345C-0750-4A79-B39F-F7B1C3F11EF5}"/>
    <cellStyle name="40% - Accent3 3 2 2 2 2 2 4" xfId="32470" xr:uid="{073D5A66-EEDF-49F1-9F39-BB355A0B76C1}"/>
    <cellStyle name="40% - Accent3 3 2 2 2 2 3" xfId="13031" xr:uid="{00000000-0005-0000-0000-00003C3B0000}"/>
    <cellStyle name="40% - Accent3 3 2 2 2 2 3 2" xfId="36880" xr:uid="{487C2EF1-172D-4138-8E11-00C612DBE957}"/>
    <cellStyle name="40% - Accent3 3 2 2 2 2 4" xfId="20986" xr:uid="{00000000-0005-0000-0000-00003D3B0000}"/>
    <cellStyle name="40% - Accent3 3 2 2 2 2 4 2" xfId="44818" xr:uid="{1DA06137-6C21-41DB-AF47-3074F6F3AC64}"/>
    <cellStyle name="40% - Accent3 3 2 2 2 2 5" xfId="28939" xr:uid="{004A9B8E-36D2-4993-B8C6-68F2598B73BF}"/>
    <cellStyle name="40% - Accent3 3 2 2 2 3" xfId="6840" xr:uid="{00000000-0005-0000-0000-00003E3B0000}"/>
    <cellStyle name="40% - Accent3 3 2 2 2 3 2" xfId="14811" xr:uid="{00000000-0005-0000-0000-00003F3B0000}"/>
    <cellStyle name="40% - Accent3 3 2 2 2 3 2 2" xfId="38653" xr:uid="{3E978F25-E615-44FF-90C7-06626E55219A}"/>
    <cellStyle name="40% - Accent3 3 2 2 2 3 3" xfId="22758" xr:uid="{00000000-0005-0000-0000-0000403B0000}"/>
    <cellStyle name="40% - Accent3 3 2 2 2 3 3 2" xfId="46590" xr:uid="{7F382D89-21FD-4DA3-83B6-F42A62669F48}"/>
    <cellStyle name="40% - Accent3 3 2 2 2 3 4" xfId="30712" xr:uid="{D631E6D0-33D9-460F-93D3-075CB0E428BA}"/>
    <cellStyle name="40% - Accent3 3 2 2 2 4" xfId="11275" xr:uid="{00000000-0005-0000-0000-0000413B0000}"/>
    <cellStyle name="40% - Accent3 3 2 2 2 4 2" xfId="35124" xr:uid="{AE514DF9-C1D0-44E7-A42D-36D4084793FC}"/>
    <cellStyle name="40% - Accent3 3 2 2 2 5" xfId="19230" xr:uid="{00000000-0005-0000-0000-0000423B0000}"/>
    <cellStyle name="40% - Accent3 3 2 2 2 5 2" xfId="43062" xr:uid="{7C952DF1-2536-479C-9A8A-3DFA15F204ED}"/>
    <cellStyle name="40% - Accent3 3 2 2 2 6" xfId="27182" xr:uid="{626101AF-59D6-42DF-834C-2650427DBE92}"/>
    <cellStyle name="40% - Accent3 3 2 2 2_Exh G" xfId="2981" xr:uid="{00000000-0005-0000-0000-0000433B0000}"/>
    <cellStyle name="40% - Accent3 3 2 2 3" xfId="4129" xr:uid="{00000000-0005-0000-0000-0000443B0000}"/>
    <cellStyle name="40% - Accent3 3 2 2 3 2" xfId="7721" xr:uid="{00000000-0005-0000-0000-0000453B0000}"/>
    <cellStyle name="40% - Accent3 3 2 2 3 2 2" xfId="15691" xr:uid="{00000000-0005-0000-0000-0000463B0000}"/>
    <cellStyle name="40% - Accent3 3 2 2 3 2 2 2" xfId="39533" xr:uid="{84A0D468-160F-4E05-936D-CE551F893D34}"/>
    <cellStyle name="40% - Accent3 3 2 2 3 2 3" xfId="23637" xr:uid="{00000000-0005-0000-0000-0000473B0000}"/>
    <cellStyle name="40% - Accent3 3 2 2 3 2 3 2" xfId="47469" xr:uid="{86ADDA67-CCCD-40AA-B5B8-555C3CFCAB26}"/>
    <cellStyle name="40% - Accent3 3 2 2 3 2 4" xfId="31592" xr:uid="{0C84D277-8FA7-4E16-9FEB-C3F15CC99024}"/>
    <cellStyle name="40% - Accent3 3 2 2 3 3" xfId="12153" xr:uid="{00000000-0005-0000-0000-0000483B0000}"/>
    <cellStyle name="40% - Accent3 3 2 2 3 3 2" xfId="36002" xr:uid="{7628E47E-F40D-457C-9A3A-9124A256EACF}"/>
    <cellStyle name="40% - Accent3 3 2 2 3 4" xfId="20108" xr:uid="{00000000-0005-0000-0000-0000493B0000}"/>
    <cellStyle name="40% - Accent3 3 2 2 3 4 2" xfId="43940" xr:uid="{B4839902-F491-44F2-856E-638DE74EBFB2}"/>
    <cellStyle name="40% - Accent3 3 2 2 3 5" xfId="28061" xr:uid="{B2E8A612-BE09-4090-BC19-5F46DACE5053}"/>
    <cellStyle name="40% - Accent3 3 2 2 4" xfId="5949" xr:uid="{00000000-0005-0000-0000-00004A3B0000}"/>
    <cellStyle name="40% - Accent3 3 2 2 4 2" xfId="13932" xr:uid="{00000000-0005-0000-0000-00004B3B0000}"/>
    <cellStyle name="40% - Accent3 3 2 2 4 2 2" xfId="37775" xr:uid="{6B7E1266-3A75-4916-B130-AEFCCA3882C7}"/>
    <cellStyle name="40% - Accent3 3 2 2 4 3" xfId="21880" xr:uid="{00000000-0005-0000-0000-00004C3B0000}"/>
    <cellStyle name="40% - Accent3 3 2 2 4 3 2" xfId="45712" xr:uid="{5011BA67-89FF-49F0-A3F8-931DC17A7894}"/>
    <cellStyle name="40% - Accent3 3 2 2 4 4" xfId="29834" xr:uid="{B59A09F8-3D27-4064-A6EF-88E25C0103FE}"/>
    <cellStyle name="40% - Accent3 3 2 2 5" xfId="9501" xr:uid="{00000000-0005-0000-0000-00004D3B0000}"/>
    <cellStyle name="40% - Accent3 3 2 2 5 2" xfId="17459" xr:uid="{00000000-0005-0000-0000-00004E3B0000}"/>
    <cellStyle name="40% - Accent3 3 2 2 5 2 2" xfId="41299" xr:uid="{2EAF76A6-46EB-47EF-9DEA-6B68928386F5}"/>
    <cellStyle name="40% - Accent3 3 2 2 5 3" xfId="25403" xr:uid="{00000000-0005-0000-0000-00004F3B0000}"/>
    <cellStyle name="40% - Accent3 3 2 2 5 3 2" xfId="49235" xr:uid="{F487FAE6-1774-4C64-B00D-60A1201FA1C6}"/>
    <cellStyle name="40% - Accent3 3 2 2 5 4" xfId="33358" xr:uid="{839B9AFB-C342-4689-AC96-3DD3187929E7}"/>
    <cellStyle name="40% - Accent3 3 2 2 6" xfId="10397" xr:uid="{00000000-0005-0000-0000-0000503B0000}"/>
    <cellStyle name="40% - Accent3 3 2 2 6 2" xfId="34246" xr:uid="{22F027A1-4A90-488B-8B21-25AD5ABFD1AE}"/>
    <cellStyle name="40% - Accent3 3 2 2 7" xfId="18352" xr:uid="{00000000-0005-0000-0000-0000513B0000}"/>
    <cellStyle name="40% - Accent3 3 2 2 7 2" xfId="42184" xr:uid="{63C9A03B-18A5-4C8B-B0AC-B03A44881A02}"/>
    <cellStyle name="40% - Accent3 3 2 2 8" xfId="26304" xr:uid="{CD41015F-5951-4A35-8B0C-96030AE89261}"/>
    <cellStyle name="40% - Accent3 3 2 2_Exh G" xfId="2980" xr:uid="{00000000-0005-0000-0000-0000523B0000}"/>
    <cellStyle name="40% - Accent3 3 2 3" xfId="959" xr:uid="{00000000-0005-0000-0000-0000533B0000}"/>
    <cellStyle name="40% - Accent3 3 2 3 2" xfId="1875" xr:uid="{00000000-0005-0000-0000-0000543B0000}"/>
    <cellStyle name="40% - Accent3 3 2 3 2 2" xfId="5392" xr:uid="{00000000-0005-0000-0000-0000553B0000}"/>
    <cellStyle name="40% - Accent3 3 2 3 2 2 2" xfId="8983" xr:uid="{00000000-0005-0000-0000-0000563B0000}"/>
    <cellStyle name="40% - Accent3 3 2 3 2 2 2 2" xfId="16953" xr:uid="{00000000-0005-0000-0000-0000573B0000}"/>
    <cellStyle name="40% - Accent3 3 2 3 2 2 2 2 2" xfId="40795" xr:uid="{6F380E3F-E6D8-4284-9611-E3D8FA791256}"/>
    <cellStyle name="40% - Accent3 3 2 3 2 2 2 3" xfId="24899" xr:uid="{00000000-0005-0000-0000-0000583B0000}"/>
    <cellStyle name="40% - Accent3 3 2 3 2 2 2 3 2" xfId="48731" xr:uid="{6B67801E-7D49-426B-B3D2-B854F63BFACB}"/>
    <cellStyle name="40% - Accent3 3 2 3 2 2 2 4" xfId="32854" xr:uid="{F5E4BF59-CD68-4EAA-84CC-1266690DC811}"/>
    <cellStyle name="40% - Accent3 3 2 3 2 2 3" xfId="13415" xr:uid="{00000000-0005-0000-0000-0000593B0000}"/>
    <cellStyle name="40% - Accent3 3 2 3 2 2 3 2" xfId="37264" xr:uid="{63537172-7B3B-419E-B9DD-DFBB5DBFE290}"/>
    <cellStyle name="40% - Accent3 3 2 3 2 2 4" xfId="21370" xr:uid="{00000000-0005-0000-0000-00005A3B0000}"/>
    <cellStyle name="40% - Accent3 3 2 3 2 2 4 2" xfId="45202" xr:uid="{F3A27F72-8B0A-4B96-A44B-9512AA05893A}"/>
    <cellStyle name="40% - Accent3 3 2 3 2 2 5" xfId="29323" xr:uid="{E91D1BB2-9DA8-4101-A361-9EE1B480028B}"/>
    <cellStyle name="40% - Accent3 3 2 3 2 3" xfId="7224" xr:uid="{00000000-0005-0000-0000-00005B3B0000}"/>
    <cellStyle name="40% - Accent3 3 2 3 2 3 2" xfId="15195" xr:uid="{00000000-0005-0000-0000-00005C3B0000}"/>
    <cellStyle name="40% - Accent3 3 2 3 2 3 2 2" xfId="39037" xr:uid="{B31E3339-C23F-4CC7-B26B-2FD18CDE2DD5}"/>
    <cellStyle name="40% - Accent3 3 2 3 2 3 3" xfId="23142" xr:uid="{00000000-0005-0000-0000-00005D3B0000}"/>
    <cellStyle name="40% - Accent3 3 2 3 2 3 3 2" xfId="46974" xr:uid="{6F6E08AF-B743-4655-9DE0-76AE54FB9857}"/>
    <cellStyle name="40% - Accent3 3 2 3 2 3 4" xfId="31096" xr:uid="{DE764B47-A2C7-4863-9547-2B47B6C3A2F3}"/>
    <cellStyle name="40% - Accent3 3 2 3 2 4" xfId="11659" xr:uid="{00000000-0005-0000-0000-00005E3B0000}"/>
    <cellStyle name="40% - Accent3 3 2 3 2 4 2" xfId="35508" xr:uid="{78E539A7-A5BF-4336-A8FA-DEA12BBCBA88}"/>
    <cellStyle name="40% - Accent3 3 2 3 2 5" xfId="19614" xr:uid="{00000000-0005-0000-0000-00005F3B0000}"/>
    <cellStyle name="40% - Accent3 3 2 3 2 5 2" xfId="43446" xr:uid="{F2B62EB8-6CA8-4CB6-B94D-F468505F9659}"/>
    <cellStyle name="40% - Accent3 3 2 3 2 6" xfId="27566" xr:uid="{F320FC5E-D558-40CD-85E2-A45F8517C28D}"/>
    <cellStyle name="40% - Accent3 3 2 3 2_Exh G" xfId="2983" xr:uid="{00000000-0005-0000-0000-0000603B0000}"/>
    <cellStyle name="40% - Accent3 3 2 3 3" xfId="4513" xr:uid="{00000000-0005-0000-0000-0000613B0000}"/>
    <cellStyle name="40% - Accent3 3 2 3 3 2" xfId="8105" xr:uid="{00000000-0005-0000-0000-0000623B0000}"/>
    <cellStyle name="40% - Accent3 3 2 3 3 2 2" xfId="16075" xr:uid="{00000000-0005-0000-0000-0000633B0000}"/>
    <cellStyle name="40% - Accent3 3 2 3 3 2 2 2" xfId="39917" xr:uid="{A0F97006-295B-497B-BEE6-6FCF1AA097CD}"/>
    <cellStyle name="40% - Accent3 3 2 3 3 2 3" xfId="24021" xr:uid="{00000000-0005-0000-0000-0000643B0000}"/>
    <cellStyle name="40% - Accent3 3 2 3 3 2 3 2" xfId="47853" xr:uid="{71F2C21E-209D-458E-9C5A-C9E30AE6384A}"/>
    <cellStyle name="40% - Accent3 3 2 3 3 2 4" xfId="31976" xr:uid="{C62B9EFB-A129-4E42-8642-3D752258CE1A}"/>
    <cellStyle name="40% - Accent3 3 2 3 3 3" xfId="12537" xr:uid="{00000000-0005-0000-0000-0000653B0000}"/>
    <cellStyle name="40% - Accent3 3 2 3 3 3 2" xfId="36386" xr:uid="{5BBD6C02-0A91-4ACA-A428-D09D142082C3}"/>
    <cellStyle name="40% - Accent3 3 2 3 3 4" xfId="20492" xr:uid="{00000000-0005-0000-0000-0000663B0000}"/>
    <cellStyle name="40% - Accent3 3 2 3 3 4 2" xfId="44324" xr:uid="{A4FB1464-46DA-4F10-BB66-C14A7F3B9B46}"/>
    <cellStyle name="40% - Accent3 3 2 3 3 5" xfId="28445" xr:uid="{95BBA315-6EE2-448D-8886-AEE82D05C998}"/>
    <cellStyle name="40% - Accent3 3 2 3 4" xfId="6343" xr:uid="{00000000-0005-0000-0000-0000673B0000}"/>
    <cellStyle name="40% - Accent3 3 2 3 4 2" xfId="14317" xr:uid="{00000000-0005-0000-0000-0000683B0000}"/>
    <cellStyle name="40% - Accent3 3 2 3 4 2 2" xfId="38159" xr:uid="{6AD8B34B-FEBC-47EE-8C09-DA1A34876EE7}"/>
    <cellStyle name="40% - Accent3 3 2 3 4 3" xfId="22264" xr:uid="{00000000-0005-0000-0000-0000693B0000}"/>
    <cellStyle name="40% - Accent3 3 2 3 4 3 2" xfId="46096" xr:uid="{D518E899-EFBC-412A-B3A2-FD32A7374E03}"/>
    <cellStyle name="40% - Accent3 3 2 3 4 4" xfId="30218" xr:uid="{2AB41DE4-06CF-4F35-BA08-B98D46D136E9}"/>
    <cellStyle name="40% - Accent3 3 2 3 5" xfId="9885" xr:uid="{00000000-0005-0000-0000-00006A3B0000}"/>
    <cellStyle name="40% - Accent3 3 2 3 5 2" xfId="17843" xr:uid="{00000000-0005-0000-0000-00006B3B0000}"/>
    <cellStyle name="40% - Accent3 3 2 3 5 2 2" xfId="41683" xr:uid="{CDCAF48D-8961-4FA4-A794-FB52833FB6AA}"/>
    <cellStyle name="40% - Accent3 3 2 3 5 3" xfId="25787" xr:uid="{00000000-0005-0000-0000-00006C3B0000}"/>
    <cellStyle name="40% - Accent3 3 2 3 5 3 2" xfId="49619" xr:uid="{FC8AE2FB-33AB-4B64-A003-5CB230C93D12}"/>
    <cellStyle name="40% - Accent3 3 2 3 5 4" xfId="33742" xr:uid="{76640F3E-DB53-4D01-8071-C9E76D759574}"/>
    <cellStyle name="40% - Accent3 3 2 3 6" xfId="10781" xr:uid="{00000000-0005-0000-0000-00006D3B0000}"/>
    <cellStyle name="40% - Accent3 3 2 3 6 2" xfId="34630" xr:uid="{DF36EB2F-C3E5-4E0C-B264-DDE5120536D2}"/>
    <cellStyle name="40% - Accent3 3 2 3 7" xfId="18736" xr:uid="{00000000-0005-0000-0000-00006E3B0000}"/>
    <cellStyle name="40% - Accent3 3 2 3 7 2" xfId="42568" xr:uid="{F279F749-654C-4431-B07B-CA5A5ACD81EB}"/>
    <cellStyle name="40% - Accent3 3 2 3 8" xfId="26688" xr:uid="{BCB746EB-42B3-4743-9335-F675DFE4727A}"/>
    <cellStyle name="40% - Accent3 3 2 3_Exh G" xfId="2982" xr:uid="{00000000-0005-0000-0000-00006F3B0000}"/>
    <cellStyle name="40% - Accent3 3 2 4" xfId="1480" xr:uid="{00000000-0005-0000-0000-0000703B0000}"/>
    <cellStyle name="40% - Accent3 3 2 4 2" xfId="5007" xr:uid="{00000000-0005-0000-0000-0000713B0000}"/>
    <cellStyle name="40% - Accent3 3 2 4 2 2" xfId="8598" xr:uid="{00000000-0005-0000-0000-0000723B0000}"/>
    <cellStyle name="40% - Accent3 3 2 4 2 2 2" xfId="16568" xr:uid="{00000000-0005-0000-0000-0000733B0000}"/>
    <cellStyle name="40% - Accent3 3 2 4 2 2 2 2" xfId="40410" xr:uid="{0DDE16E6-3346-457E-9B51-8415F50CEA31}"/>
    <cellStyle name="40% - Accent3 3 2 4 2 2 3" xfId="24514" xr:uid="{00000000-0005-0000-0000-0000743B0000}"/>
    <cellStyle name="40% - Accent3 3 2 4 2 2 3 2" xfId="48346" xr:uid="{27055CCD-5787-4F55-885F-39F94AB5F851}"/>
    <cellStyle name="40% - Accent3 3 2 4 2 2 4" xfId="32469" xr:uid="{29D29361-02FA-4ABC-88ED-D00736CE9662}"/>
    <cellStyle name="40% - Accent3 3 2 4 2 3" xfId="13030" xr:uid="{00000000-0005-0000-0000-0000753B0000}"/>
    <cellStyle name="40% - Accent3 3 2 4 2 3 2" xfId="36879" xr:uid="{B86E2F83-DAB0-49C8-805C-2BB112EFE145}"/>
    <cellStyle name="40% - Accent3 3 2 4 2 4" xfId="20985" xr:uid="{00000000-0005-0000-0000-0000763B0000}"/>
    <cellStyle name="40% - Accent3 3 2 4 2 4 2" xfId="44817" xr:uid="{10AB7ED2-046F-4342-BC7B-3A739918AD97}"/>
    <cellStyle name="40% - Accent3 3 2 4 2 5" xfId="28938" xr:uid="{CBF1B3EC-ADA1-4668-A9EF-77282709565B}"/>
    <cellStyle name="40% - Accent3 3 2 4 3" xfId="6839" xr:uid="{00000000-0005-0000-0000-0000773B0000}"/>
    <cellStyle name="40% - Accent3 3 2 4 3 2" xfId="14810" xr:uid="{00000000-0005-0000-0000-0000783B0000}"/>
    <cellStyle name="40% - Accent3 3 2 4 3 2 2" xfId="38652" xr:uid="{A002337F-754F-464C-926A-C3AE494996BB}"/>
    <cellStyle name="40% - Accent3 3 2 4 3 3" xfId="22757" xr:uid="{00000000-0005-0000-0000-0000793B0000}"/>
    <cellStyle name="40% - Accent3 3 2 4 3 3 2" xfId="46589" xr:uid="{6253F0E3-790D-42E4-904D-B091E37674B2}"/>
    <cellStyle name="40% - Accent3 3 2 4 3 4" xfId="30711" xr:uid="{5BFCA7C3-44B1-4DFB-B0F3-0630B8897970}"/>
    <cellStyle name="40% - Accent3 3 2 4 4" xfId="11274" xr:uid="{00000000-0005-0000-0000-00007A3B0000}"/>
    <cellStyle name="40% - Accent3 3 2 4 4 2" xfId="35123" xr:uid="{3B91EBB8-D635-417E-9833-7B7D61D54B7A}"/>
    <cellStyle name="40% - Accent3 3 2 4 5" xfId="19229" xr:uid="{00000000-0005-0000-0000-00007B3B0000}"/>
    <cellStyle name="40% - Accent3 3 2 4 5 2" xfId="43061" xr:uid="{08BD0968-8DD9-4B10-9445-8DC309242A85}"/>
    <cellStyle name="40% - Accent3 3 2 4 6" xfId="27181" xr:uid="{826B32C5-163E-4E4F-BAFD-59C139F0CF73}"/>
    <cellStyle name="40% - Accent3 3 2 4_Exh G" xfId="2984" xr:uid="{00000000-0005-0000-0000-00007C3B0000}"/>
    <cellStyle name="40% - Accent3 3 2 5" xfId="4128" xr:uid="{00000000-0005-0000-0000-00007D3B0000}"/>
    <cellStyle name="40% - Accent3 3 2 5 2" xfId="7720" xr:uid="{00000000-0005-0000-0000-00007E3B0000}"/>
    <cellStyle name="40% - Accent3 3 2 5 2 2" xfId="15690" xr:uid="{00000000-0005-0000-0000-00007F3B0000}"/>
    <cellStyle name="40% - Accent3 3 2 5 2 2 2" xfId="39532" xr:uid="{C6711E10-B90C-4CDC-8E85-8740C6665A74}"/>
    <cellStyle name="40% - Accent3 3 2 5 2 3" xfId="23636" xr:uid="{00000000-0005-0000-0000-0000803B0000}"/>
    <cellStyle name="40% - Accent3 3 2 5 2 3 2" xfId="47468" xr:uid="{A798EFFE-B870-42FC-8AA0-3FB708D35CFA}"/>
    <cellStyle name="40% - Accent3 3 2 5 2 4" xfId="31591" xr:uid="{F3741833-1E1F-4BC5-84C9-0D1224A9590F}"/>
    <cellStyle name="40% - Accent3 3 2 5 3" xfId="12152" xr:uid="{00000000-0005-0000-0000-0000813B0000}"/>
    <cellStyle name="40% - Accent3 3 2 5 3 2" xfId="36001" xr:uid="{A4DA86A3-0616-41D7-B6DC-031AF5CACFEF}"/>
    <cellStyle name="40% - Accent3 3 2 5 4" xfId="20107" xr:uid="{00000000-0005-0000-0000-0000823B0000}"/>
    <cellStyle name="40% - Accent3 3 2 5 4 2" xfId="43939" xr:uid="{068A72F3-F304-45DD-B3DE-D3DDC7EE0198}"/>
    <cellStyle name="40% - Accent3 3 2 5 5" xfId="28060" xr:uid="{88524D3B-5D01-4253-ADC0-111FEE2F89AD}"/>
    <cellStyle name="40% - Accent3 3 2 6" xfId="5948" xr:uid="{00000000-0005-0000-0000-0000833B0000}"/>
    <cellStyle name="40% - Accent3 3 2 6 2" xfId="13931" xr:uid="{00000000-0005-0000-0000-0000843B0000}"/>
    <cellStyle name="40% - Accent3 3 2 6 2 2" xfId="37774" xr:uid="{59D705BF-1E67-4C49-AB27-2A2A215787A0}"/>
    <cellStyle name="40% - Accent3 3 2 6 3" xfId="21879" xr:uid="{00000000-0005-0000-0000-0000853B0000}"/>
    <cellStyle name="40% - Accent3 3 2 6 3 2" xfId="45711" xr:uid="{EADAE8E8-CD8F-4B71-A192-5E71F2CE0458}"/>
    <cellStyle name="40% - Accent3 3 2 6 4" xfId="29833" xr:uid="{68128860-175F-4095-B097-6BBAA7EFCDEE}"/>
    <cellStyle name="40% - Accent3 3 2 7" xfId="9500" xr:uid="{00000000-0005-0000-0000-0000863B0000}"/>
    <cellStyle name="40% - Accent3 3 2 7 2" xfId="17458" xr:uid="{00000000-0005-0000-0000-0000873B0000}"/>
    <cellStyle name="40% - Accent3 3 2 7 2 2" xfId="41298" xr:uid="{BBDAB23D-DF40-4F58-8811-7F471AFABE1A}"/>
    <cellStyle name="40% - Accent3 3 2 7 3" xfId="25402" xr:uid="{00000000-0005-0000-0000-0000883B0000}"/>
    <cellStyle name="40% - Accent3 3 2 7 3 2" xfId="49234" xr:uid="{C2D95293-7060-46A1-9583-CA481986BA04}"/>
    <cellStyle name="40% - Accent3 3 2 7 4" xfId="33357" xr:uid="{7B123CDB-FA9B-4447-94C4-105C939423A6}"/>
    <cellStyle name="40% - Accent3 3 2 8" xfId="10396" xr:uid="{00000000-0005-0000-0000-0000893B0000}"/>
    <cellStyle name="40% - Accent3 3 2 8 2" xfId="34245" xr:uid="{BB6BEF35-ABDE-432B-B294-62B4107EFC97}"/>
    <cellStyle name="40% - Accent3 3 2 9" xfId="18351" xr:uid="{00000000-0005-0000-0000-00008A3B0000}"/>
    <cellStyle name="40% - Accent3 3 2 9 2" xfId="42183" xr:uid="{AE3E50D4-2DE8-4304-AB59-01076EB2C4CF}"/>
    <cellStyle name="40% - Accent3 3 2_Exh G" xfId="2979" xr:uid="{00000000-0005-0000-0000-00008B3B0000}"/>
    <cellStyle name="40% - Accent3 3 3" xfId="456" xr:uid="{00000000-0005-0000-0000-00008C3B0000}"/>
    <cellStyle name="40% - Accent3 3 3 2" xfId="1482" xr:uid="{00000000-0005-0000-0000-00008D3B0000}"/>
    <cellStyle name="40% - Accent3 3 3 2 2" xfId="5009" xr:uid="{00000000-0005-0000-0000-00008E3B0000}"/>
    <cellStyle name="40% - Accent3 3 3 2 2 2" xfId="8600" xr:uid="{00000000-0005-0000-0000-00008F3B0000}"/>
    <cellStyle name="40% - Accent3 3 3 2 2 2 2" xfId="16570" xr:uid="{00000000-0005-0000-0000-0000903B0000}"/>
    <cellStyle name="40% - Accent3 3 3 2 2 2 2 2" xfId="40412" xr:uid="{AA88391D-D730-4242-AAE0-405EE0046EA4}"/>
    <cellStyle name="40% - Accent3 3 3 2 2 2 3" xfId="24516" xr:uid="{00000000-0005-0000-0000-0000913B0000}"/>
    <cellStyle name="40% - Accent3 3 3 2 2 2 3 2" xfId="48348" xr:uid="{FE2D7D60-7F51-4A13-8778-00B979703303}"/>
    <cellStyle name="40% - Accent3 3 3 2 2 2 4" xfId="32471" xr:uid="{0701189F-9DE7-4D2A-B33C-276BF0701466}"/>
    <cellStyle name="40% - Accent3 3 3 2 2 3" xfId="13032" xr:uid="{00000000-0005-0000-0000-0000923B0000}"/>
    <cellStyle name="40% - Accent3 3 3 2 2 3 2" xfId="36881" xr:uid="{D1ABF8BF-4A15-4683-AF92-8B9AB082B25D}"/>
    <cellStyle name="40% - Accent3 3 3 2 2 4" xfId="20987" xr:uid="{00000000-0005-0000-0000-0000933B0000}"/>
    <cellStyle name="40% - Accent3 3 3 2 2 4 2" xfId="44819" xr:uid="{334B0BDA-1722-4831-8912-985B39E63F7F}"/>
    <cellStyle name="40% - Accent3 3 3 2 2 5" xfId="28940" xr:uid="{CABB2B7F-F4A8-46EF-B010-8EF0E2E5F78B}"/>
    <cellStyle name="40% - Accent3 3 3 2 3" xfId="6841" xr:uid="{00000000-0005-0000-0000-0000943B0000}"/>
    <cellStyle name="40% - Accent3 3 3 2 3 2" xfId="14812" xr:uid="{00000000-0005-0000-0000-0000953B0000}"/>
    <cellStyle name="40% - Accent3 3 3 2 3 2 2" xfId="38654" xr:uid="{8F816D79-85AC-4148-B333-4E977D821B89}"/>
    <cellStyle name="40% - Accent3 3 3 2 3 3" xfId="22759" xr:uid="{00000000-0005-0000-0000-0000963B0000}"/>
    <cellStyle name="40% - Accent3 3 3 2 3 3 2" xfId="46591" xr:uid="{74EA3B2F-3160-40D2-A413-A768F85D475E}"/>
    <cellStyle name="40% - Accent3 3 3 2 3 4" xfId="30713" xr:uid="{5E5AF0C4-0406-4D94-9AEF-2B50825F0319}"/>
    <cellStyle name="40% - Accent3 3 3 2 4" xfId="11276" xr:uid="{00000000-0005-0000-0000-0000973B0000}"/>
    <cellStyle name="40% - Accent3 3 3 2 4 2" xfId="35125" xr:uid="{48473CF1-40AE-4EF3-8AA3-8B4D8D2616F2}"/>
    <cellStyle name="40% - Accent3 3 3 2 5" xfId="19231" xr:uid="{00000000-0005-0000-0000-0000983B0000}"/>
    <cellStyle name="40% - Accent3 3 3 2 5 2" xfId="43063" xr:uid="{0F61A014-978E-4447-9707-9F1CA329A420}"/>
    <cellStyle name="40% - Accent3 3 3 2 6" xfId="27183" xr:uid="{FD98292C-1EB6-4C5C-BACD-26D16A3C14FB}"/>
    <cellStyle name="40% - Accent3 3 3 2_Exh G" xfId="2986" xr:uid="{00000000-0005-0000-0000-0000993B0000}"/>
    <cellStyle name="40% - Accent3 3 3 3" xfId="4130" xr:uid="{00000000-0005-0000-0000-00009A3B0000}"/>
    <cellStyle name="40% - Accent3 3 3 3 2" xfId="7722" xr:uid="{00000000-0005-0000-0000-00009B3B0000}"/>
    <cellStyle name="40% - Accent3 3 3 3 2 2" xfId="15692" xr:uid="{00000000-0005-0000-0000-00009C3B0000}"/>
    <cellStyle name="40% - Accent3 3 3 3 2 2 2" xfId="39534" xr:uid="{3BEE2ED9-B625-4302-8BF1-4BC757468619}"/>
    <cellStyle name="40% - Accent3 3 3 3 2 3" xfId="23638" xr:uid="{00000000-0005-0000-0000-00009D3B0000}"/>
    <cellStyle name="40% - Accent3 3 3 3 2 3 2" xfId="47470" xr:uid="{5569FDEB-B5E5-415C-B49E-EDB84DAFD4F6}"/>
    <cellStyle name="40% - Accent3 3 3 3 2 4" xfId="31593" xr:uid="{E8314001-5398-4D05-AC0F-4A243D0BDAD2}"/>
    <cellStyle name="40% - Accent3 3 3 3 3" xfId="12154" xr:uid="{00000000-0005-0000-0000-00009E3B0000}"/>
    <cellStyle name="40% - Accent3 3 3 3 3 2" xfId="36003" xr:uid="{5A40E2A5-E7A4-4BD3-A58D-E14A8DFEF970}"/>
    <cellStyle name="40% - Accent3 3 3 3 4" xfId="20109" xr:uid="{00000000-0005-0000-0000-00009F3B0000}"/>
    <cellStyle name="40% - Accent3 3 3 3 4 2" xfId="43941" xr:uid="{F5589523-F8E2-4482-93D5-1C04B1C4679B}"/>
    <cellStyle name="40% - Accent3 3 3 3 5" xfId="28062" xr:uid="{DEA20FD8-9A1B-4A4E-A9C6-6B9CFAE70F8F}"/>
    <cellStyle name="40% - Accent3 3 3 4" xfId="5950" xr:uid="{00000000-0005-0000-0000-0000A03B0000}"/>
    <cellStyle name="40% - Accent3 3 3 4 2" xfId="13933" xr:uid="{00000000-0005-0000-0000-0000A13B0000}"/>
    <cellStyle name="40% - Accent3 3 3 4 2 2" xfId="37776" xr:uid="{4F0959FD-79EF-40EF-B854-F5B144F38F1D}"/>
    <cellStyle name="40% - Accent3 3 3 4 3" xfId="21881" xr:uid="{00000000-0005-0000-0000-0000A23B0000}"/>
    <cellStyle name="40% - Accent3 3 3 4 3 2" xfId="45713" xr:uid="{21F72C77-3167-4ABE-BB44-C810331A2D5A}"/>
    <cellStyle name="40% - Accent3 3 3 4 4" xfId="29835" xr:uid="{B4A30005-149F-481F-9C4E-CB4E84BFFE66}"/>
    <cellStyle name="40% - Accent3 3 3 5" xfId="9502" xr:uid="{00000000-0005-0000-0000-0000A33B0000}"/>
    <cellStyle name="40% - Accent3 3 3 5 2" xfId="17460" xr:uid="{00000000-0005-0000-0000-0000A43B0000}"/>
    <cellStyle name="40% - Accent3 3 3 5 2 2" xfId="41300" xr:uid="{A4357520-532E-4A41-9287-9D96E39D509C}"/>
    <cellStyle name="40% - Accent3 3 3 5 3" xfId="25404" xr:uid="{00000000-0005-0000-0000-0000A53B0000}"/>
    <cellStyle name="40% - Accent3 3 3 5 3 2" xfId="49236" xr:uid="{D556F0DD-8BE2-4A3C-805B-7D93F73AF0CC}"/>
    <cellStyle name="40% - Accent3 3 3 5 4" xfId="33359" xr:uid="{D238AC66-8903-48F0-9C5B-F890564CFD99}"/>
    <cellStyle name="40% - Accent3 3 3 6" xfId="10398" xr:uid="{00000000-0005-0000-0000-0000A63B0000}"/>
    <cellStyle name="40% - Accent3 3 3 6 2" xfId="34247" xr:uid="{3CCF2A73-F634-460B-9808-688A5F92611D}"/>
    <cellStyle name="40% - Accent3 3 3 7" xfId="18353" xr:uid="{00000000-0005-0000-0000-0000A73B0000}"/>
    <cellStyle name="40% - Accent3 3 3 7 2" xfId="42185" xr:uid="{B11B5BF5-DC36-437A-8866-1DD9786D1C73}"/>
    <cellStyle name="40% - Accent3 3 3 8" xfId="26305" xr:uid="{8F416CBB-4695-4393-B288-9F0F48E6F295}"/>
    <cellStyle name="40% - Accent3 3 3_Exh G" xfId="2985" xr:uid="{00000000-0005-0000-0000-0000A83B0000}"/>
    <cellStyle name="40% - Accent3 3 4" xfId="958" xr:uid="{00000000-0005-0000-0000-0000A93B0000}"/>
    <cellStyle name="40% - Accent3 3 4 2" xfId="1874" xr:uid="{00000000-0005-0000-0000-0000AA3B0000}"/>
    <cellStyle name="40% - Accent3 3 4 2 2" xfId="5391" xr:uid="{00000000-0005-0000-0000-0000AB3B0000}"/>
    <cellStyle name="40% - Accent3 3 4 2 2 2" xfId="8982" xr:uid="{00000000-0005-0000-0000-0000AC3B0000}"/>
    <cellStyle name="40% - Accent3 3 4 2 2 2 2" xfId="16952" xr:uid="{00000000-0005-0000-0000-0000AD3B0000}"/>
    <cellStyle name="40% - Accent3 3 4 2 2 2 2 2" xfId="40794" xr:uid="{C97B1BC9-7C4F-45BA-BD85-C78646AF7E1F}"/>
    <cellStyle name="40% - Accent3 3 4 2 2 2 3" xfId="24898" xr:uid="{00000000-0005-0000-0000-0000AE3B0000}"/>
    <cellStyle name="40% - Accent3 3 4 2 2 2 3 2" xfId="48730" xr:uid="{37183126-DEC1-4905-BD38-B08BA76F5EA9}"/>
    <cellStyle name="40% - Accent3 3 4 2 2 2 4" xfId="32853" xr:uid="{0DA5E6FF-40E2-4048-A602-386E4F91C3C7}"/>
    <cellStyle name="40% - Accent3 3 4 2 2 3" xfId="13414" xr:uid="{00000000-0005-0000-0000-0000AF3B0000}"/>
    <cellStyle name="40% - Accent3 3 4 2 2 3 2" xfId="37263" xr:uid="{320DF4A5-D4A5-48C8-84BA-D630A822A3BF}"/>
    <cellStyle name="40% - Accent3 3 4 2 2 4" xfId="21369" xr:uid="{00000000-0005-0000-0000-0000B03B0000}"/>
    <cellStyle name="40% - Accent3 3 4 2 2 4 2" xfId="45201" xr:uid="{936ABBF7-AAE7-44DC-AAC0-304DB7567AE4}"/>
    <cellStyle name="40% - Accent3 3 4 2 2 5" xfId="29322" xr:uid="{8E1A5E96-FE5C-4416-93CB-0D22BB2FAC81}"/>
    <cellStyle name="40% - Accent3 3 4 2 3" xfId="7223" xr:uid="{00000000-0005-0000-0000-0000B13B0000}"/>
    <cellStyle name="40% - Accent3 3 4 2 3 2" xfId="15194" xr:uid="{00000000-0005-0000-0000-0000B23B0000}"/>
    <cellStyle name="40% - Accent3 3 4 2 3 2 2" xfId="39036" xr:uid="{E9C9CAC5-5787-4C29-B896-F2C0579D147B}"/>
    <cellStyle name="40% - Accent3 3 4 2 3 3" xfId="23141" xr:uid="{00000000-0005-0000-0000-0000B33B0000}"/>
    <cellStyle name="40% - Accent3 3 4 2 3 3 2" xfId="46973" xr:uid="{364A0C4F-EC8F-4AB8-88B9-81E39F73F625}"/>
    <cellStyle name="40% - Accent3 3 4 2 3 4" xfId="31095" xr:uid="{1A270F91-8883-44BB-B015-E69A7282B89B}"/>
    <cellStyle name="40% - Accent3 3 4 2 4" xfId="11658" xr:uid="{00000000-0005-0000-0000-0000B43B0000}"/>
    <cellStyle name="40% - Accent3 3 4 2 4 2" xfId="35507" xr:uid="{BA83CB53-1224-4B65-9624-7253660989C4}"/>
    <cellStyle name="40% - Accent3 3 4 2 5" xfId="19613" xr:uid="{00000000-0005-0000-0000-0000B53B0000}"/>
    <cellStyle name="40% - Accent3 3 4 2 5 2" xfId="43445" xr:uid="{3B10C36B-E8D2-424E-B9D7-A48ECEFA2669}"/>
    <cellStyle name="40% - Accent3 3 4 2 6" xfId="27565" xr:uid="{5729DCFD-8202-40EC-BC60-935AFD76D9CC}"/>
    <cellStyle name="40% - Accent3 3 4 2_Exh G" xfId="2988" xr:uid="{00000000-0005-0000-0000-0000B63B0000}"/>
    <cellStyle name="40% - Accent3 3 4 3" xfId="4512" xr:uid="{00000000-0005-0000-0000-0000B73B0000}"/>
    <cellStyle name="40% - Accent3 3 4 3 2" xfId="8104" xr:uid="{00000000-0005-0000-0000-0000B83B0000}"/>
    <cellStyle name="40% - Accent3 3 4 3 2 2" xfId="16074" xr:uid="{00000000-0005-0000-0000-0000B93B0000}"/>
    <cellStyle name="40% - Accent3 3 4 3 2 2 2" xfId="39916" xr:uid="{5CA0A541-E01C-4A3D-9D0C-439764F75BFF}"/>
    <cellStyle name="40% - Accent3 3 4 3 2 3" xfId="24020" xr:uid="{00000000-0005-0000-0000-0000BA3B0000}"/>
    <cellStyle name="40% - Accent3 3 4 3 2 3 2" xfId="47852" xr:uid="{383143BD-3229-43A8-9B48-C1C3BE57B246}"/>
    <cellStyle name="40% - Accent3 3 4 3 2 4" xfId="31975" xr:uid="{FBBFB8E9-E015-4887-9D70-A2D9FB20FBE3}"/>
    <cellStyle name="40% - Accent3 3 4 3 3" xfId="12536" xr:uid="{00000000-0005-0000-0000-0000BB3B0000}"/>
    <cellStyle name="40% - Accent3 3 4 3 3 2" xfId="36385" xr:uid="{ECDEA087-F81E-4558-B904-AD67936BBD33}"/>
    <cellStyle name="40% - Accent3 3 4 3 4" xfId="20491" xr:uid="{00000000-0005-0000-0000-0000BC3B0000}"/>
    <cellStyle name="40% - Accent3 3 4 3 4 2" xfId="44323" xr:uid="{4E4D5020-D750-4FB0-873D-7FD16127B823}"/>
    <cellStyle name="40% - Accent3 3 4 3 5" xfId="28444" xr:uid="{C4589D11-9327-4291-8861-4D93BBEF1D7B}"/>
    <cellStyle name="40% - Accent3 3 4 4" xfId="6342" xr:uid="{00000000-0005-0000-0000-0000BD3B0000}"/>
    <cellStyle name="40% - Accent3 3 4 4 2" xfId="14316" xr:uid="{00000000-0005-0000-0000-0000BE3B0000}"/>
    <cellStyle name="40% - Accent3 3 4 4 2 2" xfId="38158" xr:uid="{596927FD-A313-4076-B136-D614BFA7B192}"/>
    <cellStyle name="40% - Accent3 3 4 4 3" xfId="22263" xr:uid="{00000000-0005-0000-0000-0000BF3B0000}"/>
    <cellStyle name="40% - Accent3 3 4 4 3 2" xfId="46095" xr:uid="{B54AA4B6-67A2-400D-9390-C8B2A1AFACB5}"/>
    <cellStyle name="40% - Accent3 3 4 4 4" xfId="30217" xr:uid="{56791E52-0637-4D21-9E12-8CEDEBB93A92}"/>
    <cellStyle name="40% - Accent3 3 4 5" xfId="9884" xr:uid="{00000000-0005-0000-0000-0000C03B0000}"/>
    <cellStyle name="40% - Accent3 3 4 5 2" xfId="17842" xr:uid="{00000000-0005-0000-0000-0000C13B0000}"/>
    <cellStyle name="40% - Accent3 3 4 5 2 2" xfId="41682" xr:uid="{A7945FC6-B804-4778-87AF-8457B1480B20}"/>
    <cellStyle name="40% - Accent3 3 4 5 3" xfId="25786" xr:uid="{00000000-0005-0000-0000-0000C23B0000}"/>
    <cellStyle name="40% - Accent3 3 4 5 3 2" xfId="49618" xr:uid="{54C5846E-A482-4700-B43B-5A32B239D247}"/>
    <cellStyle name="40% - Accent3 3 4 5 4" xfId="33741" xr:uid="{CE214B32-CF62-4157-905F-A2AF9DBA15F2}"/>
    <cellStyle name="40% - Accent3 3 4 6" xfId="10780" xr:uid="{00000000-0005-0000-0000-0000C33B0000}"/>
    <cellStyle name="40% - Accent3 3 4 6 2" xfId="34629" xr:uid="{015DE087-06ED-4CCD-847B-63EDAEE1BB90}"/>
    <cellStyle name="40% - Accent3 3 4 7" xfId="18735" xr:uid="{00000000-0005-0000-0000-0000C43B0000}"/>
    <cellStyle name="40% - Accent3 3 4 7 2" xfId="42567" xr:uid="{B9C82A08-10F5-497F-9025-910AB2CE673A}"/>
    <cellStyle name="40% - Accent3 3 4 8" xfId="26687" xr:uid="{600B7CD3-2EEF-4660-8BF4-E77E5ED88F68}"/>
    <cellStyle name="40% - Accent3 3 4_Exh G" xfId="2987" xr:uid="{00000000-0005-0000-0000-0000C53B0000}"/>
    <cellStyle name="40% - Accent3 3 5" xfId="1479" xr:uid="{00000000-0005-0000-0000-0000C63B0000}"/>
    <cellStyle name="40% - Accent3 3 5 2" xfId="5006" xr:uid="{00000000-0005-0000-0000-0000C73B0000}"/>
    <cellStyle name="40% - Accent3 3 5 2 2" xfId="8597" xr:uid="{00000000-0005-0000-0000-0000C83B0000}"/>
    <cellStyle name="40% - Accent3 3 5 2 2 2" xfId="16567" xr:uid="{00000000-0005-0000-0000-0000C93B0000}"/>
    <cellStyle name="40% - Accent3 3 5 2 2 2 2" xfId="40409" xr:uid="{31967456-25F6-4711-9D12-DD657D97F414}"/>
    <cellStyle name="40% - Accent3 3 5 2 2 3" xfId="24513" xr:uid="{00000000-0005-0000-0000-0000CA3B0000}"/>
    <cellStyle name="40% - Accent3 3 5 2 2 3 2" xfId="48345" xr:uid="{93C9A834-BC9B-41A4-9ED8-6C70FECB4125}"/>
    <cellStyle name="40% - Accent3 3 5 2 2 4" xfId="32468" xr:uid="{71378522-8F16-490E-A7BA-D0854746A0F8}"/>
    <cellStyle name="40% - Accent3 3 5 2 3" xfId="13029" xr:uid="{00000000-0005-0000-0000-0000CB3B0000}"/>
    <cellStyle name="40% - Accent3 3 5 2 3 2" xfId="36878" xr:uid="{5A76482F-BAAC-4A69-9DCD-9A7FCDCC5237}"/>
    <cellStyle name="40% - Accent3 3 5 2 4" xfId="20984" xr:uid="{00000000-0005-0000-0000-0000CC3B0000}"/>
    <cellStyle name="40% - Accent3 3 5 2 4 2" xfId="44816" xr:uid="{EA278EC2-8E4E-47C6-88D2-5C81677ED3F6}"/>
    <cellStyle name="40% - Accent3 3 5 2 5" xfId="28937" xr:uid="{C33815E7-05E7-4D6B-BA15-5D1AC28B3A15}"/>
    <cellStyle name="40% - Accent3 3 5 3" xfId="6838" xr:uid="{00000000-0005-0000-0000-0000CD3B0000}"/>
    <cellStyle name="40% - Accent3 3 5 3 2" xfId="14809" xr:uid="{00000000-0005-0000-0000-0000CE3B0000}"/>
    <cellStyle name="40% - Accent3 3 5 3 2 2" xfId="38651" xr:uid="{27AFF68E-519A-44EF-986B-62DA97460323}"/>
    <cellStyle name="40% - Accent3 3 5 3 3" xfId="22756" xr:uid="{00000000-0005-0000-0000-0000CF3B0000}"/>
    <cellStyle name="40% - Accent3 3 5 3 3 2" xfId="46588" xr:uid="{79D9C8AB-4C63-4F34-9096-8DADE750B433}"/>
    <cellStyle name="40% - Accent3 3 5 3 4" xfId="30710" xr:uid="{2A26CC64-FC19-4CD3-9B9B-9BD34E07B9B6}"/>
    <cellStyle name="40% - Accent3 3 5 4" xfId="11273" xr:uid="{00000000-0005-0000-0000-0000D03B0000}"/>
    <cellStyle name="40% - Accent3 3 5 4 2" xfId="35122" xr:uid="{E67CF18F-0B58-49F2-A3A7-D6AD43606C26}"/>
    <cellStyle name="40% - Accent3 3 5 5" xfId="19228" xr:uid="{00000000-0005-0000-0000-0000D13B0000}"/>
    <cellStyle name="40% - Accent3 3 5 5 2" xfId="43060" xr:uid="{3FDF5B71-232B-4B67-A6B2-14F7307768CB}"/>
    <cellStyle name="40% - Accent3 3 5 6" xfId="27180" xr:uid="{054767B9-12FF-4714-A707-E80D10476DA9}"/>
    <cellStyle name="40% - Accent3 3 5_Exh G" xfId="2989" xr:uid="{00000000-0005-0000-0000-0000D23B0000}"/>
    <cellStyle name="40% - Accent3 3 6" xfId="4127" xr:uid="{00000000-0005-0000-0000-0000D33B0000}"/>
    <cellStyle name="40% - Accent3 3 6 2" xfId="7719" xr:uid="{00000000-0005-0000-0000-0000D43B0000}"/>
    <cellStyle name="40% - Accent3 3 6 2 2" xfId="15689" xr:uid="{00000000-0005-0000-0000-0000D53B0000}"/>
    <cellStyle name="40% - Accent3 3 6 2 2 2" xfId="39531" xr:uid="{9D795F71-F8A0-4FB9-901F-51043D0324FA}"/>
    <cellStyle name="40% - Accent3 3 6 2 3" xfId="23635" xr:uid="{00000000-0005-0000-0000-0000D63B0000}"/>
    <cellStyle name="40% - Accent3 3 6 2 3 2" xfId="47467" xr:uid="{14C5437D-470D-4496-ADEB-55DF5B79BDE2}"/>
    <cellStyle name="40% - Accent3 3 6 2 4" xfId="31590" xr:uid="{F4020CBD-AB20-407D-96B3-762C81CA3D75}"/>
    <cellStyle name="40% - Accent3 3 6 3" xfId="12151" xr:uid="{00000000-0005-0000-0000-0000D73B0000}"/>
    <cellStyle name="40% - Accent3 3 6 3 2" xfId="36000" xr:uid="{96DF78E6-39B1-4D9B-BD74-4EE92F658373}"/>
    <cellStyle name="40% - Accent3 3 6 4" xfId="20106" xr:uid="{00000000-0005-0000-0000-0000D83B0000}"/>
    <cellStyle name="40% - Accent3 3 6 4 2" xfId="43938" xr:uid="{7B227922-3A36-4B6A-8735-0FD9543CF4F3}"/>
    <cellStyle name="40% - Accent3 3 6 5" xfId="28059" xr:uid="{D805C4F5-976E-46F8-8048-E0AD78FFF8E3}"/>
    <cellStyle name="40% - Accent3 3 7" xfId="5947" xr:uid="{00000000-0005-0000-0000-0000D93B0000}"/>
    <cellStyle name="40% - Accent3 3 7 2" xfId="13930" xr:uid="{00000000-0005-0000-0000-0000DA3B0000}"/>
    <cellStyle name="40% - Accent3 3 7 2 2" xfId="37773" xr:uid="{5FFA0BBB-E5C1-4DD2-9156-677A3A3AED9F}"/>
    <cellStyle name="40% - Accent3 3 7 3" xfId="21878" xr:uid="{00000000-0005-0000-0000-0000DB3B0000}"/>
    <cellStyle name="40% - Accent3 3 7 3 2" xfId="45710" xr:uid="{5A189860-2430-49CC-A808-C3E2C90F6FB0}"/>
    <cellStyle name="40% - Accent3 3 7 4" xfId="29832" xr:uid="{9937DC3D-1CF7-43C8-B0EE-5C7D2FCA7620}"/>
    <cellStyle name="40% - Accent3 3 8" xfId="9499" xr:uid="{00000000-0005-0000-0000-0000DC3B0000}"/>
    <cellStyle name="40% - Accent3 3 8 2" xfId="17457" xr:uid="{00000000-0005-0000-0000-0000DD3B0000}"/>
    <cellStyle name="40% - Accent3 3 8 2 2" xfId="41297" xr:uid="{61B7526D-0CE1-4EC7-A3F0-E228DD0F0F31}"/>
    <cellStyle name="40% - Accent3 3 8 3" xfId="25401" xr:uid="{00000000-0005-0000-0000-0000DE3B0000}"/>
    <cellStyle name="40% - Accent3 3 8 3 2" xfId="49233" xr:uid="{08CB2811-3B22-4C3A-948C-2BA88B62668A}"/>
    <cellStyle name="40% - Accent3 3 8 4" xfId="33356" xr:uid="{777666A5-5991-4C30-BE17-E73F11756B93}"/>
    <cellStyle name="40% - Accent3 3 9" xfId="10395" xr:uid="{00000000-0005-0000-0000-0000DF3B0000}"/>
    <cellStyle name="40% - Accent3 3 9 2" xfId="34244" xr:uid="{562124D9-B6EE-4B9A-AE68-95E606A83135}"/>
    <cellStyle name="40% - Accent3 3_Exh G" xfId="2978" xr:uid="{00000000-0005-0000-0000-0000E03B0000}"/>
    <cellStyle name="40% - Accent3 4" xfId="457" xr:uid="{00000000-0005-0000-0000-0000E13B0000}"/>
    <cellStyle name="40% - Accent3 4 10" xfId="18354" xr:uid="{00000000-0005-0000-0000-0000E23B0000}"/>
    <cellStyle name="40% - Accent3 4 10 2" xfId="42186" xr:uid="{083EA552-30CB-4081-8E16-C794C52BEEDE}"/>
    <cellStyle name="40% - Accent3 4 11" xfId="26306" xr:uid="{C5A4B964-8213-4E08-9D65-288D40983F98}"/>
    <cellStyle name="40% - Accent3 4 2" xfId="458" xr:uid="{00000000-0005-0000-0000-0000E33B0000}"/>
    <cellStyle name="40% - Accent3 4 2 10" xfId="26307" xr:uid="{BBB1F4A6-4D0D-4B20-8BF6-FFE8602A8A05}"/>
    <cellStyle name="40% - Accent3 4 2 2" xfId="459" xr:uid="{00000000-0005-0000-0000-0000E43B0000}"/>
    <cellStyle name="40% - Accent3 4 2 2 2" xfId="1485" xr:uid="{00000000-0005-0000-0000-0000E53B0000}"/>
    <cellStyle name="40% - Accent3 4 2 2 2 2" xfId="5012" xr:uid="{00000000-0005-0000-0000-0000E63B0000}"/>
    <cellStyle name="40% - Accent3 4 2 2 2 2 2" xfId="8603" xr:uid="{00000000-0005-0000-0000-0000E73B0000}"/>
    <cellStyle name="40% - Accent3 4 2 2 2 2 2 2" xfId="16573" xr:uid="{00000000-0005-0000-0000-0000E83B0000}"/>
    <cellStyle name="40% - Accent3 4 2 2 2 2 2 2 2" xfId="40415" xr:uid="{07145AB8-50D0-4E2C-8C8B-85FBE424318E}"/>
    <cellStyle name="40% - Accent3 4 2 2 2 2 2 3" xfId="24519" xr:uid="{00000000-0005-0000-0000-0000E93B0000}"/>
    <cellStyle name="40% - Accent3 4 2 2 2 2 2 3 2" xfId="48351" xr:uid="{BC8A04CF-5528-4059-8588-0269ADCD412B}"/>
    <cellStyle name="40% - Accent3 4 2 2 2 2 2 4" xfId="32474" xr:uid="{DC75F399-5F6B-46FE-856B-97832C6F2FF2}"/>
    <cellStyle name="40% - Accent3 4 2 2 2 2 3" xfId="13035" xr:uid="{00000000-0005-0000-0000-0000EA3B0000}"/>
    <cellStyle name="40% - Accent3 4 2 2 2 2 3 2" xfId="36884" xr:uid="{1BC1DEFD-820C-4280-81FE-80817082E31B}"/>
    <cellStyle name="40% - Accent3 4 2 2 2 2 4" xfId="20990" xr:uid="{00000000-0005-0000-0000-0000EB3B0000}"/>
    <cellStyle name="40% - Accent3 4 2 2 2 2 4 2" xfId="44822" xr:uid="{72BCCBBF-3901-4A77-9604-D2E81506919D}"/>
    <cellStyle name="40% - Accent3 4 2 2 2 2 5" xfId="28943" xr:uid="{FB980035-0FC0-4120-B758-D9A9954BAA89}"/>
    <cellStyle name="40% - Accent3 4 2 2 2 3" xfId="6844" xr:uid="{00000000-0005-0000-0000-0000EC3B0000}"/>
    <cellStyle name="40% - Accent3 4 2 2 2 3 2" xfId="14815" xr:uid="{00000000-0005-0000-0000-0000ED3B0000}"/>
    <cellStyle name="40% - Accent3 4 2 2 2 3 2 2" xfId="38657" xr:uid="{0280F0D0-2F11-4284-AB56-0403A49DE79A}"/>
    <cellStyle name="40% - Accent3 4 2 2 2 3 3" xfId="22762" xr:uid="{00000000-0005-0000-0000-0000EE3B0000}"/>
    <cellStyle name="40% - Accent3 4 2 2 2 3 3 2" xfId="46594" xr:uid="{275070BC-73AA-414E-9FBA-14D0821BEB2E}"/>
    <cellStyle name="40% - Accent3 4 2 2 2 3 4" xfId="30716" xr:uid="{D53C4FD9-E243-4566-A040-C3E2B46C3D44}"/>
    <cellStyle name="40% - Accent3 4 2 2 2 4" xfId="11279" xr:uid="{00000000-0005-0000-0000-0000EF3B0000}"/>
    <cellStyle name="40% - Accent3 4 2 2 2 4 2" xfId="35128" xr:uid="{F4FD6BEC-9AAD-4383-9D97-F7D8919379CC}"/>
    <cellStyle name="40% - Accent3 4 2 2 2 5" xfId="19234" xr:uid="{00000000-0005-0000-0000-0000F03B0000}"/>
    <cellStyle name="40% - Accent3 4 2 2 2 5 2" xfId="43066" xr:uid="{2CFE3F75-4BAD-40DD-801C-5E9E65BE88D0}"/>
    <cellStyle name="40% - Accent3 4 2 2 2 6" xfId="27186" xr:uid="{9E82563F-310B-479C-89A6-CDF8EB5FD463}"/>
    <cellStyle name="40% - Accent3 4 2 2 2_Exh G" xfId="2993" xr:uid="{00000000-0005-0000-0000-0000F13B0000}"/>
    <cellStyle name="40% - Accent3 4 2 2 3" xfId="4133" xr:uid="{00000000-0005-0000-0000-0000F23B0000}"/>
    <cellStyle name="40% - Accent3 4 2 2 3 2" xfId="7725" xr:uid="{00000000-0005-0000-0000-0000F33B0000}"/>
    <cellStyle name="40% - Accent3 4 2 2 3 2 2" xfId="15695" xr:uid="{00000000-0005-0000-0000-0000F43B0000}"/>
    <cellStyle name="40% - Accent3 4 2 2 3 2 2 2" xfId="39537" xr:uid="{910660F2-7411-4EBB-B2CF-E8C6574ABDB9}"/>
    <cellStyle name="40% - Accent3 4 2 2 3 2 3" xfId="23641" xr:uid="{00000000-0005-0000-0000-0000F53B0000}"/>
    <cellStyle name="40% - Accent3 4 2 2 3 2 3 2" xfId="47473" xr:uid="{12095A46-A782-48DD-A576-E9D50CD09ADA}"/>
    <cellStyle name="40% - Accent3 4 2 2 3 2 4" xfId="31596" xr:uid="{34DC128E-74E3-4E45-B9E2-578798EE45CE}"/>
    <cellStyle name="40% - Accent3 4 2 2 3 3" xfId="12157" xr:uid="{00000000-0005-0000-0000-0000F63B0000}"/>
    <cellStyle name="40% - Accent3 4 2 2 3 3 2" xfId="36006" xr:uid="{2F4303D3-965A-4ED9-8D85-30999B139DE2}"/>
    <cellStyle name="40% - Accent3 4 2 2 3 4" xfId="20112" xr:uid="{00000000-0005-0000-0000-0000F73B0000}"/>
    <cellStyle name="40% - Accent3 4 2 2 3 4 2" xfId="43944" xr:uid="{FF501675-452C-44AC-BFD3-83BC12482D9A}"/>
    <cellStyle name="40% - Accent3 4 2 2 3 5" xfId="28065" xr:uid="{7C78639C-C22B-4C50-B423-EAF7BF8914BC}"/>
    <cellStyle name="40% - Accent3 4 2 2 4" xfId="5953" xr:uid="{00000000-0005-0000-0000-0000F83B0000}"/>
    <cellStyle name="40% - Accent3 4 2 2 4 2" xfId="13936" xr:uid="{00000000-0005-0000-0000-0000F93B0000}"/>
    <cellStyle name="40% - Accent3 4 2 2 4 2 2" xfId="37779" xr:uid="{90A7F065-F2A8-4D60-B4AC-45E88801D25E}"/>
    <cellStyle name="40% - Accent3 4 2 2 4 3" xfId="21884" xr:uid="{00000000-0005-0000-0000-0000FA3B0000}"/>
    <cellStyle name="40% - Accent3 4 2 2 4 3 2" xfId="45716" xr:uid="{4E91EE10-DEA5-4769-8AA5-10BDE200EB35}"/>
    <cellStyle name="40% - Accent3 4 2 2 4 4" xfId="29838" xr:uid="{F6D5D7EB-C190-4778-92D4-71229BFEF1C8}"/>
    <cellStyle name="40% - Accent3 4 2 2 5" xfId="9505" xr:uid="{00000000-0005-0000-0000-0000FB3B0000}"/>
    <cellStyle name="40% - Accent3 4 2 2 5 2" xfId="17463" xr:uid="{00000000-0005-0000-0000-0000FC3B0000}"/>
    <cellStyle name="40% - Accent3 4 2 2 5 2 2" xfId="41303" xr:uid="{CCF3D827-8FE1-41CF-BA63-B6B7A9B60C5A}"/>
    <cellStyle name="40% - Accent3 4 2 2 5 3" xfId="25407" xr:uid="{00000000-0005-0000-0000-0000FD3B0000}"/>
    <cellStyle name="40% - Accent3 4 2 2 5 3 2" xfId="49239" xr:uid="{E974DEF0-3397-4544-9096-453E7B52C656}"/>
    <cellStyle name="40% - Accent3 4 2 2 5 4" xfId="33362" xr:uid="{7FDF6200-4222-41F9-947B-CD86018A4674}"/>
    <cellStyle name="40% - Accent3 4 2 2 6" xfId="10401" xr:uid="{00000000-0005-0000-0000-0000FE3B0000}"/>
    <cellStyle name="40% - Accent3 4 2 2 6 2" xfId="34250" xr:uid="{202AEB9A-E9A5-4349-AB6F-80439CBEC6F1}"/>
    <cellStyle name="40% - Accent3 4 2 2 7" xfId="18356" xr:uid="{00000000-0005-0000-0000-0000FF3B0000}"/>
    <cellStyle name="40% - Accent3 4 2 2 7 2" xfId="42188" xr:uid="{3217A9CF-F82E-4B48-9703-31780921E173}"/>
    <cellStyle name="40% - Accent3 4 2 2 8" xfId="26308" xr:uid="{09287879-65AD-41EC-AB49-CC9413E0DD63}"/>
    <cellStyle name="40% - Accent3 4 2 2_Exh G" xfId="2992" xr:uid="{00000000-0005-0000-0000-0000003C0000}"/>
    <cellStyle name="40% - Accent3 4 2 3" xfId="961" xr:uid="{00000000-0005-0000-0000-0000013C0000}"/>
    <cellStyle name="40% - Accent3 4 2 3 2" xfId="1877" xr:uid="{00000000-0005-0000-0000-0000023C0000}"/>
    <cellStyle name="40% - Accent3 4 2 3 2 2" xfId="5394" xr:uid="{00000000-0005-0000-0000-0000033C0000}"/>
    <cellStyle name="40% - Accent3 4 2 3 2 2 2" xfId="8985" xr:uid="{00000000-0005-0000-0000-0000043C0000}"/>
    <cellStyle name="40% - Accent3 4 2 3 2 2 2 2" xfId="16955" xr:uid="{00000000-0005-0000-0000-0000053C0000}"/>
    <cellStyle name="40% - Accent3 4 2 3 2 2 2 2 2" xfId="40797" xr:uid="{E1147E88-89BF-472E-9325-59099D74D654}"/>
    <cellStyle name="40% - Accent3 4 2 3 2 2 2 3" xfId="24901" xr:uid="{00000000-0005-0000-0000-0000063C0000}"/>
    <cellStyle name="40% - Accent3 4 2 3 2 2 2 3 2" xfId="48733" xr:uid="{C1869313-6DF6-4AB9-95B0-07DF955A234A}"/>
    <cellStyle name="40% - Accent3 4 2 3 2 2 2 4" xfId="32856" xr:uid="{F0EF9015-650D-4E05-8271-78B807DD169A}"/>
    <cellStyle name="40% - Accent3 4 2 3 2 2 3" xfId="13417" xr:uid="{00000000-0005-0000-0000-0000073C0000}"/>
    <cellStyle name="40% - Accent3 4 2 3 2 2 3 2" xfId="37266" xr:uid="{BC5AB502-D01B-416E-9AFA-DCC62BFBE3D7}"/>
    <cellStyle name="40% - Accent3 4 2 3 2 2 4" xfId="21372" xr:uid="{00000000-0005-0000-0000-0000083C0000}"/>
    <cellStyle name="40% - Accent3 4 2 3 2 2 4 2" xfId="45204" xr:uid="{036B9A97-6B2F-49EE-892E-3FD194219837}"/>
    <cellStyle name="40% - Accent3 4 2 3 2 2 5" xfId="29325" xr:uid="{3B4ED4BE-5C89-4FA4-AFD5-7EA1B83F4428}"/>
    <cellStyle name="40% - Accent3 4 2 3 2 3" xfId="7226" xr:uid="{00000000-0005-0000-0000-0000093C0000}"/>
    <cellStyle name="40% - Accent3 4 2 3 2 3 2" xfId="15197" xr:uid="{00000000-0005-0000-0000-00000A3C0000}"/>
    <cellStyle name="40% - Accent3 4 2 3 2 3 2 2" xfId="39039" xr:uid="{3E7618E6-F4DD-445A-8A0A-093D30D57B08}"/>
    <cellStyle name="40% - Accent3 4 2 3 2 3 3" xfId="23144" xr:uid="{00000000-0005-0000-0000-00000B3C0000}"/>
    <cellStyle name="40% - Accent3 4 2 3 2 3 3 2" xfId="46976" xr:uid="{A3E024E8-926C-438E-9F40-977D91138342}"/>
    <cellStyle name="40% - Accent3 4 2 3 2 3 4" xfId="31098" xr:uid="{3D6D8093-9EA3-485C-B47C-19147F0C8751}"/>
    <cellStyle name="40% - Accent3 4 2 3 2 4" xfId="11661" xr:uid="{00000000-0005-0000-0000-00000C3C0000}"/>
    <cellStyle name="40% - Accent3 4 2 3 2 4 2" xfId="35510" xr:uid="{129763D1-75DB-429A-B6DC-BB57960F8D2E}"/>
    <cellStyle name="40% - Accent3 4 2 3 2 5" xfId="19616" xr:uid="{00000000-0005-0000-0000-00000D3C0000}"/>
    <cellStyle name="40% - Accent3 4 2 3 2 5 2" xfId="43448" xr:uid="{71DD4D7D-DEDC-49C7-9D8B-E8EEDA3E8335}"/>
    <cellStyle name="40% - Accent3 4 2 3 2 6" xfId="27568" xr:uid="{0B930F81-068E-4CCB-B92D-D514D45FEF76}"/>
    <cellStyle name="40% - Accent3 4 2 3 2_Exh G" xfId="2995" xr:uid="{00000000-0005-0000-0000-00000E3C0000}"/>
    <cellStyle name="40% - Accent3 4 2 3 3" xfId="4515" xr:uid="{00000000-0005-0000-0000-00000F3C0000}"/>
    <cellStyle name="40% - Accent3 4 2 3 3 2" xfId="8107" xr:uid="{00000000-0005-0000-0000-0000103C0000}"/>
    <cellStyle name="40% - Accent3 4 2 3 3 2 2" xfId="16077" xr:uid="{00000000-0005-0000-0000-0000113C0000}"/>
    <cellStyle name="40% - Accent3 4 2 3 3 2 2 2" xfId="39919" xr:uid="{FFEB20B1-9F0D-4082-9160-E6274992DA42}"/>
    <cellStyle name="40% - Accent3 4 2 3 3 2 3" xfId="24023" xr:uid="{00000000-0005-0000-0000-0000123C0000}"/>
    <cellStyle name="40% - Accent3 4 2 3 3 2 3 2" xfId="47855" xr:uid="{C4E6BDEA-3510-475C-8EC7-425ACF1DDFCF}"/>
    <cellStyle name="40% - Accent3 4 2 3 3 2 4" xfId="31978" xr:uid="{4EED5E82-4B7D-462C-BAAE-2BAE61E9E271}"/>
    <cellStyle name="40% - Accent3 4 2 3 3 3" xfId="12539" xr:uid="{00000000-0005-0000-0000-0000133C0000}"/>
    <cellStyle name="40% - Accent3 4 2 3 3 3 2" xfId="36388" xr:uid="{BCA1BCF2-7AB4-4512-A276-0286479DFDF3}"/>
    <cellStyle name="40% - Accent3 4 2 3 3 4" xfId="20494" xr:uid="{00000000-0005-0000-0000-0000143C0000}"/>
    <cellStyle name="40% - Accent3 4 2 3 3 4 2" xfId="44326" xr:uid="{71CB90B9-402A-43B9-8339-C82FD2B49014}"/>
    <cellStyle name="40% - Accent3 4 2 3 3 5" xfId="28447" xr:uid="{E8787B20-9F10-4FE9-ADC3-9DA70EE7C209}"/>
    <cellStyle name="40% - Accent3 4 2 3 4" xfId="6345" xr:uid="{00000000-0005-0000-0000-0000153C0000}"/>
    <cellStyle name="40% - Accent3 4 2 3 4 2" xfId="14319" xr:uid="{00000000-0005-0000-0000-0000163C0000}"/>
    <cellStyle name="40% - Accent3 4 2 3 4 2 2" xfId="38161" xr:uid="{DC17750B-1777-4741-A6DA-8B13C1A7C029}"/>
    <cellStyle name="40% - Accent3 4 2 3 4 3" xfId="22266" xr:uid="{00000000-0005-0000-0000-0000173C0000}"/>
    <cellStyle name="40% - Accent3 4 2 3 4 3 2" xfId="46098" xr:uid="{2D364280-546E-40BB-8B00-28AFF01DE7A0}"/>
    <cellStyle name="40% - Accent3 4 2 3 4 4" xfId="30220" xr:uid="{8CCD2876-4717-42D8-AFDD-72BEE7E966B4}"/>
    <cellStyle name="40% - Accent3 4 2 3 5" xfId="9887" xr:uid="{00000000-0005-0000-0000-0000183C0000}"/>
    <cellStyle name="40% - Accent3 4 2 3 5 2" xfId="17845" xr:uid="{00000000-0005-0000-0000-0000193C0000}"/>
    <cellStyle name="40% - Accent3 4 2 3 5 2 2" xfId="41685" xr:uid="{BC329F0E-D88F-4F9A-AD05-40B80CC2F9EB}"/>
    <cellStyle name="40% - Accent3 4 2 3 5 3" xfId="25789" xr:uid="{00000000-0005-0000-0000-00001A3C0000}"/>
    <cellStyle name="40% - Accent3 4 2 3 5 3 2" xfId="49621" xr:uid="{98988B97-B5FC-4FC1-9762-15E78B8D5AB8}"/>
    <cellStyle name="40% - Accent3 4 2 3 5 4" xfId="33744" xr:uid="{3093EEA6-621C-4023-B328-6BF86205CEAB}"/>
    <cellStyle name="40% - Accent3 4 2 3 6" xfId="10783" xr:uid="{00000000-0005-0000-0000-00001B3C0000}"/>
    <cellStyle name="40% - Accent3 4 2 3 6 2" xfId="34632" xr:uid="{97586E01-8F15-4C25-B663-533C4E815E9E}"/>
    <cellStyle name="40% - Accent3 4 2 3 7" xfId="18738" xr:uid="{00000000-0005-0000-0000-00001C3C0000}"/>
    <cellStyle name="40% - Accent3 4 2 3 7 2" xfId="42570" xr:uid="{EB31EA63-F847-4AB9-81F0-9B53493FB081}"/>
    <cellStyle name="40% - Accent3 4 2 3 8" xfId="26690" xr:uid="{8B49B5D4-4FBA-421A-86C6-7A144D67792C}"/>
    <cellStyle name="40% - Accent3 4 2 3_Exh G" xfId="2994" xr:uid="{00000000-0005-0000-0000-00001D3C0000}"/>
    <cellStyle name="40% - Accent3 4 2 4" xfId="1484" xr:uid="{00000000-0005-0000-0000-00001E3C0000}"/>
    <cellStyle name="40% - Accent3 4 2 4 2" xfId="5011" xr:uid="{00000000-0005-0000-0000-00001F3C0000}"/>
    <cellStyle name="40% - Accent3 4 2 4 2 2" xfId="8602" xr:uid="{00000000-0005-0000-0000-0000203C0000}"/>
    <cellStyle name="40% - Accent3 4 2 4 2 2 2" xfId="16572" xr:uid="{00000000-0005-0000-0000-0000213C0000}"/>
    <cellStyle name="40% - Accent3 4 2 4 2 2 2 2" xfId="40414" xr:uid="{12DCC574-66BF-422B-BEF8-290A04120922}"/>
    <cellStyle name="40% - Accent3 4 2 4 2 2 3" xfId="24518" xr:uid="{00000000-0005-0000-0000-0000223C0000}"/>
    <cellStyle name="40% - Accent3 4 2 4 2 2 3 2" xfId="48350" xr:uid="{9298AFC0-203B-40E3-83AF-39C2B74E4B77}"/>
    <cellStyle name="40% - Accent3 4 2 4 2 2 4" xfId="32473" xr:uid="{44B79C7D-C68C-45FB-B557-F6EF200BBDA7}"/>
    <cellStyle name="40% - Accent3 4 2 4 2 3" xfId="13034" xr:uid="{00000000-0005-0000-0000-0000233C0000}"/>
    <cellStyle name="40% - Accent3 4 2 4 2 3 2" xfId="36883" xr:uid="{92E86F2B-B2F1-4908-9937-C3187C9DD798}"/>
    <cellStyle name="40% - Accent3 4 2 4 2 4" xfId="20989" xr:uid="{00000000-0005-0000-0000-0000243C0000}"/>
    <cellStyle name="40% - Accent3 4 2 4 2 4 2" xfId="44821" xr:uid="{314B1669-0C86-46A5-A776-34E4B7C493B1}"/>
    <cellStyle name="40% - Accent3 4 2 4 2 5" xfId="28942" xr:uid="{BC45F763-096C-4FB0-8FEA-A2ED1F908332}"/>
    <cellStyle name="40% - Accent3 4 2 4 3" xfId="6843" xr:uid="{00000000-0005-0000-0000-0000253C0000}"/>
    <cellStyle name="40% - Accent3 4 2 4 3 2" xfId="14814" xr:uid="{00000000-0005-0000-0000-0000263C0000}"/>
    <cellStyle name="40% - Accent3 4 2 4 3 2 2" xfId="38656" xr:uid="{5C798A53-0F38-4E64-989B-27F90F4136C2}"/>
    <cellStyle name="40% - Accent3 4 2 4 3 3" xfId="22761" xr:uid="{00000000-0005-0000-0000-0000273C0000}"/>
    <cellStyle name="40% - Accent3 4 2 4 3 3 2" xfId="46593" xr:uid="{6E0DD0FD-01E7-4282-9F8F-7E5C8CF31475}"/>
    <cellStyle name="40% - Accent3 4 2 4 3 4" xfId="30715" xr:uid="{564607FA-8212-4A7A-ACF5-5964973DB079}"/>
    <cellStyle name="40% - Accent3 4 2 4 4" xfId="11278" xr:uid="{00000000-0005-0000-0000-0000283C0000}"/>
    <cellStyle name="40% - Accent3 4 2 4 4 2" xfId="35127" xr:uid="{24D04E11-82EA-4561-972F-7A0B91ED2BA4}"/>
    <cellStyle name="40% - Accent3 4 2 4 5" xfId="19233" xr:uid="{00000000-0005-0000-0000-0000293C0000}"/>
    <cellStyle name="40% - Accent3 4 2 4 5 2" xfId="43065" xr:uid="{5D6A89E2-12C6-4271-9A76-828494171A75}"/>
    <cellStyle name="40% - Accent3 4 2 4 6" xfId="27185" xr:uid="{014C2E80-FBE1-44F4-92E9-CA7B91DA8A64}"/>
    <cellStyle name="40% - Accent3 4 2 4_Exh G" xfId="2996" xr:uid="{00000000-0005-0000-0000-00002A3C0000}"/>
    <cellStyle name="40% - Accent3 4 2 5" xfId="4132" xr:uid="{00000000-0005-0000-0000-00002B3C0000}"/>
    <cellStyle name="40% - Accent3 4 2 5 2" xfId="7724" xr:uid="{00000000-0005-0000-0000-00002C3C0000}"/>
    <cellStyle name="40% - Accent3 4 2 5 2 2" xfId="15694" xr:uid="{00000000-0005-0000-0000-00002D3C0000}"/>
    <cellStyle name="40% - Accent3 4 2 5 2 2 2" xfId="39536" xr:uid="{193D440B-9A0F-4701-9CD4-C5A052D733C4}"/>
    <cellStyle name="40% - Accent3 4 2 5 2 3" xfId="23640" xr:uid="{00000000-0005-0000-0000-00002E3C0000}"/>
    <cellStyle name="40% - Accent3 4 2 5 2 3 2" xfId="47472" xr:uid="{41BDFAFA-FC8B-4318-ABF1-EFDAD74FA7B3}"/>
    <cellStyle name="40% - Accent3 4 2 5 2 4" xfId="31595" xr:uid="{1D4156FC-359E-4AAF-A53C-7486848D2CDD}"/>
    <cellStyle name="40% - Accent3 4 2 5 3" xfId="12156" xr:uid="{00000000-0005-0000-0000-00002F3C0000}"/>
    <cellStyle name="40% - Accent3 4 2 5 3 2" xfId="36005" xr:uid="{EF2DE0F3-3ADE-4B1D-90B1-FC6EA84A60F4}"/>
    <cellStyle name="40% - Accent3 4 2 5 4" xfId="20111" xr:uid="{00000000-0005-0000-0000-0000303C0000}"/>
    <cellStyle name="40% - Accent3 4 2 5 4 2" xfId="43943" xr:uid="{1E8F7F11-A415-46A4-9DA4-F23FFB91009F}"/>
    <cellStyle name="40% - Accent3 4 2 5 5" xfId="28064" xr:uid="{952D0B3B-1073-4D36-8506-883DEC9FA9D5}"/>
    <cellStyle name="40% - Accent3 4 2 6" xfId="5952" xr:uid="{00000000-0005-0000-0000-0000313C0000}"/>
    <cellStyle name="40% - Accent3 4 2 6 2" xfId="13935" xr:uid="{00000000-0005-0000-0000-0000323C0000}"/>
    <cellStyle name="40% - Accent3 4 2 6 2 2" xfId="37778" xr:uid="{5E40EFE8-0688-4E20-9956-3CB939ED4E38}"/>
    <cellStyle name="40% - Accent3 4 2 6 3" xfId="21883" xr:uid="{00000000-0005-0000-0000-0000333C0000}"/>
    <cellStyle name="40% - Accent3 4 2 6 3 2" xfId="45715" xr:uid="{0F77C67B-B520-4086-8314-A15BE7AA8860}"/>
    <cellStyle name="40% - Accent3 4 2 6 4" xfId="29837" xr:uid="{0477ADDB-738D-430C-8408-56F3F69EFDE5}"/>
    <cellStyle name="40% - Accent3 4 2 7" xfId="9504" xr:uid="{00000000-0005-0000-0000-0000343C0000}"/>
    <cellStyle name="40% - Accent3 4 2 7 2" xfId="17462" xr:uid="{00000000-0005-0000-0000-0000353C0000}"/>
    <cellStyle name="40% - Accent3 4 2 7 2 2" xfId="41302" xr:uid="{21B48F5A-449D-46F7-A372-0165B829C10D}"/>
    <cellStyle name="40% - Accent3 4 2 7 3" xfId="25406" xr:uid="{00000000-0005-0000-0000-0000363C0000}"/>
    <cellStyle name="40% - Accent3 4 2 7 3 2" xfId="49238" xr:uid="{E70708E2-4495-45F0-8331-B2FFCEA1893C}"/>
    <cellStyle name="40% - Accent3 4 2 7 4" xfId="33361" xr:uid="{C5AE0180-0B16-45B4-A01A-5A6E8F4C4C1A}"/>
    <cellStyle name="40% - Accent3 4 2 8" xfId="10400" xr:uid="{00000000-0005-0000-0000-0000373C0000}"/>
    <cellStyle name="40% - Accent3 4 2 8 2" xfId="34249" xr:uid="{48A91A74-9827-49E9-B6C3-53B05613E75B}"/>
    <cellStyle name="40% - Accent3 4 2 9" xfId="18355" xr:uid="{00000000-0005-0000-0000-0000383C0000}"/>
    <cellStyle name="40% - Accent3 4 2 9 2" xfId="42187" xr:uid="{1F624EBD-6EA6-4DAB-9897-2BC79A9EB4A8}"/>
    <cellStyle name="40% - Accent3 4 2_Exh G" xfId="2991" xr:uid="{00000000-0005-0000-0000-0000393C0000}"/>
    <cellStyle name="40% - Accent3 4 3" xfId="460" xr:uid="{00000000-0005-0000-0000-00003A3C0000}"/>
    <cellStyle name="40% - Accent3 4 3 2" xfId="1486" xr:uid="{00000000-0005-0000-0000-00003B3C0000}"/>
    <cellStyle name="40% - Accent3 4 3 2 2" xfId="5013" xr:uid="{00000000-0005-0000-0000-00003C3C0000}"/>
    <cellStyle name="40% - Accent3 4 3 2 2 2" xfId="8604" xr:uid="{00000000-0005-0000-0000-00003D3C0000}"/>
    <cellStyle name="40% - Accent3 4 3 2 2 2 2" xfId="16574" xr:uid="{00000000-0005-0000-0000-00003E3C0000}"/>
    <cellStyle name="40% - Accent3 4 3 2 2 2 2 2" xfId="40416" xr:uid="{589BFE74-4C91-460B-AB72-6BE17A3D3459}"/>
    <cellStyle name="40% - Accent3 4 3 2 2 2 3" xfId="24520" xr:uid="{00000000-0005-0000-0000-00003F3C0000}"/>
    <cellStyle name="40% - Accent3 4 3 2 2 2 3 2" xfId="48352" xr:uid="{50DB55D1-F560-47CF-B0B0-609E3743C5BC}"/>
    <cellStyle name="40% - Accent3 4 3 2 2 2 4" xfId="32475" xr:uid="{8D71DD1A-A752-43FA-B7A4-C30A62290EFA}"/>
    <cellStyle name="40% - Accent3 4 3 2 2 3" xfId="13036" xr:uid="{00000000-0005-0000-0000-0000403C0000}"/>
    <cellStyle name="40% - Accent3 4 3 2 2 3 2" xfId="36885" xr:uid="{CC2623B5-4425-4015-85A9-78C9F561B909}"/>
    <cellStyle name="40% - Accent3 4 3 2 2 4" xfId="20991" xr:uid="{00000000-0005-0000-0000-0000413C0000}"/>
    <cellStyle name="40% - Accent3 4 3 2 2 4 2" xfId="44823" xr:uid="{A68FB554-16C6-438E-83F7-430A293F2E82}"/>
    <cellStyle name="40% - Accent3 4 3 2 2 5" xfId="28944" xr:uid="{16751509-1508-49D3-8614-A27345E2AFFF}"/>
    <cellStyle name="40% - Accent3 4 3 2 3" xfId="6845" xr:uid="{00000000-0005-0000-0000-0000423C0000}"/>
    <cellStyle name="40% - Accent3 4 3 2 3 2" xfId="14816" xr:uid="{00000000-0005-0000-0000-0000433C0000}"/>
    <cellStyle name="40% - Accent3 4 3 2 3 2 2" xfId="38658" xr:uid="{C0A460BF-3AC1-42A0-A09A-01D18A6A3BA5}"/>
    <cellStyle name="40% - Accent3 4 3 2 3 3" xfId="22763" xr:uid="{00000000-0005-0000-0000-0000443C0000}"/>
    <cellStyle name="40% - Accent3 4 3 2 3 3 2" xfId="46595" xr:uid="{B8D37BE7-F506-4E2A-A67E-3807169A850F}"/>
    <cellStyle name="40% - Accent3 4 3 2 3 4" xfId="30717" xr:uid="{05D6A72C-9AF2-4729-B59B-01B15A4EF4B8}"/>
    <cellStyle name="40% - Accent3 4 3 2 4" xfId="11280" xr:uid="{00000000-0005-0000-0000-0000453C0000}"/>
    <cellStyle name="40% - Accent3 4 3 2 4 2" xfId="35129" xr:uid="{9122C714-9DD0-417E-9A61-BF8505128C8B}"/>
    <cellStyle name="40% - Accent3 4 3 2 5" xfId="19235" xr:uid="{00000000-0005-0000-0000-0000463C0000}"/>
    <cellStyle name="40% - Accent3 4 3 2 5 2" xfId="43067" xr:uid="{D75048B6-ABBE-4801-AD98-185203AC063C}"/>
    <cellStyle name="40% - Accent3 4 3 2 6" xfId="27187" xr:uid="{01C13532-88CE-4400-880C-8C2FB5F36DAF}"/>
    <cellStyle name="40% - Accent3 4 3 2_Exh G" xfId="2998" xr:uid="{00000000-0005-0000-0000-0000473C0000}"/>
    <cellStyle name="40% - Accent3 4 3 3" xfId="4134" xr:uid="{00000000-0005-0000-0000-0000483C0000}"/>
    <cellStyle name="40% - Accent3 4 3 3 2" xfId="7726" xr:uid="{00000000-0005-0000-0000-0000493C0000}"/>
    <cellStyle name="40% - Accent3 4 3 3 2 2" xfId="15696" xr:uid="{00000000-0005-0000-0000-00004A3C0000}"/>
    <cellStyle name="40% - Accent3 4 3 3 2 2 2" xfId="39538" xr:uid="{5552502C-4431-43B4-A535-8AA78D504FDB}"/>
    <cellStyle name="40% - Accent3 4 3 3 2 3" xfId="23642" xr:uid="{00000000-0005-0000-0000-00004B3C0000}"/>
    <cellStyle name="40% - Accent3 4 3 3 2 3 2" xfId="47474" xr:uid="{76762339-517B-4FB1-B26A-663F085D503F}"/>
    <cellStyle name="40% - Accent3 4 3 3 2 4" xfId="31597" xr:uid="{5C259FF4-FC2C-41FE-A429-E4FD341CC0C2}"/>
    <cellStyle name="40% - Accent3 4 3 3 3" xfId="12158" xr:uid="{00000000-0005-0000-0000-00004C3C0000}"/>
    <cellStyle name="40% - Accent3 4 3 3 3 2" xfId="36007" xr:uid="{9897B066-02BA-429F-B64A-C24C86C37A0F}"/>
    <cellStyle name="40% - Accent3 4 3 3 4" xfId="20113" xr:uid="{00000000-0005-0000-0000-00004D3C0000}"/>
    <cellStyle name="40% - Accent3 4 3 3 4 2" xfId="43945" xr:uid="{5AD43100-8C35-4BFA-8356-03BC3C468594}"/>
    <cellStyle name="40% - Accent3 4 3 3 5" xfId="28066" xr:uid="{6AC7AD36-90AF-4547-9CCA-78D27FD6615B}"/>
    <cellStyle name="40% - Accent3 4 3 4" xfId="5954" xr:uid="{00000000-0005-0000-0000-00004E3C0000}"/>
    <cellStyle name="40% - Accent3 4 3 4 2" xfId="13937" xr:uid="{00000000-0005-0000-0000-00004F3C0000}"/>
    <cellStyle name="40% - Accent3 4 3 4 2 2" xfId="37780" xr:uid="{81F90F61-C0E3-4C83-901B-9B539A0AA444}"/>
    <cellStyle name="40% - Accent3 4 3 4 3" xfId="21885" xr:uid="{00000000-0005-0000-0000-0000503C0000}"/>
    <cellStyle name="40% - Accent3 4 3 4 3 2" xfId="45717" xr:uid="{1DFDE7C9-6FB5-4435-B82E-882B40AE59EA}"/>
    <cellStyle name="40% - Accent3 4 3 4 4" xfId="29839" xr:uid="{102C31AF-9C3D-42D2-B557-8FE4B41CA84E}"/>
    <cellStyle name="40% - Accent3 4 3 5" xfId="9506" xr:uid="{00000000-0005-0000-0000-0000513C0000}"/>
    <cellStyle name="40% - Accent3 4 3 5 2" xfId="17464" xr:uid="{00000000-0005-0000-0000-0000523C0000}"/>
    <cellStyle name="40% - Accent3 4 3 5 2 2" xfId="41304" xr:uid="{400724F2-EA92-4811-B260-91FB389CD415}"/>
    <cellStyle name="40% - Accent3 4 3 5 3" xfId="25408" xr:uid="{00000000-0005-0000-0000-0000533C0000}"/>
    <cellStyle name="40% - Accent3 4 3 5 3 2" xfId="49240" xr:uid="{82141517-C136-4976-835A-F7925FB2567C}"/>
    <cellStyle name="40% - Accent3 4 3 5 4" xfId="33363" xr:uid="{9B4CC504-F648-47B3-8A40-03686BD221DC}"/>
    <cellStyle name="40% - Accent3 4 3 6" xfId="10402" xr:uid="{00000000-0005-0000-0000-0000543C0000}"/>
    <cellStyle name="40% - Accent3 4 3 6 2" xfId="34251" xr:uid="{9675AB7C-FB84-4636-9892-5840E7966A72}"/>
    <cellStyle name="40% - Accent3 4 3 7" xfId="18357" xr:uid="{00000000-0005-0000-0000-0000553C0000}"/>
    <cellStyle name="40% - Accent3 4 3 7 2" xfId="42189" xr:uid="{397A2CD4-D381-476F-A7FA-89CD28034A70}"/>
    <cellStyle name="40% - Accent3 4 3 8" xfId="26309" xr:uid="{5ABE673C-3255-467F-9E69-78D1AE4905B4}"/>
    <cellStyle name="40% - Accent3 4 3_Exh G" xfId="2997" xr:uid="{00000000-0005-0000-0000-0000563C0000}"/>
    <cellStyle name="40% - Accent3 4 4" xfId="960" xr:uid="{00000000-0005-0000-0000-0000573C0000}"/>
    <cellStyle name="40% - Accent3 4 4 2" xfId="1876" xr:uid="{00000000-0005-0000-0000-0000583C0000}"/>
    <cellStyle name="40% - Accent3 4 4 2 2" xfId="5393" xr:uid="{00000000-0005-0000-0000-0000593C0000}"/>
    <cellStyle name="40% - Accent3 4 4 2 2 2" xfId="8984" xr:uid="{00000000-0005-0000-0000-00005A3C0000}"/>
    <cellStyle name="40% - Accent3 4 4 2 2 2 2" xfId="16954" xr:uid="{00000000-0005-0000-0000-00005B3C0000}"/>
    <cellStyle name="40% - Accent3 4 4 2 2 2 2 2" xfId="40796" xr:uid="{08941125-DB05-483A-99CA-5C5B85AB621F}"/>
    <cellStyle name="40% - Accent3 4 4 2 2 2 3" xfId="24900" xr:uid="{00000000-0005-0000-0000-00005C3C0000}"/>
    <cellStyle name="40% - Accent3 4 4 2 2 2 3 2" xfId="48732" xr:uid="{BFF9E59D-1408-4421-A43B-14BEF8539E70}"/>
    <cellStyle name="40% - Accent3 4 4 2 2 2 4" xfId="32855" xr:uid="{69783CED-883E-468A-9D64-3C959C3E7973}"/>
    <cellStyle name="40% - Accent3 4 4 2 2 3" xfId="13416" xr:uid="{00000000-0005-0000-0000-00005D3C0000}"/>
    <cellStyle name="40% - Accent3 4 4 2 2 3 2" xfId="37265" xr:uid="{4469915C-3DC7-47B2-B64A-28B8FC699430}"/>
    <cellStyle name="40% - Accent3 4 4 2 2 4" xfId="21371" xr:uid="{00000000-0005-0000-0000-00005E3C0000}"/>
    <cellStyle name="40% - Accent3 4 4 2 2 4 2" xfId="45203" xr:uid="{1F17C5E4-5111-4A82-BAEB-02D9F9FF1B75}"/>
    <cellStyle name="40% - Accent3 4 4 2 2 5" xfId="29324" xr:uid="{DBAB1348-28FA-4095-8A06-AFC6A2C17E88}"/>
    <cellStyle name="40% - Accent3 4 4 2 3" xfId="7225" xr:uid="{00000000-0005-0000-0000-00005F3C0000}"/>
    <cellStyle name="40% - Accent3 4 4 2 3 2" xfId="15196" xr:uid="{00000000-0005-0000-0000-0000603C0000}"/>
    <cellStyle name="40% - Accent3 4 4 2 3 2 2" xfId="39038" xr:uid="{4B634388-1658-432A-BFEA-CE6C041397EA}"/>
    <cellStyle name="40% - Accent3 4 4 2 3 3" xfId="23143" xr:uid="{00000000-0005-0000-0000-0000613C0000}"/>
    <cellStyle name="40% - Accent3 4 4 2 3 3 2" xfId="46975" xr:uid="{7A5EE7BE-3A29-4EC4-99EF-CA8F0EA3F2B4}"/>
    <cellStyle name="40% - Accent3 4 4 2 3 4" xfId="31097" xr:uid="{9011D163-7F62-496E-AE82-4AB512769F3D}"/>
    <cellStyle name="40% - Accent3 4 4 2 4" xfId="11660" xr:uid="{00000000-0005-0000-0000-0000623C0000}"/>
    <cellStyle name="40% - Accent3 4 4 2 4 2" xfId="35509" xr:uid="{66B109F8-73A3-4434-8235-AC36B02EB529}"/>
    <cellStyle name="40% - Accent3 4 4 2 5" xfId="19615" xr:uid="{00000000-0005-0000-0000-0000633C0000}"/>
    <cellStyle name="40% - Accent3 4 4 2 5 2" xfId="43447" xr:uid="{2D7B9FFE-97D6-41CB-B423-F2922C8FCAC3}"/>
    <cellStyle name="40% - Accent3 4 4 2 6" xfId="27567" xr:uid="{9F71A8AB-8A22-443F-8035-6EF1933FE2E6}"/>
    <cellStyle name="40% - Accent3 4 4 2_Exh G" xfId="3000" xr:uid="{00000000-0005-0000-0000-0000643C0000}"/>
    <cellStyle name="40% - Accent3 4 4 3" xfId="4514" xr:uid="{00000000-0005-0000-0000-0000653C0000}"/>
    <cellStyle name="40% - Accent3 4 4 3 2" xfId="8106" xr:uid="{00000000-0005-0000-0000-0000663C0000}"/>
    <cellStyle name="40% - Accent3 4 4 3 2 2" xfId="16076" xr:uid="{00000000-0005-0000-0000-0000673C0000}"/>
    <cellStyle name="40% - Accent3 4 4 3 2 2 2" xfId="39918" xr:uid="{0C058D46-36EF-4923-ADE5-FC1E72B29CA8}"/>
    <cellStyle name="40% - Accent3 4 4 3 2 3" xfId="24022" xr:uid="{00000000-0005-0000-0000-0000683C0000}"/>
    <cellStyle name="40% - Accent3 4 4 3 2 3 2" xfId="47854" xr:uid="{5257F917-D855-481D-87CA-642DC5723230}"/>
    <cellStyle name="40% - Accent3 4 4 3 2 4" xfId="31977" xr:uid="{C6C4346A-EA9C-45FE-B6FB-20AC9A0C9D29}"/>
    <cellStyle name="40% - Accent3 4 4 3 3" xfId="12538" xr:uid="{00000000-0005-0000-0000-0000693C0000}"/>
    <cellStyle name="40% - Accent3 4 4 3 3 2" xfId="36387" xr:uid="{616829EF-CFC8-45EC-A35B-1382225679B8}"/>
    <cellStyle name="40% - Accent3 4 4 3 4" xfId="20493" xr:uid="{00000000-0005-0000-0000-00006A3C0000}"/>
    <cellStyle name="40% - Accent3 4 4 3 4 2" xfId="44325" xr:uid="{2A587A8E-9300-424F-9E6C-8EBA3A991CE2}"/>
    <cellStyle name="40% - Accent3 4 4 3 5" xfId="28446" xr:uid="{E9306D57-884E-43D3-98AA-7AE3431CD737}"/>
    <cellStyle name="40% - Accent3 4 4 4" xfId="6344" xr:uid="{00000000-0005-0000-0000-00006B3C0000}"/>
    <cellStyle name="40% - Accent3 4 4 4 2" xfId="14318" xr:uid="{00000000-0005-0000-0000-00006C3C0000}"/>
    <cellStyle name="40% - Accent3 4 4 4 2 2" xfId="38160" xr:uid="{309A810B-773D-4084-811E-91B4E3D79F6B}"/>
    <cellStyle name="40% - Accent3 4 4 4 3" xfId="22265" xr:uid="{00000000-0005-0000-0000-00006D3C0000}"/>
    <cellStyle name="40% - Accent3 4 4 4 3 2" xfId="46097" xr:uid="{8669AE2E-F813-4CF3-A29E-A391644AD37C}"/>
    <cellStyle name="40% - Accent3 4 4 4 4" xfId="30219" xr:uid="{AE8A258E-5873-47CB-B262-534B2A57EA99}"/>
    <cellStyle name="40% - Accent3 4 4 5" xfId="9886" xr:uid="{00000000-0005-0000-0000-00006E3C0000}"/>
    <cellStyle name="40% - Accent3 4 4 5 2" xfId="17844" xr:uid="{00000000-0005-0000-0000-00006F3C0000}"/>
    <cellStyle name="40% - Accent3 4 4 5 2 2" xfId="41684" xr:uid="{3B8FB020-B771-45EE-9857-6631309742D5}"/>
    <cellStyle name="40% - Accent3 4 4 5 3" xfId="25788" xr:uid="{00000000-0005-0000-0000-0000703C0000}"/>
    <cellStyle name="40% - Accent3 4 4 5 3 2" xfId="49620" xr:uid="{98C0796D-AC47-42B3-B6E6-308CE1434CBF}"/>
    <cellStyle name="40% - Accent3 4 4 5 4" xfId="33743" xr:uid="{FCEF2567-A3A4-4F0E-B819-3B8E54A49AEA}"/>
    <cellStyle name="40% - Accent3 4 4 6" xfId="10782" xr:uid="{00000000-0005-0000-0000-0000713C0000}"/>
    <cellStyle name="40% - Accent3 4 4 6 2" xfId="34631" xr:uid="{3EFBFA84-80B2-4741-8113-6ADBEDE376DB}"/>
    <cellStyle name="40% - Accent3 4 4 7" xfId="18737" xr:uid="{00000000-0005-0000-0000-0000723C0000}"/>
    <cellStyle name="40% - Accent3 4 4 7 2" xfId="42569" xr:uid="{8AE5E102-8D8F-4EA5-B152-E117BB186A17}"/>
    <cellStyle name="40% - Accent3 4 4 8" xfId="26689" xr:uid="{A962A149-0F1C-4B8B-A5A4-1FAFC4E57269}"/>
    <cellStyle name="40% - Accent3 4 4_Exh G" xfId="2999" xr:uid="{00000000-0005-0000-0000-0000733C0000}"/>
    <cellStyle name="40% - Accent3 4 5" xfId="1483" xr:uid="{00000000-0005-0000-0000-0000743C0000}"/>
    <cellStyle name="40% - Accent3 4 5 2" xfId="5010" xr:uid="{00000000-0005-0000-0000-0000753C0000}"/>
    <cellStyle name="40% - Accent3 4 5 2 2" xfId="8601" xr:uid="{00000000-0005-0000-0000-0000763C0000}"/>
    <cellStyle name="40% - Accent3 4 5 2 2 2" xfId="16571" xr:uid="{00000000-0005-0000-0000-0000773C0000}"/>
    <cellStyle name="40% - Accent3 4 5 2 2 2 2" xfId="40413" xr:uid="{37F5A004-1D9C-45F0-AEB4-6C7D0F6ACAC8}"/>
    <cellStyle name="40% - Accent3 4 5 2 2 3" xfId="24517" xr:uid="{00000000-0005-0000-0000-0000783C0000}"/>
    <cellStyle name="40% - Accent3 4 5 2 2 3 2" xfId="48349" xr:uid="{D752BAAC-8D76-4E3E-A10B-A00EC44E94BB}"/>
    <cellStyle name="40% - Accent3 4 5 2 2 4" xfId="32472" xr:uid="{C936ECD4-E39F-491E-B661-35DA5E796CB2}"/>
    <cellStyle name="40% - Accent3 4 5 2 3" xfId="13033" xr:uid="{00000000-0005-0000-0000-0000793C0000}"/>
    <cellStyle name="40% - Accent3 4 5 2 3 2" xfId="36882" xr:uid="{8DB614B4-7178-4636-BF7A-9FAC4EFC40F5}"/>
    <cellStyle name="40% - Accent3 4 5 2 4" xfId="20988" xr:uid="{00000000-0005-0000-0000-00007A3C0000}"/>
    <cellStyle name="40% - Accent3 4 5 2 4 2" xfId="44820" xr:uid="{B0AE84F1-3F21-4CFD-9BAD-34A8C9AE6081}"/>
    <cellStyle name="40% - Accent3 4 5 2 5" xfId="28941" xr:uid="{35E3D54C-5F9C-46F6-A1ED-7BE639405159}"/>
    <cellStyle name="40% - Accent3 4 5 3" xfId="6842" xr:uid="{00000000-0005-0000-0000-00007B3C0000}"/>
    <cellStyle name="40% - Accent3 4 5 3 2" xfId="14813" xr:uid="{00000000-0005-0000-0000-00007C3C0000}"/>
    <cellStyle name="40% - Accent3 4 5 3 2 2" xfId="38655" xr:uid="{07264E21-EB28-474B-B5E4-AD9A6DAF2CEE}"/>
    <cellStyle name="40% - Accent3 4 5 3 3" xfId="22760" xr:uid="{00000000-0005-0000-0000-00007D3C0000}"/>
    <cellStyle name="40% - Accent3 4 5 3 3 2" xfId="46592" xr:uid="{423906AF-71C4-4000-8AEB-29244AAD67DC}"/>
    <cellStyle name="40% - Accent3 4 5 3 4" xfId="30714" xr:uid="{E50291E9-62DF-4457-93F6-BDAA0A32F887}"/>
    <cellStyle name="40% - Accent3 4 5 4" xfId="11277" xr:uid="{00000000-0005-0000-0000-00007E3C0000}"/>
    <cellStyle name="40% - Accent3 4 5 4 2" xfId="35126" xr:uid="{CF480145-76C5-4C62-A9CA-26C1E8A46A3B}"/>
    <cellStyle name="40% - Accent3 4 5 5" xfId="19232" xr:uid="{00000000-0005-0000-0000-00007F3C0000}"/>
    <cellStyle name="40% - Accent3 4 5 5 2" xfId="43064" xr:uid="{17BA39F1-7F38-4A79-BEB9-71554DCDFE03}"/>
    <cellStyle name="40% - Accent3 4 5 6" xfId="27184" xr:uid="{7BD0C30D-8959-49BA-83E9-52C10B92259E}"/>
    <cellStyle name="40% - Accent3 4 5_Exh G" xfId="3001" xr:uid="{00000000-0005-0000-0000-0000803C0000}"/>
    <cellStyle name="40% - Accent3 4 6" xfId="4131" xr:uid="{00000000-0005-0000-0000-0000813C0000}"/>
    <cellStyle name="40% - Accent3 4 6 2" xfId="7723" xr:uid="{00000000-0005-0000-0000-0000823C0000}"/>
    <cellStyle name="40% - Accent3 4 6 2 2" xfId="15693" xr:uid="{00000000-0005-0000-0000-0000833C0000}"/>
    <cellStyle name="40% - Accent3 4 6 2 2 2" xfId="39535" xr:uid="{69ACF2F0-3467-46C3-A243-E3DA01D76999}"/>
    <cellStyle name="40% - Accent3 4 6 2 3" xfId="23639" xr:uid="{00000000-0005-0000-0000-0000843C0000}"/>
    <cellStyle name="40% - Accent3 4 6 2 3 2" xfId="47471" xr:uid="{B10E03F4-40D1-4B5C-8450-468033FC1B27}"/>
    <cellStyle name="40% - Accent3 4 6 2 4" xfId="31594" xr:uid="{C546CAA8-9A46-47FF-9977-FC0B42D6074D}"/>
    <cellStyle name="40% - Accent3 4 6 3" xfId="12155" xr:uid="{00000000-0005-0000-0000-0000853C0000}"/>
    <cellStyle name="40% - Accent3 4 6 3 2" xfId="36004" xr:uid="{53F57563-9FC3-44CB-B2CD-1C46124A56E3}"/>
    <cellStyle name="40% - Accent3 4 6 4" xfId="20110" xr:uid="{00000000-0005-0000-0000-0000863C0000}"/>
    <cellStyle name="40% - Accent3 4 6 4 2" xfId="43942" xr:uid="{E1A293BF-74D5-42B0-B308-F7E27AF7FED0}"/>
    <cellStyle name="40% - Accent3 4 6 5" xfId="28063" xr:uid="{1380F5EC-3548-4BBB-A005-9C23713ED906}"/>
    <cellStyle name="40% - Accent3 4 7" xfId="5951" xr:uid="{00000000-0005-0000-0000-0000873C0000}"/>
    <cellStyle name="40% - Accent3 4 7 2" xfId="13934" xr:uid="{00000000-0005-0000-0000-0000883C0000}"/>
    <cellStyle name="40% - Accent3 4 7 2 2" xfId="37777" xr:uid="{E1F78F78-E362-4D94-AACE-91525FFDEA85}"/>
    <cellStyle name="40% - Accent3 4 7 3" xfId="21882" xr:uid="{00000000-0005-0000-0000-0000893C0000}"/>
    <cellStyle name="40% - Accent3 4 7 3 2" xfId="45714" xr:uid="{8CA032D2-5520-4F4A-8932-8069D319743F}"/>
    <cellStyle name="40% - Accent3 4 7 4" xfId="29836" xr:uid="{2232F3D0-B3E4-4920-B1AB-4CD8C371D489}"/>
    <cellStyle name="40% - Accent3 4 8" xfId="9503" xr:uid="{00000000-0005-0000-0000-00008A3C0000}"/>
    <cellStyle name="40% - Accent3 4 8 2" xfId="17461" xr:uid="{00000000-0005-0000-0000-00008B3C0000}"/>
    <cellStyle name="40% - Accent3 4 8 2 2" xfId="41301" xr:uid="{FA87A40F-D6FF-427E-AD94-B24A1DC3C28B}"/>
    <cellStyle name="40% - Accent3 4 8 3" xfId="25405" xr:uid="{00000000-0005-0000-0000-00008C3C0000}"/>
    <cellStyle name="40% - Accent3 4 8 3 2" xfId="49237" xr:uid="{13269223-BC40-40A0-81EF-E80659976431}"/>
    <cellStyle name="40% - Accent3 4 8 4" xfId="33360" xr:uid="{A5553F85-5BBC-4B12-966E-9F20A3AE1C56}"/>
    <cellStyle name="40% - Accent3 4 9" xfId="10399" xr:uid="{00000000-0005-0000-0000-00008D3C0000}"/>
    <cellStyle name="40% - Accent3 4 9 2" xfId="34248" xr:uid="{C669A8A7-5D1A-4873-98C4-65927B939C1E}"/>
    <cellStyle name="40% - Accent3 4_Exh G" xfId="2990" xr:uid="{00000000-0005-0000-0000-00008E3C0000}"/>
    <cellStyle name="40% - Accent3 5" xfId="461" xr:uid="{00000000-0005-0000-0000-00008F3C0000}"/>
    <cellStyle name="40% - Accent3 5 10" xfId="18358" xr:uid="{00000000-0005-0000-0000-0000903C0000}"/>
    <cellStyle name="40% - Accent3 5 10 2" xfId="42190" xr:uid="{BE9FA55A-7D8E-41A3-9617-54ED6B19C263}"/>
    <cellStyle name="40% - Accent3 5 11" xfId="26310" xr:uid="{89554308-A293-43EC-BC99-1B97B538217E}"/>
    <cellStyle name="40% - Accent3 5 2" xfId="462" xr:uid="{00000000-0005-0000-0000-0000913C0000}"/>
    <cellStyle name="40% - Accent3 5 2 2" xfId="463" xr:uid="{00000000-0005-0000-0000-0000923C0000}"/>
    <cellStyle name="40% - Accent3 5 2 2 2" xfId="1489" xr:uid="{00000000-0005-0000-0000-0000933C0000}"/>
    <cellStyle name="40% - Accent3 5 2 2 2 2" xfId="5016" xr:uid="{00000000-0005-0000-0000-0000943C0000}"/>
    <cellStyle name="40% - Accent3 5 2 2 2 2 2" xfId="8607" xr:uid="{00000000-0005-0000-0000-0000953C0000}"/>
    <cellStyle name="40% - Accent3 5 2 2 2 2 2 2" xfId="16577" xr:uid="{00000000-0005-0000-0000-0000963C0000}"/>
    <cellStyle name="40% - Accent3 5 2 2 2 2 2 2 2" xfId="40419" xr:uid="{EB6F447F-E59A-4818-B13D-193970D61FC2}"/>
    <cellStyle name="40% - Accent3 5 2 2 2 2 2 3" xfId="24523" xr:uid="{00000000-0005-0000-0000-0000973C0000}"/>
    <cellStyle name="40% - Accent3 5 2 2 2 2 2 3 2" xfId="48355" xr:uid="{3A680A06-B58E-49E1-8B0E-FF8892205CD5}"/>
    <cellStyle name="40% - Accent3 5 2 2 2 2 2 4" xfId="32478" xr:uid="{CAC8B292-CF70-4C9F-AAC3-F4C4CDDD1652}"/>
    <cellStyle name="40% - Accent3 5 2 2 2 2 3" xfId="13039" xr:uid="{00000000-0005-0000-0000-0000983C0000}"/>
    <cellStyle name="40% - Accent3 5 2 2 2 2 3 2" xfId="36888" xr:uid="{CA032536-EFA3-49DD-85E9-BF41D372F765}"/>
    <cellStyle name="40% - Accent3 5 2 2 2 2 4" xfId="20994" xr:uid="{00000000-0005-0000-0000-0000993C0000}"/>
    <cellStyle name="40% - Accent3 5 2 2 2 2 4 2" xfId="44826" xr:uid="{CD5679E0-6760-4128-A489-5F5222DCA5A8}"/>
    <cellStyle name="40% - Accent3 5 2 2 2 2 5" xfId="28947" xr:uid="{D11CF042-D702-470F-8541-5E6266ACBA85}"/>
    <cellStyle name="40% - Accent3 5 2 2 2 3" xfId="6848" xr:uid="{00000000-0005-0000-0000-00009A3C0000}"/>
    <cellStyle name="40% - Accent3 5 2 2 2 3 2" xfId="14819" xr:uid="{00000000-0005-0000-0000-00009B3C0000}"/>
    <cellStyle name="40% - Accent3 5 2 2 2 3 2 2" xfId="38661" xr:uid="{10FF0B1D-ECB0-49D2-AF83-E6D2CCF1FA96}"/>
    <cellStyle name="40% - Accent3 5 2 2 2 3 3" xfId="22766" xr:uid="{00000000-0005-0000-0000-00009C3C0000}"/>
    <cellStyle name="40% - Accent3 5 2 2 2 3 3 2" xfId="46598" xr:uid="{E5F2F9A0-6E6A-473F-87F7-6167A353481F}"/>
    <cellStyle name="40% - Accent3 5 2 2 2 3 4" xfId="30720" xr:uid="{9511846F-25B1-446F-A213-259BB8A5FAAF}"/>
    <cellStyle name="40% - Accent3 5 2 2 2 4" xfId="11283" xr:uid="{00000000-0005-0000-0000-00009D3C0000}"/>
    <cellStyle name="40% - Accent3 5 2 2 2 4 2" xfId="35132" xr:uid="{BAC1FF6B-77AE-4552-BD7F-C800D5C462CE}"/>
    <cellStyle name="40% - Accent3 5 2 2 2 5" xfId="19238" xr:uid="{00000000-0005-0000-0000-00009E3C0000}"/>
    <cellStyle name="40% - Accent3 5 2 2 2 5 2" xfId="43070" xr:uid="{BD498064-1615-4462-AEBE-021556277CB5}"/>
    <cellStyle name="40% - Accent3 5 2 2 2 6" xfId="27190" xr:uid="{EA4F0DEA-B240-4BBE-801A-51E29F1D1424}"/>
    <cellStyle name="40% - Accent3 5 2 2 2_Exh G" xfId="3005" xr:uid="{00000000-0005-0000-0000-00009F3C0000}"/>
    <cellStyle name="40% - Accent3 5 2 2 3" xfId="4137" xr:uid="{00000000-0005-0000-0000-0000A03C0000}"/>
    <cellStyle name="40% - Accent3 5 2 2 3 2" xfId="7729" xr:uid="{00000000-0005-0000-0000-0000A13C0000}"/>
    <cellStyle name="40% - Accent3 5 2 2 3 2 2" xfId="15699" xr:uid="{00000000-0005-0000-0000-0000A23C0000}"/>
    <cellStyle name="40% - Accent3 5 2 2 3 2 2 2" xfId="39541" xr:uid="{8115D03B-C8CC-4832-B412-E78C8D07CDCE}"/>
    <cellStyle name="40% - Accent3 5 2 2 3 2 3" xfId="23645" xr:uid="{00000000-0005-0000-0000-0000A33C0000}"/>
    <cellStyle name="40% - Accent3 5 2 2 3 2 3 2" xfId="47477" xr:uid="{FC0DC9E0-CAC5-42E0-AD95-9D1B5C92D637}"/>
    <cellStyle name="40% - Accent3 5 2 2 3 2 4" xfId="31600" xr:uid="{EF8391C2-F32B-4F74-8390-97BA70D2981D}"/>
    <cellStyle name="40% - Accent3 5 2 2 3 3" xfId="12161" xr:uid="{00000000-0005-0000-0000-0000A43C0000}"/>
    <cellStyle name="40% - Accent3 5 2 2 3 3 2" xfId="36010" xr:uid="{73F47D8B-342D-4CC9-B9D0-72A07BD6BAB7}"/>
    <cellStyle name="40% - Accent3 5 2 2 3 4" xfId="20116" xr:uid="{00000000-0005-0000-0000-0000A53C0000}"/>
    <cellStyle name="40% - Accent3 5 2 2 3 4 2" xfId="43948" xr:uid="{8D867DD1-16A8-485C-AD65-37EEB90F4B94}"/>
    <cellStyle name="40% - Accent3 5 2 2 3 5" xfId="28069" xr:uid="{05EB2D67-639F-4912-9502-BB07B0F55C0F}"/>
    <cellStyle name="40% - Accent3 5 2 2 4" xfId="5957" xr:uid="{00000000-0005-0000-0000-0000A63C0000}"/>
    <cellStyle name="40% - Accent3 5 2 2 4 2" xfId="13940" xr:uid="{00000000-0005-0000-0000-0000A73C0000}"/>
    <cellStyle name="40% - Accent3 5 2 2 4 2 2" xfId="37783" xr:uid="{9FB86A6C-A011-4D5F-A263-EDA094EB4E58}"/>
    <cellStyle name="40% - Accent3 5 2 2 4 3" xfId="21888" xr:uid="{00000000-0005-0000-0000-0000A83C0000}"/>
    <cellStyle name="40% - Accent3 5 2 2 4 3 2" xfId="45720" xr:uid="{41214B0B-B5B4-4691-AC96-C2C0EA569926}"/>
    <cellStyle name="40% - Accent3 5 2 2 4 4" xfId="29842" xr:uid="{6BE15118-6946-4FF6-B833-B527C08F497D}"/>
    <cellStyle name="40% - Accent3 5 2 2 5" xfId="9509" xr:uid="{00000000-0005-0000-0000-0000A93C0000}"/>
    <cellStyle name="40% - Accent3 5 2 2 5 2" xfId="17467" xr:uid="{00000000-0005-0000-0000-0000AA3C0000}"/>
    <cellStyle name="40% - Accent3 5 2 2 5 2 2" xfId="41307" xr:uid="{4660A95B-82B4-405B-A86B-8EAA1A93DA30}"/>
    <cellStyle name="40% - Accent3 5 2 2 5 3" xfId="25411" xr:uid="{00000000-0005-0000-0000-0000AB3C0000}"/>
    <cellStyle name="40% - Accent3 5 2 2 5 3 2" xfId="49243" xr:uid="{8E95AC5E-FED7-4331-B8AE-E37C1060846E}"/>
    <cellStyle name="40% - Accent3 5 2 2 5 4" xfId="33366" xr:uid="{4992F6F2-525E-4121-92A2-55B243FCB7F0}"/>
    <cellStyle name="40% - Accent3 5 2 2 6" xfId="10405" xr:uid="{00000000-0005-0000-0000-0000AC3C0000}"/>
    <cellStyle name="40% - Accent3 5 2 2 6 2" xfId="34254" xr:uid="{666A8662-621A-4E6E-A28F-CED9B768F644}"/>
    <cellStyle name="40% - Accent3 5 2 2 7" xfId="18360" xr:uid="{00000000-0005-0000-0000-0000AD3C0000}"/>
    <cellStyle name="40% - Accent3 5 2 2 7 2" xfId="42192" xr:uid="{08355951-92F3-46B3-A482-E528A0292182}"/>
    <cellStyle name="40% - Accent3 5 2 2 8" xfId="26312" xr:uid="{FD72AE70-642D-4428-A743-B6347E32A7E8}"/>
    <cellStyle name="40% - Accent3 5 2 2_Exh G" xfId="3004" xr:uid="{00000000-0005-0000-0000-0000AE3C0000}"/>
    <cellStyle name="40% - Accent3 5 2 3" xfId="1488" xr:uid="{00000000-0005-0000-0000-0000AF3C0000}"/>
    <cellStyle name="40% - Accent3 5 2 3 2" xfId="5015" xr:uid="{00000000-0005-0000-0000-0000B03C0000}"/>
    <cellStyle name="40% - Accent3 5 2 3 2 2" xfId="8606" xr:uid="{00000000-0005-0000-0000-0000B13C0000}"/>
    <cellStyle name="40% - Accent3 5 2 3 2 2 2" xfId="16576" xr:uid="{00000000-0005-0000-0000-0000B23C0000}"/>
    <cellStyle name="40% - Accent3 5 2 3 2 2 2 2" xfId="40418" xr:uid="{937E2855-56D5-4BBE-BCC6-1C63910F5874}"/>
    <cellStyle name="40% - Accent3 5 2 3 2 2 3" xfId="24522" xr:uid="{00000000-0005-0000-0000-0000B33C0000}"/>
    <cellStyle name="40% - Accent3 5 2 3 2 2 3 2" xfId="48354" xr:uid="{1BAD4C77-B34C-4251-B998-B1D160EFCC99}"/>
    <cellStyle name="40% - Accent3 5 2 3 2 2 4" xfId="32477" xr:uid="{93ACE7D5-D847-4444-BBC1-C61F1F136CED}"/>
    <cellStyle name="40% - Accent3 5 2 3 2 3" xfId="13038" xr:uid="{00000000-0005-0000-0000-0000B43C0000}"/>
    <cellStyle name="40% - Accent3 5 2 3 2 3 2" xfId="36887" xr:uid="{EE4A5C5E-9E24-405A-9292-4E39F2E369BA}"/>
    <cellStyle name="40% - Accent3 5 2 3 2 4" xfId="20993" xr:uid="{00000000-0005-0000-0000-0000B53C0000}"/>
    <cellStyle name="40% - Accent3 5 2 3 2 4 2" xfId="44825" xr:uid="{B7E95E78-68B1-44B1-8EE1-77FA9D82D3E6}"/>
    <cellStyle name="40% - Accent3 5 2 3 2 5" xfId="28946" xr:uid="{367AEF2C-29DD-4A1D-BAEF-73025E7AB603}"/>
    <cellStyle name="40% - Accent3 5 2 3 3" xfId="6847" xr:uid="{00000000-0005-0000-0000-0000B63C0000}"/>
    <cellStyle name="40% - Accent3 5 2 3 3 2" xfId="14818" xr:uid="{00000000-0005-0000-0000-0000B73C0000}"/>
    <cellStyle name="40% - Accent3 5 2 3 3 2 2" xfId="38660" xr:uid="{6CEB8098-9651-4B4E-B5D5-74044F0C35AC}"/>
    <cellStyle name="40% - Accent3 5 2 3 3 3" xfId="22765" xr:uid="{00000000-0005-0000-0000-0000B83C0000}"/>
    <cellStyle name="40% - Accent3 5 2 3 3 3 2" xfId="46597" xr:uid="{9FEEE491-9CD3-4A95-93F2-40375344128B}"/>
    <cellStyle name="40% - Accent3 5 2 3 3 4" xfId="30719" xr:uid="{CC6C84BD-8DA5-4731-8DD9-C75EDCF85A7C}"/>
    <cellStyle name="40% - Accent3 5 2 3 4" xfId="11282" xr:uid="{00000000-0005-0000-0000-0000B93C0000}"/>
    <cellStyle name="40% - Accent3 5 2 3 4 2" xfId="35131" xr:uid="{7B002F1E-F1A8-4764-9B7B-CE62CCC29A49}"/>
    <cellStyle name="40% - Accent3 5 2 3 5" xfId="19237" xr:uid="{00000000-0005-0000-0000-0000BA3C0000}"/>
    <cellStyle name="40% - Accent3 5 2 3 5 2" xfId="43069" xr:uid="{6DB639DF-BBA1-44ED-86C3-D713FC95BD11}"/>
    <cellStyle name="40% - Accent3 5 2 3 6" xfId="27189" xr:uid="{E81B63E1-4DA5-471D-A5B3-3014C055DB1B}"/>
    <cellStyle name="40% - Accent3 5 2 3_Exh G" xfId="3006" xr:uid="{00000000-0005-0000-0000-0000BB3C0000}"/>
    <cellStyle name="40% - Accent3 5 2 4" xfId="4136" xr:uid="{00000000-0005-0000-0000-0000BC3C0000}"/>
    <cellStyle name="40% - Accent3 5 2 4 2" xfId="7728" xr:uid="{00000000-0005-0000-0000-0000BD3C0000}"/>
    <cellStyle name="40% - Accent3 5 2 4 2 2" xfId="15698" xr:uid="{00000000-0005-0000-0000-0000BE3C0000}"/>
    <cellStyle name="40% - Accent3 5 2 4 2 2 2" xfId="39540" xr:uid="{39C2D59D-EF1C-4AF7-9F8E-A5A7C0737C16}"/>
    <cellStyle name="40% - Accent3 5 2 4 2 3" xfId="23644" xr:uid="{00000000-0005-0000-0000-0000BF3C0000}"/>
    <cellStyle name="40% - Accent3 5 2 4 2 3 2" xfId="47476" xr:uid="{F81DF967-DFA5-4E7D-B319-D6DC20807E16}"/>
    <cellStyle name="40% - Accent3 5 2 4 2 4" xfId="31599" xr:uid="{CC60256E-5966-4364-BFB5-3A1E161C9994}"/>
    <cellStyle name="40% - Accent3 5 2 4 3" xfId="12160" xr:uid="{00000000-0005-0000-0000-0000C03C0000}"/>
    <cellStyle name="40% - Accent3 5 2 4 3 2" xfId="36009" xr:uid="{4493AA4F-9A34-453F-999E-ABB920A44ED8}"/>
    <cellStyle name="40% - Accent3 5 2 4 4" xfId="20115" xr:uid="{00000000-0005-0000-0000-0000C13C0000}"/>
    <cellStyle name="40% - Accent3 5 2 4 4 2" xfId="43947" xr:uid="{A62CC37C-3549-4C6E-8BB1-750B5AB2349B}"/>
    <cellStyle name="40% - Accent3 5 2 4 5" xfId="28068" xr:uid="{59B0BA11-3CD0-47CF-B240-A94633E71E59}"/>
    <cellStyle name="40% - Accent3 5 2 5" xfId="5956" xr:uid="{00000000-0005-0000-0000-0000C23C0000}"/>
    <cellStyle name="40% - Accent3 5 2 5 2" xfId="13939" xr:uid="{00000000-0005-0000-0000-0000C33C0000}"/>
    <cellStyle name="40% - Accent3 5 2 5 2 2" xfId="37782" xr:uid="{9142FFE7-B578-4649-A62C-872FFFE3607E}"/>
    <cellStyle name="40% - Accent3 5 2 5 3" xfId="21887" xr:uid="{00000000-0005-0000-0000-0000C43C0000}"/>
    <cellStyle name="40% - Accent3 5 2 5 3 2" xfId="45719" xr:uid="{DFF3431E-7A82-448D-8389-C4227740026E}"/>
    <cellStyle name="40% - Accent3 5 2 5 4" xfId="29841" xr:uid="{59E7C39E-244B-408D-8410-E4DEE24CA496}"/>
    <cellStyle name="40% - Accent3 5 2 6" xfId="9508" xr:uid="{00000000-0005-0000-0000-0000C53C0000}"/>
    <cellStyle name="40% - Accent3 5 2 6 2" xfId="17466" xr:uid="{00000000-0005-0000-0000-0000C63C0000}"/>
    <cellStyle name="40% - Accent3 5 2 6 2 2" xfId="41306" xr:uid="{7D3A1883-6D4A-4132-8C81-4D6A56D9E9AA}"/>
    <cellStyle name="40% - Accent3 5 2 6 3" xfId="25410" xr:uid="{00000000-0005-0000-0000-0000C73C0000}"/>
    <cellStyle name="40% - Accent3 5 2 6 3 2" xfId="49242" xr:uid="{284FEB90-3DDF-4669-9DA1-FC06103ED65A}"/>
    <cellStyle name="40% - Accent3 5 2 6 4" xfId="33365" xr:uid="{2DA76A0E-8096-421A-B1AD-91020D8BB92E}"/>
    <cellStyle name="40% - Accent3 5 2 7" xfId="10404" xr:uid="{00000000-0005-0000-0000-0000C83C0000}"/>
    <cellStyle name="40% - Accent3 5 2 7 2" xfId="34253" xr:uid="{AB598004-4013-4B80-A185-7810D04BAA08}"/>
    <cellStyle name="40% - Accent3 5 2 8" xfId="18359" xr:uid="{00000000-0005-0000-0000-0000C93C0000}"/>
    <cellStyle name="40% - Accent3 5 2 8 2" xfId="42191" xr:uid="{9AC0DB09-08D6-4FF8-AD36-2DC583ADE3F3}"/>
    <cellStyle name="40% - Accent3 5 2 9" xfId="26311" xr:uid="{36DFDCAA-AEF9-48B6-AB5B-249C9CEAAD36}"/>
    <cellStyle name="40% - Accent3 5 2_Exh G" xfId="3003" xr:uid="{00000000-0005-0000-0000-0000CA3C0000}"/>
    <cellStyle name="40% - Accent3 5 3" xfId="464" xr:uid="{00000000-0005-0000-0000-0000CB3C0000}"/>
    <cellStyle name="40% - Accent3 5 3 2" xfId="1490" xr:uid="{00000000-0005-0000-0000-0000CC3C0000}"/>
    <cellStyle name="40% - Accent3 5 3 2 2" xfId="5017" xr:uid="{00000000-0005-0000-0000-0000CD3C0000}"/>
    <cellStyle name="40% - Accent3 5 3 2 2 2" xfId="8608" xr:uid="{00000000-0005-0000-0000-0000CE3C0000}"/>
    <cellStyle name="40% - Accent3 5 3 2 2 2 2" xfId="16578" xr:uid="{00000000-0005-0000-0000-0000CF3C0000}"/>
    <cellStyle name="40% - Accent3 5 3 2 2 2 2 2" xfId="40420" xr:uid="{CF406113-B161-4617-ADB8-88D9E8068FC2}"/>
    <cellStyle name="40% - Accent3 5 3 2 2 2 3" xfId="24524" xr:uid="{00000000-0005-0000-0000-0000D03C0000}"/>
    <cellStyle name="40% - Accent3 5 3 2 2 2 3 2" xfId="48356" xr:uid="{7F14BE9B-9615-4578-8057-ED952470627E}"/>
    <cellStyle name="40% - Accent3 5 3 2 2 2 4" xfId="32479" xr:uid="{011A7B3E-8929-48B2-AFCF-151193CD5474}"/>
    <cellStyle name="40% - Accent3 5 3 2 2 3" xfId="13040" xr:uid="{00000000-0005-0000-0000-0000D13C0000}"/>
    <cellStyle name="40% - Accent3 5 3 2 2 3 2" xfId="36889" xr:uid="{56DB2EF0-7700-4542-860F-E48CB337B6BD}"/>
    <cellStyle name="40% - Accent3 5 3 2 2 4" xfId="20995" xr:uid="{00000000-0005-0000-0000-0000D23C0000}"/>
    <cellStyle name="40% - Accent3 5 3 2 2 4 2" xfId="44827" xr:uid="{F3E747F2-B72A-4A94-9C48-03F8C6A1535C}"/>
    <cellStyle name="40% - Accent3 5 3 2 2 5" xfId="28948" xr:uid="{ECD56A88-7F33-4A32-8A5F-8FD008FBA0F4}"/>
    <cellStyle name="40% - Accent3 5 3 2 3" xfId="6849" xr:uid="{00000000-0005-0000-0000-0000D33C0000}"/>
    <cellStyle name="40% - Accent3 5 3 2 3 2" xfId="14820" xr:uid="{00000000-0005-0000-0000-0000D43C0000}"/>
    <cellStyle name="40% - Accent3 5 3 2 3 2 2" xfId="38662" xr:uid="{0335C941-CD8B-4ADC-9994-DA36143CB1F1}"/>
    <cellStyle name="40% - Accent3 5 3 2 3 3" xfId="22767" xr:uid="{00000000-0005-0000-0000-0000D53C0000}"/>
    <cellStyle name="40% - Accent3 5 3 2 3 3 2" xfId="46599" xr:uid="{467E82E6-1135-4726-B565-F5E8B179A05C}"/>
    <cellStyle name="40% - Accent3 5 3 2 3 4" xfId="30721" xr:uid="{F91FCE04-8E3A-4BB6-9443-A522CF75D58E}"/>
    <cellStyle name="40% - Accent3 5 3 2 4" xfId="11284" xr:uid="{00000000-0005-0000-0000-0000D63C0000}"/>
    <cellStyle name="40% - Accent3 5 3 2 4 2" xfId="35133" xr:uid="{544218EE-42E4-4C7F-85F4-768F78C567FD}"/>
    <cellStyle name="40% - Accent3 5 3 2 5" xfId="19239" xr:uid="{00000000-0005-0000-0000-0000D73C0000}"/>
    <cellStyle name="40% - Accent3 5 3 2 5 2" xfId="43071" xr:uid="{49348345-D912-4985-8482-8CAA47530089}"/>
    <cellStyle name="40% - Accent3 5 3 2 6" xfId="27191" xr:uid="{2B015D54-EB53-4568-AC4A-9814519DE9B0}"/>
    <cellStyle name="40% - Accent3 5 3 2_Exh G" xfId="3008" xr:uid="{00000000-0005-0000-0000-0000D83C0000}"/>
    <cellStyle name="40% - Accent3 5 3 3" xfId="4138" xr:uid="{00000000-0005-0000-0000-0000D93C0000}"/>
    <cellStyle name="40% - Accent3 5 3 3 2" xfId="7730" xr:uid="{00000000-0005-0000-0000-0000DA3C0000}"/>
    <cellStyle name="40% - Accent3 5 3 3 2 2" xfId="15700" xr:uid="{00000000-0005-0000-0000-0000DB3C0000}"/>
    <cellStyle name="40% - Accent3 5 3 3 2 2 2" xfId="39542" xr:uid="{78F68F46-90CE-4272-8862-F987A0751DC6}"/>
    <cellStyle name="40% - Accent3 5 3 3 2 3" xfId="23646" xr:uid="{00000000-0005-0000-0000-0000DC3C0000}"/>
    <cellStyle name="40% - Accent3 5 3 3 2 3 2" xfId="47478" xr:uid="{8EA10B4E-350A-4C1E-8CB2-E54DAC2F97F2}"/>
    <cellStyle name="40% - Accent3 5 3 3 2 4" xfId="31601" xr:uid="{973184E0-A689-4FFE-A77E-D17E8FB03E53}"/>
    <cellStyle name="40% - Accent3 5 3 3 3" xfId="12162" xr:uid="{00000000-0005-0000-0000-0000DD3C0000}"/>
    <cellStyle name="40% - Accent3 5 3 3 3 2" xfId="36011" xr:uid="{65638C12-0F64-41A6-A50A-3B3F30CC544A}"/>
    <cellStyle name="40% - Accent3 5 3 3 4" xfId="20117" xr:uid="{00000000-0005-0000-0000-0000DE3C0000}"/>
    <cellStyle name="40% - Accent3 5 3 3 4 2" xfId="43949" xr:uid="{A8CFE94A-7024-41AF-AEF7-7BF5967B718B}"/>
    <cellStyle name="40% - Accent3 5 3 3 5" xfId="28070" xr:uid="{80C78B21-D334-4686-80EB-31D5363302F0}"/>
    <cellStyle name="40% - Accent3 5 3 4" xfId="5958" xr:uid="{00000000-0005-0000-0000-0000DF3C0000}"/>
    <cellStyle name="40% - Accent3 5 3 4 2" xfId="13941" xr:uid="{00000000-0005-0000-0000-0000E03C0000}"/>
    <cellStyle name="40% - Accent3 5 3 4 2 2" xfId="37784" xr:uid="{BACEDF0D-0E86-4504-9E1C-BFAD37465E35}"/>
    <cellStyle name="40% - Accent3 5 3 4 3" xfId="21889" xr:uid="{00000000-0005-0000-0000-0000E13C0000}"/>
    <cellStyle name="40% - Accent3 5 3 4 3 2" xfId="45721" xr:uid="{33AC0374-1741-4513-AC8F-516D356B5689}"/>
    <cellStyle name="40% - Accent3 5 3 4 4" xfId="29843" xr:uid="{514D2ECE-206D-4C84-9A35-05C93AAA4BF3}"/>
    <cellStyle name="40% - Accent3 5 3 5" xfId="9510" xr:uid="{00000000-0005-0000-0000-0000E23C0000}"/>
    <cellStyle name="40% - Accent3 5 3 5 2" xfId="17468" xr:uid="{00000000-0005-0000-0000-0000E33C0000}"/>
    <cellStyle name="40% - Accent3 5 3 5 2 2" xfId="41308" xr:uid="{BC517358-7A8B-421F-B25A-BD562E765CBC}"/>
    <cellStyle name="40% - Accent3 5 3 5 3" xfId="25412" xr:uid="{00000000-0005-0000-0000-0000E43C0000}"/>
    <cellStyle name="40% - Accent3 5 3 5 3 2" xfId="49244" xr:uid="{ADE0159C-5B29-4CD4-AF5E-D9DCBB46A0A0}"/>
    <cellStyle name="40% - Accent3 5 3 5 4" xfId="33367" xr:uid="{4AA8F6A0-90BF-41BF-8F7C-5A7E7EA11D31}"/>
    <cellStyle name="40% - Accent3 5 3 6" xfId="10406" xr:uid="{00000000-0005-0000-0000-0000E53C0000}"/>
    <cellStyle name="40% - Accent3 5 3 6 2" xfId="34255" xr:uid="{4956579B-CE9B-4446-B3A3-8E59C63FD479}"/>
    <cellStyle name="40% - Accent3 5 3 7" xfId="18361" xr:uid="{00000000-0005-0000-0000-0000E63C0000}"/>
    <cellStyle name="40% - Accent3 5 3 7 2" xfId="42193" xr:uid="{FE8D7184-EF8F-4696-8743-1EC6C2C2CECB}"/>
    <cellStyle name="40% - Accent3 5 3 8" xfId="26313" xr:uid="{B9A97F0E-155F-40EC-8428-65599DBE8156}"/>
    <cellStyle name="40% - Accent3 5 3_Exh G" xfId="3007" xr:uid="{00000000-0005-0000-0000-0000E73C0000}"/>
    <cellStyle name="40% - Accent3 5 4" xfId="962" xr:uid="{00000000-0005-0000-0000-0000E83C0000}"/>
    <cellStyle name="40% - Accent3 5 5" xfId="1487" xr:uid="{00000000-0005-0000-0000-0000E93C0000}"/>
    <cellStyle name="40% - Accent3 5 5 2" xfId="5014" xr:uid="{00000000-0005-0000-0000-0000EA3C0000}"/>
    <cellStyle name="40% - Accent3 5 5 2 2" xfId="8605" xr:uid="{00000000-0005-0000-0000-0000EB3C0000}"/>
    <cellStyle name="40% - Accent3 5 5 2 2 2" xfId="16575" xr:uid="{00000000-0005-0000-0000-0000EC3C0000}"/>
    <cellStyle name="40% - Accent3 5 5 2 2 2 2" xfId="40417" xr:uid="{07CE8FD3-9557-4426-818A-ED7BB6BADC11}"/>
    <cellStyle name="40% - Accent3 5 5 2 2 3" xfId="24521" xr:uid="{00000000-0005-0000-0000-0000ED3C0000}"/>
    <cellStyle name="40% - Accent3 5 5 2 2 3 2" xfId="48353" xr:uid="{4A4F497F-BB0B-4013-B235-383C48739DA8}"/>
    <cellStyle name="40% - Accent3 5 5 2 2 4" xfId="32476" xr:uid="{29084226-2955-44ED-BD0B-6E0AD71297FA}"/>
    <cellStyle name="40% - Accent3 5 5 2 3" xfId="13037" xr:uid="{00000000-0005-0000-0000-0000EE3C0000}"/>
    <cellStyle name="40% - Accent3 5 5 2 3 2" xfId="36886" xr:uid="{B8CD4170-3C59-4378-AABB-3895550B2DB9}"/>
    <cellStyle name="40% - Accent3 5 5 2 4" xfId="20992" xr:uid="{00000000-0005-0000-0000-0000EF3C0000}"/>
    <cellStyle name="40% - Accent3 5 5 2 4 2" xfId="44824" xr:uid="{5F5C6DE9-E2D8-466E-BC50-C284E6966CD0}"/>
    <cellStyle name="40% - Accent3 5 5 2 5" xfId="28945" xr:uid="{F80F348E-C1F5-4162-AE5F-DA9BB0AB6292}"/>
    <cellStyle name="40% - Accent3 5 5 3" xfId="6846" xr:uid="{00000000-0005-0000-0000-0000F03C0000}"/>
    <cellStyle name="40% - Accent3 5 5 3 2" xfId="14817" xr:uid="{00000000-0005-0000-0000-0000F13C0000}"/>
    <cellStyle name="40% - Accent3 5 5 3 2 2" xfId="38659" xr:uid="{E01C5E26-E661-4C82-BCBD-5B6CF6885510}"/>
    <cellStyle name="40% - Accent3 5 5 3 3" xfId="22764" xr:uid="{00000000-0005-0000-0000-0000F23C0000}"/>
    <cellStyle name="40% - Accent3 5 5 3 3 2" xfId="46596" xr:uid="{D6DA661A-ED6B-44C4-9575-F893DBF1CF93}"/>
    <cellStyle name="40% - Accent3 5 5 3 4" xfId="30718" xr:uid="{232B04EC-3FDF-4B42-88CB-2E5BA85E6B25}"/>
    <cellStyle name="40% - Accent3 5 5 4" xfId="11281" xr:uid="{00000000-0005-0000-0000-0000F33C0000}"/>
    <cellStyle name="40% - Accent3 5 5 4 2" xfId="35130" xr:uid="{C2EF1E76-8D58-434C-859A-838F37D9547F}"/>
    <cellStyle name="40% - Accent3 5 5 5" xfId="19236" xr:uid="{00000000-0005-0000-0000-0000F43C0000}"/>
    <cellStyle name="40% - Accent3 5 5 5 2" xfId="43068" xr:uid="{AB9E2696-3D7D-41E7-9757-72E89731F592}"/>
    <cellStyle name="40% - Accent3 5 5 6" xfId="27188" xr:uid="{662C1E2C-100D-4590-8300-06BCB28E3E2F}"/>
    <cellStyle name="40% - Accent3 5 5_Exh G" xfId="3009" xr:uid="{00000000-0005-0000-0000-0000F53C0000}"/>
    <cellStyle name="40% - Accent3 5 6" xfId="4135" xr:uid="{00000000-0005-0000-0000-0000F63C0000}"/>
    <cellStyle name="40% - Accent3 5 6 2" xfId="7727" xr:uid="{00000000-0005-0000-0000-0000F73C0000}"/>
    <cellStyle name="40% - Accent3 5 6 2 2" xfId="15697" xr:uid="{00000000-0005-0000-0000-0000F83C0000}"/>
    <cellStyle name="40% - Accent3 5 6 2 2 2" xfId="39539" xr:uid="{38553734-0394-4806-AD9D-E936C51F6739}"/>
    <cellStyle name="40% - Accent3 5 6 2 3" xfId="23643" xr:uid="{00000000-0005-0000-0000-0000F93C0000}"/>
    <cellStyle name="40% - Accent3 5 6 2 3 2" xfId="47475" xr:uid="{ED396163-B5E5-4560-95DF-37E4915975CF}"/>
    <cellStyle name="40% - Accent3 5 6 2 4" xfId="31598" xr:uid="{B16C2136-2A61-4AE3-8779-F2067444205A}"/>
    <cellStyle name="40% - Accent3 5 6 3" xfId="12159" xr:uid="{00000000-0005-0000-0000-0000FA3C0000}"/>
    <cellStyle name="40% - Accent3 5 6 3 2" xfId="36008" xr:uid="{292A8B01-7E93-48CC-8D67-B11D082077C7}"/>
    <cellStyle name="40% - Accent3 5 6 4" xfId="20114" xr:uid="{00000000-0005-0000-0000-0000FB3C0000}"/>
    <cellStyle name="40% - Accent3 5 6 4 2" xfId="43946" xr:uid="{17A8A62A-E607-49A2-84E8-FF4483835D65}"/>
    <cellStyle name="40% - Accent3 5 6 5" xfId="28067" xr:uid="{FF61AA36-7D46-46BE-955B-2CDDB71E020A}"/>
    <cellStyle name="40% - Accent3 5 7" xfId="5955" xr:uid="{00000000-0005-0000-0000-0000FC3C0000}"/>
    <cellStyle name="40% - Accent3 5 7 2" xfId="13938" xr:uid="{00000000-0005-0000-0000-0000FD3C0000}"/>
    <cellStyle name="40% - Accent3 5 7 2 2" xfId="37781" xr:uid="{04F44D6B-53CB-437E-80C7-B667B765409F}"/>
    <cellStyle name="40% - Accent3 5 7 3" xfId="21886" xr:uid="{00000000-0005-0000-0000-0000FE3C0000}"/>
    <cellStyle name="40% - Accent3 5 7 3 2" xfId="45718" xr:uid="{9A0C430C-9C17-4116-8FEC-C006BB86A163}"/>
    <cellStyle name="40% - Accent3 5 7 4" xfId="29840" xr:uid="{05A99103-46F4-4450-AE35-67299281EAAE}"/>
    <cellStyle name="40% - Accent3 5 8" xfId="9507" xr:uid="{00000000-0005-0000-0000-0000FF3C0000}"/>
    <cellStyle name="40% - Accent3 5 8 2" xfId="17465" xr:uid="{00000000-0005-0000-0000-0000003D0000}"/>
    <cellStyle name="40% - Accent3 5 8 2 2" xfId="41305" xr:uid="{4A07ECC9-7BBF-40C8-8292-2268054EFC79}"/>
    <cellStyle name="40% - Accent3 5 8 3" xfId="25409" xr:uid="{00000000-0005-0000-0000-0000013D0000}"/>
    <cellStyle name="40% - Accent3 5 8 3 2" xfId="49241" xr:uid="{9A8FCC1C-A8D7-46FE-8B84-A05B05C1C839}"/>
    <cellStyle name="40% - Accent3 5 8 4" xfId="33364" xr:uid="{5AD4AB67-E00E-490D-8EF8-989A552AD9CB}"/>
    <cellStyle name="40% - Accent3 5 9" xfId="10403" xr:uid="{00000000-0005-0000-0000-0000023D0000}"/>
    <cellStyle name="40% - Accent3 5 9 2" xfId="34252" xr:uid="{65033F5B-CD03-4848-8FC4-F0F5C12CBC0C}"/>
    <cellStyle name="40% - Accent3 5_Exh G" xfId="3002" xr:uid="{00000000-0005-0000-0000-0000033D0000}"/>
    <cellStyle name="40% - Accent3 6" xfId="465" xr:uid="{00000000-0005-0000-0000-0000043D0000}"/>
    <cellStyle name="40% - Accent3 6 10" xfId="18362" xr:uid="{00000000-0005-0000-0000-0000053D0000}"/>
    <cellStyle name="40% - Accent3 6 10 2" xfId="42194" xr:uid="{2C2ECC1B-F4CD-4571-B04B-E53945526B20}"/>
    <cellStyle name="40% - Accent3 6 11" xfId="26314" xr:uid="{A5E39A5D-2169-4A86-B787-D0BD23ADD179}"/>
    <cellStyle name="40% - Accent3 6 2" xfId="466" xr:uid="{00000000-0005-0000-0000-0000063D0000}"/>
    <cellStyle name="40% - Accent3 6 2 2" xfId="467" xr:uid="{00000000-0005-0000-0000-0000073D0000}"/>
    <cellStyle name="40% - Accent3 6 2 2 2" xfId="1493" xr:uid="{00000000-0005-0000-0000-0000083D0000}"/>
    <cellStyle name="40% - Accent3 6 2 2 2 2" xfId="5020" xr:uid="{00000000-0005-0000-0000-0000093D0000}"/>
    <cellStyle name="40% - Accent3 6 2 2 2 2 2" xfId="8611" xr:uid="{00000000-0005-0000-0000-00000A3D0000}"/>
    <cellStyle name="40% - Accent3 6 2 2 2 2 2 2" xfId="16581" xr:uid="{00000000-0005-0000-0000-00000B3D0000}"/>
    <cellStyle name="40% - Accent3 6 2 2 2 2 2 2 2" xfId="40423" xr:uid="{C22EE272-F954-4B4F-94E8-75F689057C76}"/>
    <cellStyle name="40% - Accent3 6 2 2 2 2 2 3" xfId="24527" xr:uid="{00000000-0005-0000-0000-00000C3D0000}"/>
    <cellStyle name="40% - Accent3 6 2 2 2 2 2 3 2" xfId="48359" xr:uid="{2FDD233A-2F1D-4B23-9B59-06B2679AA552}"/>
    <cellStyle name="40% - Accent3 6 2 2 2 2 2 4" xfId="32482" xr:uid="{55253A9C-00F5-4143-8E15-85581DE1ABFA}"/>
    <cellStyle name="40% - Accent3 6 2 2 2 2 3" xfId="13043" xr:uid="{00000000-0005-0000-0000-00000D3D0000}"/>
    <cellStyle name="40% - Accent3 6 2 2 2 2 3 2" xfId="36892" xr:uid="{E28AE9A3-F044-47A9-AEEB-2477AEA7DA4B}"/>
    <cellStyle name="40% - Accent3 6 2 2 2 2 4" xfId="20998" xr:uid="{00000000-0005-0000-0000-00000E3D0000}"/>
    <cellStyle name="40% - Accent3 6 2 2 2 2 4 2" xfId="44830" xr:uid="{499C8746-2D2C-4DF4-B404-CFC62405D7DF}"/>
    <cellStyle name="40% - Accent3 6 2 2 2 2 5" xfId="28951" xr:uid="{B944932B-50D9-4F89-8A38-C97D7DFC9449}"/>
    <cellStyle name="40% - Accent3 6 2 2 2 3" xfId="6852" xr:uid="{00000000-0005-0000-0000-00000F3D0000}"/>
    <cellStyle name="40% - Accent3 6 2 2 2 3 2" xfId="14823" xr:uid="{00000000-0005-0000-0000-0000103D0000}"/>
    <cellStyle name="40% - Accent3 6 2 2 2 3 2 2" xfId="38665" xr:uid="{63A119D5-7346-45DE-9FDF-03AD84755832}"/>
    <cellStyle name="40% - Accent3 6 2 2 2 3 3" xfId="22770" xr:uid="{00000000-0005-0000-0000-0000113D0000}"/>
    <cellStyle name="40% - Accent3 6 2 2 2 3 3 2" xfId="46602" xr:uid="{2F232F7E-BD13-43CA-8911-E7085EAD2F40}"/>
    <cellStyle name="40% - Accent3 6 2 2 2 3 4" xfId="30724" xr:uid="{2D95219C-C14A-422C-912B-D336AE61CC2F}"/>
    <cellStyle name="40% - Accent3 6 2 2 2 4" xfId="11287" xr:uid="{00000000-0005-0000-0000-0000123D0000}"/>
    <cellStyle name="40% - Accent3 6 2 2 2 4 2" xfId="35136" xr:uid="{99FA36BA-7C00-487F-9B46-A492ED3F3237}"/>
    <cellStyle name="40% - Accent3 6 2 2 2 5" xfId="19242" xr:uid="{00000000-0005-0000-0000-0000133D0000}"/>
    <cellStyle name="40% - Accent3 6 2 2 2 5 2" xfId="43074" xr:uid="{054A49B5-46E5-4C4E-BB4B-449502C53840}"/>
    <cellStyle name="40% - Accent3 6 2 2 2 6" xfId="27194" xr:uid="{A7411BD5-7645-4C66-8C61-C12C26150FEA}"/>
    <cellStyle name="40% - Accent3 6 2 2 2_Exh G" xfId="3013" xr:uid="{00000000-0005-0000-0000-0000143D0000}"/>
    <cellStyle name="40% - Accent3 6 2 2 3" xfId="4141" xr:uid="{00000000-0005-0000-0000-0000153D0000}"/>
    <cellStyle name="40% - Accent3 6 2 2 3 2" xfId="7733" xr:uid="{00000000-0005-0000-0000-0000163D0000}"/>
    <cellStyle name="40% - Accent3 6 2 2 3 2 2" xfId="15703" xr:uid="{00000000-0005-0000-0000-0000173D0000}"/>
    <cellStyle name="40% - Accent3 6 2 2 3 2 2 2" xfId="39545" xr:uid="{B6161E30-E8FB-4CD6-B7E2-1582BE86DBDA}"/>
    <cellStyle name="40% - Accent3 6 2 2 3 2 3" xfId="23649" xr:uid="{00000000-0005-0000-0000-0000183D0000}"/>
    <cellStyle name="40% - Accent3 6 2 2 3 2 3 2" xfId="47481" xr:uid="{926AC158-0D57-46C2-A452-AF8BEA532BD2}"/>
    <cellStyle name="40% - Accent3 6 2 2 3 2 4" xfId="31604" xr:uid="{E9F71281-E58F-4179-80BA-ADE742B1E90B}"/>
    <cellStyle name="40% - Accent3 6 2 2 3 3" xfId="12165" xr:uid="{00000000-0005-0000-0000-0000193D0000}"/>
    <cellStyle name="40% - Accent3 6 2 2 3 3 2" xfId="36014" xr:uid="{F0577C94-6C92-4742-8729-4DCBBC798D46}"/>
    <cellStyle name="40% - Accent3 6 2 2 3 4" xfId="20120" xr:uid="{00000000-0005-0000-0000-00001A3D0000}"/>
    <cellStyle name="40% - Accent3 6 2 2 3 4 2" xfId="43952" xr:uid="{ECB12E09-A716-4570-9C2A-1AC95B97030C}"/>
    <cellStyle name="40% - Accent3 6 2 2 3 5" xfId="28073" xr:uid="{645260B4-0DE3-4ED2-9C8C-547426EE7C9D}"/>
    <cellStyle name="40% - Accent3 6 2 2 4" xfId="5961" xr:uid="{00000000-0005-0000-0000-00001B3D0000}"/>
    <cellStyle name="40% - Accent3 6 2 2 4 2" xfId="13944" xr:uid="{00000000-0005-0000-0000-00001C3D0000}"/>
    <cellStyle name="40% - Accent3 6 2 2 4 2 2" xfId="37787" xr:uid="{FDAA13E7-2275-4B82-8CE5-B6FA7DC684BD}"/>
    <cellStyle name="40% - Accent3 6 2 2 4 3" xfId="21892" xr:uid="{00000000-0005-0000-0000-00001D3D0000}"/>
    <cellStyle name="40% - Accent3 6 2 2 4 3 2" xfId="45724" xr:uid="{700A224A-430B-4541-A06B-A239AB555961}"/>
    <cellStyle name="40% - Accent3 6 2 2 4 4" xfId="29846" xr:uid="{E4426295-40BA-405B-9528-E69DCE81C18D}"/>
    <cellStyle name="40% - Accent3 6 2 2 5" xfId="9513" xr:uid="{00000000-0005-0000-0000-00001E3D0000}"/>
    <cellStyle name="40% - Accent3 6 2 2 5 2" xfId="17471" xr:uid="{00000000-0005-0000-0000-00001F3D0000}"/>
    <cellStyle name="40% - Accent3 6 2 2 5 2 2" xfId="41311" xr:uid="{BD679AA6-392E-41D5-B9D5-21D809BC6510}"/>
    <cellStyle name="40% - Accent3 6 2 2 5 3" xfId="25415" xr:uid="{00000000-0005-0000-0000-0000203D0000}"/>
    <cellStyle name="40% - Accent3 6 2 2 5 3 2" xfId="49247" xr:uid="{E88717F8-1457-4B17-8C80-53F4EE069780}"/>
    <cellStyle name="40% - Accent3 6 2 2 5 4" xfId="33370" xr:uid="{4D7C2D9C-F759-44FF-8250-4D272F21C10B}"/>
    <cellStyle name="40% - Accent3 6 2 2 6" xfId="10409" xr:uid="{00000000-0005-0000-0000-0000213D0000}"/>
    <cellStyle name="40% - Accent3 6 2 2 6 2" xfId="34258" xr:uid="{8EA324BB-F4C8-4598-B761-C656309868C1}"/>
    <cellStyle name="40% - Accent3 6 2 2 7" xfId="18364" xr:uid="{00000000-0005-0000-0000-0000223D0000}"/>
    <cellStyle name="40% - Accent3 6 2 2 7 2" xfId="42196" xr:uid="{99BEA2C7-12BE-4E8B-BFB7-65A377B008B7}"/>
    <cellStyle name="40% - Accent3 6 2 2 8" xfId="26316" xr:uid="{65BC651F-2E1C-42A0-B0D0-4E46128F0548}"/>
    <cellStyle name="40% - Accent3 6 2 2_Exh G" xfId="3012" xr:uid="{00000000-0005-0000-0000-0000233D0000}"/>
    <cellStyle name="40% - Accent3 6 2 3" xfId="1492" xr:uid="{00000000-0005-0000-0000-0000243D0000}"/>
    <cellStyle name="40% - Accent3 6 2 3 2" xfId="5019" xr:uid="{00000000-0005-0000-0000-0000253D0000}"/>
    <cellStyle name="40% - Accent3 6 2 3 2 2" xfId="8610" xr:uid="{00000000-0005-0000-0000-0000263D0000}"/>
    <cellStyle name="40% - Accent3 6 2 3 2 2 2" xfId="16580" xr:uid="{00000000-0005-0000-0000-0000273D0000}"/>
    <cellStyle name="40% - Accent3 6 2 3 2 2 2 2" xfId="40422" xr:uid="{E25705A7-599F-4EE2-8D54-302AA725ED9A}"/>
    <cellStyle name="40% - Accent3 6 2 3 2 2 3" xfId="24526" xr:uid="{00000000-0005-0000-0000-0000283D0000}"/>
    <cellStyle name="40% - Accent3 6 2 3 2 2 3 2" xfId="48358" xr:uid="{FDD5EE51-A55D-4396-8FBE-64EAC710B65B}"/>
    <cellStyle name="40% - Accent3 6 2 3 2 2 4" xfId="32481" xr:uid="{6809D469-88F5-4BF3-B384-C63B88DFD11C}"/>
    <cellStyle name="40% - Accent3 6 2 3 2 3" xfId="13042" xr:uid="{00000000-0005-0000-0000-0000293D0000}"/>
    <cellStyle name="40% - Accent3 6 2 3 2 3 2" xfId="36891" xr:uid="{52E4C576-2379-46CC-8E88-CB933CE042DF}"/>
    <cellStyle name="40% - Accent3 6 2 3 2 4" xfId="20997" xr:uid="{00000000-0005-0000-0000-00002A3D0000}"/>
    <cellStyle name="40% - Accent3 6 2 3 2 4 2" xfId="44829" xr:uid="{DAAD5005-E204-403D-9198-2A0F2E18B38C}"/>
    <cellStyle name="40% - Accent3 6 2 3 2 5" xfId="28950" xr:uid="{D298080A-8F6A-4AEE-B295-E940A8EA22E9}"/>
    <cellStyle name="40% - Accent3 6 2 3 3" xfId="6851" xr:uid="{00000000-0005-0000-0000-00002B3D0000}"/>
    <cellStyle name="40% - Accent3 6 2 3 3 2" xfId="14822" xr:uid="{00000000-0005-0000-0000-00002C3D0000}"/>
    <cellStyle name="40% - Accent3 6 2 3 3 2 2" xfId="38664" xr:uid="{10EBDF70-3A5C-4C09-B14F-911C5326DD4C}"/>
    <cellStyle name="40% - Accent3 6 2 3 3 3" xfId="22769" xr:uid="{00000000-0005-0000-0000-00002D3D0000}"/>
    <cellStyle name="40% - Accent3 6 2 3 3 3 2" xfId="46601" xr:uid="{38ABADF0-91F2-4854-B47C-2297DBFCBDCA}"/>
    <cellStyle name="40% - Accent3 6 2 3 3 4" xfId="30723" xr:uid="{28DA7FEE-DA4D-4A40-A48E-AA115F0F329F}"/>
    <cellStyle name="40% - Accent3 6 2 3 4" xfId="11286" xr:uid="{00000000-0005-0000-0000-00002E3D0000}"/>
    <cellStyle name="40% - Accent3 6 2 3 4 2" xfId="35135" xr:uid="{2C51651D-2340-4199-9342-ABEE914C7225}"/>
    <cellStyle name="40% - Accent3 6 2 3 5" xfId="19241" xr:uid="{00000000-0005-0000-0000-00002F3D0000}"/>
    <cellStyle name="40% - Accent3 6 2 3 5 2" xfId="43073" xr:uid="{46434758-DD77-490A-ADC6-D47C6EA4EE28}"/>
    <cellStyle name="40% - Accent3 6 2 3 6" xfId="27193" xr:uid="{155181D2-D803-46F3-9CD0-A48CA8C29E6B}"/>
    <cellStyle name="40% - Accent3 6 2 3_Exh G" xfId="3014" xr:uid="{00000000-0005-0000-0000-0000303D0000}"/>
    <cellStyle name="40% - Accent3 6 2 4" xfId="4140" xr:uid="{00000000-0005-0000-0000-0000313D0000}"/>
    <cellStyle name="40% - Accent3 6 2 4 2" xfId="7732" xr:uid="{00000000-0005-0000-0000-0000323D0000}"/>
    <cellStyle name="40% - Accent3 6 2 4 2 2" xfId="15702" xr:uid="{00000000-0005-0000-0000-0000333D0000}"/>
    <cellStyle name="40% - Accent3 6 2 4 2 2 2" xfId="39544" xr:uid="{7DEA4153-A6BB-4421-AE14-244EE7748D2F}"/>
    <cellStyle name="40% - Accent3 6 2 4 2 3" xfId="23648" xr:uid="{00000000-0005-0000-0000-0000343D0000}"/>
    <cellStyle name="40% - Accent3 6 2 4 2 3 2" xfId="47480" xr:uid="{D1594209-5CBE-4DD1-B166-BE2A4A7E1C89}"/>
    <cellStyle name="40% - Accent3 6 2 4 2 4" xfId="31603" xr:uid="{7AF55663-B7B3-43C9-9E21-DE205BC02083}"/>
    <cellStyle name="40% - Accent3 6 2 4 3" xfId="12164" xr:uid="{00000000-0005-0000-0000-0000353D0000}"/>
    <cellStyle name="40% - Accent3 6 2 4 3 2" xfId="36013" xr:uid="{5F4A8ACB-3EF8-417E-B5E8-9F2A9CA41BB1}"/>
    <cellStyle name="40% - Accent3 6 2 4 4" xfId="20119" xr:uid="{00000000-0005-0000-0000-0000363D0000}"/>
    <cellStyle name="40% - Accent3 6 2 4 4 2" xfId="43951" xr:uid="{67E04B7E-4FA1-4059-A60E-CD2E61CDA7F7}"/>
    <cellStyle name="40% - Accent3 6 2 4 5" xfId="28072" xr:uid="{C23AD7A3-70B5-4DC9-83E5-B4139E14A11C}"/>
    <cellStyle name="40% - Accent3 6 2 5" xfId="5960" xr:uid="{00000000-0005-0000-0000-0000373D0000}"/>
    <cellStyle name="40% - Accent3 6 2 5 2" xfId="13943" xr:uid="{00000000-0005-0000-0000-0000383D0000}"/>
    <cellStyle name="40% - Accent3 6 2 5 2 2" xfId="37786" xr:uid="{48561BFB-8D80-4A11-984C-CC1821D56E78}"/>
    <cellStyle name="40% - Accent3 6 2 5 3" xfId="21891" xr:uid="{00000000-0005-0000-0000-0000393D0000}"/>
    <cellStyle name="40% - Accent3 6 2 5 3 2" xfId="45723" xr:uid="{00471CAA-8416-4CBE-B54B-BF9710A942F5}"/>
    <cellStyle name="40% - Accent3 6 2 5 4" xfId="29845" xr:uid="{15376615-33AB-4917-8B26-1643704B5A87}"/>
    <cellStyle name="40% - Accent3 6 2 6" xfId="9512" xr:uid="{00000000-0005-0000-0000-00003A3D0000}"/>
    <cellStyle name="40% - Accent3 6 2 6 2" xfId="17470" xr:uid="{00000000-0005-0000-0000-00003B3D0000}"/>
    <cellStyle name="40% - Accent3 6 2 6 2 2" xfId="41310" xr:uid="{A60DEB05-FBF2-4148-ABF0-ED2268DF805E}"/>
    <cellStyle name="40% - Accent3 6 2 6 3" xfId="25414" xr:uid="{00000000-0005-0000-0000-00003C3D0000}"/>
    <cellStyle name="40% - Accent3 6 2 6 3 2" xfId="49246" xr:uid="{0C72DABF-7EF8-464B-9D92-E92AF7E0F262}"/>
    <cellStyle name="40% - Accent3 6 2 6 4" xfId="33369" xr:uid="{948F1C6B-1AA7-4192-BA6E-A6E57CA6DEF4}"/>
    <cellStyle name="40% - Accent3 6 2 7" xfId="10408" xr:uid="{00000000-0005-0000-0000-00003D3D0000}"/>
    <cellStyle name="40% - Accent3 6 2 7 2" xfId="34257" xr:uid="{BE0BF767-1C15-417D-AAB1-D1CE879241CE}"/>
    <cellStyle name="40% - Accent3 6 2 8" xfId="18363" xr:uid="{00000000-0005-0000-0000-00003E3D0000}"/>
    <cellStyle name="40% - Accent3 6 2 8 2" xfId="42195" xr:uid="{B96933A3-C84C-4143-A3B7-0A050A91C62C}"/>
    <cellStyle name="40% - Accent3 6 2 9" xfId="26315" xr:uid="{A3E86D69-5B78-4A32-8AF3-27EC54E13826}"/>
    <cellStyle name="40% - Accent3 6 2_Exh G" xfId="3011" xr:uid="{00000000-0005-0000-0000-00003F3D0000}"/>
    <cellStyle name="40% - Accent3 6 3" xfId="468" xr:uid="{00000000-0005-0000-0000-0000403D0000}"/>
    <cellStyle name="40% - Accent3 6 3 2" xfId="1494" xr:uid="{00000000-0005-0000-0000-0000413D0000}"/>
    <cellStyle name="40% - Accent3 6 3 2 2" xfId="5021" xr:uid="{00000000-0005-0000-0000-0000423D0000}"/>
    <cellStyle name="40% - Accent3 6 3 2 2 2" xfId="8612" xr:uid="{00000000-0005-0000-0000-0000433D0000}"/>
    <cellStyle name="40% - Accent3 6 3 2 2 2 2" xfId="16582" xr:uid="{00000000-0005-0000-0000-0000443D0000}"/>
    <cellStyle name="40% - Accent3 6 3 2 2 2 2 2" xfId="40424" xr:uid="{4DBF41F9-7A65-4593-91D8-F3EB83D62AC0}"/>
    <cellStyle name="40% - Accent3 6 3 2 2 2 3" xfId="24528" xr:uid="{00000000-0005-0000-0000-0000453D0000}"/>
    <cellStyle name="40% - Accent3 6 3 2 2 2 3 2" xfId="48360" xr:uid="{B0D3A823-F4E9-4C8D-8071-E2D96D061E17}"/>
    <cellStyle name="40% - Accent3 6 3 2 2 2 4" xfId="32483" xr:uid="{1ED6A8AD-1444-4679-82C3-56CA7CDF3924}"/>
    <cellStyle name="40% - Accent3 6 3 2 2 3" xfId="13044" xr:uid="{00000000-0005-0000-0000-0000463D0000}"/>
    <cellStyle name="40% - Accent3 6 3 2 2 3 2" xfId="36893" xr:uid="{31FCDAA3-BD19-4A11-A2B2-8F330A0987DA}"/>
    <cellStyle name="40% - Accent3 6 3 2 2 4" xfId="20999" xr:uid="{00000000-0005-0000-0000-0000473D0000}"/>
    <cellStyle name="40% - Accent3 6 3 2 2 4 2" xfId="44831" xr:uid="{1AAEBA4E-A2FA-4390-ABA8-E746136A020D}"/>
    <cellStyle name="40% - Accent3 6 3 2 2 5" xfId="28952" xr:uid="{1667FB2F-EB4D-4A68-A92A-625C56FFFC0D}"/>
    <cellStyle name="40% - Accent3 6 3 2 3" xfId="6853" xr:uid="{00000000-0005-0000-0000-0000483D0000}"/>
    <cellStyle name="40% - Accent3 6 3 2 3 2" xfId="14824" xr:uid="{00000000-0005-0000-0000-0000493D0000}"/>
    <cellStyle name="40% - Accent3 6 3 2 3 2 2" xfId="38666" xr:uid="{0535F4DB-F7EC-4419-A687-3074E23E4873}"/>
    <cellStyle name="40% - Accent3 6 3 2 3 3" xfId="22771" xr:uid="{00000000-0005-0000-0000-00004A3D0000}"/>
    <cellStyle name="40% - Accent3 6 3 2 3 3 2" xfId="46603" xr:uid="{0CDE0599-BB79-4821-BC75-7133E4ED9DE3}"/>
    <cellStyle name="40% - Accent3 6 3 2 3 4" xfId="30725" xr:uid="{E8BF512B-AEDE-49C8-BCFD-DA1F5BA0A62E}"/>
    <cellStyle name="40% - Accent3 6 3 2 4" xfId="11288" xr:uid="{00000000-0005-0000-0000-00004B3D0000}"/>
    <cellStyle name="40% - Accent3 6 3 2 4 2" xfId="35137" xr:uid="{11A155F1-B1EB-4756-9FBF-E80A58BEF514}"/>
    <cellStyle name="40% - Accent3 6 3 2 5" xfId="19243" xr:uid="{00000000-0005-0000-0000-00004C3D0000}"/>
    <cellStyle name="40% - Accent3 6 3 2 5 2" xfId="43075" xr:uid="{85D1CE5A-3DF3-4C8C-91EC-E92BD5FBBD99}"/>
    <cellStyle name="40% - Accent3 6 3 2 6" xfId="27195" xr:uid="{15BC886C-7BD9-4CE6-841B-9533C67ACCC0}"/>
    <cellStyle name="40% - Accent3 6 3 2_Exh G" xfId="3016" xr:uid="{00000000-0005-0000-0000-00004D3D0000}"/>
    <cellStyle name="40% - Accent3 6 3 3" xfId="4142" xr:uid="{00000000-0005-0000-0000-00004E3D0000}"/>
    <cellStyle name="40% - Accent3 6 3 3 2" xfId="7734" xr:uid="{00000000-0005-0000-0000-00004F3D0000}"/>
    <cellStyle name="40% - Accent3 6 3 3 2 2" xfId="15704" xr:uid="{00000000-0005-0000-0000-0000503D0000}"/>
    <cellStyle name="40% - Accent3 6 3 3 2 2 2" xfId="39546" xr:uid="{B280C621-188C-4F55-A55D-486EB47E3E7D}"/>
    <cellStyle name="40% - Accent3 6 3 3 2 3" xfId="23650" xr:uid="{00000000-0005-0000-0000-0000513D0000}"/>
    <cellStyle name="40% - Accent3 6 3 3 2 3 2" xfId="47482" xr:uid="{FD7F69C8-753E-4296-B81D-43EE6C64391D}"/>
    <cellStyle name="40% - Accent3 6 3 3 2 4" xfId="31605" xr:uid="{086F0C24-F3EB-4D5F-A8F3-F8A30CADE232}"/>
    <cellStyle name="40% - Accent3 6 3 3 3" xfId="12166" xr:uid="{00000000-0005-0000-0000-0000523D0000}"/>
    <cellStyle name="40% - Accent3 6 3 3 3 2" xfId="36015" xr:uid="{9F29CD13-1A79-4DAD-8BD7-E9B84C0F0B45}"/>
    <cellStyle name="40% - Accent3 6 3 3 4" xfId="20121" xr:uid="{00000000-0005-0000-0000-0000533D0000}"/>
    <cellStyle name="40% - Accent3 6 3 3 4 2" xfId="43953" xr:uid="{A818F5C5-79B9-4836-99EF-44211CF237A5}"/>
    <cellStyle name="40% - Accent3 6 3 3 5" xfId="28074" xr:uid="{D92FF9A0-8D13-4F3B-9EDE-D0A2B10A697C}"/>
    <cellStyle name="40% - Accent3 6 3 4" xfId="5962" xr:uid="{00000000-0005-0000-0000-0000543D0000}"/>
    <cellStyle name="40% - Accent3 6 3 4 2" xfId="13945" xr:uid="{00000000-0005-0000-0000-0000553D0000}"/>
    <cellStyle name="40% - Accent3 6 3 4 2 2" xfId="37788" xr:uid="{344E0D4D-800F-49CE-BD43-7B7E06647AB4}"/>
    <cellStyle name="40% - Accent3 6 3 4 3" xfId="21893" xr:uid="{00000000-0005-0000-0000-0000563D0000}"/>
    <cellStyle name="40% - Accent3 6 3 4 3 2" xfId="45725" xr:uid="{9CA2863E-4E40-494A-BEEC-FF750C906C71}"/>
    <cellStyle name="40% - Accent3 6 3 4 4" xfId="29847" xr:uid="{254022BA-D61E-4478-AFD9-E610B411738B}"/>
    <cellStyle name="40% - Accent3 6 3 5" xfId="9514" xr:uid="{00000000-0005-0000-0000-0000573D0000}"/>
    <cellStyle name="40% - Accent3 6 3 5 2" xfId="17472" xr:uid="{00000000-0005-0000-0000-0000583D0000}"/>
    <cellStyle name="40% - Accent3 6 3 5 2 2" xfId="41312" xr:uid="{05415A29-C88D-4B07-A778-203C4071AE33}"/>
    <cellStyle name="40% - Accent3 6 3 5 3" xfId="25416" xr:uid="{00000000-0005-0000-0000-0000593D0000}"/>
    <cellStyle name="40% - Accent3 6 3 5 3 2" xfId="49248" xr:uid="{82DB924F-3303-40CA-8D81-6652917808B8}"/>
    <cellStyle name="40% - Accent3 6 3 5 4" xfId="33371" xr:uid="{74B44E46-74B8-4F6C-A7E9-515D3216C1E7}"/>
    <cellStyle name="40% - Accent3 6 3 6" xfId="10410" xr:uid="{00000000-0005-0000-0000-00005A3D0000}"/>
    <cellStyle name="40% - Accent3 6 3 6 2" xfId="34259" xr:uid="{C35E3728-A54A-4E77-A39D-23BD80DE1417}"/>
    <cellStyle name="40% - Accent3 6 3 7" xfId="18365" xr:uid="{00000000-0005-0000-0000-00005B3D0000}"/>
    <cellStyle name="40% - Accent3 6 3 7 2" xfId="42197" xr:uid="{E4564DF0-3059-4328-A7BC-9A791420D2D4}"/>
    <cellStyle name="40% - Accent3 6 3 8" xfId="26317" xr:uid="{691EC888-C0CB-4EDE-937C-EBCFF9ABCD05}"/>
    <cellStyle name="40% - Accent3 6 3_Exh G" xfId="3015" xr:uid="{00000000-0005-0000-0000-00005C3D0000}"/>
    <cellStyle name="40% - Accent3 6 4" xfId="963" xr:uid="{00000000-0005-0000-0000-00005D3D0000}"/>
    <cellStyle name="40% - Accent3 6 4 2" xfId="1878" xr:uid="{00000000-0005-0000-0000-00005E3D0000}"/>
    <cellStyle name="40% - Accent3 6 4 2 2" xfId="5395" xr:uid="{00000000-0005-0000-0000-00005F3D0000}"/>
    <cellStyle name="40% - Accent3 6 4 2 2 2" xfId="8986" xr:uid="{00000000-0005-0000-0000-0000603D0000}"/>
    <cellStyle name="40% - Accent3 6 4 2 2 2 2" xfId="16956" xr:uid="{00000000-0005-0000-0000-0000613D0000}"/>
    <cellStyle name="40% - Accent3 6 4 2 2 2 2 2" xfId="40798" xr:uid="{F0F7F94A-A64E-41B0-AE9A-1237936257A2}"/>
    <cellStyle name="40% - Accent3 6 4 2 2 2 3" xfId="24902" xr:uid="{00000000-0005-0000-0000-0000623D0000}"/>
    <cellStyle name="40% - Accent3 6 4 2 2 2 3 2" xfId="48734" xr:uid="{22CD4EE1-B29C-4219-BC80-8FB54163BC7F}"/>
    <cellStyle name="40% - Accent3 6 4 2 2 2 4" xfId="32857" xr:uid="{2035DD3F-38EE-4728-A3F6-730CC92900C6}"/>
    <cellStyle name="40% - Accent3 6 4 2 2 3" xfId="13418" xr:uid="{00000000-0005-0000-0000-0000633D0000}"/>
    <cellStyle name="40% - Accent3 6 4 2 2 3 2" xfId="37267" xr:uid="{323D4B35-C1CA-4F3A-B826-ED9A4EF3EB3B}"/>
    <cellStyle name="40% - Accent3 6 4 2 2 4" xfId="21373" xr:uid="{00000000-0005-0000-0000-0000643D0000}"/>
    <cellStyle name="40% - Accent3 6 4 2 2 4 2" xfId="45205" xr:uid="{7339787D-EDC5-47C9-A279-B9325F81AAB2}"/>
    <cellStyle name="40% - Accent3 6 4 2 2 5" xfId="29326" xr:uid="{829AC789-0D1B-4624-8F3B-367548D2E497}"/>
    <cellStyle name="40% - Accent3 6 4 2 3" xfId="7227" xr:uid="{00000000-0005-0000-0000-0000653D0000}"/>
    <cellStyle name="40% - Accent3 6 4 2 3 2" xfId="15198" xr:uid="{00000000-0005-0000-0000-0000663D0000}"/>
    <cellStyle name="40% - Accent3 6 4 2 3 2 2" xfId="39040" xr:uid="{249A9963-0B06-4FD2-A58D-915060804FEB}"/>
    <cellStyle name="40% - Accent3 6 4 2 3 3" xfId="23145" xr:uid="{00000000-0005-0000-0000-0000673D0000}"/>
    <cellStyle name="40% - Accent3 6 4 2 3 3 2" xfId="46977" xr:uid="{21A32CC9-D405-4C02-9958-33A8E7439315}"/>
    <cellStyle name="40% - Accent3 6 4 2 3 4" xfId="31099" xr:uid="{D19CDD9D-E9C0-45A2-B0F8-36BD3338702F}"/>
    <cellStyle name="40% - Accent3 6 4 2 4" xfId="11662" xr:uid="{00000000-0005-0000-0000-0000683D0000}"/>
    <cellStyle name="40% - Accent3 6 4 2 4 2" xfId="35511" xr:uid="{045A42BD-C4F1-4E06-92E9-1ACE92FBD37F}"/>
    <cellStyle name="40% - Accent3 6 4 2 5" xfId="19617" xr:uid="{00000000-0005-0000-0000-0000693D0000}"/>
    <cellStyle name="40% - Accent3 6 4 2 5 2" xfId="43449" xr:uid="{3DC8135B-D761-4DA3-A675-8A4206A3F66E}"/>
    <cellStyle name="40% - Accent3 6 4 2 6" xfId="27569" xr:uid="{DFDB6F2F-2A9A-4342-A9A4-DE91439614C1}"/>
    <cellStyle name="40% - Accent3 6 4 2_Exh G" xfId="3018" xr:uid="{00000000-0005-0000-0000-00006A3D0000}"/>
    <cellStyle name="40% - Accent3 6 4 3" xfId="4516" xr:uid="{00000000-0005-0000-0000-00006B3D0000}"/>
    <cellStyle name="40% - Accent3 6 4 3 2" xfId="8108" xr:uid="{00000000-0005-0000-0000-00006C3D0000}"/>
    <cellStyle name="40% - Accent3 6 4 3 2 2" xfId="16078" xr:uid="{00000000-0005-0000-0000-00006D3D0000}"/>
    <cellStyle name="40% - Accent3 6 4 3 2 2 2" xfId="39920" xr:uid="{27F1AB3D-8367-4538-BB9F-1C69BA263DB4}"/>
    <cellStyle name="40% - Accent3 6 4 3 2 3" xfId="24024" xr:uid="{00000000-0005-0000-0000-00006E3D0000}"/>
    <cellStyle name="40% - Accent3 6 4 3 2 3 2" xfId="47856" xr:uid="{654BA144-183E-4B2E-ABE6-53EBC7D0D0DD}"/>
    <cellStyle name="40% - Accent3 6 4 3 2 4" xfId="31979" xr:uid="{0D010307-A8F1-4419-BC16-CE424632A7A0}"/>
    <cellStyle name="40% - Accent3 6 4 3 3" xfId="12540" xr:uid="{00000000-0005-0000-0000-00006F3D0000}"/>
    <cellStyle name="40% - Accent3 6 4 3 3 2" xfId="36389" xr:uid="{47A7C48D-1899-414C-8482-57EB2672A806}"/>
    <cellStyle name="40% - Accent3 6 4 3 4" xfId="20495" xr:uid="{00000000-0005-0000-0000-0000703D0000}"/>
    <cellStyle name="40% - Accent3 6 4 3 4 2" xfId="44327" xr:uid="{E0E7DEE2-42D6-4A14-BAE6-83891B1790E6}"/>
    <cellStyle name="40% - Accent3 6 4 3 5" xfId="28448" xr:uid="{42626888-4430-4847-93FC-16EA392D7AFB}"/>
    <cellStyle name="40% - Accent3 6 4 4" xfId="6346" xr:uid="{00000000-0005-0000-0000-0000713D0000}"/>
    <cellStyle name="40% - Accent3 6 4 4 2" xfId="14320" xr:uid="{00000000-0005-0000-0000-0000723D0000}"/>
    <cellStyle name="40% - Accent3 6 4 4 2 2" xfId="38162" xr:uid="{64F7D51B-0786-4E35-A73A-45A1967835A0}"/>
    <cellStyle name="40% - Accent3 6 4 4 3" xfId="22267" xr:uid="{00000000-0005-0000-0000-0000733D0000}"/>
    <cellStyle name="40% - Accent3 6 4 4 3 2" xfId="46099" xr:uid="{3FB1DCF4-6CF8-4D86-B454-BAA71231EA90}"/>
    <cellStyle name="40% - Accent3 6 4 4 4" xfId="30221" xr:uid="{25C06128-1FAA-4AFC-A2F8-4CEFAD96BD85}"/>
    <cellStyle name="40% - Accent3 6 4 5" xfId="9888" xr:uid="{00000000-0005-0000-0000-0000743D0000}"/>
    <cellStyle name="40% - Accent3 6 4 5 2" xfId="17846" xr:uid="{00000000-0005-0000-0000-0000753D0000}"/>
    <cellStyle name="40% - Accent3 6 4 5 2 2" xfId="41686" xr:uid="{BC61DE62-0468-4404-B170-5069D1321B8B}"/>
    <cellStyle name="40% - Accent3 6 4 5 3" xfId="25790" xr:uid="{00000000-0005-0000-0000-0000763D0000}"/>
    <cellStyle name="40% - Accent3 6 4 5 3 2" xfId="49622" xr:uid="{696EE77F-6889-40B4-8A6A-664B66B3A14D}"/>
    <cellStyle name="40% - Accent3 6 4 5 4" xfId="33745" xr:uid="{67AC06F7-C2EA-4D8B-A004-6EB8CB86828E}"/>
    <cellStyle name="40% - Accent3 6 4 6" xfId="10784" xr:uid="{00000000-0005-0000-0000-0000773D0000}"/>
    <cellStyle name="40% - Accent3 6 4 6 2" xfId="34633" xr:uid="{AD46D1B2-6734-445B-8271-81769ED4C8DF}"/>
    <cellStyle name="40% - Accent3 6 4 7" xfId="18739" xr:uid="{00000000-0005-0000-0000-0000783D0000}"/>
    <cellStyle name="40% - Accent3 6 4 7 2" xfId="42571" xr:uid="{F3DD2C32-335D-46F8-8C72-223657E1587D}"/>
    <cellStyle name="40% - Accent3 6 4 8" xfId="26691" xr:uid="{9467DB7D-1FAC-4399-A432-3C43EB0E0FBD}"/>
    <cellStyle name="40% - Accent3 6 4_Exh G" xfId="3017" xr:uid="{00000000-0005-0000-0000-0000793D0000}"/>
    <cellStyle name="40% - Accent3 6 5" xfId="1491" xr:uid="{00000000-0005-0000-0000-00007A3D0000}"/>
    <cellStyle name="40% - Accent3 6 5 2" xfId="5018" xr:uid="{00000000-0005-0000-0000-00007B3D0000}"/>
    <cellStyle name="40% - Accent3 6 5 2 2" xfId="8609" xr:uid="{00000000-0005-0000-0000-00007C3D0000}"/>
    <cellStyle name="40% - Accent3 6 5 2 2 2" xfId="16579" xr:uid="{00000000-0005-0000-0000-00007D3D0000}"/>
    <cellStyle name="40% - Accent3 6 5 2 2 2 2" xfId="40421" xr:uid="{42028488-E390-4C83-8E8F-4B2AE310708C}"/>
    <cellStyle name="40% - Accent3 6 5 2 2 3" xfId="24525" xr:uid="{00000000-0005-0000-0000-00007E3D0000}"/>
    <cellStyle name="40% - Accent3 6 5 2 2 3 2" xfId="48357" xr:uid="{93ADFCE2-982F-4865-A97A-215783952F62}"/>
    <cellStyle name="40% - Accent3 6 5 2 2 4" xfId="32480" xr:uid="{4B8857C3-7014-410E-BFE8-1907B539381F}"/>
    <cellStyle name="40% - Accent3 6 5 2 3" xfId="13041" xr:uid="{00000000-0005-0000-0000-00007F3D0000}"/>
    <cellStyle name="40% - Accent3 6 5 2 3 2" xfId="36890" xr:uid="{587F4C5C-1901-47B7-81F0-DFBF2D98ED6F}"/>
    <cellStyle name="40% - Accent3 6 5 2 4" xfId="20996" xr:uid="{00000000-0005-0000-0000-0000803D0000}"/>
    <cellStyle name="40% - Accent3 6 5 2 4 2" xfId="44828" xr:uid="{6C84190D-33AC-40AC-9FFB-27956A0C60D3}"/>
    <cellStyle name="40% - Accent3 6 5 2 5" xfId="28949" xr:uid="{04FEED16-84CA-4800-8CAF-13F3B814952D}"/>
    <cellStyle name="40% - Accent3 6 5 3" xfId="6850" xr:uid="{00000000-0005-0000-0000-0000813D0000}"/>
    <cellStyle name="40% - Accent3 6 5 3 2" xfId="14821" xr:uid="{00000000-0005-0000-0000-0000823D0000}"/>
    <cellStyle name="40% - Accent3 6 5 3 2 2" xfId="38663" xr:uid="{A45CF1DA-0947-4494-9816-958426EFA734}"/>
    <cellStyle name="40% - Accent3 6 5 3 3" xfId="22768" xr:uid="{00000000-0005-0000-0000-0000833D0000}"/>
    <cellStyle name="40% - Accent3 6 5 3 3 2" xfId="46600" xr:uid="{7FE2E08A-8B6D-4FB9-9B9B-995A748D3E23}"/>
    <cellStyle name="40% - Accent3 6 5 3 4" xfId="30722" xr:uid="{198DD657-7CFD-410B-84F6-443504E9365C}"/>
    <cellStyle name="40% - Accent3 6 5 4" xfId="11285" xr:uid="{00000000-0005-0000-0000-0000843D0000}"/>
    <cellStyle name="40% - Accent3 6 5 4 2" xfId="35134" xr:uid="{B4193659-3B99-4EBA-865E-F59DB2FBFF32}"/>
    <cellStyle name="40% - Accent3 6 5 5" xfId="19240" xr:uid="{00000000-0005-0000-0000-0000853D0000}"/>
    <cellStyle name="40% - Accent3 6 5 5 2" xfId="43072" xr:uid="{12B8D28C-8D69-4425-8D44-429C3683030C}"/>
    <cellStyle name="40% - Accent3 6 5 6" xfId="27192" xr:uid="{F10BF448-5892-4AE8-9DF4-F80BD8615877}"/>
    <cellStyle name="40% - Accent3 6 5_Exh G" xfId="3019" xr:uid="{00000000-0005-0000-0000-0000863D0000}"/>
    <cellStyle name="40% - Accent3 6 6" xfId="4139" xr:uid="{00000000-0005-0000-0000-0000873D0000}"/>
    <cellStyle name="40% - Accent3 6 6 2" xfId="7731" xr:uid="{00000000-0005-0000-0000-0000883D0000}"/>
    <cellStyle name="40% - Accent3 6 6 2 2" xfId="15701" xr:uid="{00000000-0005-0000-0000-0000893D0000}"/>
    <cellStyle name="40% - Accent3 6 6 2 2 2" xfId="39543" xr:uid="{7A0C5602-E731-4446-9797-F51E038483DF}"/>
    <cellStyle name="40% - Accent3 6 6 2 3" xfId="23647" xr:uid="{00000000-0005-0000-0000-00008A3D0000}"/>
    <cellStyle name="40% - Accent3 6 6 2 3 2" xfId="47479" xr:uid="{7C35295C-159B-4508-859C-D5FE6A21E379}"/>
    <cellStyle name="40% - Accent3 6 6 2 4" xfId="31602" xr:uid="{C102B895-DF8D-4EFF-B037-D9FF4090AEC6}"/>
    <cellStyle name="40% - Accent3 6 6 3" xfId="12163" xr:uid="{00000000-0005-0000-0000-00008B3D0000}"/>
    <cellStyle name="40% - Accent3 6 6 3 2" xfId="36012" xr:uid="{65C7EE4F-06D7-466B-9947-4BCEA4C67534}"/>
    <cellStyle name="40% - Accent3 6 6 4" xfId="20118" xr:uid="{00000000-0005-0000-0000-00008C3D0000}"/>
    <cellStyle name="40% - Accent3 6 6 4 2" xfId="43950" xr:uid="{25166C21-B834-4517-B87C-A4D7BCF0F5DD}"/>
    <cellStyle name="40% - Accent3 6 6 5" xfId="28071" xr:uid="{70794B69-24A2-4DC0-926D-532982AD5303}"/>
    <cellStyle name="40% - Accent3 6 7" xfId="5959" xr:uid="{00000000-0005-0000-0000-00008D3D0000}"/>
    <cellStyle name="40% - Accent3 6 7 2" xfId="13942" xr:uid="{00000000-0005-0000-0000-00008E3D0000}"/>
    <cellStyle name="40% - Accent3 6 7 2 2" xfId="37785" xr:uid="{8358E9CC-60BE-4C6E-8937-5C165CA676CA}"/>
    <cellStyle name="40% - Accent3 6 7 3" xfId="21890" xr:uid="{00000000-0005-0000-0000-00008F3D0000}"/>
    <cellStyle name="40% - Accent3 6 7 3 2" xfId="45722" xr:uid="{40D7D55F-0AC2-4C68-BD82-02A50A8E0722}"/>
    <cellStyle name="40% - Accent3 6 7 4" xfId="29844" xr:uid="{C6968D4A-EF55-4A1B-9B8C-4CF5BF364C38}"/>
    <cellStyle name="40% - Accent3 6 8" xfId="9511" xr:uid="{00000000-0005-0000-0000-0000903D0000}"/>
    <cellStyle name="40% - Accent3 6 8 2" xfId="17469" xr:uid="{00000000-0005-0000-0000-0000913D0000}"/>
    <cellStyle name="40% - Accent3 6 8 2 2" xfId="41309" xr:uid="{C4D8E2FC-8E5A-4DA2-AC00-1F7833A3A099}"/>
    <cellStyle name="40% - Accent3 6 8 3" xfId="25413" xr:uid="{00000000-0005-0000-0000-0000923D0000}"/>
    <cellStyle name="40% - Accent3 6 8 3 2" xfId="49245" xr:uid="{7A74C7DD-C6AF-4ED6-B545-AD8FC29783BF}"/>
    <cellStyle name="40% - Accent3 6 8 4" xfId="33368" xr:uid="{9D6D6657-5F5C-4E71-9C58-E7CA5C5373A0}"/>
    <cellStyle name="40% - Accent3 6 9" xfId="10407" xr:uid="{00000000-0005-0000-0000-0000933D0000}"/>
    <cellStyle name="40% - Accent3 6 9 2" xfId="34256" xr:uid="{9E7CC1D7-8015-4CF5-AEE5-993244AAD871}"/>
    <cellStyle name="40% - Accent3 6_Exh G" xfId="3010" xr:uid="{00000000-0005-0000-0000-0000943D0000}"/>
    <cellStyle name="40% - Accent3 7" xfId="469" xr:uid="{00000000-0005-0000-0000-0000953D0000}"/>
    <cellStyle name="40% - Accent3 7 10" xfId="18366" xr:uid="{00000000-0005-0000-0000-0000963D0000}"/>
    <cellStyle name="40% - Accent3 7 10 2" xfId="42198" xr:uid="{674B1147-4E5E-4F56-BD15-FAB8584D9F04}"/>
    <cellStyle name="40% - Accent3 7 11" xfId="26318" xr:uid="{03799E87-9755-4674-B457-4412808ACC52}"/>
    <cellStyle name="40% - Accent3 7 2" xfId="470" xr:uid="{00000000-0005-0000-0000-0000973D0000}"/>
    <cellStyle name="40% - Accent3 7 2 2" xfId="471" xr:uid="{00000000-0005-0000-0000-0000983D0000}"/>
    <cellStyle name="40% - Accent3 7 2 2 2" xfId="1497" xr:uid="{00000000-0005-0000-0000-0000993D0000}"/>
    <cellStyle name="40% - Accent3 7 2 2 2 2" xfId="5024" xr:uid="{00000000-0005-0000-0000-00009A3D0000}"/>
    <cellStyle name="40% - Accent3 7 2 2 2 2 2" xfId="8615" xr:uid="{00000000-0005-0000-0000-00009B3D0000}"/>
    <cellStyle name="40% - Accent3 7 2 2 2 2 2 2" xfId="16585" xr:uid="{00000000-0005-0000-0000-00009C3D0000}"/>
    <cellStyle name="40% - Accent3 7 2 2 2 2 2 2 2" xfId="40427" xr:uid="{E69FCAD8-281B-4523-9D2C-DBCF78D05FE5}"/>
    <cellStyle name="40% - Accent3 7 2 2 2 2 2 3" xfId="24531" xr:uid="{00000000-0005-0000-0000-00009D3D0000}"/>
    <cellStyle name="40% - Accent3 7 2 2 2 2 2 3 2" xfId="48363" xr:uid="{12ECB9C4-261B-4E89-AECE-21EDB0B7C290}"/>
    <cellStyle name="40% - Accent3 7 2 2 2 2 2 4" xfId="32486" xr:uid="{DB6300B1-0F9D-4F20-B7C9-0ADB7569F935}"/>
    <cellStyle name="40% - Accent3 7 2 2 2 2 3" xfId="13047" xr:uid="{00000000-0005-0000-0000-00009E3D0000}"/>
    <cellStyle name="40% - Accent3 7 2 2 2 2 3 2" xfId="36896" xr:uid="{6704D1F4-D7F8-4BBE-82E4-0805D1FEE0AF}"/>
    <cellStyle name="40% - Accent3 7 2 2 2 2 4" xfId="21002" xr:uid="{00000000-0005-0000-0000-00009F3D0000}"/>
    <cellStyle name="40% - Accent3 7 2 2 2 2 4 2" xfId="44834" xr:uid="{08A7B630-F5D7-425C-955D-EA7DAD486F15}"/>
    <cellStyle name="40% - Accent3 7 2 2 2 2 5" xfId="28955" xr:uid="{88E19AB1-DF5E-4215-B849-C4E980EE1852}"/>
    <cellStyle name="40% - Accent3 7 2 2 2 3" xfId="6856" xr:uid="{00000000-0005-0000-0000-0000A03D0000}"/>
    <cellStyle name="40% - Accent3 7 2 2 2 3 2" xfId="14827" xr:uid="{00000000-0005-0000-0000-0000A13D0000}"/>
    <cellStyle name="40% - Accent3 7 2 2 2 3 2 2" xfId="38669" xr:uid="{395DD813-680F-435D-8609-0887E8B4EAC5}"/>
    <cellStyle name="40% - Accent3 7 2 2 2 3 3" xfId="22774" xr:uid="{00000000-0005-0000-0000-0000A23D0000}"/>
    <cellStyle name="40% - Accent3 7 2 2 2 3 3 2" xfId="46606" xr:uid="{C55D2FEA-33F0-4682-9335-E61DEC4B7937}"/>
    <cellStyle name="40% - Accent3 7 2 2 2 3 4" xfId="30728" xr:uid="{0F2176D2-5B64-4AC3-8DA2-4BAB38F47C05}"/>
    <cellStyle name="40% - Accent3 7 2 2 2 4" xfId="11291" xr:uid="{00000000-0005-0000-0000-0000A33D0000}"/>
    <cellStyle name="40% - Accent3 7 2 2 2 4 2" xfId="35140" xr:uid="{DB86FB56-A818-4760-83F9-F33C0FFB7412}"/>
    <cellStyle name="40% - Accent3 7 2 2 2 5" xfId="19246" xr:uid="{00000000-0005-0000-0000-0000A43D0000}"/>
    <cellStyle name="40% - Accent3 7 2 2 2 5 2" xfId="43078" xr:uid="{925A86CD-3106-44DF-A32E-7C12C2999B72}"/>
    <cellStyle name="40% - Accent3 7 2 2 2 6" xfId="27198" xr:uid="{8C5D9B71-DC3B-4FBA-810A-36659E31E3F0}"/>
    <cellStyle name="40% - Accent3 7 2 2 2_Exh G" xfId="3023" xr:uid="{00000000-0005-0000-0000-0000A53D0000}"/>
    <cellStyle name="40% - Accent3 7 2 2 3" xfId="4145" xr:uid="{00000000-0005-0000-0000-0000A63D0000}"/>
    <cellStyle name="40% - Accent3 7 2 2 3 2" xfId="7737" xr:uid="{00000000-0005-0000-0000-0000A73D0000}"/>
    <cellStyle name="40% - Accent3 7 2 2 3 2 2" xfId="15707" xr:uid="{00000000-0005-0000-0000-0000A83D0000}"/>
    <cellStyle name="40% - Accent3 7 2 2 3 2 2 2" xfId="39549" xr:uid="{78F56B78-7F9F-4312-B237-86E4B43ECC38}"/>
    <cellStyle name="40% - Accent3 7 2 2 3 2 3" xfId="23653" xr:uid="{00000000-0005-0000-0000-0000A93D0000}"/>
    <cellStyle name="40% - Accent3 7 2 2 3 2 3 2" xfId="47485" xr:uid="{395E84C3-AFAB-41DB-A436-8403B72F4062}"/>
    <cellStyle name="40% - Accent3 7 2 2 3 2 4" xfId="31608" xr:uid="{85D86DE1-75D3-4729-B70E-5CEAB5B01F2C}"/>
    <cellStyle name="40% - Accent3 7 2 2 3 3" xfId="12169" xr:uid="{00000000-0005-0000-0000-0000AA3D0000}"/>
    <cellStyle name="40% - Accent3 7 2 2 3 3 2" xfId="36018" xr:uid="{5CD0055A-7034-47B9-8B3E-4F492F631F9D}"/>
    <cellStyle name="40% - Accent3 7 2 2 3 4" xfId="20124" xr:uid="{00000000-0005-0000-0000-0000AB3D0000}"/>
    <cellStyle name="40% - Accent3 7 2 2 3 4 2" xfId="43956" xr:uid="{E8E221AB-02B6-4C12-AFEB-5265AA62C920}"/>
    <cellStyle name="40% - Accent3 7 2 2 3 5" xfId="28077" xr:uid="{E276FBB3-ECD0-41B7-BBAA-A76A497B3B72}"/>
    <cellStyle name="40% - Accent3 7 2 2 4" xfId="5965" xr:uid="{00000000-0005-0000-0000-0000AC3D0000}"/>
    <cellStyle name="40% - Accent3 7 2 2 4 2" xfId="13948" xr:uid="{00000000-0005-0000-0000-0000AD3D0000}"/>
    <cellStyle name="40% - Accent3 7 2 2 4 2 2" xfId="37791" xr:uid="{E494E576-02B4-4AD4-A3D6-1AE9A57DF4A4}"/>
    <cellStyle name="40% - Accent3 7 2 2 4 3" xfId="21896" xr:uid="{00000000-0005-0000-0000-0000AE3D0000}"/>
    <cellStyle name="40% - Accent3 7 2 2 4 3 2" xfId="45728" xr:uid="{58049403-8A4B-4FD2-BABB-0C137C458C72}"/>
    <cellStyle name="40% - Accent3 7 2 2 4 4" xfId="29850" xr:uid="{BAF7943F-BE26-4DEE-9B6D-BC006FBA7AEE}"/>
    <cellStyle name="40% - Accent3 7 2 2 5" xfId="9517" xr:uid="{00000000-0005-0000-0000-0000AF3D0000}"/>
    <cellStyle name="40% - Accent3 7 2 2 5 2" xfId="17475" xr:uid="{00000000-0005-0000-0000-0000B03D0000}"/>
    <cellStyle name="40% - Accent3 7 2 2 5 2 2" xfId="41315" xr:uid="{B54FBAE6-327E-4F33-BECA-D36EA8C817D6}"/>
    <cellStyle name="40% - Accent3 7 2 2 5 3" xfId="25419" xr:uid="{00000000-0005-0000-0000-0000B13D0000}"/>
    <cellStyle name="40% - Accent3 7 2 2 5 3 2" xfId="49251" xr:uid="{266FA86B-E52C-4DE3-9799-404C2347A8F7}"/>
    <cellStyle name="40% - Accent3 7 2 2 5 4" xfId="33374" xr:uid="{100F84EE-9BD0-4BEC-8C80-1F1E03875250}"/>
    <cellStyle name="40% - Accent3 7 2 2 6" xfId="10413" xr:uid="{00000000-0005-0000-0000-0000B23D0000}"/>
    <cellStyle name="40% - Accent3 7 2 2 6 2" xfId="34262" xr:uid="{A799EE88-AA84-46F2-B1F1-119FCEFD3AAE}"/>
    <cellStyle name="40% - Accent3 7 2 2 7" xfId="18368" xr:uid="{00000000-0005-0000-0000-0000B33D0000}"/>
    <cellStyle name="40% - Accent3 7 2 2 7 2" xfId="42200" xr:uid="{D1C3B190-52CB-4834-8065-D089DE56D585}"/>
    <cellStyle name="40% - Accent3 7 2 2 8" xfId="26320" xr:uid="{5B1A8010-7AE2-41C4-8B2C-3AA986E860A3}"/>
    <cellStyle name="40% - Accent3 7 2 2_Exh G" xfId="3022" xr:uid="{00000000-0005-0000-0000-0000B43D0000}"/>
    <cellStyle name="40% - Accent3 7 2 3" xfId="1496" xr:uid="{00000000-0005-0000-0000-0000B53D0000}"/>
    <cellStyle name="40% - Accent3 7 2 3 2" xfId="5023" xr:uid="{00000000-0005-0000-0000-0000B63D0000}"/>
    <cellStyle name="40% - Accent3 7 2 3 2 2" xfId="8614" xr:uid="{00000000-0005-0000-0000-0000B73D0000}"/>
    <cellStyle name="40% - Accent3 7 2 3 2 2 2" xfId="16584" xr:uid="{00000000-0005-0000-0000-0000B83D0000}"/>
    <cellStyle name="40% - Accent3 7 2 3 2 2 2 2" xfId="40426" xr:uid="{11591CFD-018C-4781-A831-7545DD81B3C5}"/>
    <cellStyle name="40% - Accent3 7 2 3 2 2 3" xfId="24530" xr:uid="{00000000-0005-0000-0000-0000B93D0000}"/>
    <cellStyle name="40% - Accent3 7 2 3 2 2 3 2" xfId="48362" xr:uid="{B3EE5C3D-DA21-4C00-92F9-3022AF1CC054}"/>
    <cellStyle name="40% - Accent3 7 2 3 2 2 4" xfId="32485" xr:uid="{45F8DFF4-5933-4F8A-B679-FA805176D12E}"/>
    <cellStyle name="40% - Accent3 7 2 3 2 3" xfId="13046" xr:uid="{00000000-0005-0000-0000-0000BA3D0000}"/>
    <cellStyle name="40% - Accent3 7 2 3 2 3 2" xfId="36895" xr:uid="{7D6CA6FF-4FA6-4922-BF24-C86D12E0A8CF}"/>
    <cellStyle name="40% - Accent3 7 2 3 2 4" xfId="21001" xr:uid="{00000000-0005-0000-0000-0000BB3D0000}"/>
    <cellStyle name="40% - Accent3 7 2 3 2 4 2" xfId="44833" xr:uid="{D94E34D2-8B6E-47A2-B8E4-4999CF71B0CC}"/>
    <cellStyle name="40% - Accent3 7 2 3 2 5" xfId="28954" xr:uid="{38E0BDB2-76AE-40C7-B403-DBBE0848F590}"/>
    <cellStyle name="40% - Accent3 7 2 3 3" xfId="6855" xr:uid="{00000000-0005-0000-0000-0000BC3D0000}"/>
    <cellStyle name="40% - Accent3 7 2 3 3 2" xfId="14826" xr:uid="{00000000-0005-0000-0000-0000BD3D0000}"/>
    <cellStyle name="40% - Accent3 7 2 3 3 2 2" xfId="38668" xr:uid="{D63B4359-DA56-459A-84E2-109781A8CECD}"/>
    <cellStyle name="40% - Accent3 7 2 3 3 3" xfId="22773" xr:uid="{00000000-0005-0000-0000-0000BE3D0000}"/>
    <cellStyle name="40% - Accent3 7 2 3 3 3 2" xfId="46605" xr:uid="{17C7ECB9-C755-400F-B898-C19903D2B334}"/>
    <cellStyle name="40% - Accent3 7 2 3 3 4" xfId="30727" xr:uid="{24BF913E-8AA0-494D-9E2A-87399F828AC8}"/>
    <cellStyle name="40% - Accent3 7 2 3 4" xfId="11290" xr:uid="{00000000-0005-0000-0000-0000BF3D0000}"/>
    <cellStyle name="40% - Accent3 7 2 3 4 2" xfId="35139" xr:uid="{22B6FC52-8287-4836-B5A4-B5F9A3364878}"/>
    <cellStyle name="40% - Accent3 7 2 3 5" xfId="19245" xr:uid="{00000000-0005-0000-0000-0000C03D0000}"/>
    <cellStyle name="40% - Accent3 7 2 3 5 2" xfId="43077" xr:uid="{D0C07590-1084-4E14-9EDA-55B1403F63C7}"/>
    <cellStyle name="40% - Accent3 7 2 3 6" xfId="27197" xr:uid="{B92ACFB6-1C5E-42F9-9405-A7658CCD18A8}"/>
    <cellStyle name="40% - Accent3 7 2 3_Exh G" xfId="3024" xr:uid="{00000000-0005-0000-0000-0000C13D0000}"/>
    <cellStyle name="40% - Accent3 7 2 4" xfId="4144" xr:uid="{00000000-0005-0000-0000-0000C23D0000}"/>
    <cellStyle name="40% - Accent3 7 2 4 2" xfId="7736" xr:uid="{00000000-0005-0000-0000-0000C33D0000}"/>
    <cellStyle name="40% - Accent3 7 2 4 2 2" xfId="15706" xr:uid="{00000000-0005-0000-0000-0000C43D0000}"/>
    <cellStyle name="40% - Accent3 7 2 4 2 2 2" xfId="39548" xr:uid="{38C7CE01-FF25-40E3-BA60-2B60BB37057B}"/>
    <cellStyle name="40% - Accent3 7 2 4 2 3" xfId="23652" xr:uid="{00000000-0005-0000-0000-0000C53D0000}"/>
    <cellStyle name="40% - Accent3 7 2 4 2 3 2" xfId="47484" xr:uid="{779E10C4-7F73-4FA7-A70D-041B6A06424E}"/>
    <cellStyle name="40% - Accent3 7 2 4 2 4" xfId="31607" xr:uid="{D391F4F8-52A2-4056-96DD-FD11D6295175}"/>
    <cellStyle name="40% - Accent3 7 2 4 3" xfId="12168" xr:uid="{00000000-0005-0000-0000-0000C63D0000}"/>
    <cellStyle name="40% - Accent3 7 2 4 3 2" xfId="36017" xr:uid="{1F6D780A-3629-4A18-9DFB-6A9C9A245D56}"/>
    <cellStyle name="40% - Accent3 7 2 4 4" xfId="20123" xr:uid="{00000000-0005-0000-0000-0000C73D0000}"/>
    <cellStyle name="40% - Accent3 7 2 4 4 2" xfId="43955" xr:uid="{EB20622D-59B6-433E-A2EB-60C32137C774}"/>
    <cellStyle name="40% - Accent3 7 2 4 5" xfId="28076" xr:uid="{642BE44E-8639-4AA6-A93C-AF9C3E19203A}"/>
    <cellStyle name="40% - Accent3 7 2 5" xfId="5964" xr:uid="{00000000-0005-0000-0000-0000C83D0000}"/>
    <cellStyle name="40% - Accent3 7 2 5 2" xfId="13947" xr:uid="{00000000-0005-0000-0000-0000C93D0000}"/>
    <cellStyle name="40% - Accent3 7 2 5 2 2" xfId="37790" xr:uid="{A53A9A49-3D13-45D9-966B-D2B4A0904AD2}"/>
    <cellStyle name="40% - Accent3 7 2 5 3" xfId="21895" xr:uid="{00000000-0005-0000-0000-0000CA3D0000}"/>
    <cellStyle name="40% - Accent3 7 2 5 3 2" xfId="45727" xr:uid="{DAEC5B69-6219-494F-B918-43F129E4BB9E}"/>
    <cellStyle name="40% - Accent3 7 2 5 4" xfId="29849" xr:uid="{3B19D33E-086C-45E2-A6D8-1553B506E7FF}"/>
    <cellStyle name="40% - Accent3 7 2 6" xfId="9516" xr:uid="{00000000-0005-0000-0000-0000CB3D0000}"/>
    <cellStyle name="40% - Accent3 7 2 6 2" xfId="17474" xr:uid="{00000000-0005-0000-0000-0000CC3D0000}"/>
    <cellStyle name="40% - Accent3 7 2 6 2 2" xfId="41314" xr:uid="{F36284DA-EEC8-4DEC-AE55-80FC517746D1}"/>
    <cellStyle name="40% - Accent3 7 2 6 3" xfId="25418" xr:uid="{00000000-0005-0000-0000-0000CD3D0000}"/>
    <cellStyle name="40% - Accent3 7 2 6 3 2" xfId="49250" xr:uid="{0A0C004B-1D7A-4383-835F-CF64437F6A36}"/>
    <cellStyle name="40% - Accent3 7 2 6 4" xfId="33373" xr:uid="{67F7180A-BD33-4E18-9D93-6E0656D495A4}"/>
    <cellStyle name="40% - Accent3 7 2 7" xfId="10412" xr:uid="{00000000-0005-0000-0000-0000CE3D0000}"/>
    <cellStyle name="40% - Accent3 7 2 7 2" xfId="34261" xr:uid="{0F2231FA-3B1B-48BD-AF04-CB2BD8435F9B}"/>
    <cellStyle name="40% - Accent3 7 2 8" xfId="18367" xr:uid="{00000000-0005-0000-0000-0000CF3D0000}"/>
    <cellStyle name="40% - Accent3 7 2 8 2" xfId="42199" xr:uid="{A798AAE5-CC41-4A62-89E0-B2126E5B9D68}"/>
    <cellStyle name="40% - Accent3 7 2 9" xfId="26319" xr:uid="{CDDC4634-04C7-4DA6-A53C-770B24F0ECE1}"/>
    <cellStyle name="40% - Accent3 7 2_Exh G" xfId="3021" xr:uid="{00000000-0005-0000-0000-0000D03D0000}"/>
    <cellStyle name="40% - Accent3 7 3" xfId="472" xr:uid="{00000000-0005-0000-0000-0000D13D0000}"/>
    <cellStyle name="40% - Accent3 7 3 2" xfId="1498" xr:uid="{00000000-0005-0000-0000-0000D23D0000}"/>
    <cellStyle name="40% - Accent3 7 3 2 2" xfId="5025" xr:uid="{00000000-0005-0000-0000-0000D33D0000}"/>
    <cellStyle name="40% - Accent3 7 3 2 2 2" xfId="8616" xr:uid="{00000000-0005-0000-0000-0000D43D0000}"/>
    <cellStyle name="40% - Accent3 7 3 2 2 2 2" xfId="16586" xr:uid="{00000000-0005-0000-0000-0000D53D0000}"/>
    <cellStyle name="40% - Accent3 7 3 2 2 2 2 2" xfId="40428" xr:uid="{421A8F3B-4DB6-4A7B-BDE7-0BD60FCD6218}"/>
    <cellStyle name="40% - Accent3 7 3 2 2 2 3" xfId="24532" xr:uid="{00000000-0005-0000-0000-0000D63D0000}"/>
    <cellStyle name="40% - Accent3 7 3 2 2 2 3 2" xfId="48364" xr:uid="{11C1FFC2-5419-407A-88FA-2643F3BB90A6}"/>
    <cellStyle name="40% - Accent3 7 3 2 2 2 4" xfId="32487" xr:uid="{A6A622B6-2AA4-4085-A0A4-A9C884F3815E}"/>
    <cellStyle name="40% - Accent3 7 3 2 2 3" xfId="13048" xr:uid="{00000000-0005-0000-0000-0000D73D0000}"/>
    <cellStyle name="40% - Accent3 7 3 2 2 3 2" xfId="36897" xr:uid="{33496967-42B0-4FDB-9192-3F2CECA5586F}"/>
    <cellStyle name="40% - Accent3 7 3 2 2 4" xfId="21003" xr:uid="{00000000-0005-0000-0000-0000D83D0000}"/>
    <cellStyle name="40% - Accent3 7 3 2 2 4 2" xfId="44835" xr:uid="{B48210A8-E48C-4BFD-BD48-7AA8BF65A954}"/>
    <cellStyle name="40% - Accent3 7 3 2 2 5" xfId="28956" xr:uid="{0492644E-915C-46AB-87E2-699E49700091}"/>
    <cellStyle name="40% - Accent3 7 3 2 3" xfId="6857" xr:uid="{00000000-0005-0000-0000-0000D93D0000}"/>
    <cellStyle name="40% - Accent3 7 3 2 3 2" xfId="14828" xr:uid="{00000000-0005-0000-0000-0000DA3D0000}"/>
    <cellStyle name="40% - Accent3 7 3 2 3 2 2" xfId="38670" xr:uid="{6D48156E-B8AF-44ED-AE34-D94BDE3F9A40}"/>
    <cellStyle name="40% - Accent3 7 3 2 3 3" xfId="22775" xr:uid="{00000000-0005-0000-0000-0000DB3D0000}"/>
    <cellStyle name="40% - Accent3 7 3 2 3 3 2" xfId="46607" xr:uid="{A105D84D-8B55-41E4-A0F1-23F4BB894D21}"/>
    <cellStyle name="40% - Accent3 7 3 2 3 4" xfId="30729" xr:uid="{78420D95-743D-4652-9735-7C51AFF0EE49}"/>
    <cellStyle name="40% - Accent3 7 3 2 4" xfId="11292" xr:uid="{00000000-0005-0000-0000-0000DC3D0000}"/>
    <cellStyle name="40% - Accent3 7 3 2 4 2" xfId="35141" xr:uid="{DD8C6FD2-D4E0-46E2-9069-95C924661061}"/>
    <cellStyle name="40% - Accent3 7 3 2 5" xfId="19247" xr:uid="{00000000-0005-0000-0000-0000DD3D0000}"/>
    <cellStyle name="40% - Accent3 7 3 2 5 2" xfId="43079" xr:uid="{2E533F95-3F0D-4ED4-88E7-B4DF657566A7}"/>
    <cellStyle name="40% - Accent3 7 3 2 6" xfId="27199" xr:uid="{C1A729CE-23B4-4A43-9461-404893E3641E}"/>
    <cellStyle name="40% - Accent3 7 3 2_Exh G" xfId="3026" xr:uid="{00000000-0005-0000-0000-0000DE3D0000}"/>
    <cellStyle name="40% - Accent3 7 3 3" xfId="4146" xr:uid="{00000000-0005-0000-0000-0000DF3D0000}"/>
    <cellStyle name="40% - Accent3 7 3 3 2" xfId="7738" xr:uid="{00000000-0005-0000-0000-0000E03D0000}"/>
    <cellStyle name="40% - Accent3 7 3 3 2 2" xfId="15708" xr:uid="{00000000-0005-0000-0000-0000E13D0000}"/>
    <cellStyle name="40% - Accent3 7 3 3 2 2 2" xfId="39550" xr:uid="{BB830F56-55A6-47A9-9054-7EB876FA9567}"/>
    <cellStyle name="40% - Accent3 7 3 3 2 3" xfId="23654" xr:uid="{00000000-0005-0000-0000-0000E23D0000}"/>
    <cellStyle name="40% - Accent3 7 3 3 2 3 2" xfId="47486" xr:uid="{21D8D9CA-5769-4B3F-AF31-EB488594674E}"/>
    <cellStyle name="40% - Accent3 7 3 3 2 4" xfId="31609" xr:uid="{43D217DD-6BD4-4D02-8B0C-D07B5A4EF387}"/>
    <cellStyle name="40% - Accent3 7 3 3 3" xfId="12170" xr:uid="{00000000-0005-0000-0000-0000E33D0000}"/>
    <cellStyle name="40% - Accent3 7 3 3 3 2" xfId="36019" xr:uid="{5066A4C6-E864-4CF7-8E0D-656AB0107018}"/>
    <cellStyle name="40% - Accent3 7 3 3 4" xfId="20125" xr:uid="{00000000-0005-0000-0000-0000E43D0000}"/>
    <cellStyle name="40% - Accent3 7 3 3 4 2" xfId="43957" xr:uid="{59D5DE01-7F95-4750-A7BF-C60926A4F26E}"/>
    <cellStyle name="40% - Accent3 7 3 3 5" xfId="28078" xr:uid="{4B7485DF-CB1D-4175-894F-F4626034E4D1}"/>
    <cellStyle name="40% - Accent3 7 3 4" xfId="5966" xr:uid="{00000000-0005-0000-0000-0000E53D0000}"/>
    <cellStyle name="40% - Accent3 7 3 4 2" xfId="13949" xr:uid="{00000000-0005-0000-0000-0000E63D0000}"/>
    <cellStyle name="40% - Accent3 7 3 4 2 2" xfId="37792" xr:uid="{792B63AC-2DD2-414E-97B7-A7CA5F337E4A}"/>
    <cellStyle name="40% - Accent3 7 3 4 3" xfId="21897" xr:uid="{00000000-0005-0000-0000-0000E73D0000}"/>
    <cellStyle name="40% - Accent3 7 3 4 3 2" xfId="45729" xr:uid="{7B83C7C2-B641-4E14-B9B3-6422900673A7}"/>
    <cellStyle name="40% - Accent3 7 3 4 4" xfId="29851" xr:uid="{4D427C09-BED1-42C4-9B1B-2E3F639027B6}"/>
    <cellStyle name="40% - Accent3 7 3 5" xfId="9518" xr:uid="{00000000-0005-0000-0000-0000E83D0000}"/>
    <cellStyle name="40% - Accent3 7 3 5 2" xfId="17476" xr:uid="{00000000-0005-0000-0000-0000E93D0000}"/>
    <cellStyle name="40% - Accent3 7 3 5 2 2" xfId="41316" xr:uid="{36B5504A-5319-43D2-98B5-4C34A5AECC3F}"/>
    <cellStyle name="40% - Accent3 7 3 5 3" xfId="25420" xr:uid="{00000000-0005-0000-0000-0000EA3D0000}"/>
    <cellStyle name="40% - Accent3 7 3 5 3 2" xfId="49252" xr:uid="{CC5D8B0B-590A-4AC6-A938-62B67D0D3A1D}"/>
    <cellStyle name="40% - Accent3 7 3 5 4" xfId="33375" xr:uid="{85FC3996-D773-4055-A54A-D3EC056773F3}"/>
    <cellStyle name="40% - Accent3 7 3 6" xfId="10414" xr:uid="{00000000-0005-0000-0000-0000EB3D0000}"/>
    <cellStyle name="40% - Accent3 7 3 6 2" xfId="34263" xr:uid="{3D23349C-3A62-4A20-8600-2F2FF8D8944C}"/>
    <cellStyle name="40% - Accent3 7 3 7" xfId="18369" xr:uid="{00000000-0005-0000-0000-0000EC3D0000}"/>
    <cellStyle name="40% - Accent3 7 3 7 2" xfId="42201" xr:uid="{7F556AEB-1C26-4291-AA4D-30D74C3C35A1}"/>
    <cellStyle name="40% - Accent3 7 3 8" xfId="26321" xr:uid="{F94855F2-CB79-4905-AEF2-E03FFA44A2BF}"/>
    <cellStyle name="40% - Accent3 7 3_Exh G" xfId="3025" xr:uid="{00000000-0005-0000-0000-0000ED3D0000}"/>
    <cellStyle name="40% - Accent3 7 4" xfId="964" xr:uid="{00000000-0005-0000-0000-0000EE3D0000}"/>
    <cellStyle name="40% - Accent3 7 4 2" xfId="1879" xr:uid="{00000000-0005-0000-0000-0000EF3D0000}"/>
    <cellStyle name="40% - Accent3 7 4 2 2" xfId="5396" xr:uid="{00000000-0005-0000-0000-0000F03D0000}"/>
    <cellStyle name="40% - Accent3 7 4 2 2 2" xfId="8987" xr:uid="{00000000-0005-0000-0000-0000F13D0000}"/>
    <cellStyle name="40% - Accent3 7 4 2 2 2 2" xfId="16957" xr:uid="{00000000-0005-0000-0000-0000F23D0000}"/>
    <cellStyle name="40% - Accent3 7 4 2 2 2 2 2" xfId="40799" xr:uid="{39F36E59-DB83-4B87-892E-51518E57AA39}"/>
    <cellStyle name="40% - Accent3 7 4 2 2 2 3" xfId="24903" xr:uid="{00000000-0005-0000-0000-0000F33D0000}"/>
    <cellStyle name="40% - Accent3 7 4 2 2 2 3 2" xfId="48735" xr:uid="{688D9F06-E5A8-45A6-80C8-DED45FF30D20}"/>
    <cellStyle name="40% - Accent3 7 4 2 2 2 4" xfId="32858" xr:uid="{6DFD33C5-CFED-4A2D-936C-4617A4197551}"/>
    <cellStyle name="40% - Accent3 7 4 2 2 3" xfId="13419" xr:uid="{00000000-0005-0000-0000-0000F43D0000}"/>
    <cellStyle name="40% - Accent3 7 4 2 2 3 2" xfId="37268" xr:uid="{9771CCD2-B26A-4575-BA51-0672A9DC3559}"/>
    <cellStyle name="40% - Accent3 7 4 2 2 4" xfId="21374" xr:uid="{00000000-0005-0000-0000-0000F53D0000}"/>
    <cellStyle name="40% - Accent3 7 4 2 2 4 2" xfId="45206" xr:uid="{97593685-D990-4620-BAAA-F21C953E0C22}"/>
    <cellStyle name="40% - Accent3 7 4 2 2 5" xfId="29327" xr:uid="{03C0BD6B-59DD-4132-BE85-964A209D879A}"/>
    <cellStyle name="40% - Accent3 7 4 2 3" xfId="7228" xr:uid="{00000000-0005-0000-0000-0000F63D0000}"/>
    <cellStyle name="40% - Accent3 7 4 2 3 2" xfId="15199" xr:uid="{00000000-0005-0000-0000-0000F73D0000}"/>
    <cellStyle name="40% - Accent3 7 4 2 3 2 2" xfId="39041" xr:uid="{7BF2BCA5-FCDA-423C-961E-BDCFD7D8D135}"/>
    <cellStyle name="40% - Accent3 7 4 2 3 3" xfId="23146" xr:uid="{00000000-0005-0000-0000-0000F83D0000}"/>
    <cellStyle name="40% - Accent3 7 4 2 3 3 2" xfId="46978" xr:uid="{C761753D-F2C5-42EA-80BF-3F1A534C1BF2}"/>
    <cellStyle name="40% - Accent3 7 4 2 3 4" xfId="31100" xr:uid="{598F2FBE-43A4-46D6-8776-F570253613A9}"/>
    <cellStyle name="40% - Accent3 7 4 2 4" xfId="11663" xr:uid="{00000000-0005-0000-0000-0000F93D0000}"/>
    <cellStyle name="40% - Accent3 7 4 2 4 2" xfId="35512" xr:uid="{33572A97-C480-4C54-A803-5AA16AC05BF9}"/>
    <cellStyle name="40% - Accent3 7 4 2 5" xfId="19618" xr:uid="{00000000-0005-0000-0000-0000FA3D0000}"/>
    <cellStyle name="40% - Accent3 7 4 2 5 2" xfId="43450" xr:uid="{FCBC7CFA-5AF8-4D15-A02D-5A3BAD1FC82D}"/>
    <cellStyle name="40% - Accent3 7 4 2 6" xfId="27570" xr:uid="{F8CAB066-1DE3-445F-8301-D08A5BBEB113}"/>
    <cellStyle name="40% - Accent3 7 4 2_Exh G" xfId="3028" xr:uid="{00000000-0005-0000-0000-0000FB3D0000}"/>
    <cellStyle name="40% - Accent3 7 4 3" xfId="4517" xr:uid="{00000000-0005-0000-0000-0000FC3D0000}"/>
    <cellStyle name="40% - Accent3 7 4 3 2" xfId="8109" xr:uid="{00000000-0005-0000-0000-0000FD3D0000}"/>
    <cellStyle name="40% - Accent3 7 4 3 2 2" xfId="16079" xr:uid="{00000000-0005-0000-0000-0000FE3D0000}"/>
    <cellStyle name="40% - Accent3 7 4 3 2 2 2" xfId="39921" xr:uid="{734A9941-29FD-4B8C-A748-6E0D059594CB}"/>
    <cellStyle name="40% - Accent3 7 4 3 2 3" xfId="24025" xr:uid="{00000000-0005-0000-0000-0000FF3D0000}"/>
    <cellStyle name="40% - Accent3 7 4 3 2 3 2" xfId="47857" xr:uid="{E41C626B-9EF9-416B-BB94-37601761AE38}"/>
    <cellStyle name="40% - Accent3 7 4 3 2 4" xfId="31980" xr:uid="{00C4F042-B81D-4D1D-83A9-DD9F7DF441BA}"/>
    <cellStyle name="40% - Accent3 7 4 3 3" xfId="12541" xr:uid="{00000000-0005-0000-0000-0000003E0000}"/>
    <cellStyle name="40% - Accent3 7 4 3 3 2" xfId="36390" xr:uid="{CE2B7CB4-500E-4CC7-AE5B-DC2D08C1A2A0}"/>
    <cellStyle name="40% - Accent3 7 4 3 4" xfId="20496" xr:uid="{00000000-0005-0000-0000-0000013E0000}"/>
    <cellStyle name="40% - Accent3 7 4 3 4 2" xfId="44328" xr:uid="{37C8680C-3150-4694-9E43-C1CDC6B905DC}"/>
    <cellStyle name="40% - Accent3 7 4 3 5" xfId="28449" xr:uid="{1E64C37D-D488-4826-B9EC-3717039E60F4}"/>
    <cellStyle name="40% - Accent3 7 4 4" xfId="6347" xr:uid="{00000000-0005-0000-0000-0000023E0000}"/>
    <cellStyle name="40% - Accent3 7 4 4 2" xfId="14321" xr:uid="{00000000-0005-0000-0000-0000033E0000}"/>
    <cellStyle name="40% - Accent3 7 4 4 2 2" xfId="38163" xr:uid="{60491793-1BBF-4DE0-91B7-B7A830AFDAE4}"/>
    <cellStyle name="40% - Accent3 7 4 4 3" xfId="22268" xr:uid="{00000000-0005-0000-0000-0000043E0000}"/>
    <cellStyle name="40% - Accent3 7 4 4 3 2" xfId="46100" xr:uid="{32F484DA-FF9A-4410-9465-2F26620D47F6}"/>
    <cellStyle name="40% - Accent3 7 4 4 4" xfId="30222" xr:uid="{FA18C2CD-191A-4EFB-BC51-890476714AFF}"/>
    <cellStyle name="40% - Accent3 7 4 5" xfId="9889" xr:uid="{00000000-0005-0000-0000-0000053E0000}"/>
    <cellStyle name="40% - Accent3 7 4 5 2" xfId="17847" xr:uid="{00000000-0005-0000-0000-0000063E0000}"/>
    <cellStyle name="40% - Accent3 7 4 5 2 2" xfId="41687" xr:uid="{BB53554F-3B64-40FF-8D7C-7DA116A5D511}"/>
    <cellStyle name="40% - Accent3 7 4 5 3" xfId="25791" xr:uid="{00000000-0005-0000-0000-0000073E0000}"/>
    <cellStyle name="40% - Accent3 7 4 5 3 2" xfId="49623" xr:uid="{A380A9AE-084D-4681-8942-8CAB108291A2}"/>
    <cellStyle name="40% - Accent3 7 4 5 4" xfId="33746" xr:uid="{DE51E185-D2BB-406B-8629-C75E1E2DC309}"/>
    <cellStyle name="40% - Accent3 7 4 6" xfId="10785" xr:uid="{00000000-0005-0000-0000-0000083E0000}"/>
    <cellStyle name="40% - Accent3 7 4 6 2" xfId="34634" xr:uid="{D3199CC9-2C72-4AD0-9DB3-C58B4ADAE116}"/>
    <cellStyle name="40% - Accent3 7 4 7" xfId="18740" xr:uid="{00000000-0005-0000-0000-0000093E0000}"/>
    <cellStyle name="40% - Accent3 7 4 7 2" xfId="42572" xr:uid="{FF4DC7F0-D67C-4015-8154-DE992883AFB4}"/>
    <cellStyle name="40% - Accent3 7 4 8" xfId="26692" xr:uid="{AF19C031-0127-4722-85F0-3743BB0ABA16}"/>
    <cellStyle name="40% - Accent3 7 4_Exh G" xfId="3027" xr:uid="{00000000-0005-0000-0000-00000A3E0000}"/>
    <cellStyle name="40% - Accent3 7 5" xfId="1495" xr:uid="{00000000-0005-0000-0000-00000B3E0000}"/>
    <cellStyle name="40% - Accent3 7 5 2" xfId="5022" xr:uid="{00000000-0005-0000-0000-00000C3E0000}"/>
    <cellStyle name="40% - Accent3 7 5 2 2" xfId="8613" xr:uid="{00000000-0005-0000-0000-00000D3E0000}"/>
    <cellStyle name="40% - Accent3 7 5 2 2 2" xfId="16583" xr:uid="{00000000-0005-0000-0000-00000E3E0000}"/>
    <cellStyle name="40% - Accent3 7 5 2 2 2 2" xfId="40425" xr:uid="{C05048C6-DC88-463C-8432-CD22BEED50A3}"/>
    <cellStyle name="40% - Accent3 7 5 2 2 3" xfId="24529" xr:uid="{00000000-0005-0000-0000-00000F3E0000}"/>
    <cellStyle name="40% - Accent3 7 5 2 2 3 2" xfId="48361" xr:uid="{E054A8D9-EA57-45B7-BDAA-72D464E9DD99}"/>
    <cellStyle name="40% - Accent3 7 5 2 2 4" xfId="32484" xr:uid="{53DC18C7-BF55-45DC-B4DF-9B0A3FC32ED6}"/>
    <cellStyle name="40% - Accent3 7 5 2 3" xfId="13045" xr:uid="{00000000-0005-0000-0000-0000103E0000}"/>
    <cellStyle name="40% - Accent3 7 5 2 3 2" xfId="36894" xr:uid="{ED1D86A2-4F10-4363-9F80-0A11AC43B593}"/>
    <cellStyle name="40% - Accent3 7 5 2 4" xfId="21000" xr:uid="{00000000-0005-0000-0000-0000113E0000}"/>
    <cellStyle name="40% - Accent3 7 5 2 4 2" xfId="44832" xr:uid="{FC0339B1-34F5-46BF-8251-A58905450774}"/>
    <cellStyle name="40% - Accent3 7 5 2 5" xfId="28953" xr:uid="{39AB7F94-7999-45D8-961F-FD16A495FB88}"/>
    <cellStyle name="40% - Accent3 7 5 3" xfId="6854" xr:uid="{00000000-0005-0000-0000-0000123E0000}"/>
    <cellStyle name="40% - Accent3 7 5 3 2" xfId="14825" xr:uid="{00000000-0005-0000-0000-0000133E0000}"/>
    <cellStyle name="40% - Accent3 7 5 3 2 2" xfId="38667" xr:uid="{7BEC67DB-04A5-4E07-BC01-2763433418A9}"/>
    <cellStyle name="40% - Accent3 7 5 3 3" xfId="22772" xr:uid="{00000000-0005-0000-0000-0000143E0000}"/>
    <cellStyle name="40% - Accent3 7 5 3 3 2" xfId="46604" xr:uid="{E27A8AA5-39D9-4DE6-B870-BD9CBF0443EF}"/>
    <cellStyle name="40% - Accent3 7 5 3 4" xfId="30726" xr:uid="{4F0E8A29-CD21-4DCA-ACCF-A7CE7D0C1036}"/>
    <cellStyle name="40% - Accent3 7 5 4" xfId="11289" xr:uid="{00000000-0005-0000-0000-0000153E0000}"/>
    <cellStyle name="40% - Accent3 7 5 4 2" xfId="35138" xr:uid="{B4D47B8B-B693-41C1-AAE5-A9B7F9C2E0E5}"/>
    <cellStyle name="40% - Accent3 7 5 5" xfId="19244" xr:uid="{00000000-0005-0000-0000-0000163E0000}"/>
    <cellStyle name="40% - Accent3 7 5 5 2" xfId="43076" xr:uid="{4A517BAE-06BE-4850-A037-7E50A819FC90}"/>
    <cellStyle name="40% - Accent3 7 5 6" xfId="27196" xr:uid="{62273F4E-3B3A-4EBE-B256-5969171E886C}"/>
    <cellStyle name="40% - Accent3 7 5_Exh G" xfId="3029" xr:uid="{00000000-0005-0000-0000-0000173E0000}"/>
    <cellStyle name="40% - Accent3 7 6" xfId="4143" xr:uid="{00000000-0005-0000-0000-0000183E0000}"/>
    <cellStyle name="40% - Accent3 7 6 2" xfId="7735" xr:uid="{00000000-0005-0000-0000-0000193E0000}"/>
    <cellStyle name="40% - Accent3 7 6 2 2" xfId="15705" xr:uid="{00000000-0005-0000-0000-00001A3E0000}"/>
    <cellStyle name="40% - Accent3 7 6 2 2 2" xfId="39547" xr:uid="{18EB16DC-8139-4CB1-8B83-E8CF6F96080D}"/>
    <cellStyle name="40% - Accent3 7 6 2 3" xfId="23651" xr:uid="{00000000-0005-0000-0000-00001B3E0000}"/>
    <cellStyle name="40% - Accent3 7 6 2 3 2" xfId="47483" xr:uid="{B6918FE3-F500-4177-A800-3110B92585F7}"/>
    <cellStyle name="40% - Accent3 7 6 2 4" xfId="31606" xr:uid="{D06E8ACA-9B21-4D28-89BC-2D24F14383A6}"/>
    <cellStyle name="40% - Accent3 7 6 3" xfId="12167" xr:uid="{00000000-0005-0000-0000-00001C3E0000}"/>
    <cellStyle name="40% - Accent3 7 6 3 2" xfId="36016" xr:uid="{59FED3F0-33CC-474B-8552-3A50B0BBBB06}"/>
    <cellStyle name="40% - Accent3 7 6 4" xfId="20122" xr:uid="{00000000-0005-0000-0000-00001D3E0000}"/>
    <cellStyle name="40% - Accent3 7 6 4 2" xfId="43954" xr:uid="{D108D840-2112-4C51-8E20-CCBBC27E231D}"/>
    <cellStyle name="40% - Accent3 7 6 5" xfId="28075" xr:uid="{A92F7A41-75BF-4894-80CA-733999C07E61}"/>
    <cellStyle name="40% - Accent3 7 7" xfId="5963" xr:uid="{00000000-0005-0000-0000-00001E3E0000}"/>
    <cellStyle name="40% - Accent3 7 7 2" xfId="13946" xr:uid="{00000000-0005-0000-0000-00001F3E0000}"/>
    <cellStyle name="40% - Accent3 7 7 2 2" xfId="37789" xr:uid="{D1EB8A15-1A02-49B4-B17B-ACE160FB502E}"/>
    <cellStyle name="40% - Accent3 7 7 3" xfId="21894" xr:uid="{00000000-0005-0000-0000-0000203E0000}"/>
    <cellStyle name="40% - Accent3 7 7 3 2" xfId="45726" xr:uid="{2A58D28F-1519-4B4C-A507-9B19BD534DF5}"/>
    <cellStyle name="40% - Accent3 7 7 4" xfId="29848" xr:uid="{E3B12850-902A-4A3A-904C-331172B033DA}"/>
    <cellStyle name="40% - Accent3 7 8" xfId="9515" xr:uid="{00000000-0005-0000-0000-0000213E0000}"/>
    <cellStyle name="40% - Accent3 7 8 2" xfId="17473" xr:uid="{00000000-0005-0000-0000-0000223E0000}"/>
    <cellStyle name="40% - Accent3 7 8 2 2" xfId="41313" xr:uid="{72BA3012-4B34-427A-8B3A-0AC09549934B}"/>
    <cellStyle name="40% - Accent3 7 8 3" xfId="25417" xr:uid="{00000000-0005-0000-0000-0000233E0000}"/>
    <cellStyle name="40% - Accent3 7 8 3 2" xfId="49249" xr:uid="{8132B088-F7F9-499D-95B3-C4CAAF0A75E1}"/>
    <cellStyle name="40% - Accent3 7 8 4" xfId="33372" xr:uid="{753A20B3-DC4F-467A-8B44-C3D8E73471A2}"/>
    <cellStyle name="40% - Accent3 7 9" xfId="10411" xr:uid="{00000000-0005-0000-0000-0000243E0000}"/>
    <cellStyle name="40% - Accent3 7 9 2" xfId="34260" xr:uid="{FEA37011-AB6E-49DF-A42C-A96E832EEDDF}"/>
    <cellStyle name="40% - Accent3 7_Exh G" xfId="3020" xr:uid="{00000000-0005-0000-0000-0000253E0000}"/>
    <cellStyle name="40% - Accent3 8" xfId="473" xr:uid="{00000000-0005-0000-0000-0000263E0000}"/>
    <cellStyle name="40% - Accent3 8 10" xfId="18370" xr:uid="{00000000-0005-0000-0000-0000273E0000}"/>
    <cellStyle name="40% - Accent3 8 10 2" xfId="42202" xr:uid="{5B64E2FB-F7AC-42C1-BC35-003CB3430EA7}"/>
    <cellStyle name="40% - Accent3 8 11" xfId="26322" xr:uid="{D6B1E9D4-DB04-4A2E-9A92-EEA1FD02322C}"/>
    <cellStyle name="40% - Accent3 8 2" xfId="474" xr:uid="{00000000-0005-0000-0000-0000283E0000}"/>
    <cellStyle name="40% - Accent3 8 2 2" xfId="475" xr:uid="{00000000-0005-0000-0000-0000293E0000}"/>
    <cellStyle name="40% - Accent3 8 2 2 2" xfId="1501" xr:uid="{00000000-0005-0000-0000-00002A3E0000}"/>
    <cellStyle name="40% - Accent3 8 2 2 2 2" xfId="5028" xr:uid="{00000000-0005-0000-0000-00002B3E0000}"/>
    <cellStyle name="40% - Accent3 8 2 2 2 2 2" xfId="8619" xr:uid="{00000000-0005-0000-0000-00002C3E0000}"/>
    <cellStyle name="40% - Accent3 8 2 2 2 2 2 2" xfId="16589" xr:uid="{00000000-0005-0000-0000-00002D3E0000}"/>
    <cellStyle name="40% - Accent3 8 2 2 2 2 2 2 2" xfId="40431" xr:uid="{7470117D-71B9-4073-8068-6A0C93BF89CB}"/>
    <cellStyle name="40% - Accent3 8 2 2 2 2 2 3" xfId="24535" xr:uid="{00000000-0005-0000-0000-00002E3E0000}"/>
    <cellStyle name="40% - Accent3 8 2 2 2 2 2 3 2" xfId="48367" xr:uid="{02DE8E49-D250-44A0-9C46-9E879DE30330}"/>
    <cellStyle name="40% - Accent3 8 2 2 2 2 2 4" xfId="32490" xr:uid="{A25716F4-6020-4D27-BF3C-D0A6AC87826F}"/>
    <cellStyle name="40% - Accent3 8 2 2 2 2 3" xfId="13051" xr:uid="{00000000-0005-0000-0000-00002F3E0000}"/>
    <cellStyle name="40% - Accent3 8 2 2 2 2 3 2" xfId="36900" xr:uid="{1C4E42E6-949E-413B-88D6-B4CAE3288346}"/>
    <cellStyle name="40% - Accent3 8 2 2 2 2 4" xfId="21006" xr:uid="{00000000-0005-0000-0000-0000303E0000}"/>
    <cellStyle name="40% - Accent3 8 2 2 2 2 4 2" xfId="44838" xr:uid="{0BD61480-0BD0-4C4A-8E80-8F66E7EFA4E1}"/>
    <cellStyle name="40% - Accent3 8 2 2 2 2 5" xfId="28959" xr:uid="{33261F92-0566-4D7A-A16B-63F1D2471A6B}"/>
    <cellStyle name="40% - Accent3 8 2 2 2 3" xfId="6860" xr:uid="{00000000-0005-0000-0000-0000313E0000}"/>
    <cellStyle name="40% - Accent3 8 2 2 2 3 2" xfId="14831" xr:uid="{00000000-0005-0000-0000-0000323E0000}"/>
    <cellStyle name="40% - Accent3 8 2 2 2 3 2 2" xfId="38673" xr:uid="{C091F114-C4FC-4152-99F9-6A548D577F56}"/>
    <cellStyle name="40% - Accent3 8 2 2 2 3 3" xfId="22778" xr:uid="{00000000-0005-0000-0000-0000333E0000}"/>
    <cellStyle name="40% - Accent3 8 2 2 2 3 3 2" xfId="46610" xr:uid="{5941385C-6FD7-471B-AE6A-E97D1877D336}"/>
    <cellStyle name="40% - Accent3 8 2 2 2 3 4" xfId="30732" xr:uid="{FBB3D76E-D3E0-4EC4-BBA5-4CF7BBF2DB9E}"/>
    <cellStyle name="40% - Accent3 8 2 2 2 4" xfId="11295" xr:uid="{00000000-0005-0000-0000-0000343E0000}"/>
    <cellStyle name="40% - Accent3 8 2 2 2 4 2" xfId="35144" xr:uid="{D474D150-1566-487F-AFEA-41A032E5A4C3}"/>
    <cellStyle name="40% - Accent3 8 2 2 2 5" xfId="19250" xr:uid="{00000000-0005-0000-0000-0000353E0000}"/>
    <cellStyle name="40% - Accent3 8 2 2 2 5 2" xfId="43082" xr:uid="{5DFC3874-F1DF-4D6A-8E04-618E737D552C}"/>
    <cellStyle name="40% - Accent3 8 2 2 2 6" xfId="27202" xr:uid="{3D43B038-DDE5-4067-8CE3-444769689960}"/>
    <cellStyle name="40% - Accent3 8 2 2 2_Exh G" xfId="3033" xr:uid="{00000000-0005-0000-0000-0000363E0000}"/>
    <cellStyle name="40% - Accent3 8 2 2 3" xfId="4149" xr:uid="{00000000-0005-0000-0000-0000373E0000}"/>
    <cellStyle name="40% - Accent3 8 2 2 3 2" xfId="7741" xr:uid="{00000000-0005-0000-0000-0000383E0000}"/>
    <cellStyle name="40% - Accent3 8 2 2 3 2 2" xfId="15711" xr:uid="{00000000-0005-0000-0000-0000393E0000}"/>
    <cellStyle name="40% - Accent3 8 2 2 3 2 2 2" xfId="39553" xr:uid="{B46CB84E-35CD-4E41-AA26-9D25F107FA64}"/>
    <cellStyle name="40% - Accent3 8 2 2 3 2 3" xfId="23657" xr:uid="{00000000-0005-0000-0000-00003A3E0000}"/>
    <cellStyle name="40% - Accent3 8 2 2 3 2 3 2" xfId="47489" xr:uid="{EC52277A-CF3A-4DCA-89B1-F56AC790477E}"/>
    <cellStyle name="40% - Accent3 8 2 2 3 2 4" xfId="31612" xr:uid="{B0FFE802-2458-4EA9-AE4C-E95FA1AF8C4B}"/>
    <cellStyle name="40% - Accent3 8 2 2 3 3" xfId="12173" xr:uid="{00000000-0005-0000-0000-00003B3E0000}"/>
    <cellStyle name="40% - Accent3 8 2 2 3 3 2" xfId="36022" xr:uid="{F1A425AE-1034-49CA-9E19-47AD707DE137}"/>
    <cellStyle name="40% - Accent3 8 2 2 3 4" xfId="20128" xr:uid="{00000000-0005-0000-0000-00003C3E0000}"/>
    <cellStyle name="40% - Accent3 8 2 2 3 4 2" xfId="43960" xr:uid="{88788602-C465-431E-B9A4-F9137212DA33}"/>
    <cellStyle name="40% - Accent3 8 2 2 3 5" xfId="28081" xr:uid="{870F7EF6-9B6A-4FA8-B05A-228B945E1CBB}"/>
    <cellStyle name="40% - Accent3 8 2 2 4" xfId="5969" xr:uid="{00000000-0005-0000-0000-00003D3E0000}"/>
    <cellStyle name="40% - Accent3 8 2 2 4 2" xfId="13952" xr:uid="{00000000-0005-0000-0000-00003E3E0000}"/>
    <cellStyle name="40% - Accent3 8 2 2 4 2 2" xfId="37795" xr:uid="{CA622E95-CD5D-4202-ADD5-0DF677790CD0}"/>
    <cellStyle name="40% - Accent3 8 2 2 4 3" xfId="21900" xr:uid="{00000000-0005-0000-0000-00003F3E0000}"/>
    <cellStyle name="40% - Accent3 8 2 2 4 3 2" xfId="45732" xr:uid="{DFD2FAA7-31A7-4179-B5D2-099A797F825F}"/>
    <cellStyle name="40% - Accent3 8 2 2 4 4" xfId="29854" xr:uid="{DD5BE5F4-2C65-467A-93E9-8CF1A89F7D5A}"/>
    <cellStyle name="40% - Accent3 8 2 2 5" xfId="9521" xr:uid="{00000000-0005-0000-0000-0000403E0000}"/>
    <cellStyle name="40% - Accent3 8 2 2 5 2" xfId="17479" xr:uid="{00000000-0005-0000-0000-0000413E0000}"/>
    <cellStyle name="40% - Accent3 8 2 2 5 2 2" xfId="41319" xr:uid="{338DF3EC-9E04-4FE1-8798-3FD1C8150E48}"/>
    <cellStyle name="40% - Accent3 8 2 2 5 3" xfId="25423" xr:uid="{00000000-0005-0000-0000-0000423E0000}"/>
    <cellStyle name="40% - Accent3 8 2 2 5 3 2" xfId="49255" xr:uid="{05085536-64E8-4E80-8327-A840694628BD}"/>
    <cellStyle name="40% - Accent3 8 2 2 5 4" xfId="33378" xr:uid="{0C8BFD81-0F98-4166-B8B4-4B2ABE8D5140}"/>
    <cellStyle name="40% - Accent3 8 2 2 6" xfId="10417" xr:uid="{00000000-0005-0000-0000-0000433E0000}"/>
    <cellStyle name="40% - Accent3 8 2 2 6 2" xfId="34266" xr:uid="{B3238DEC-EF77-4405-A814-4DF0109E97DE}"/>
    <cellStyle name="40% - Accent3 8 2 2 7" xfId="18372" xr:uid="{00000000-0005-0000-0000-0000443E0000}"/>
    <cellStyle name="40% - Accent3 8 2 2 7 2" xfId="42204" xr:uid="{FFF6D934-70B6-40C4-817D-AB880100C7C9}"/>
    <cellStyle name="40% - Accent3 8 2 2 8" xfId="26324" xr:uid="{4D5614E5-1AE2-412D-8211-BB1A9EE06C04}"/>
    <cellStyle name="40% - Accent3 8 2 2_Exh G" xfId="3032" xr:uid="{00000000-0005-0000-0000-0000453E0000}"/>
    <cellStyle name="40% - Accent3 8 2 3" xfId="1500" xr:uid="{00000000-0005-0000-0000-0000463E0000}"/>
    <cellStyle name="40% - Accent3 8 2 3 2" xfId="5027" xr:uid="{00000000-0005-0000-0000-0000473E0000}"/>
    <cellStyle name="40% - Accent3 8 2 3 2 2" xfId="8618" xr:uid="{00000000-0005-0000-0000-0000483E0000}"/>
    <cellStyle name="40% - Accent3 8 2 3 2 2 2" xfId="16588" xr:uid="{00000000-0005-0000-0000-0000493E0000}"/>
    <cellStyle name="40% - Accent3 8 2 3 2 2 2 2" xfId="40430" xr:uid="{5D28C8B4-E388-4AED-8A60-8E98373E1510}"/>
    <cellStyle name="40% - Accent3 8 2 3 2 2 3" xfId="24534" xr:uid="{00000000-0005-0000-0000-00004A3E0000}"/>
    <cellStyle name="40% - Accent3 8 2 3 2 2 3 2" xfId="48366" xr:uid="{DAB8C555-F5DA-47BB-AD2E-9547F2403B83}"/>
    <cellStyle name="40% - Accent3 8 2 3 2 2 4" xfId="32489" xr:uid="{04AFF4B8-850D-4259-A33D-7B2328741BE1}"/>
    <cellStyle name="40% - Accent3 8 2 3 2 3" xfId="13050" xr:uid="{00000000-0005-0000-0000-00004B3E0000}"/>
    <cellStyle name="40% - Accent3 8 2 3 2 3 2" xfId="36899" xr:uid="{10229259-6CE8-4BBE-AD65-ADE11F36ABA3}"/>
    <cellStyle name="40% - Accent3 8 2 3 2 4" xfId="21005" xr:uid="{00000000-0005-0000-0000-00004C3E0000}"/>
    <cellStyle name="40% - Accent3 8 2 3 2 4 2" xfId="44837" xr:uid="{B7CF5A53-800B-48FD-BF08-8DEDAA56195C}"/>
    <cellStyle name="40% - Accent3 8 2 3 2 5" xfId="28958" xr:uid="{D199DCEE-271A-491B-9D3C-3AB2EBB1D667}"/>
    <cellStyle name="40% - Accent3 8 2 3 3" xfId="6859" xr:uid="{00000000-0005-0000-0000-00004D3E0000}"/>
    <cellStyle name="40% - Accent3 8 2 3 3 2" xfId="14830" xr:uid="{00000000-0005-0000-0000-00004E3E0000}"/>
    <cellStyle name="40% - Accent3 8 2 3 3 2 2" xfId="38672" xr:uid="{FAF66A19-3DC7-4608-B547-DDE13BC91C94}"/>
    <cellStyle name="40% - Accent3 8 2 3 3 3" xfId="22777" xr:uid="{00000000-0005-0000-0000-00004F3E0000}"/>
    <cellStyle name="40% - Accent3 8 2 3 3 3 2" xfId="46609" xr:uid="{CDE4ECEE-51E9-4EFA-8B46-93717B2B8091}"/>
    <cellStyle name="40% - Accent3 8 2 3 3 4" xfId="30731" xr:uid="{260D822B-3590-4D2B-AB05-9B7B44DC463E}"/>
    <cellStyle name="40% - Accent3 8 2 3 4" xfId="11294" xr:uid="{00000000-0005-0000-0000-0000503E0000}"/>
    <cellStyle name="40% - Accent3 8 2 3 4 2" xfId="35143" xr:uid="{1B526941-5649-4091-B5C9-B82F036B8538}"/>
    <cellStyle name="40% - Accent3 8 2 3 5" xfId="19249" xr:uid="{00000000-0005-0000-0000-0000513E0000}"/>
    <cellStyle name="40% - Accent3 8 2 3 5 2" xfId="43081" xr:uid="{1E1DE65C-0F87-490A-A927-A3E97CA248A8}"/>
    <cellStyle name="40% - Accent3 8 2 3 6" xfId="27201" xr:uid="{4F10911E-547C-41B6-89E9-6DD1B453A645}"/>
    <cellStyle name="40% - Accent3 8 2 3_Exh G" xfId="3034" xr:uid="{00000000-0005-0000-0000-0000523E0000}"/>
    <cellStyle name="40% - Accent3 8 2 4" xfId="4148" xr:uid="{00000000-0005-0000-0000-0000533E0000}"/>
    <cellStyle name="40% - Accent3 8 2 4 2" xfId="7740" xr:uid="{00000000-0005-0000-0000-0000543E0000}"/>
    <cellStyle name="40% - Accent3 8 2 4 2 2" xfId="15710" xr:uid="{00000000-0005-0000-0000-0000553E0000}"/>
    <cellStyle name="40% - Accent3 8 2 4 2 2 2" xfId="39552" xr:uid="{19919E7C-205F-4C18-81A7-AB030FDED8B4}"/>
    <cellStyle name="40% - Accent3 8 2 4 2 3" xfId="23656" xr:uid="{00000000-0005-0000-0000-0000563E0000}"/>
    <cellStyle name="40% - Accent3 8 2 4 2 3 2" xfId="47488" xr:uid="{FD64AD58-F81D-45FF-BA7A-2815B037CBE9}"/>
    <cellStyle name="40% - Accent3 8 2 4 2 4" xfId="31611" xr:uid="{610F2985-39FA-4F7B-8EDD-F998D629E5E7}"/>
    <cellStyle name="40% - Accent3 8 2 4 3" xfId="12172" xr:uid="{00000000-0005-0000-0000-0000573E0000}"/>
    <cellStyle name="40% - Accent3 8 2 4 3 2" xfId="36021" xr:uid="{1B89E6B8-6569-4A10-BB85-195F68FD01E2}"/>
    <cellStyle name="40% - Accent3 8 2 4 4" xfId="20127" xr:uid="{00000000-0005-0000-0000-0000583E0000}"/>
    <cellStyle name="40% - Accent3 8 2 4 4 2" xfId="43959" xr:uid="{8EC5942D-37E5-412C-90BD-82C78B8F3310}"/>
    <cellStyle name="40% - Accent3 8 2 4 5" xfId="28080" xr:uid="{839CF5EC-9565-4AD7-90CB-418493125764}"/>
    <cellStyle name="40% - Accent3 8 2 5" xfId="5968" xr:uid="{00000000-0005-0000-0000-0000593E0000}"/>
    <cellStyle name="40% - Accent3 8 2 5 2" xfId="13951" xr:uid="{00000000-0005-0000-0000-00005A3E0000}"/>
    <cellStyle name="40% - Accent3 8 2 5 2 2" xfId="37794" xr:uid="{44BE86CF-DA36-4814-8A6E-CC936385F455}"/>
    <cellStyle name="40% - Accent3 8 2 5 3" xfId="21899" xr:uid="{00000000-0005-0000-0000-00005B3E0000}"/>
    <cellStyle name="40% - Accent3 8 2 5 3 2" xfId="45731" xr:uid="{9D9E3B59-14B2-4821-9BEA-31D481365406}"/>
    <cellStyle name="40% - Accent3 8 2 5 4" xfId="29853" xr:uid="{4ACAF81F-497A-4F11-B5C8-B92FD2EEA745}"/>
    <cellStyle name="40% - Accent3 8 2 6" xfId="9520" xr:uid="{00000000-0005-0000-0000-00005C3E0000}"/>
    <cellStyle name="40% - Accent3 8 2 6 2" xfId="17478" xr:uid="{00000000-0005-0000-0000-00005D3E0000}"/>
    <cellStyle name="40% - Accent3 8 2 6 2 2" xfId="41318" xr:uid="{EDE01863-377B-4C95-AA38-5826CD2671B7}"/>
    <cellStyle name="40% - Accent3 8 2 6 3" xfId="25422" xr:uid="{00000000-0005-0000-0000-00005E3E0000}"/>
    <cellStyle name="40% - Accent3 8 2 6 3 2" xfId="49254" xr:uid="{8EA3A214-B7E7-432F-B156-1945F1252BAE}"/>
    <cellStyle name="40% - Accent3 8 2 6 4" xfId="33377" xr:uid="{A98E1212-0D29-4B88-A641-53B6686490A4}"/>
    <cellStyle name="40% - Accent3 8 2 7" xfId="10416" xr:uid="{00000000-0005-0000-0000-00005F3E0000}"/>
    <cellStyle name="40% - Accent3 8 2 7 2" xfId="34265" xr:uid="{FA55CFA8-E8AA-4500-8456-630417517CA9}"/>
    <cellStyle name="40% - Accent3 8 2 8" xfId="18371" xr:uid="{00000000-0005-0000-0000-0000603E0000}"/>
    <cellStyle name="40% - Accent3 8 2 8 2" xfId="42203" xr:uid="{CA43D517-8EC8-4820-9F95-F802838A4A91}"/>
    <cellStyle name="40% - Accent3 8 2 9" xfId="26323" xr:uid="{6A9420A6-0EAE-4BCB-9CA5-22BCD82EAD4A}"/>
    <cellStyle name="40% - Accent3 8 2_Exh G" xfId="3031" xr:uid="{00000000-0005-0000-0000-0000613E0000}"/>
    <cellStyle name="40% - Accent3 8 3" xfId="476" xr:uid="{00000000-0005-0000-0000-0000623E0000}"/>
    <cellStyle name="40% - Accent3 8 3 2" xfId="1502" xr:uid="{00000000-0005-0000-0000-0000633E0000}"/>
    <cellStyle name="40% - Accent3 8 3 2 2" xfId="5029" xr:uid="{00000000-0005-0000-0000-0000643E0000}"/>
    <cellStyle name="40% - Accent3 8 3 2 2 2" xfId="8620" xr:uid="{00000000-0005-0000-0000-0000653E0000}"/>
    <cellStyle name="40% - Accent3 8 3 2 2 2 2" xfId="16590" xr:uid="{00000000-0005-0000-0000-0000663E0000}"/>
    <cellStyle name="40% - Accent3 8 3 2 2 2 2 2" xfId="40432" xr:uid="{648A8F35-8BF7-4A22-B84B-0CD00F12A585}"/>
    <cellStyle name="40% - Accent3 8 3 2 2 2 3" xfId="24536" xr:uid="{00000000-0005-0000-0000-0000673E0000}"/>
    <cellStyle name="40% - Accent3 8 3 2 2 2 3 2" xfId="48368" xr:uid="{6CA23722-5351-4F48-A38B-DBCBE69F13C2}"/>
    <cellStyle name="40% - Accent3 8 3 2 2 2 4" xfId="32491" xr:uid="{BF2A9DE3-2E1E-40D6-92BB-9F4ACD8DE104}"/>
    <cellStyle name="40% - Accent3 8 3 2 2 3" xfId="13052" xr:uid="{00000000-0005-0000-0000-0000683E0000}"/>
    <cellStyle name="40% - Accent3 8 3 2 2 3 2" xfId="36901" xr:uid="{BD01818C-30FA-4102-95CA-A5338C46C56E}"/>
    <cellStyle name="40% - Accent3 8 3 2 2 4" xfId="21007" xr:uid="{00000000-0005-0000-0000-0000693E0000}"/>
    <cellStyle name="40% - Accent3 8 3 2 2 4 2" xfId="44839" xr:uid="{61A9A670-1111-4777-B3E2-348E1D8C81FF}"/>
    <cellStyle name="40% - Accent3 8 3 2 2 5" xfId="28960" xr:uid="{E68952FE-1AAA-4F85-B739-6B245C16FB28}"/>
    <cellStyle name="40% - Accent3 8 3 2 3" xfId="6861" xr:uid="{00000000-0005-0000-0000-00006A3E0000}"/>
    <cellStyle name="40% - Accent3 8 3 2 3 2" xfId="14832" xr:uid="{00000000-0005-0000-0000-00006B3E0000}"/>
    <cellStyle name="40% - Accent3 8 3 2 3 2 2" xfId="38674" xr:uid="{9A57CC02-DCCD-4645-BB97-4504C2D697F6}"/>
    <cellStyle name="40% - Accent3 8 3 2 3 3" xfId="22779" xr:uid="{00000000-0005-0000-0000-00006C3E0000}"/>
    <cellStyle name="40% - Accent3 8 3 2 3 3 2" xfId="46611" xr:uid="{A4DF6129-4021-4611-BB91-EDE6BA95D4CF}"/>
    <cellStyle name="40% - Accent3 8 3 2 3 4" xfId="30733" xr:uid="{284CE7BD-E093-4D3F-A502-2139AFD507EF}"/>
    <cellStyle name="40% - Accent3 8 3 2 4" xfId="11296" xr:uid="{00000000-0005-0000-0000-00006D3E0000}"/>
    <cellStyle name="40% - Accent3 8 3 2 4 2" xfId="35145" xr:uid="{C88F5323-7BAE-4EB4-8AC3-0B1AC5A4FDED}"/>
    <cellStyle name="40% - Accent3 8 3 2 5" xfId="19251" xr:uid="{00000000-0005-0000-0000-00006E3E0000}"/>
    <cellStyle name="40% - Accent3 8 3 2 5 2" xfId="43083" xr:uid="{B180E1E6-6B90-4C71-8C6B-64033DE7969B}"/>
    <cellStyle name="40% - Accent3 8 3 2 6" xfId="27203" xr:uid="{5ABBA20D-25C6-4D5B-8F68-BCEB193B3D1B}"/>
    <cellStyle name="40% - Accent3 8 3 2_Exh G" xfId="3036" xr:uid="{00000000-0005-0000-0000-00006F3E0000}"/>
    <cellStyle name="40% - Accent3 8 3 3" xfId="4150" xr:uid="{00000000-0005-0000-0000-0000703E0000}"/>
    <cellStyle name="40% - Accent3 8 3 3 2" xfId="7742" xr:uid="{00000000-0005-0000-0000-0000713E0000}"/>
    <cellStyle name="40% - Accent3 8 3 3 2 2" xfId="15712" xr:uid="{00000000-0005-0000-0000-0000723E0000}"/>
    <cellStyle name="40% - Accent3 8 3 3 2 2 2" xfId="39554" xr:uid="{7DCAFE4B-2C82-4248-9F5B-90BB3C4EE4B8}"/>
    <cellStyle name="40% - Accent3 8 3 3 2 3" xfId="23658" xr:uid="{00000000-0005-0000-0000-0000733E0000}"/>
    <cellStyle name="40% - Accent3 8 3 3 2 3 2" xfId="47490" xr:uid="{F61E2A67-7233-4CBC-80B9-715AC8692C06}"/>
    <cellStyle name="40% - Accent3 8 3 3 2 4" xfId="31613" xr:uid="{D4011CC0-5B1D-4E34-9A99-DC0DD3B4E9A3}"/>
    <cellStyle name="40% - Accent3 8 3 3 3" xfId="12174" xr:uid="{00000000-0005-0000-0000-0000743E0000}"/>
    <cellStyle name="40% - Accent3 8 3 3 3 2" xfId="36023" xr:uid="{CC2295A7-0CA1-4C45-B260-042186DECC10}"/>
    <cellStyle name="40% - Accent3 8 3 3 4" xfId="20129" xr:uid="{00000000-0005-0000-0000-0000753E0000}"/>
    <cellStyle name="40% - Accent3 8 3 3 4 2" xfId="43961" xr:uid="{C20FADD5-4762-4323-AC8B-FE59A4BD7023}"/>
    <cellStyle name="40% - Accent3 8 3 3 5" xfId="28082" xr:uid="{825ECAAC-7561-473F-99DE-86390A5C6AF6}"/>
    <cellStyle name="40% - Accent3 8 3 4" xfId="5970" xr:uid="{00000000-0005-0000-0000-0000763E0000}"/>
    <cellStyle name="40% - Accent3 8 3 4 2" xfId="13953" xr:uid="{00000000-0005-0000-0000-0000773E0000}"/>
    <cellStyle name="40% - Accent3 8 3 4 2 2" xfId="37796" xr:uid="{EA8B1BC0-CC60-4D67-8D1C-FC57C7F88695}"/>
    <cellStyle name="40% - Accent3 8 3 4 3" xfId="21901" xr:uid="{00000000-0005-0000-0000-0000783E0000}"/>
    <cellStyle name="40% - Accent3 8 3 4 3 2" xfId="45733" xr:uid="{FCF67114-6616-4E8C-B2DC-7FE2EBA7317A}"/>
    <cellStyle name="40% - Accent3 8 3 4 4" xfId="29855" xr:uid="{3A1A0C6C-05BC-4FCE-8CBA-D921498E2041}"/>
    <cellStyle name="40% - Accent3 8 3 5" xfId="9522" xr:uid="{00000000-0005-0000-0000-0000793E0000}"/>
    <cellStyle name="40% - Accent3 8 3 5 2" xfId="17480" xr:uid="{00000000-0005-0000-0000-00007A3E0000}"/>
    <cellStyle name="40% - Accent3 8 3 5 2 2" xfId="41320" xr:uid="{FAD66C5A-DDBB-43CE-820B-BFDF9E08E4C5}"/>
    <cellStyle name="40% - Accent3 8 3 5 3" xfId="25424" xr:uid="{00000000-0005-0000-0000-00007B3E0000}"/>
    <cellStyle name="40% - Accent3 8 3 5 3 2" xfId="49256" xr:uid="{22ECE826-3424-4459-8E12-E06508E31985}"/>
    <cellStyle name="40% - Accent3 8 3 5 4" xfId="33379" xr:uid="{B79167A0-B863-45F5-B964-F6A704392F13}"/>
    <cellStyle name="40% - Accent3 8 3 6" xfId="10418" xr:uid="{00000000-0005-0000-0000-00007C3E0000}"/>
    <cellStyle name="40% - Accent3 8 3 6 2" xfId="34267" xr:uid="{4EB3F0BB-B4B7-489E-9236-07263F144C43}"/>
    <cellStyle name="40% - Accent3 8 3 7" xfId="18373" xr:uid="{00000000-0005-0000-0000-00007D3E0000}"/>
    <cellStyle name="40% - Accent3 8 3 7 2" xfId="42205" xr:uid="{7DAF81AA-9C20-4FAC-9F3C-05FBAA07DCB7}"/>
    <cellStyle name="40% - Accent3 8 3 8" xfId="26325" xr:uid="{FA681796-3315-4A06-A609-51F78F51C9A9}"/>
    <cellStyle name="40% - Accent3 8 3_Exh G" xfId="3035" xr:uid="{00000000-0005-0000-0000-00007E3E0000}"/>
    <cellStyle name="40% - Accent3 8 4" xfId="965" xr:uid="{00000000-0005-0000-0000-00007F3E0000}"/>
    <cellStyle name="40% - Accent3 8 4 2" xfId="1880" xr:uid="{00000000-0005-0000-0000-0000803E0000}"/>
    <cellStyle name="40% - Accent3 8 4 2 2" xfId="5397" xr:uid="{00000000-0005-0000-0000-0000813E0000}"/>
    <cellStyle name="40% - Accent3 8 4 2 2 2" xfId="8988" xr:uid="{00000000-0005-0000-0000-0000823E0000}"/>
    <cellStyle name="40% - Accent3 8 4 2 2 2 2" xfId="16958" xr:uid="{00000000-0005-0000-0000-0000833E0000}"/>
    <cellStyle name="40% - Accent3 8 4 2 2 2 2 2" xfId="40800" xr:uid="{9B82FEE7-CD37-4EDB-9C33-DED134F7F9AD}"/>
    <cellStyle name="40% - Accent3 8 4 2 2 2 3" xfId="24904" xr:uid="{00000000-0005-0000-0000-0000843E0000}"/>
    <cellStyle name="40% - Accent3 8 4 2 2 2 3 2" xfId="48736" xr:uid="{DCC9842F-0CE5-44F6-8B36-2670FE23DA6D}"/>
    <cellStyle name="40% - Accent3 8 4 2 2 2 4" xfId="32859" xr:uid="{98E3E78B-2185-41A9-ADE5-7F3B3087E844}"/>
    <cellStyle name="40% - Accent3 8 4 2 2 3" xfId="13420" xr:uid="{00000000-0005-0000-0000-0000853E0000}"/>
    <cellStyle name="40% - Accent3 8 4 2 2 3 2" xfId="37269" xr:uid="{36D57C9C-B4FE-4542-9F77-79462CED70D3}"/>
    <cellStyle name="40% - Accent3 8 4 2 2 4" xfId="21375" xr:uid="{00000000-0005-0000-0000-0000863E0000}"/>
    <cellStyle name="40% - Accent3 8 4 2 2 4 2" xfId="45207" xr:uid="{9E4C8C07-2070-4CE9-880A-5D69E662B29B}"/>
    <cellStyle name="40% - Accent3 8 4 2 2 5" xfId="29328" xr:uid="{B85D1026-8C10-4A67-A945-07A152CBCCB1}"/>
    <cellStyle name="40% - Accent3 8 4 2 3" xfId="7229" xr:uid="{00000000-0005-0000-0000-0000873E0000}"/>
    <cellStyle name="40% - Accent3 8 4 2 3 2" xfId="15200" xr:uid="{00000000-0005-0000-0000-0000883E0000}"/>
    <cellStyle name="40% - Accent3 8 4 2 3 2 2" xfId="39042" xr:uid="{AF20C22C-0845-474C-AD10-88EF416548F9}"/>
    <cellStyle name="40% - Accent3 8 4 2 3 3" xfId="23147" xr:uid="{00000000-0005-0000-0000-0000893E0000}"/>
    <cellStyle name="40% - Accent3 8 4 2 3 3 2" xfId="46979" xr:uid="{127346EF-B97E-4195-9A11-71ADC27A83A9}"/>
    <cellStyle name="40% - Accent3 8 4 2 3 4" xfId="31101" xr:uid="{82A499F9-9539-4CD6-A38E-1204ABAC4119}"/>
    <cellStyle name="40% - Accent3 8 4 2 4" xfId="11664" xr:uid="{00000000-0005-0000-0000-00008A3E0000}"/>
    <cellStyle name="40% - Accent3 8 4 2 4 2" xfId="35513" xr:uid="{1AA55B8D-597D-4A38-A842-CE3D3B6A4089}"/>
    <cellStyle name="40% - Accent3 8 4 2 5" xfId="19619" xr:uid="{00000000-0005-0000-0000-00008B3E0000}"/>
    <cellStyle name="40% - Accent3 8 4 2 5 2" xfId="43451" xr:uid="{A65A60E6-387A-4C44-AC5E-346CF37C3235}"/>
    <cellStyle name="40% - Accent3 8 4 2 6" xfId="27571" xr:uid="{D3969D8E-C4EF-408A-A880-84393F1214D1}"/>
    <cellStyle name="40% - Accent3 8 4 2_Exh G" xfId="3038" xr:uid="{00000000-0005-0000-0000-00008C3E0000}"/>
    <cellStyle name="40% - Accent3 8 4 3" xfId="4518" xr:uid="{00000000-0005-0000-0000-00008D3E0000}"/>
    <cellStyle name="40% - Accent3 8 4 3 2" xfId="8110" xr:uid="{00000000-0005-0000-0000-00008E3E0000}"/>
    <cellStyle name="40% - Accent3 8 4 3 2 2" xfId="16080" xr:uid="{00000000-0005-0000-0000-00008F3E0000}"/>
    <cellStyle name="40% - Accent3 8 4 3 2 2 2" xfId="39922" xr:uid="{3C0039A4-C761-4375-99CE-20897690FB76}"/>
    <cellStyle name="40% - Accent3 8 4 3 2 3" xfId="24026" xr:uid="{00000000-0005-0000-0000-0000903E0000}"/>
    <cellStyle name="40% - Accent3 8 4 3 2 3 2" xfId="47858" xr:uid="{AE0E05D3-E9ED-4524-A769-F0CF7C1956DA}"/>
    <cellStyle name="40% - Accent3 8 4 3 2 4" xfId="31981" xr:uid="{5DD4AFB2-06C0-4DDE-8521-995AEFD89A9F}"/>
    <cellStyle name="40% - Accent3 8 4 3 3" xfId="12542" xr:uid="{00000000-0005-0000-0000-0000913E0000}"/>
    <cellStyle name="40% - Accent3 8 4 3 3 2" xfId="36391" xr:uid="{0B0DDD3C-FB12-4EAF-86A7-6D6D7492CEF4}"/>
    <cellStyle name="40% - Accent3 8 4 3 4" xfId="20497" xr:uid="{00000000-0005-0000-0000-0000923E0000}"/>
    <cellStyle name="40% - Accent3 8 4 3 4 2" xfId="44329" xr:uid="{C976DE12-AA71-4849-A8C6-71EC4DF3AD21}"/>
    <cellStyle name="40% - Accent3 8 4 3 5" xfId="28450" xr:uid="{800B92CE-97C0-493A-A455-7D0E9CD3A7F4}"/>
    <cellStyle name="40% - Accent3 8 4 4" xfId="6348" xr:uid="{00000000-0005-0000-0000-0000933E0000}"/>
    <cellStyle name="40% - Accent3 8 4 4 2" xfId="14322" xr:uid="{00000000-0005-0000-0000-0000943E0000}"/>
    <cellStyle name="40% - Accent3 8 4 4 2 2" xfId="38164" xr:uid="{7610F26C-6751-4063-8DCC-6D816C7B1E8A}"/>
    <cellStyle name="40% - Accent3 8 4 4 3" xfId="22269" xr:uid="{00000000-0005-0000-0000-0000953E0000}"/>
    <cellStyle name="40% - Accent3 8 4 4 3 2" xfId="46101" xr:uid="{E2B374AF-CEF0-4EE4-B6AE-8943C4B0AC70}"/>
    <cellStyle name="40% - Accent3 8 4 4 4" xfId="30223" xr:uid="{BC2B4F7D-4E2B-4796-8F6D-98B27EC6B25A}"/>
    <cellStyle name="40% - Accent3 8 4 5" xfId="9890" xr:uid="{00000000-0005-0000-0000-0000963E0000}"/>
    <cellStyle name="40% - Accent3 8 4 5 2" xfId="17848" xr:uid="{00000000-0005-0000-0000-0000973E0000}"/>
    <cellStyle name="40% - Accent3 8 4 5 2 2" xfId="41688" xr:uid="{C8DEBA9A-388E-415F-B914-3FE7B603D152}"/>
    <cellStyle name="40% - Accent3 8 4 5 3" xfId="25792" xr:uid="{00000000-0005-0000-0000-0000983E0000}"/>
    <cellStyle name="40% - Accent3 8 4 5 3 2" xfId="49624" xr:uid="{4B3A247B-CF2D-4548-AC55-A949698E5217}"/>
    <cellStyle name="40% - Accent3 8 4 5 4" xfId="33747" xr:uid="{E2557B11-4D2F-48DF-A8FD-E91425130D09}"/>
    <cellStyle name="40% - Accent3 8 4 6" xfId="10786" xr:uid="{00000000-0005-0000-0000-0000993E0000}"/>
    <cellStyle name="40% - Accent3 8 4 6 2" xfId="34635" xr:uid="{F1CC4EA3-B162-4882-BAC3-F7C9F5320571}"/>
    <cellStyle name="40% - Accent3 8 4 7" xfId="18741" xr:uid="{00000000-0005-0000-0000-00009A3E0000}"/>
    <cellStyle name="40% - Accent3 8 4 7 2" xfId="42573" xr:uid="{88D0F0D5-F9C5-4CD3-858A-C9C32E10CEDD}"/>
    <cellStyle name="40% - Accent3 8 4 8" xfId="26693" xr:uid="{DECEFDDD-DB2B-47D9-81AD-ABC5F6B997BC}"/>
    <cellStyle name="40% - Accent3 8 4_Exh G" xfId="3037" xr:uid="{00000000-0005-0000-0000-00009B3E0000}"/>
    <cellStyle name="40% - Accent3 8 5" xfId="1499" xr:uid="{00000000-0005-0000-0000-00009C3E0000}"/>
    <cellStyle name="40% - Accent3 8 5 2" xfId="5026" xr:uid="{00000000-0005-0000-0000-00009D3E0000}"/>
    <cellStyle name="40% - Accent3 8 5 2 2" xfId="8617" xr:uid="{00000000-0005-0000-0000-00009E3E0000}"/>
    <cellStyle name="40% - Accent3 8 5 2 2 2" xfId="16587" xr:uid="{00000000-0005-0000-0000-00009F3E0000}"/>
    <cellStyle name="40% - Accent3 8 5 2 2 2 2" xfId="40429" xr:uid="{B78BD6B2-9F67-49CE-A17D-04C9127EEF43}"/>
    <cellStyle name="40% - Accent3 8 5 2 2 3" xfId="24533" xr:uid="{00000000-0005-0000-0000-0000A03E0000}"/>
    <cellStyle name="40% - Accent3 8 5 2 2 3 2" xfId="48365" xr:uid="{1A0A3F68-897E-4355-8E7E-0A76855E9718}"/>
    <cellStyle name="40% - Accent3 8 5 2 2 4" xfId="32488" xr:uid="{20981C12-AD31-473D-A369-7DC575626EA5}"/>
    <cellStyle name="40% - Accent3 8 5 2 3" xfId="13049" xr:uid="{00000000-0005-0000-0000-0000A13E0000}"/>
    <cellStyle name="40% - Accent3 8 5 2 3 2" xfId="36898" xr:uid="{F31EEC94-BFDA-4820-83F7-49383DDBAD69}"/>
    <cellStyle name="40% - Accent3 8 5 2 4" xfId="21004" xr:uid="{00000000-0005-0000-0000-0000A23E0000}"/>
    <cellStyle name="40% - Accent3 8 5 2 4 2" xfId="44836" xr:uid="{FDC3BCDD-402D-4676-914A-4AAF638578BF}"/>
    <cellStyle name="40% - Accent3 8 5 2 5" xfId="28957" xr:uid="{FC90A51C-72B9-4E45-A910-7A5F65D5B7CB}"/>
    <cellStyle name="40% - Accent3 8 5 3" xfId="6858" xr:uid="{00000000-0005-0000-0000-0000A33E0000}"/>
    <cellStyle name="40% - Accent3 8 5 3 2" xfId="14829" xr:uid="{00000000-0005-0000-0000-0000A43E0000}"/>
    <cellStyle name="40% - Accent3 8 5 3 2 2" xfId="38671" xr:uid="{B29E5F78-38F6-4D9D-8C74-10096A064ABA}"/>
    <cellStyle name="40% - Accent3 8 5 3 3" xfId="22776" xr:uid="{00000000-0005-0000-0000-0000A53E0000}"/>
    <cellStyle name="40% - Accent3 8 5 3 3 2" xfId="46608" xr:uid="{77855213-51A5-4845-9444-7F778168337B}"/>
    <cellStyle name="40% - Accent3 8 5 3 4" xfId="30730" xr:uid="{EBE22B33-3C18-4F50-83DE-B5D578D92351}"/>
    <cellStyle name="40% - Accent3 8 5 4" xfId="11293" xr:uid="{00000000-0005-0000-0000-0000A63E0000}"/>
    <cellStyle name="40% - Accent3 8 5 4 2" xfId="35142" xr:uid="{B1485A70-E141-4FD6-BBAC-267AA7D89149}"/>
    <cellStyle name="40% - Accent3 8 5 5" xfId="19248" xr:uid="{00000000-0005-0000-0000-0000A73E0000}"/>
    <cellStyle name="40% - Accent3 8 5 5 2" xfId="43080" xr:uid="{474B57EE-72C3-43F5-B903-FDE123DC008D}"/>
    <cellStyle name="40% - Accent3 8 5 6" xfId="27200" xr:uid="{6C14D7DA-6A29-4B28-9F2E-6BE6EE78D523}"/>
    <cellStyle name="40% - Accent3 8 5_Exh G" xfId="3039" xr:uid="{00000000-0005-0000-0000-0000A83E0000}"/>
    <cellStyle name="40% - Accent3 8 6" xfId="4147" xr:uid="{00000000-0005-0000-0000-0000A93E0000}"/>
    <cellStyle name="40% - Accent3 8 6 2" xfId="7739" xr:uid="{00000000-0005-0000-0000-0000AA3E0000}"/>
    <cellStyle name="40% - Accent3 8 6 2 2" xfId="15709" xr:uid="{00000000-0005-0000-0000-0000AB3E0000}"/>
    <cellStyle name="40% - Accent3 8 6 2 2 2" xfId="39551" xr:uid="{524B59F5-3F9A-44E1-910E-4F505ACC997A}"/>
    <cellStyle name="40% - Accent3 8 6 2 3" xfId="23655" xr:uid="{00000000-0005-0000-0000-0000AC3E0000}"/>
    <cellStyle name="40% - Accent3 8 6 2 3 2" xfId="47487" xr:uid="{82C503CB-6C5D-4A38-B9CE-0B53791BDEC8}"/>
    <cellStyle name="40% - Accent3 8 6 2 4" xfId="31610" xr:uid="{381D0185-353F-4EA0-9A76-591029AD507C}"/>
    <cellStyle name="40% - Accent3 8 6 3" xfId="12171" xr:uid="{00000000-0005-0000-0000-0000AD3E0000}"/>
    <cellStyle name="40% - Accent3 8 6 3 2" xfId="36020" xr:uid="{533194A1-2C95-4432-8B84-EF81C6F62D8A}"/>
    <cellStyle name="40% - Accent3 8 6 4" xfId="20126" xr:uid="{00000000-0005-0000-0000-0000AE3E0000}"/>
    <cellStyle name="40% - Accent3 8 6 4 2" xfId="43958" xr:uid="{99320A04-DFA1-4144-A68D-CEC10E56F067}"/>
    <cellStyle name="40% - Accent3 8 6 5" xfId="28079" xr:uid="{B985458C-D0C4-47A2-B2D5-6B44A33BA7ED}"/>
    <cellStyle name="40% - Accent3 8 7" xfId="5967" xr:uid="{00000000-0005-0000-0000-0000AF3E0000}"/>
    <cellStyle name="40% - Accent3 8 7 2" xfId="13950" xr:uid="{00000000-0005-0000-0000-0000B03E0000}"/>
    <cellStyle name="40% - Accent3 8 7 2 2" xfId="37793" xr:uid="{D21C4155-C4CA-4179-9CC4-50BBB0AD9196}"/>
    <cellStyle name="40% - Accent3 8 7 3" xfId="21898" xr:uid="{00000000-0005-0000-0000-0000B13E0000}"/>
    <cellStyle name="40% - Accent3 8 7 3 2" xfId="45730" xr:uid="{B92C0A13-5E62-4BEC-9D6A-F93FBAE176C7}"/>
    <cellStyle name="40% - Accent3 8 7 4" xfId="29852" xr:uid="{8254892E-C7A4-4649-B020-A4C926FA5674}"/>
    <cellStyle name="40% - Accent3 8 8" xfId="9519" xr:uid="{00000000-0005-0000-0000-0000B23E0000}"/>
    <cellStyle name="40% - Accent3 8 8 2" xfId="17477" xr:uid="{00000000-0005-0000-0000-0000B33E0000}"/>
    <cellStyle name="40% - Accent3 8 8 2 2" xfId="41317" xr:uid="{EFE1850A-ACE9-4F1C-946C-64BCC386C6FD}"/>
    <cellStyle name="40% - Accent3 8 8 3" xfId="25421" xr:uid="{00000000-0005-0000-0000-0000B43E0000}"/>
    <cellStyle name="40% - Accent3 8 8 3 2" xfId="49253" xr:uid="{3833D40C-8712-4629-B29D-2F551CDE16FC}"/>
    <cellStyle name="40% - Accent3 8 8 4" xfId="33376" xr:uid="{BD2F6DAB-3169-4575-88F9-E103F7F5D6ED}"/>
    <cellStyle name="40% - Accent3 8 9" xfId="10415" xr:uid="{00000000-0005-0000-0000-0000B53E0000}"/>
    <cellStyle name="40% - Accent3 8 9 2" xfId="34264" xr:uid="{718C6195-DD83-4D92-8202-FCE8EC39ED37}"/>
    <cellStyle name="40% - Accent3 8_Exh G" xfId="3030" xr:uid="{00000000-0005-0000-0000-0000B63E0000}"/>
    <cellStyle name="40% - Accent3 9" xfId="477" xr:uid="{00000000-0005-0000-0000-0000B73E0000}"/>
    <cellStyle name="40% - Accent3 9 10" xfId="18374" xr:uid="{00000000-0005-0000-0000-0000B83E0000}"/>
    <cellStyle name="40% - Accent3 9 10 2" xfId="42206" xr:uid="{4B9DBB61-E253-47FC-B57B-0492D42E3C81}"/>
    <cellStyle name="40% - Accent3 9 11" xfId="26326" xr:uid="{1EF0F16A-3E46-47C0-B43A-2ED7FB8ABF9A}"/>
    <cellStyle name="40% - Accent3 9 2" xfId="478" xr:uid="{00000000-0005-0000-0000-0000B93E0000}"/>
    <cellStyle name="40% - Accent3 9 2 2" xfId="479" xr:uid="{00000000-0005-0000-0000-0000BA3E0000}"/>
    <cellStyle name="40% - Accent3 9 2 2 2" xfId="1505" xr:uid="{00000000-0005-0000-0000-0000BB3E0000}"/>
    <cellStyle name="40% - Accent3 9 2 2 2 2" xfId="5032" xr:uid="{00000000-0005-0000-0000-0000BC3E0000}"/>
    <cellStyle name="40% - Accent3 9 2 2 2 2 2" xfId="8623" xr:uid="{00000000-0005-0000-0000-0000BD3E0000}"/>
    <cellStyle name="40% - Accent3 9 2 2 2 2 2 2" xfId="16593" xr:uid="{00000000-0005-0000-0000-0000BE3E0000}"/>
    <cellStyle name="40% - Accent3 9 2 2 2 2 2 2 2" xfId="40435" xr:uid="{97C7C9B5-380F-4FF2-82A4-591AC4F396B8}"/>
    <cellStyle name="40% - Accent3 9 2 2 2 2 2 3" xfId="24539" xr:uid="{00000000-0005-0000-0000-0000BF3E0000}"/>
    <cellStyle name="40% - Accent3 9 2 2 2 2 2 3 2" xfId="48371" xr:uid="{01171843-29E3-41F5-A5D1-CA9AC822DACD}"/>
    <cellStyle name="40% - Accent3 9 2 2 2 2 2 4" xfId="32494" xr:uid="{B3179F49-50DD-4049-BA0B-5B665EF5A5B0}"/>
    <cellStyle name="40% - Accent3 9 2 2 2 2 3" xfId="13055" xr:uid="{00000000-0005-0000-0000-0000C03E0000}"/>
    <cellStyle name="40% - Accent3 9 2 2 2 2 3 2" xfId="36904" xr:uid="{67FFE14B-A718-4883-A7FD-FB029C9A9D09}"/>
    <cellStyle name="40% - Accent3 9 2 2 2 2 4" xfId="21010" xr:uid="{00000000-0005-0000-0000-0000C13E0000}"/>
    <cellStyle name="40% - Accent3 9 2 2 2 2 4 2" xfId="44842" xr:uid="{8780D6F3-2BE5-40FB-8032-DBBAF9228124}"/>
    <cellStyle name="40% - Accent3 9 2 2 2 2 5" xfId="28963" xr:uid="{2BC0E880-1A79-4A32-879B-63617DF56806}"/>
    <cellStyle name="40% - Accent3 9 2 2 2 3" xfId="6864" xr:uid="{00000000-0005-0000-0000-0000C23E0000}"/>
    <cellStyle name="40% - Accent3 9 2 2 2 3 2" xfId="14835" xr:uid="{00000000-0005-0000-0000-0000C33E0000}"/>
    <cellStyle name="40% - Accent3 9 2 2 2 3 2 2" xfId="38677" xr:uid="{2DB453AE-B034-4FCB-8E1E-7DC948B410F0}"/>
    <cellStyle name="40% - Accent3 9 2 2 2 3 3" xfId="22782" xr:uid="{00000000-0005-0000-0000-0000C43E0000}"/>
    <cellStyle name="40% - Accent3 9 2 2 2 3 3 2" xfId="46614" xr:uid="{6BFEF70C-5739-437C-96D0-9B80464699C6}"/>
    <cellStyle name="40% - Accent3 9 2 2 2 3 4" xfId="30736" xr:uid="{C8B13795-83ED-4C3C-84BF-615C7C2BE5FF}"/>
    <cellStyle name="40% - Accent3 9 2 2 2 4" xfId="11299" xr:uid="{00000000-0005-0000-0000-0000C53E0000}"/>
    <cellStyle name="40% - Accent3 9 2 2 2 4 2" xfId="35148" xr:uid="{1C199B3D-ACDD-49B5-BE1C-E2A34F21C1C1}"/>
    <cellStyle name="40% - Accent3 9 2 2 2 5" xfId="19254" xr:uid="{00000000-0005-0000-0000-0000C63E0000}"/>
    <cellStyle name="40% - Accent3 9 2 2 2 5 2" xfId="43086" xr:uid="{2DC9790E-E10F-40BF-9E6F-3D235A166DA7}"/>
    <cellStyle name="40% - Accent3 9 2 2 2 6" xfId="27206" xr:uid="{1D5FDABC-9AFC-410C-B3EF-D583E3D642B3}"/>
    <cellStyle name="40% - Accent3 9 2 2 2_Exh G" xfId="3043" xr:uid="{00000000-0005-0000-0000-0000C73E0000}"/>
    <cellStyle name="40% - Accent3 9 2 2 3" xfId="4153" xr:uid="{00000000-0005-0000-0000-0000C83E0000}"/>
    <cellStyle name="40% - Accent3 9 2 2 3 2" xfId="7745" xr:uid="{00000000-0005-0000-0000-0000C93E0000}"/>
    <cellStyle name="40% - Accent3 9 2 2 3 2 2" xfId="15715" xr:uid="{00000000-0005-0000-0000-0000CA3E0000}"/>
    <cellStyle name="40% - Accent3 9 2 2 3 2 2 2" xfId="39557" xr:uid="{498F0221-770A-4A84-9513-26D519F46198}"/>
    <cellStyle name="40% - Accent3 9 2 2 3 2 3" xfId="23661" xr:uid="{00000000-0005-0000-0000-0000CB3E0000}"/>
    <cellStyle name="40% - Accent3 9 2 2 3 2 3 2" xfId="47493" xr:uid="{485E5C8B-C19B-40BF-AEE3-5A4692B268EB}"/>
    <cellStyle name="40% - Accent3 9 2 2 3 2 4" xfId="31616" xr:uid="{4FE8D46F-8150-41B4-9D5E-72DE34506816}"/>
    <cellStyle name="40% - Accent3 9 2 2 3 3" xfId="12177" xr:uid="{00000000-0005-0000-0000-0000CC3E0000}"/>
    <cellStyle name="40% - Accent3 9 2 2 3 3 2" xfId="36026" xr:uid="{F27DD972-0D41-402B-8CCB-0BFB1D62FDA0}"/>
    <cellStyle name="40% - Accent3 9 2 2 3 4" xfId="20132" xr:uid="{00000000-0005-0000-0000-0000CD3E0000}"/>
    <cellStyle name="40% - Accent3 9 2 2 3 4 2" xfId="43964" xr:uid="{7E6599CB-69B2-460A-863E-BE05C935E34A}"/>
    <cellStyle name="40% - Accent3 9 2 2 3 5" xfId="28085" xr:uid="{CA32D27A-0DB7-43B7-A52C-DBC126327C43}"/>
    <cellStyle name="40% - Accent3 9 2 2 4" xfId="5973" xr:uid="{00000000-0005-0000-0000-0000CE3E0000}"/>
    <cellStyle name="40% - Accent3 9 2 2 4 2" xfId="13956" xr:uid="{00000000-0005-0000-0000-0000CF3E0000}"/>
    <cellStyle name="40% - Accent3 9 2 2 4 2 2" xfId="37799" xr:uid="{961D5EDA-0D33-4B6D-96AA-BD024022C934}"/>
    <cellStyle name="40% - Accent3 9 2 2 4 3" xfId="21904" xr:uid="{00000000-0005-0000-0000-0000D03E0000}"/>
    <cellStyle name="40% - Accent3 9 2 2 4 3 2" xfId="45736" xr:uid="{561845A5-75AE-47D2-A604-8EAB53DF4EA1}"/>
    <cellStyle name="40% - Accent3 9 2 2 4 4" xfId="29858" xr:uid="{93E64832-CB80-4AB3-A90F-16FA5880B031}"/>
    <cellStyle name="40% - Accent3 9 2 2 5" xfId="9525" xr:uid="{00000000-0005-0000-0000-0000D13E0000}"/>
    <cellStyle name="40% - Accent3 9 2 2 5 2" xfId="17483" xr:uid="{00000000-0005-0000-0000-0000D23E0000}"/>
    <cellStyle name="40% - Accent3 9 2 2 5 2 2" xfId="41323" xr:uid="{AE3A7942-CC17-409B-98FB-FD7AC9A7D873}"/>
    <cellStyle name="40% - Accent3 9 2 2 5 3" xfId="25427" xr:uid="{00000000-0005-0000-0000-0000D33E0000}"/>
    <cellStyle name="40% - Accent3 9 2 2 5 3 2" xfId="49259" xr:uid="{D4B5B9EA-626F-41D0-B177-2FB18FDC4AFB}"/>
    <cellStyle name="40% - Accent3 9 2 2 5 4" xfId="33382" xr:uid="{B9301CCA-DC1E-4938-B4D7-871A2A33CFD3}"/>
    <cellStyle name="40% - Accent3 9 2 2 6" xfId="10421" xr:uid="{00000000-0005-0000-0000-0000D43E0000}"/>
    <cellStyle name="40% - Accent3 9 2 2 6 2" xfId="34270" xr:uid="{30EEC70E-3127-4823-B668-ADE9280FB760}"/>
    <cellStyle name="40% - Accent3 9 2 2 7" xfId="18376" xr:uid="{00000000-0005-0000-0000-0000D53E0000}"/>
    <cellStyle name="40% - Accent3 9 2 2 7 2" xfId="42208" xr:uid="{D48E21D8-EA00-44F7-9BA0-2A7A09938358}"/>
    <cellStyle name="40% - Accent3 9 2 2 8" xfId="26328" xr:uid="{B787E379-5615-4912-9671-83C61EB8C7F3}"/>
    <cellStyle name="40% - Accent3 9 2 2_Exh G" xfId="3042" xr:uid="{00000000-0005-0000-0000-0000D63E0000}"/>
    <cellStyle name="40% - Accent3 9 2 3" xfId="1504" xr:uid="{00000000-0005-0000-0000-0000D73E0000}"/>
    <cellStyle name="40% - Accent3 9 2 3 2" xfId="5031" xr:uid="{00000000-0005-0000-0000-0000D83E0000}"/>
    <cellStyle name="40% - Accent3 9 2 3 2 2" xfId="8622" xr:uid="{00000000-0005-0000-0000-0000D93E0000}"/>
    <cellStyle name="40% - Accent3 9 2 3 2 2 2" xfId="16592" xr:uid="{00000000-0005-0000-0000-0000DA3E0000}"/>
    <cellStyle name="40% - Accent3 9 2 3 2 2 2 2" xfId="40434" xr:uid="{BEA55AAD-C880-493F-9ADB-622C71E76FE5}"/>
    <cellStyle name="40% - Accent3 9 2 3 2 2 3" xfId="24538" xr:uid="{00000000-0005-0000-0000-0000DB3E0000}"/>
    <cellStyle name="40% - Accent3 9 2 3 2 2 3 2" xfId="48370" xr:uid="{784A69F5-D618-46A4-94FC-0FF1628FABA7}"/>
    <cellStyle name="40% - Accent3 9 2 3 2 2 4" xfId="32493" xr:uid="{4A518127-06F4-4FEF-87E2-1D695F09D0CD}"/>
    <cellStyle name="40% - Accent3 9 2 3 2 3" xfId="13054" xr:uid="{00000000-0005-0000-0000-0000DC3E0000}"/>
    <cellStyle name="40% - Accent3 9 2 3 2 3 2" xfId="36903" xr:uid="{D4C4937F-93C7-4B4A-AA70-3081012CFB20}"/>
    <cellStyle name="40% - Accent3 9 2 3 2 4" xfId="21009" xr:uid="{00000000-0005-0000-0000-0000DD3E0000}"/>
    <cellStyle name="40% - Accent3 9 2 3 2 4 2" xfId="44841" xr:uid="{E6C8811D-A75B-4560-9903-8FFDEFA1DBA1}"/>
    <cellStyle name="40% - Accent3 9 2 3 2 5" xfId="28962" xr:uid="{958EBFA7-19A6-4613-B378-8DF241852F62}"/>
    <cellStyle name="40% - Accent3 9 2 3 3" xfId="6863" xr:uid="{00000000-0005-0000-0000-0000DE3E0000}"/>
    <cellStyle name="40% - Accent3 9 2 3 3 2" xfId="14834" xr:uid="{00000000-0005-0000-0000-0000DF3E0000}"/>
    <cellStyle name="40% - Accent3 9 2 3 3 2 2" xfId="38676" xr:uid="{2FD594F7-82F7-43B3-B42F-82A7DBB0F929}"/>
    <cellStyle name="40% - Accent3 9 2 3 3 3" xfId="22781" xr:uid="{00000000-0005-0000-0000-0000E03E0000}"/>
    <cellStyle name="40% - Accent3 9 2 3 3 3 2" xfId="46613" xr:uid="{8E47E541-F338-48F6-A28B-21795575008C}"/>
    <cellStyle name="40% - Accent3 9 2 3 3 4" xfId="30735" xr:uid="{AF4B4D17-7253-49CB-A216-D0E5FBC25717}"/>
    <cellStyle name="40% - Accent3 9 2 3 4" xfId="11298" xr:uid="{00000000-0005-0000-0000-0000E13E0000}"/>
    <cellStyle name="40% - Accent3 9 2 3 4 2" xfId="35147" xr:uid="{A18E448B-7D08-45A1-A3F9-1C4788C378A7}"/>
    <cellStyle name="40% - Accent3 9 2 3 5" xfId="19253" xr:uid="{00000000-0005-0000-0000-0000E23E0000}"/>
    <cellStyle name="40% - Accent3 9 2 3 5 2" xfId="43085" xr:uid="{5892818E-1476-41F8-B143-443115548E42}"/>
    <cellStyle name="40% - Accent3 9 2 3 6" xfId="27205" xr:uid="{CD7E06CC-9AD0-4132-B059-891D84CCA614}"/>
    <cellStyle name="40% - Accent3 9 2 3_Exh G" xfId="3044" xr:uid="{00000000-0005-0000-0000-0000E33E0000}"/>
    <cellStyle name="40% - Accent3 9 2 4" xfId="4152" xr:uid="{00000000-0005-0000-0000-0000E43E0000}"/>
    <cellStyle name="40% - Accent3 9 2 4 2" xfId="7744" xr:uid="{00000000-0005-0000-0000-0000E53E0000}"/>
    <cellStyle name="40% - Accent3 9 2 4 2 2" xfId="15714" xr:uid="{00000000-0005-0000-0000-0000E63E0000}"/>
    <cellStyle name="40% - Accent3 9 2 4 2 2 2" xfId="39556" xr:uid="{B92F0061-6F47-43D7-8F09-A3FA3036771A}"/>
    <cellStyle name="40% - Accent3 9 2 4 2 3" xfId="23660" xr:uid="{00000000-0005-0000-0000-0000E73E0000}"/>
    <cellStyle name="40% - Accent3 9 2 4 2 3 2" xfId="47492" xr:uid="{30C91BA4-DAF2-4B40-B32D-C7F19A7E22F3}"/>
    <cellStyle name="40% - Accent3 9 2 4 2 4" xfId="31615" xr:uid="{827A1D2A-3847-4026-8D87-902EBF6BB461}"/>
    <cellStyle name="40% - Accent3 9 2 4 3" xfId="12176" xr:uid="{00000000-0005-0000-0000-0000E83E0000}"/>
    <cellStyle name="40% - Accent3 9 2 4 3 2" xfId="36025" xr:uid="{5EEEBCF8-BF3E-48E2-9148-A0F1FDAB5809}"/>
    <cellStyle name="40% - Accent3 9 2 4 4" xfId="20131" xr:uid="{00000000-0005-0000-0000-0000E93E0000}"/>
    <cellStyle name="40% - Accent3 9 2 4 4 2" xfId="43963" xr:uid="{342843CB-061B-4597-B533-811C70F6401D}"/>
    <cellStyle name="40% - Accent3 9 2 4 5" xfId="28084" xr:uid="{BA87942D-A668-4BAC-8C2E-9F48F296EA7C}"/>
    <cellStyle name="40% - Accent3 9 2 5" xfId="5972" xr:uid="{00000000-0005-0000-0000-0000EA3E0000}"/>
    <cellStyle name="40% - Accent3 9 2 5 2" xfId="13955" xr:uid="{00000000-0005-0000-0000-0000EB3E0000}"/>
    <cellStyle name="40% - Accent3 9 2 5 2 2" xfId="37798" xr:uid="{8B7E3229-935F-4F1D-A147-035F349DC941}"/>
    <cellStyle name="40% - Accent3 9 2 5 3" xfId="21903" xr:uid="{00000000-0005-0000-0000-0000EC3E0000}"/>
    <cellStyle name="40% - Accent3 9 2 5 3 2" xfId="45735" xr:uid="{5136513A-3C54-4EA7-A285-B9CFFCE22515}"/>
    <cellStyle name="40% - Accent3 9 2 5 4" xfId="29857" xr:uid="{89A36179-89DB-4775-981C-3CCBA0626731}"/>
    <cellStyle name="40% - Accent3 9 2 6" xfId="9524" xr:uid="{00000000-0005-0000-0000-0000ED3E0000}"/>
    <cellStyle name="40% - Accent3 9 2 6 2" xfId="17482" xr:uid="{00000000-0005-0000-0000-0000EE3E0000}"/>
    <cellStyle name="40% - Accent3 9 2 6 2 2" xfId="41322" xr:uid="{FDB8D916-0EE0-4C7E-B467-13AF63E22FDB}"/>
    <cellStyle name="40% - Accent3 9 2 6 3" xfId="25426" xr:uid="{00000000-0005-0000-0000-0000EF3E0000}"/>
    <cellStyle name="40% - Accent3 9 2 6 3 2" xfId="49258" xr:uid="{7FD67ECD-1818-4130-AA87-A3E131CE5941}"/>
    <cellStyle name="40% - Accent3 9 2 6 4" xfId="33381" xr:uid="{EDFB0AD6-7D19-4A39-B9D9-2DE9D49FC695}"/>
    <cellStyle name="40% - Accent3 9 2 7" xfId="10420" xr:uid="{00000000-0005-0000-0000-0000F03E0000}"/>
    <cellStyle name="40% - Accent3 9 2 7 2" xfId="34269" xr:uid="{37FC4934-1D88-4A5A-943E-2A1460B6DAB4}"/>
    <cellStyle name="40% - Accent3 9 2 8" xfId="18375" xr:uid="{00000000-0005-0000-0000-0000F13E0000}"/>
    <cellStyle name="40% - Accent3 9 2 8 2" xfId="42207" xr:uid="{FEF082CA-11A5-412F-8A2B-C152466075E1}"/>
    <cellStyle name="40% - Accent3 9 2 9" xfId="26327" xr:uid="{6381BBD7-ECCD-4D15-B8BF-C2DF7B2F2158}"/>
    <cellStyle name="40% - Accent3 9 2_Exh G" xfId="3041" xr:uid="{00000000-0005-0000-0000-0000F23E0000}"/>
    <cellStyle name="40% - Accent3 9 3" xfId="480" xr:uid="{00000000-0005-0000-0000-0000F33E0000}"/>
    <cellStyle name="40% - Accent3 9 3 2" xfId="1506" xr:uid="{00000000-0005-0000-0000-0000F43E0000}"/>
    <cellStyle name="40% - Accent3 9 3 2 2" xfId="5033" xr:uid="{00000000-0005-0000-0000-0000F53E0000}"/>
    <cellStyle name="40% - Accent3 9 3 2 2 2" xfId="8624" xr:uid="{00000000-0005-0000-0000-0000F63E0000}"/>
    <cellStyle name="40% - Accent3 9 3 2 2 2 2" xfId="16594" xr:uid="{00000000-0005-0000-0000-0000F73E0000}"/>
    <cellStyle name="40% - Accent3 9 3 2 2 2 2 2" xfId="40436" xr:uid="{E4B80362-445E-4A8D-BA81-FA4BE06EC516}"/>
    <cellStyle name="40% - Accent3 9 3 2 2 2 3" xfId="24540" xr:uid="{00000000-0005-0000-0000-0000F83E0000}"/>
    <cellStyle name="40% - Accent3 9 3 2 2 2 3 2" xfId="48372" xr:uid="{C532914D-5588-4761-AAE1-B79849946A49}"/>
    <cellStyle name="40% - Accent3 9 3 2 2 2 4" xfId="32495" xr:uid="{F2B5833E-508F-438B-8D7A-AD7C08BB9A71}"/>
    <cellStyle name="40% - Accent3 9 3 2 2 3" xfId="13056" xr:uid="{00000000-0005-0000-0000-0000F93E0000}"/>
    <cellStyle name="40% - Accent3 9 3 2 2 3 2" xfId="36905" xr:uid="{00BFF935-D124-45B3-AA33-A4002DD7F802}"/>
    <cellStyle name="40% - Accent3 9 3 2 2 4" xfId="21011" xr:uid="{00000000-0005-0000-0000-0000FA3E0000}"/>
    <cellStyle name="40% - Accent3 9 3 2 2 4 2" xfId="44843" xr:uid="{B300E81D-39CD-435C-BFB7-94CE80D0FF29}"/>
    <cellStyle name="40% - Accent3 9 3 2 2 5" xfId="28964" xr:uid="{8D509D69-8C6B-4876-B5FB-3A3C129E30CC}"/>
    <cellStyle name="40% - Accent3 9 3 2 3" xfId="6865" xr:uid="{00000000-0005-0000-0000-0000FB3E0000}"/>
    <cellStyle name="40% - Accent3 9 3 2 3 2" xfId="14836" xr:uid="{00000000-0005-0000-0000-0000FC3E0000}"/>
    <cellStyle name="40% - Accent3 9 3 2 3 2 2" xfId="38678" xr:uid="{B14D2FAA-BC1F-4E7E-BF7C-F787577A98A1}"/>
    <cellStyle name="40% - Accent3 9 3 2 3 3" xfId="22783" xr:uid="{00000000-0005-0000-0000-0000FD3E0000}"/>
    <cellStyle name="40% - Accent3 9 3 2 3 3 2" xfId="46615" xr:uid="{F4F06542-2D2B-42B1-9F55-B38F78BD4AAF}"/>
    <cellStyle name="40% - Accent3 9 3 2 3 4" xfId="30737" xr:uid="{8982A829-A245-415E-AFAC-F00816D28299}"/>
    <cellStyle name="40% - Accent3 9 3 2 4" xfId="11300" xr:uid="{00000000-0005-0000-0000-0000FE3E0000}"/>
    <cellStyle name="40% - Accent3 9 3 2 4 2" xfId="35149" xr:uid="{BF9DEFB7-764A-4965-9C4A-D706BA9D7C37}"/>
    <cellStyle name="40% - Accent3 9 3 2 5" xfId="19255" xr:uid="{00000000-0005-0000-0000-0000FF3E0000}"/>
    <cellStyle name="40% - Accent3 9 3 2 5 2" xfId="43087" xr:uid="{9539FFCD-5051-44C8-898A-D3AA87879CE1}"/>
    <cellStyle name="40% - Accent3 9 3 2 6" xfId="27207" xr:uid="{393F9C05-2344-44F7-B2DF-FF5F57B07391}"/>
    <cellStyle name="40% - Accent3 9 3 2_Exh G" xfId="3046" xr:uid="{00000000-0005-0000-0000-0000003F0000}"/>
    <cellStyle name="40% - Accent3 9 3 3" xfId="4154" xr:uid="{00000000-0005-0000-0000-0000013F0000}"/>
    <cellStyle name="40% - Accent3 9 3 3 2" xfId="7746" xr:uid="{00000000-0005-0000-0000-0000023F0000}"/>
    <cellStyle name="40% - Accent3 9 3 3 2 2" xfId="15716" xr:uid="{00000000-0005-0000-0000-0000033F0000}"/>
    <cellStyle name="40% - Accent3 9 3 3 2 2 2" xfId="39558" xr:uid="{7069184A-F279-48C5-A5B0-63DE970F6529}"/>
    <cellStyle name="40% - Accent3 9 3 3 2 3" xfId="23662" xr:uid="{00000000-0005-0000-0000-0000043F0000}"/>
    <cellStyle name="40% - Accent3 9 3 3 2 3 2" xfId="47494" xr:uid="{1002E2F5-B24C-4653-91A5-46A2CA31525E}"/>
    <cellStyle name="40% - Accent3 9 3 3 2 4" xfId="31617" xr:uid="{45F9DEEC-A3BA-4289-B710-9798F95820FD}"/>
    <cellStyle name="40% - Accent3 9 3 3 3" xfId="12178" xr:uid="{00000000-0005-0000-0000-0000053F0000}"/>
    <cellStyle name="40% - Accent3 9 3 3 3 2" xfId="36027" xr:uid="{AD5C9C65-6537-4376-AA17-0E29CFF33760}"/>
    <cellStyle name="40% - Accent3 9 3 3 4" xfId="20133" xr:uid="{00000000-0005-0000-0000-0000063F0000}"/>
    <cellStyle name="40% - Accent3 9 3 3 4 2" xfId="43965" xr:uid="{5C82AD71-4B3E-4734-9740-345D2C346B61}"/>
    <cellStyle name="40% - Accent3 9 3 3 5" xfId="28086" xr:uid="{5E6B1D1C-F7FF-44C7-AC22-5CAF8FE62E02}"/>
    <cellStyle name="40% - Accent3 9 3 4" xfId="5974" xr:uid="{00000000-0005-0000-0000-0000073F0000}"/>
    <cellStyle name="40% - Accent3 9 3 4 2" xfId="13957" xr:uid="{00000000-0005-0000-0000-0000083F0000}"/>
    <cellStyle name="40% - Accent3 9 3 4 2 2" xfId="37800" xr:uid="{C97C435C-DD8D-42D7-826D-6ABAD8816599}"/>
    <cellStyle name="40% - Accent3 9 3 4 3" xfId="21905" xr:uid="{00000000-0005-0000-0000-0000093F0000}"/>
    <cellStyle name="40% - Accent3 9 3 4 3 2" xfId="45737" xr:uid="{4F48507E-6E35-4241-B76B-2DF13E733A4F}"/>
    <cellStyle name="40% - Accent3 9 3 4 4" xfId="29859" xr:uid="{8DCAB1AD-669C-4F72-8B82-7A79D622498F}"/>
    <cellStyle name="40% - Accent3 9 3 5" xfId="9526" xr:uid="{00000000-0005-0000-0000-00000A3F0000}"/>
    <cellStyle name="40% - Accent3 9 3 5 2" xfId="17484" xr:uid="{00000000-0005-0000-0000-00000B3F0000}"/>
    <cellStyle name="40% - Accent3 9 3 5 2 2" xfId="41324" xr:uid="{753686F9-F741-4CF4-B4C2-7507A6BC7E01}"/>
    <cellStyle name="40% - Accent3 9 3 5 3" xfId="25428" xr:uid="{00000000-0005-0000-0000-00000C3F0000}"/>
    <cellStyle name="40% - Accent3 9 3 5 3 2" xfId="49260" xr:uid="{05B2A289-D9F5-44EA-9A2E-4E7246F4EF7F}"/>
    <cellStyle name="40% - Accent3 9 3 5 4" xfId="33383" xr:uid="{08D15B93-3F00-4029-8630-D1F0E175324E}"/>
    <cellStyle name="40% - Accent3 9 3 6" xfId="10422" xr:uid="{00000000-0005-0000-0000-00000D3F0000}"/>
    <cellStyle name="40% - Accent3 9 3 6 2" xfId="34271" xr:uid="{BADF1AC5-A422-43E0-8D36-A180485B28B6}"/>
    <cellStyle name="40% - Accent3 9 3 7" xfId="18377" xr:uid="{00000000-0005-0000-0000-00000E3F0000}"/>
    <cellStyle name="40% - Accent3 9 3 7 2" xfId="42209" xr:uid="{9D17CA5D-C1B1-4D54-AB14-0AAEA336F9E9}"/>
    <cellStyle name="40% - Accent3 9 3 8" xfId="26329" xr:uid="{B4B9AF0B-3BCE-4033-994B-642658EBC7AA}"/>
    <cellStyle name="40% - Accent3 9 3_Exh G" xfId="3045" xr:uid="{00000000-0005-0000-0000-00000F3F0000}"/>
    <cellStyle name="40% - Accent3 9 4" xfId="966" xr:uid="{00000000-0005-0000-0000-0000103F0000}"/>
    <cellStyle name="40% - Accent3 9 4 2" xfId="1881" xr:uid="{00000000-0005-0000-0000-0000113F0000}"/>
    <cellStyle name="40% - Accent3 9 4 2 2" xfId="5398" xr:uid="{00000000-0005-0000-0000-0000123F0000}"/>
    <cellStyle name="40% - Accent3 9 4 2 2 2" xfId="8989" xr:uid="{00000000-0005-0000-0000-0000133F0000}"/>
    <cellStyle name="40% - Accent3 9 4 2 2 2 2" xfId="16959" xr:uid="{00000000-0005-0000-0000-0000143F0000}"/>
    <cellStyle name="40% - Accent3 9 4 2 2 2 2 2" xfId="40801" xr:uid="{C4D38B31-5527-456B-989C-76F41B43E504}"/>
    <cellStyle name="40% - Accent3 9 4 2 2 2 3" xfId="24905" xr:uid="{00000000-0005-0000-0000-0000153F0000}"/>
    <cellStyle name="40% - Accent3 9 4 2 2 2 3 2" xfId="48737" xr:uid="{4DCF9C7B-474D-4C31-B478-9882E1E6FF79}"/>
    <cellStyle name="40% - Accent3 9 4 2 2 2 4" xfId="32860" xr:uid="{FE7D5D3B-EAB5-4384-9FBB-FBEE1FB02674}"/>
    <cellStyle name="40% - Accent3 9 4 2 2 3" xfId="13421" xr:uid="{00000000-0005-0000-0000-0000163F0000}"/>
    <cellStyle name="40% - Accent3 9 4 2 2 3 2" xfId="37270" xr:uid="{CA05AB22-0A4E-4BAA-BF51-4018252B66D0}"/>
    <cellStyle name="40% - Accent3 9 4 2 2 4" xfId="21376" xr:uid="{00000000-0005-0000-0000-0000173F0000}"/>
    <cellStyle name="40% - Accent3 9 4 2 2 4 2" xfId="45208" xr:uid="{CF3AB557-E31A-43AD-AE56-23D1A350796E}"/>
    <cellStyle name="40% - Accent3 9 4 2 2 5" xfId="29329" xr:uid="{8A98B573-24A1-41B3-979C-3F25ACD02F7F}"/>
    <cellStyle name="40% - Accent3 9 4 2 3" xfId="7230" xr:uid="{00000000-0005-0000-0000-0000183F0000}"/>
    <cellStyle name="40% - Accent3 9 4 2 3 2" xfId="15201" xr:uid="{00000000-0005-0000-0000-0000193F0000}"/>
    <cellStyle name="40% - Accent3 9 4 2 3 2 2" xfId="39043" xr:uid="{CE3CAC67-637C-4B9C-8BFE-CC4A54A54355}"/>
    <cellStyle name="40% - Accent3 9 4 2 3 3" xfId="23148" xr:uid="{00000000-0005-0000-0000-00001A3F0000}"/>
    <cellStyle name="40% - Accent3 9 4 2 3 3 2" xfId="46980" xr:uid="{5091A7E1-80CD-467A-A82A-68432B63F630}"/>
    <cellStyle name="40% - Accent3 9 4 2 3 4" xfId="31102" xr:uid="{95C68670-93AE-42DB-AA3F-772646321185}"/>
    <cellStyle name="40% - Accent3 9 4 2 4" xfId="11665" xr:uid="{00000000-0005-0000-0000-00001B3F0000}"/>
    <cellStyle name="40% - Accent3 9 4 2 4 2" xfId="35514" xr:uid="{471B0260-BD5E-42E2-80E1-EDAB75808204}"/>
    <cellStyle name="40% - Accent3 9 4 2 5" xfId="19620" xr:uid="{00000000-0005-0000-0000-00001C3F0000}"/>
    <cellStyle name="40% - Accent3 9 4 2 5 2" xfId="43452" xr:uid="{3C863C01-7F17-45DF-A1F2-4C6CB937D8BC}"/>
    <cellStyle name="40% - Accent3 9 4 2 6" xfId="27572" xr:uid="{2AB8C3F8-B00A-4A3B-B14A-561808146C19}"/>
    <cellStyle name="40% - Accent3 9 4 2_Exh G" xfId="3048" xr:uid="{00000000-0005-0000-0000-00001D3F0000}"/>
    <cellStyle name="40% - Accent3 9 4 3" xfId="4519" xr:uid="{00000000-0005-0000-0000-00001E3F0000}"/>
    <cellStyle name="40% - Accent3 9 4 3 2" xfId="8111" xr:uid="{00000000-0005-0000-0000-00001F3F0000}"/>
    <cellStyle name="40% - Accent3 9 4 3 2 2" xfId="16081" xr:uid="{00000000-0005-0000-0000-0000203F0000}"/>
    <cellStyle name="40% - Accent3 9 4 3 2 2 2" xfId="39923" xr:uid="{9D17A194-D388-4143-9F8A-F4EFF016222B}"/>
    <cellStyle name="40% - Accent3 9 4 3 2 3" xfId="24027" xr:uid="{00000000-0005-0000-0000-0000213F0000}"/>
    <cellStyle name="40% - Accent3 9 4 3 2 3 2" xfId="47859" xr:uid="{779BA14E-1158-4B43-8EE0-4D2085FF5B23}"/>
    <cellStyle name="40% - Accent3 9 4 3 2 4" xfId="31982" xr:uid="{0F884423-30CE-48DF-8E71-8AC56751A71D}"/>
    <cellStyle name="40% - Accent3 9 4 3 3" xfId="12543" xr:uid="{00000000-0005-0000-0000-0000223F0000}"/>
    <cellStyle name="40% - Accent3 9 4 3 3 2" xfId="36392" xr:uid="{ADAB6C08-5C0D-415A-9A92-EECB5D9DC2B6}"/>
    <cellStyle name="40% - Accent3 9 4 3 4" xfId="20498" xr:uid="{00000000-0005-0000-0000-0000233F0000}"/>
    <cellStyle name="40% - Accent3 9 4 3 4 2" xfId="44330" xr:uid="{8289E08E-524F-4E6E-90A5-30EEC79D6DF0}"/>
    <cellStyle name="40% - Accent3 9 4 3 5" xfId="28451" xr:uid="{DFE0D642-39D3-44CC-8660-83BFDCFBB48D}"/>
    <cellStyle name="40% - Accent3 9 4 4" xfId="6349" xr:uid="{00000000-0005-0000-0000-0000243F0000}"/>
    <cellStyle name="40% - Accent3 9 4 4 2" xfId="14323" xr:uid="{00000000-0005-0000-0000-0000253F0000}"/>
    <cellStyle name="40% - Accent3 9 4 4 2 2" xfId="38165" xr:uid="{1C925458-B65A-48F9-8869-91A39ACA10FA}"/>
    <cellStyle name="40% - Accent3 9 4 4 3" xfId="22270" xr:uid="{00000000-0005-0000-0000-0000263F0000}"/>
    <cellStyle name="40% - Accent3 9 4 4 3 2" xfId="46102" xr:uid="{88A447FD-5C21-4C00-8036-AF83778B42E7}"/>
    <cellStyle name="40% - Accent3 9 4 4 4" xfId="30224" xr:uid="{F5C673CF-B245-461C-BF5F-768E78421684}"/>
    <cellStyle name="40% - Accent3 9 4 5" xfId="9891" xr:uid="{00000000-0005-0000-0000-0000273F0000}"/>
    <cellStyle name="40% - Accent3 9 4 5 2" xfId="17849" xr:uid="{00000000-0005-0000-0000-0000283F0000}"/>
    <cellStyle name="40% - Accent3 9 4 5 2 2" xfId="41689" xr:uid="{6078E7F6-73C7-46E5-AE6E-924FA813B1F6}"/>
    <cellStyle name="40% - Accent3 9 4 5 3" xfId="25793" xr:uid="{00000000-0005-0000-0000-0000293F0000}"/>
    <cellStyle name="40% - Accent3 9 4 5 3 2" xfId="49625" xr:uid="{24DBC9F6-F778-4F84-9FEF-2656C997DEA5}"/>
    <cellStyle name="40% - Accent3 9 4 5 4" xfId="33748" xr:uid="{BB0D034F-C196-44D8-A458-35A590315AC6}"/>
    <cellStyle name="40% - Accent3 9 4 6" xfId="10787" xr:uid="{00000000-0005-0000-0000-00002A3F0000}"/>
    <cellStyle name="40% - Accent3 9 4 6 2" xfId="34636" xr:uid="{69D0D322-6E55-443C-8572-029CEEF5C79C}"/>
    <cellStyle name="40% - Accent3 9 4 7" xfId="18742" xr:uid="{00000000-0005-0000-0000-00002B3F0000}"/>
    <cellStyle name="40% - Accent3 9 4 7 2" xfId="42574" xr:uid="{E9908CE3-0C81-4279-87EB-25192B41D157}"/>
    <cellStyle name="40% - Accent3 9 4 8" xfId="26694" xr:uid="{57DFC820-28B2-413D-A581-5C0D34379CED}"/>
    <cellStyle name="40% - Accent3 9 4_Exh G" xfId="3047" xr:uid="{00000000-0005-0000-0000-00002C3F0000}"/>
    <cellStyle name="40% - Accent3 9 5" xfId="1503" xr:uid="{00000000-0005-0000-0000-00002D3F0000}"/>
    <cellStyle name="40% - Accent3 9 5 2" xfId="5030" xr:uid="{00000000-0005-0000-0000-00002E3F0000}"/>
    <cellStyle name="40% - Accent3 9 5 2 2" xfId="8621" xr:uid="{00000000-0005-0000-0000-00002F3F0000}"/>
    <cellStyle name="40% - Accent3 9 5 2 2 2" xfId="16591" xr:uid="{00000000-0005-0000-0000-0000303F0000}"/>
    <cellStyle name="40% - Accent3 9 5 2 2 2 2" xfId="40433" xr:uid="{9D8EFAFF-D0FD-4D2C-A5A7-A0CF4AFC64E2}"/>
    <cellStyle name="40% - Accent3 9 5 2 2 3" xfId="24537" xr:uid="{00000000-0005-0000-0000-0000313F0000}"/>
    <cellStyle name="40% - Accent3 9 5 2 2 3 2" xfId="48369" xr:uid="{387CD210-F44A-4E04-931D-332E42C63C7C}"/>
    <cellStyle name="40% - Accent3 9 5 2 2 4" xfId="32492" xr:uid="{2D5FA433-ABAF-4F12-8D89-8DE580B4A791}"/>
    <cellStyle name="40% - Accent3 9 5 2 3" xfId="13053" xr:uid="{00000000-0005-0000-0000-0000323F0000}"/>
    <cellStyle name="40% - Accent3 9 5 2 3 2" xfId="36902" xr:uid="{426F6562-C1C5-4A4C-B637-7BF68946A363}"/>
    <cellStyle name="40% - Accent3 9 5 2 4" xfId="21008" xr:uid="{00000000-0005-0000-0000-0000333F0000}"/>
    <cellStyle name="40% - Accent3 9 5 2 4 2" xfId="44840" xr:uid="{0C2E9806-921A-48FA-827B-DAD72E181486}"/>
    <cellStyle name="40% - Accent3 9 5 2 5" xfId="28961" xr:uid="{D0C2EC84-0C5C-4C1A-8DF9-DE3FC6D40D2C}"/>
    <cellStyle name="40% - Accent3 9 5 3" xfId="6862" xr:uid="{00000000-0005-0000-0000-0000343F0000}"/>
    <cellStyle name="40% - Accent3 9 5 3 2" xfId="14833" xr:uid="{00000000-0005-0000-0000-0000353F0000}"/>
    <cellStyle name="40% - Accent3 9 5 3 2 2" xfId="38675" xr:uid="{3BDB3C9A-607A-48C9-89D4-C14977EA6223}"/>
    <cellStyle name="40% - Accent3 9 5 3 3" xfId="22780" xr:uid="{00000000-0005-0000-0000-0000363F0000}"/>
    <cellStyle name="40% - Accent3 9 5 3 3 2" xfId="46612" xr:uid="{C9CD27E2-0761-44D7-8191-0A14ACD8F381}"/>
    <cellStyle name="40% - Accent3 9 5 3 4" xfId="30734" xr:uid="{0AE82B79-AA81-4313-882A-386D869B0E9C}"/>
    <cellStyle name="40% - Accent3 9 5 4" xfId="11297" xr:uid="{00000000-0005-0000-0000-0000373F0000}"/>
    <cellStyle name="40% - Accent3 9 5 4 2" xfId="35146" xr:uid="{85A2CD5D-C207-4AD2-A148-9DF88503B4EB}"/>
    <cellStyle name="40% - Accent3 9 5 5" xfId="19252" xr:uid="{00000000-0005-0000-0000-0000383F0000}"/>
    <cellStyle name="40% - Accent3 9 5 5 2" xfId="43084" xr:uid="{D5CF0042-B43E-4D90-9F36-B3C8C7072CF4}"/>
    <cellStyle name="40% - Accent3 9 5 6" xfId="27204" xr:uid="{1D5E3A3D-C246-4883-9850-80FDAAA4FF58}"/>
    <cellStyle name="40% - Accent3 9 5_Exh G" xfId="3049" xr:uid="{00000000-0005-0000-0000-0000393F0000}"/>
    <cellStyle name="40% - Accent3 9 6" xfId="4151" xr:uid="{00000000-0005-0000-0000-00003A3F0000}"/>
    <cellStyle name="40% - Accent3 9 6 2" xfId="7743" xr:uid="{00000000-0005-0000-0000-00003B3F0000}"/>
    <cellStyle name="40% - Accent3 9 6 2 2" xfId="15713" xr:uid="{00000000-0005-0000-0000-00003C3F0000}"/>
    <cellStyle name="40% - Accent3 9 6 2 2 2" xfId="39555" xr:uid="{3D166FC4-9608-4AB4-A377-C7ED5322DA4E}"/>
    <cellStyle name="40% - Accent3 9 6 2 3" xfId="23659" xr:uid="{00000000-0005-0000-0000-00003D3F0000}"/>
    <cellStyle name="40% - Accent3 9 6 2 3 2" xfId="47491" xr:uid="{B4EB9154-AA2B-4DF3-A698-C006F0FAA09D}"/>
    <cellStyle name="40% - Accent3 9 6 2 4" xfId="31614" xr:uid="{443B5AC0-D68C-4699-9B79-F78AB8F3573A}"/>
    <cellStyle name="40% - Accent3 9 6 3" xfId="12175" xr:uid="{00000000-0005-0000-0000-00003E3F0000}"/>
    <cellStyle name="40% - Accent3 9 6 3 2" xfId="36024" xr:uid="{2B314AF5-51AA-4086-8994-8FFA7AE3CDCE}"/>
    <cellStyle name="40% - Accent3 9 6 4" xfId="20130" xr:uid="{00000000-0005-0000-0000-00003F3F0000}"/>
    <cellStyle name="40% - Accent3 9 6 4 2" xfId="43962" xr:uid="{38083A4D-70B2-415A-97A1-77A019FD5D94}"/>
    <cellStyle name="40% - Accent3 9 6 5" xfId="28083" xr:uid="{EE333707-F57C-4B80-8357-9F9C573CB049}"/>
    <cellStyle name="40% - Accent3 9 7" xfId="5971" xr:uid="{00000000-0005-0000-0000-0000403F0000}"/>
    <cellStyle name="40% - Accent3 9 7 2" xfId="13954" xr:uid="{00000000-0005-0000-0000-0000413F0000}"/>
    <cellStyle name="40% - Accent3 9 7 2 2" xfId="37797" xr:uid="{632EBD0E-D6F0-4AD6-9FA1-ADCAE4ADC8FB}"/>
    <cellStyle name="40% - Accent3 9 7 3" xfId="21902" xr:uid="{00000000-0005-0000-0000-0000423F0000}"/>
    <cellStyle name="40% - Accent3 9 7 3 2" xfId="45734" xr:uid="{BA371634-4E86-48E6-910D-6D2182CB0612}"/>
    <cellStyle name="40% - Accent3 9 7 4" xfId="29856" xr:uid="{336BD4A9-936C-4F9A-BAB7-35B8AD6DD784}"/>
    <cellStyle name="40% - Accent3 9 8" xfId="9523" xr:uid="{00000000-0005-0000-0000-0000433F0000}"/>
    <cellStyle name="40% - Accent3 9 8 2" xfId="17481" xr:uid="{00000000-0005-0000-0000-0000443F0000}"/>
    <cellStyle name="40% - Accent3 9 8 2 2" xfId="41321" xr:uid="{29563217-1F70-4077-88A6-3C159FE3228A}"/>
    <cellStyle name="40% - Accent3 9 8 3" xfId="25425" xr:uid="{00000000-0005-0000-0000-0000453F0000}"/>
    <cellStyle name="40% - Accent3 9 8 3 2" xfId="49257" xr:uid="{668313BE-84C2-4B87-9AC4-90A3024FC06C}"/>
    <cellStyle name="40% - Accent3 9 8 4" xfId="33380" xr:uid="{4C24B845-1B47-49CD-8C4C-29A3A91BA155}"/>
    <cellStyle name="40% - Accent3 9 9" xfId="10419" xr:uid="{00000000-0005-0000-0000-0000463F0000}"/>
    <cellStyle name="40% - Accent3 9 9 2" xfId="34268" xr:uid="{AE06541B-FD0D-42CF-B63B-E68E66545072}"/>
    <cellStyle name="40% - Accent3 9_Exh G" xfId="3040" xr:uid="{00000000-0005-0000-0000-0000473F0000}"/>
    <cellStyle name="40% - Accent4" xfId="49692" builtinId="43" customBuiltin="1"/>
    <cellStyle name="40% - Accent4 10" xfId="481" xr:uid="{00000000-0005-0000-0000-0000483F0000}"/>
    <cellStyle name="40% - Accent4 10 10" xfId="18378" xr:uid="{00000000-0005-0000-0000-0000493F0000}"/>
    <cellStyle name="40% - Accent4 10 10 2" xfId="42210" xr:uid="{091AF3E9-2751-4C75-969F-CBE4AA973A4D}"/>
    <cellStyle name="40% - Accent4 10 11" xfId="26330" xr:uid="{45ADF27B-9A15-49D4-8DA4-462F830628BC}"/>
    <cellStyle name="40% - Accent4 10 2" xfId="482" xr:uid="{00000000-0005-0000-0000-00004A3F0000}"/>
    <cellStyle name="40% - Accent4 10 2 2" xfId="483" xr:uid="{00000000-0005-0000-0000-00004B3F0000}"/>
    <cellStyle name="40% - Accent4 10 2 2 2" xfId="1509" xr:uid="{00000000-0005-0000-0000-00004C3F0000}"/>
    <cellStyle name="40% - Accent4 10 2 2 2 2" xfId="5036" xr:uid="{00000000-0005-0000-0000-00004D3F0000}"/>
    <cellStyle name="40% - Accent4 10 2 2 2 2 2" xfId="8627" xr:uid="{00000000-0005-0000-0000-00004E3F0000}"/>
    <cellStyle name="40% - Accent4 10 2 2 2 2 2 2" xfId="16597" xr:uid="{00000000-0005-0000-0000-00004F3F0000}"/>
    <cellStyle name="40% - Accent4 10 2 2 2 2 2 2 2" xfId="40439" xr:uid="{8C682465-A437-437F-99BA-79C0B31F0B4B}"/>
    <cellStyle name="40% - Accent4 10 2 2 2 2 2 3" xfId="24543" xr:uid="{00000000-0005-0000-0000-0000503F0000}"/>
    <cellStyle name="40% - Accent4 10 2 2 2 2 2 3 2" xfId="48375" xr:uid="{64832D25-C9A6-47A3-AFDC-947458C89595}"/>
    <cellStyle name="40% - Accent4 10 2 2 2 2 2 4" xfId="32498" xr:uid="{E0550A67-074F-4739-87F1-332AFCC0484D}"/>
    <cellStyle name="40% - Accent4 10 2 2 2 2 3" xfId="13059" xr:uid="{00000000-0005-0000-0000-0000513F0000}"/>
    <cellStyle name="40% - Accent4 10 2 2 2 2 3 2" xfId="36908" xr:uid="{4258AB54-0AC2-4D35-8A2B-B720CDCCFFD0}"/>
    <cellStyle name="40% - Accent4 10 2 2 2 2 4" xfId="21014" xr:uid="{00000000-0005-0000-0000-0000523F0000}"/>
    <cellStyle name="40% - Accent4 10 2 2 2 2 4 2" xfId="44846" xr:uid="{C9981C32-8646-4495-932E-AECDB74546DF}"/>
    <cellStyle name="40% - Accent4 10 2 2 2 2 5" xfId="28967" xr:uid="{61FF112A-4FD5-4222-A7BE-6483AF68133B}"/>
    <cellStyle name="40% - Accent4 10 2 2 2 3" xfId="6868" xr:uid="{00000000-0005-0000-0000-0000533F0000}"/>
    <cellStyle name="40% - Accent4 10 2 2 2 3 2" xfId="14839" xr:uid="{00000000-0005-0000-0000-0000543F0000}"/>
    <cellStyle name="40% - Accent4 10 2 2 2 3 2 2" xfId="38681" xr:uid="{00C077E2-2709-47F3-939F-18593EF8E693}"/>
    <cellStyle name="40% - Accent4 10 2 2 2 3 3" xfId="22786" xr:uid="{00000000-0005-0000-0000-0000553F0000}"/>
    <cellStyle name="40% - Accent4 10 2 2 2 3 3 2" xfId="46618" xr:uid="{EFBF9856-5562-4FFC-BA05-D06C11004954}"/>
    <cellStyle name="40% - Accent4 10 2 2 2 3 4" xfId="30740" xr:uid="{8F430DBF-37A1-46A8-8C7A-EAAD4B874D6A}"/>
    <cellStyle name="40% - Accent4 10 2 2 2 4" xfId="11303" xr:uid="{00000000-0005-0000-0000-0000563F0000}"/>
    <cellStyle name="40% - Accent4 10 2 2 2 4 2" xfId="35152" xr:uid="{0E8F1C96-C24A-4143-93E2-4CD8F89D775E}"/>
    <cellStyle name="40% - Accent4 10 2 2 2 5" xfId="19258" xr:uid="{00000000-0005-0000-0000-0000573F0000}"/>
    <cellStyle name="40% - Accent4 10 2 2 2 5 2" xfId="43090" xr:uid="{6ECFEF22-69ED-4CFD-8F67-29C8D54196D0}"/>
    <cellStyle name="40% - Accent4 10 2 2 2 6" xfId="27210" xr:uid="{88417019-81A4-46EA-9F9B-B617139E1524}"/>
    <cellStyle name="40% - Accent4 10 2 2 2_Exh G" xfId="3053" xr:uid="{00000000-0005-0000-0000-0000583F0000}"/>
    <cellStyle name="40% - Accent4 10 2 2 3" xfId="4157" xr:uid="{00000000-0005-0000-0000-0000593F0000}"/>
    <cellStyle name="40% - Accent4 10 2 2 3 2" xfId="7749" xr:uid="{00000000-0005-0000-0000-00005A3F0000}"/>
    <cellStyle name="40% - Accent4 10 2 2 3 2 2" xfId="15719" xr:uid="{00000000-0005-0000-0000-00005B3F0000}"/>
    <cellStyle name="40% - Accent4 10 2 2 3 2 2 2" xfId="39561" xr:uid="{453E65E1-003F-431C-86FB-6FEA88C93C7D}"/>
    <cellStyle name="40% - Accent4 10 2 2 3 2 3" xfId="23665" xr:uid="{00000000-0005-0000-0000-00005C3F0000}"/>
    <cellStyle name="40% - Accent4 10 2 2 3 2 3 2" xfId="47497" xr:uid="{15084898-E966-4B34-8947-6B36EEF4D861}"/>
    <cellStyle name="40% - Accent4 10 2 2 3 2 4" xfId="31620" xr:uid="{34DF396B-EA10-4738-A85A-C1C6447C354A}"/>
    <cellStyle name="40% - Accent4 10 2 2 3 3" xfId="12181" xr:uid="{00000000-0005-0000-0000-00005D3F0000}"/>
    <cellStyle name="40% - Accent4 10 2 2 3 3 2" xfId="36030" xr:uid="{C615A59D-A419-4F63-A3AF-626B0354EE6B}"/>
    <cellStyle name="40% - Accent4 10 2 2 3 4" xfId="20136" xr:uid="{00000000-0005-0000-0000-00005E3F0000}"/>
    <cellStyle name="40% - Accent4 10 2 2 3 4 2" xfId="43968" xr:uid="{E01BA667-A446-4C20-81DC-063045B73C02}"/>
    <cellStyle name="40% - Accent4 10 2 2 3 5" xfId="28089" xr:uid="{77E366EE-D156-4554-8AB4-2FAC61E13251}"/>
    <cellStyle name="40% - Accent4 10 2 2 4" xfId="5977" xr:uid="{00000000-0005-0000-0000-00005F3F0000}"/>
    <cellStyle name="40% - Accent4 10 2 2 4 2" xfId="13960" xr:uid="{00000000-0005-0000-0000-0000603F0000}"/>
    <cellStyle name="40% - Accent4 10 2 2 4 2 2" xfId="37803" xr:uid="{65C12646-FB1F-49A9-A6F6-82A639369E66}"/>
    <cellStyle name="40% - Accent4 10 2 2 4 3" xfId="21908" xr:uid="{00000000-0005-0000-0000-0000613F0000}"/>
    <cellStyle name="40% - Accent4 10 2 2 4 3 2" xfId="45740" xr:uid="{4A68C09C-185C-40B9-88D5-7726218D8F26}"/>
    <cellStyle name="40% - Accent4 10 2 2 4 4" xfId="29862" xr:uid="{72383244-3826-4A28-9CF0-DF713B4C8A3E}"/>
    <cellStyle name="40% - Accent4 10 2 2 5" xfId="9529" xr:uid="{00000000-0005-0000-0000-0000623F0000}"/>
    <cellStyle name="40% - Accent4 10 2 2 5 2" xfId="17487" xr:uid="{00000000-0005-0000-0000-0000633F0000}"/>
    <cellStyle name="40% - Accent4 10 2 2 5 2 2" xfId="41327" xr:uid="{69FAB2B0-82CA-4FE0-8170-970FC5B9E58E}"/>
    <cellStyle name="40% - Accent4 10 2 2 5 3" xfId="25431" xr:uid="{00000000-0005-0000-0000-0000643F0000}"/>
    <cellStyle name="40% - Accent4 10 2 2 5 3 2" xfId="49263" xr:uid="{9C2D84CF-7B2F-458B-B198-8FF3BEB98002}"/>
    <cellStyle name="40% - Accent4 10 2 2 5 4" xfId="33386" xr:uid="{80C488BF-03E0-4626-9B42-D36CDB582D80}"/>
    <cellStyle name="40% - Accent4 10 2 2 6" xfId="10425" xr:uid="{00000000-0005-0000-0000-0000653F0000}"/>
    <cellStyle name="40% - Accent4 10 2 2 6 2" xfId="34274" xr:uid="{7D767769-9F3A-4C59-8B09-B7E80B39B453}"/>
    <cellStyle name="40% - Accent4 10 2 2 7" xfId="18380" xr:uid="{00000000-0005-0000-0000-0000663F0000}"/>
    <cellStyle name="40% - Accent4 10 2 2 7 2" xfId="42212" xr:uid="{25DCAE80-A9CF-45D8-A81E-2E0D7D4D25B7}"/>
    <cellStyle name="40% - Accent4 10 2 2 8" xfId="26332" xr:uid="{D12589B8-ABBD-43B2-BF56-9DAE68BBE742}"/>
    <cellStyle name="40% - Accent4 10 2 2_Exh G" xfId="3052" xr:uid="{00000000-0005-0000-0000-0000673F0000}"/>
    <cellStyle name="40% - Accent4 10 2 3" xfId="1508" xr:uid="{00000000-0005-0000-0000-0000683F0000}"/>
    <cellStyle name="40% - Accent4 10 2 3 2" xfId="5035" xr:uid="{00000000-0005-0000-0000-0000693F0000}"/>
    <cellStyle name="40% - Accent4 10 2 3 2 2" xfId="8626" xr:uid="{00000000-0005-0000-0000-00006A3F0000}"/>
    <cellStyle name="40% - Accent4 10 2 3 2 2 2" xfId="16596" xr:uid="{00000000-0005-0000-0000-00006B3F0000}"/>
    <cellStyle name="40% - Accent4 10 2 3 2 2 2 2" xfId="40438" xr:uid="{4157AA3B-BF9D-4254-9CFE-B41C86B55ADE}"/>
    <cellStyle name="40% - Accent4 10 2 3 2 2 3" xfId="24542" xr:uid="{00000000-0005-0000-0000-00006C3F0000}"/>
    <cellStyle name="40% - Accent4 10 2 3 2 2 3 2" xfId="48374" xr:uid="{1D746980-F59C-4DDE-9E30-86BAC17B6A74}"/>
    <cellStyle name="40% - Accent4 10 2 3 2 2 4" xfId="32497" xr:uid="{7FC58574-41EC-4A38-8DBE-F7D7AD94F621}"/>
    <cellStyle name="40% - Accent4 10 2 3 2 3" xfId="13058" xr:uid="{00000000-0005-0000-0000-00006D3F0000}"/>
    <cellStyle name="40% - Accent4 10 2 3 2 3 2" xfId="36907" xr:uid="{4A1A0899-16CE-4E4D-962B-DCB42683DB41}"/>
    <cellStyle name="40% - Accent4 10 2 3 2 4" xfId="21013" xr:uid="{00000000-0005-0000-0000-00006E3F0000}"/>
    <cellStyle name="40% - Accent4 10 2 3 2 4 2" xfId="44845" xr:uid="{CBE8B3E9-2E8F-42A8-943B-AC76D8450C79}"/>
    <cellStyle name="40% - Accent4 10 2 3 2 5" xfId="28966" xr:uid="{10F25A74-4BBB-4104-A0E2-47FA78E37F46}"/>
    <cellStyle name="40% - Accent4 10 2 3 3" xfId="6867" xr:uid="{00000000-0005-0000-0000-00006F3F0000}"/>
    <cellStyle name="40% - Accent4 10 2 3 3 2" xfId="14838" xr:uid="{00000000-0005-0000-0000-0000703F0000}"/>
    <cellStyle name="40% - Accent4 10 2 3 3 2 2" xfId="38680" xr:uid="{F8E56ADD-EBFA-4136-9F67-C847B7BD1161}"/>
    <cellStyle name="40% - Accent4 10 2 3 3 3" xfId="22785" xr:uid="{00000000-0005-0000-0000-0000713F0000}"/>
    <cellStyle name="40% - Accent4 10 2 3 3 3 2" xfId="46617" xr:uid="{9C606826-5572-4FD7-B020-8775EA8A17C5}"/>
    <cellStyle name="40% - Accent4 10 2 3 3 4" xfId="30739" xr:uid="{B9A3D840-C825-4AA8-AB2B-5FA847117E05}"/>
    <cellStyle name="40% - Accent4 10 2 3 4" xfId="11302" xr:uid="{00000000-0005-0000-0000-0000723F0000}"/>
    <cellStyle name="40% - Accent4 10 2 3 4 2" xfId="35151" xr:uid="{92AC5531-E7C1-428A-874F-484A135AD729}"/>
    <cellStyle name="40% - Accent4 10 2 3 5" xfId="19257" xr:uid="{00000000-0005-0000-0000-0000733F0000}"/>
    <cellStyle name="40% - Accent4 10 2 3 5 2" xfId="43089" xr:uid="{D46817A8-4171-4ECA-9263-EA89C5ED98FF}"/>
    <cellStyle name="40% - Accent4 10 2 3 6" xfId="27209" xr:uid="{B682CD95-0B27-491D-8CFF-1CF3FA7363AF}"/>
    <cellStyle name="40% - Accent4 10 2 3_Exh G" xfId="3054" xr:uid="{00000000-0005-0000-0000-0000743F0000}"/>
    <cellStyle name="40% - Accent4 10 2 4" xfId="4156" xr:uid="{00000000-0005-0000-0000-0000753F0000}"/>
    <cellStyle name="40% - Accent4 10 2 4 2" xfId="7748" xr:uid="{00000000-0005-0000-0000-0000763F0000}"/>
    <cellStyle name="40% - Accent4 10 2 4 2 2" xfId="15718" xr:uid="{00000000-0005-0000-0000-0000773F0000}"/>
    <cellStyle name="40% - Accent4 10 2 4 2 2 2" xfId="39560" xr:uid="{99CD3950-59B3-4ADC-B4DD-03008737194E}"/>
    <cellStyle name="40% - Accent4 10 2 4 2 3" xfId="23664" xr:uid="{00000000-0005-0000-0000-0000783F0000}"/>
    <cellStyle name="40% - Accent4 10 2 4 2 3 2" xfId="47496" xr:uid="{B71D6046-015F-4575-9FBE-1D1255955C62}"/>
    <cellStyle name="40% - Accent4 10 2 4 2 4" xfId="31619" xr:uid="{910F9C39-B2FC-44C4-A04F-25D727352E52}"/>
    <cellStyle name="40% - Accent4 10 2 4 3" xfId="12180" xr:uid="{00000000-0005-0000-0000-0000793F0000}"/>
    <cellStyle name="40% - Accent4 10 2 4 3 2" xfId="36029" xr:uid="{A157C05D-340D-4133-B485-6AC84D0907A2}"/>
    <cellStyle name="40% - Accent4 10 2 4 4" xfId="20135" xr:uid="{00000000-0005-0000-0000-00007A3F0000}"/>
    <cellStyle name="40% - Accent4 10 2 4 4 2" xfId="43967" xr:uid="{66DC7FDC-6180-4014-8DF7-4680EC47B1E7}"/>
    <cellStyle name="40% - Accent4 10 2 4 5" xfId="28088" xr:uid="{612EE604-ADB8-4E42-A9F1-C4AC5B3FE2F0}"/>
    <cellStyle name="40% - Accent4 10 2 5" xfId="5976" xr:uid="{00000000-0005-0000-0000-00007B3F0000}"/>
    <cellStyle name="40% - Accent4 10 2 5 2" xfId="13959" xr:uid="{00000000-0005-0000-0000-00007C3F0000}"/>
    <cellStyle name="40% - Accent4 10 2 5 2 2" xfId="37802" xr:uid="{3DAD2F56-4FB4-4CD0-96AB-85EB6951B498}"/>
    <cellStyle name="40% - Accent4 10 2 5 3" xfId="21907" xr:uid="{00000000-0005-0000-0000-00007D3F0000}"/>
    <cellStyle name="40% - Accent4 10 2 5 3 2" xfId="45739" xr:uid="{351F7395-566F-40CD-95D0-FB4A24887CEA}"/>
    <cellStyle name="40% - Accent4 10 2 5 4" xfId="29861" xr:uid="{1AABEE38-D3D8-4BF8-B72B-E4607060C1D1}"/>
    <cellStyle name="40% - Accent4 10 2 6" xfId="9528" xr:uid="{00000000-0005-0000-0000-00007E3F0000}"/>
    <cellStyle name="40% - Accent4 10 2 6 2" xfId="17486" xr:uid="{00000000-0005-0000-0000-00007F3F0000}"/>
    <cellStyle name="40% - Accent4 10 2 6 2 2" xfId="41326" xr:uid="{58E4FFC7-FA0E-49EB-B9CD-DE2CA43ADE8E}"/>
    <cellStyle name="40% - Accent4 10 2 6 3" xfId="25430" xr:uid="{00000000-0005-0000-0000-0000803F0000}"/>
    <cellStyle name="40% - Accent4 10 2 6 3 2" xfId="49262" xr:uid="{D071ECEE-7551-4B94-9D86-491570364AEA}"/>
    <cellStyle name="40% - Accent4 10 2 6 4" xfId="33385" xr:uid="{872CCE30-66CA-4BD2-BBA8-3FE132A74B20}"/>
    <cellStyle name="40% - Accent4 10 2 7" xfId="10424" xr:uid="{00000000-0005-0000-0000-0000813F0000}"/>
    <cellStyle name="40% - Accent4 10 2 7 2" xfId="34273" xr:uid="{4845CE4F-D191-4449-B77C-3F9EA575136B}"/>
    <cellStyle name="40% - Accent4 10 2 8" xfId="18379" xr:uid="{00000000-0005-0000-0000-0000823F0000}"/>
    <cellStyle name="40% - Accent4 10 2 8 2" xfId="42211" xr:uid="{42A0AB49-1BB1-4E04-8935-235D4A6B8697}"/>
    <cellStyle name="40% - Accent4 10 2 9" xfId="26331" xr:uid="{FB4E80A9-8140-4041-AE6E-2E643E21703D}"/>
    <cellStyle name="40% - Accent4 10 2_Exh G" xfId="3051" xr:uid="{00000000-0005-0000-0000-0000833F0000}"/>
    <cellStyle name="40% - Accent4 10 3" xfId="484" xr:uid="{00000000-0005-0000-0000-0000843F0000}"/>
    <cellStyle name="40% - Accent4 10 3 2" xfId="1510" xr:uid="{00000000-0005-0000-0000-0000853F0000}"/>
    <cellStyle name="40% - Accent4 10 3 2 2" xfId="5037" xr:uid="{00000000-0005-0000-0000-0000863F0000}"/>
    <cellStyle name="40% - Accent4 10 3 2 2 2" xfId="8628" xr:uid="{00000000-0005-0000-0000-0000873F0000}"/>
    <cellStyle name="40% - Accent4 10 3 2 2 2 2" xfId="16598" xr:uid="{00000000-0005-0000-0000-0000883F0000}"/>
    <cellStyle name="40% - Accent4 10 3 2 2 2 2 2" xfId="40440" xr:uid="{8C8709FD-2993-478E-A3F1-1A8BCB5291A0}"/>
    <cellStyle name="40% - Accent4 10 3 2 2 2 3" xfId="24544" xr:uid="{00000000-0005-0000-0000-0000893F0000}"/>
    <cellStyle name="40% - Accent4 10 3 2 2 2 3 2" xfId="48376" xr:uid="{C89D3C23-81B6-4B0E-81CF-A0856D7A2975}"/>
    <cellStyle name="40% - Accent4 10 3 2 2 2 4" xfId="32499" xr:uid="{3730B667-8DFC-466B-B2AB-3888A896510F}"/>
    <cellStyle name="40% - Accent4 10 3 2 2 3" xfId="13060" xr:uid="{00000000-0005-0000-0000-00008A3F0000}"/>
    <cellStyle name="40% - Accent4 10 3 2 2 3 2" xfId="36909" xr:uid="{FA29BB14-BC91-453B-8B70-1AB1E532A214}"/>
    <cellStyle name="40% - Accent4 10 3 2 2 4" xfId="21015" xr:uid="{00000000-0005-0000-0000-00008B3F0000}"/>
    <cellStyle name="40% - Accent4 10 3 2 2 4 2" xfId="44847" xr:uid="{2D732ECA-D5CF-4535-A26A-5073D30F2876}"/>
    <cellStyle name="40% - Accent4 10 3 2 2 5" xfId="28968" xr:uid="{A4F6A0B3-A19C-4653-A693-8470187E5CBC}"/>
    <cellStyle name="40% - Accent4 10 3 2 3" xfId="6869" xr:uid="{00000000-0005-0000-0000-00008C3F0000}"/>
    <cellStyle name="40% - Accent4 10 3 2 3 2" xfId="14840" xr:uid="{00000000-0005-0000-0000-00008D3F0000}"/>
    <cellStyle name="40% - Accent4 10 3 2 3 2 2" xfId="38682" xr:uid="{DE3876F0-FDF6-471E-BC26-EAE7ACBEF6C6}"/>
    <cellStyle name="40% - Accent4 10 3 2 3 3" xfId="22787" xr:uid="{00000000-0005-0000-0000-00008E3F0000}"/>
    <cellStyle name="40% - Accent4 10 3 2 3 3 2" xfId="46619" xr:uid="{A1200CA6-7129-4461-9319-D358B097CE5B}"/>
    <cellStyle name="40% - Accent4 10 3 2 3 4" xfId="30741" xr:uid="{09DE587C-4EFE-4E32-BBC2-CAB6688EDB00}"/>
    <cellStyle name="40% - Accent4 10 3 2 4" xfId="11304" xr:uid="{00000000-0005-0000-0000-00008F3F0000}"/>
    <cellStyle name="40% - Accent4 10 3 2 4 2" xfId="35153" xr:uid="{63E307D3-F3FD-46D5-A88D-F1FDC4121EDD}"/>
    <cellStyle name="40% - Accent4 10 3 2 5" xfId="19259" xr:uid="{00000000-0005-0000-0000-0000903F0000}"/>
    <cellStyle name="40% - Accent4 10 3 2 5 2" xfId="43091" xr:uid="{3B87E635-DA79-4C78-81BE-8E75FCF9614B}"/>
    <cellStyle name="40% - Accent4 10 3 2 6" xfId="27211" xr:uid="{19AEBAF7-E40A-4239-BAD4-3421956B399A}"/>
    <cellStyle name="40% - Accent4 10 3 2_Exh G" xfId="3056" xr:uid="{00000000-0005-0000-0000-0000913F0000}"/>
    <cellStyle name="40% - Accent4 10 3 3" xfId="4158" xr:uid="{00000000-0005-0000-0000-0000923F0000}"/>
    <cellStyle name="40% - Accent4 10 3 3 2" xfId="7750" xr:uid="{00000000-0005-0000-0000-0000933F0000}"/>
    <cellStyle name="40% - Accent4 10 3 3 2 2" xfId="15720" xr:uid="{00000000-0005-0000-0000-0000943F0000}"/>
    <cellStyle name="40% - Accent4 10 3 3 2 2 2" xfId="39562" xr:uid="{D7721753-E733-4843-B012-797DF4A138F4}"/>
    <cellStyle name="40% - Accent4 10 3 3 2 3" xfId="23666" xr:uid="{00000000-0005-0000-0000-0000953F0000}"/>
    <cellStyle name="40% - Accent4 10 3 3 2 3 2" xfId="47498" xr:uid="{CEBC92F1-F8C1-41B1-8E44-7A1FDB78A3C5}"/>
    <cellStyle name="40% - Accent4 10 3 3 2 4" xfId="31621" xr:uid="{9A057D98-76F1-4C23-9155-11FDDD224B68}"/>
    <cellStyle name="40% - Accent4 10 3 3 3" xfId="12182" xr:uid="{00000000-0005-0000-0000-0000963F0000}"/>
    <cellStyle name="40% - Accent4 10 3 3 3 2" xfId="36031" xr:uid="{063471F6-42E2-438C-8861-9211E5B2F96A}"/>
    <cellStyle name="40% - Accent4 10 3 3 4" xfId="20137" xr:uid="{00000000-0005-0000-0000-0000973F0000}"/>
    <cellStyle name="40% - Accent4 10 3 3 4 2" xfId="43969" xr:uid="{5939D674-9398-4F95-908C-A90C71CA4FF7}"/>
    <cellStyle name="40% - Accent4 10 3 3 5" xfId="28090" xr:uid="{6A4AC5CD-0869-4128-971B-B02A9C53BF3F}"/>
    <cellStyle name="40% - Accent4 10 3 4" xfId="5978" xr:uid="{00000000-0005-0000-0000-0000983F0000}"/>
    <cellStyle name="40% - Accent4 10 3 4 2" xfId="13961" xr:uid="{00000000-0005-0000-0000-0000993F0000}"/>
    <cellStyle name="40% - Accent4 10 3 4 2 2" xfId="37804" xr:uid="{35566DF7-B886-4E35-9A42-8EEFB1023389}"/>
    <cellStyle name="40% - Accent4 10 3 4 3" xfId="21909" xr:uid="{00000000-0005-0000-0000-00009A3F0000}"/>
    <cellStyle name="40% - Accent4 10 3 4 3 2" xfId="45741" xr:uid="{EB335724-88A4-45B6-86EA-530AB2012F07}"/>
    <cellStyle name="40% - Accent4 10 3 4 4" xfId="29863" xr:uid="{C86DB39F-EA49-483F-97AB-76C4C77A5CA3}"/>
    <cellStyle name="40% - Accent4 10 3 5" xfId="9530" xr:uid="{00000000-0005-0000-0000-00009B3F0000}"/>
    <cellStyle name="40% - Accent4 10 3 5 2" xfId="17488" xr:uid="{00000000-0005-0000-0000-00009C3F0000}"/>
    <cellStyle name="40% - Accent4 10 3 5 2 2" xfId="41328" xr:uid="{389133C1-303F-4596-97D7-0B9E50A835CD}"/>
    <cellStyle name="40% - Accent4 10 3 5 3" xfId="25432" xr:uid="{00000000-0005-0000-0000-00009D3F0000}"/>
    <cellStyle name="40% - Accent4 10 3 5 3 2" xfId="49264" xr:uid="{9CE6FD5D-5C71-43D3-BFF6-D199A28980A0}"/>
    <cellStyle name="40% - Accent4 10 3 5 4" xfId="33387" xr:uid="{46DC02CB-6A52-473D-B651-90DAC576C00B}"/>
    <cellStyle name="40% - Accent4 10 3 6" xfId="10426" xr:uid="{00000000-0005-0000-0000-00009E3F0000}"/>
    <cellStyle name="40% - Accent4 10 3 6 2" xfId="34275" xr:uid="{51731DFC-2A30-4D7A-8F28-D2871AE839F1}"/>
    <cellStyle name="40% - Accent4 10 3 7" xfId="18381" xr:uid="{00000000-0005-0000-0000-00009F3F0000}"/>
    <cellStyle name="40% - Accent4 10 3 7 2" xfId="42213" xr:uid="{54383AD5-F94D-4527-8DE4-5BF7BCE63752}"/>
    <cellStyle name="40% - Accent4 10 3 8" xfId="26333" xr:uid="{6ADA854F-F48D-4C55-A93F-84DB8C917733}"/>
    <cellStyle name="40% - Accent4 10 3_Exh G" xfId="3055" xr:uid="{00000000-0005-0000-0000-0000A03F0000}"/>
    <cellStyle name="40% - Accent4 10 4" xfId="967" xr:uid="{00000000-0005-0000-0000-0000A13F0000}"/>
    <cellStyle name="40% - Accent4 10 5" xfId="1507" xr:uid="{00000000-0005-0000-0000-0000A23F0000}"/>
    <cellStyle name="40% - Accent4 10 5 2" xfId="5034" xr:uid="{00000000-0005-0000-0000-0000A33F0000}"/>
    <cellStyle name="40% - Accent4 10 5 2 2" xfId="8625" xr:uid="{00000000-0005-0000-0000-0000A43F0000}"/>
    <cellStyle name="40% - Accent4 10 5 2 2 2" xfId="16595" xr:uid="{00000000-0005-0000-0000-0000A53F0000}"/>
    <cellStyle name="40% - Accent4 10 5 2 2 2 2" xfId="40437" xr:uid="{8E68B8E7-387B-4831-9372-15636661548D}"/>
    <cellStyle name="40% - Accent4 10 5 2 2 3" xfId="24541" xr:uid="{00000000-0005-0000-0000-0000A63F0000}"/>
    <cellStyle name="40% - Accent4 10 5 2 2 3 2" xfId="48373" xr:uid="{8DB2776A-0D33-4094-9442-7C6D8A858D39}"/>
    <cellStyle name="40% - Accent4 10 5 2 2 4" xfId="32496" xr:uid="{9293DB11-EB33-407C-A8D7-2438CF45786E}"/>
    <cellStyle name="40% - Accent4 10 5 2 3" xfId="13057" xr:uid="{00000000-0005-0000-0000-0000A73F0000}"/>
    <cellStyle name="40% - Accent4 10 5 2 3 2" xfId="36906" xr:uid="{47262D86-2197-4006-8A6A-D35830526C95}"/>
    <cellStyle name="40% - Accent4 10 5 2 4" xfId="21012" xr:uid="{00000000-0005-0000-0000-0000A83F0000}"/>
    <cellStyle name="40% - Accent4 10 5 2 4 2" xfId="44844" xr:uid="{B9E67798-3EC8-4D22-9F30-453A93FBA0CC}"/>
    <cellStyle name="40% - Accent4 10 5 2 5" xfId="28965" xr:uid="{88C23397-CB46-482F-9568-33B2172A8F44}"/>
    <cellStyle name="40% - Accent4 10 5 3" xfId="6866" xr:uid="{00000000-0005-0000-0000-0000A93F0000}"/>
    <cellStyle name="40% - Accent4 10 5 3 2" xfId="14837" xr:uid="{00000000-0005-0000-0000-0000AA3F0000}"/>
    <cellStyle name="40% - Accent4 10 5 3 2 2" xfId="38679" xr:uid="{4FD62411-F332-49DC-AA5F-210E69BC1846}"/>
    <cellStyle name="40% - Accent4 10 5 3 3" xfId="22784" xr:uid="{00000000-0005-0000-0000-0000AB3F0000}"/>
    <cellStyle name="40% - Accent4 10 5 3 3 2" xfId="46616" xr:uid="{DE1519DD-FBB4-42DD-AC16-2438BF539E92}"/>
    <cellStyle name="40% - Accent4 10 5 3 4" xfId="30738" xr:uid="{FBD9B411-E498-488A-9E37-71CBF09D3B2B}"/>
    <cellStyle name="40% - Accent4 10 5 4" xfId="11301" xr:uid="{00000000-0005-0000-0000-0000AC3F0000}"/>
    <cellStyle name="40% - Accent4 10 5 4 2" xfId="35150" xr:uid="{6924D7A0-C7F1-4387-885C-B2A578C26DD9}"/>
    <cellStyle name="40% - Accent4 10 5 5" xfId="19256" xr:uid="{00000000-0005-0000-0000-0000AD3F0000}"/>
    <cellStyle name="40% - Accent4 10 5 5 2" xfId="43088" xr:uid="{EF03AEA7-F49D-4885-ACB4-DD805667718C}"/>
    <cellStyle name="40% - Accent4 10 5 6" xfId="27208" xr:uid="{F6784F84-CDB8-4EAB-818C-3574F2FC7C62}"/>
    <cellStyle name="40% - Accent4 10 5_Exh G" xfId="3057" xr:uid="{00000000-0005-0000-0000-0000AE3F0000}"/>
    <cellStyle name="40% - Accent4 10 6" xfId="4155" xr:uid="{00000000-0005-0000-0000-0000AF3F0000}"/>
    <cellStyle name="40% - Accent4 10 6 2" xfId="7747" xr:uid="{00000000-0005-0000-0000-0000B03F0000}"/>
    <cellStyle name="40% - Accent4 10 6 2 2" xfId="15717" xr:uid="{00000000-0005-0000-0000-0000B13F0000}"/>
    <cellStyle name="40% - Accent4 10 6 2 2 2" xfId="39559" xr:uid="{014EB1EC-ACFB-45C2-A9AF-3DFBB320D940}"/>
    <cellStyle name="40% - Accent4 10 6 2 3" xfId="23663" xr:uid="{00000000-0005-0000-0000-0000B23F0000}"/>
    <cellStyle name="40% - Accent4 10 6 2 3 2" xfId="47495" xr:uid="{812C7D29-0AE1-49DF-B141-695803212639}"/>
    <cellStyle name="40% - Accent4 10 6 2 4" xfId="31618" xr:uid="{D9F3A1FD-95E9-482B-9668-F8EECDECF07D}"/>
    <cellStyle name="40% - Accent4 10 6 3" xfId="12179" xr:uid="{00000000-0005-0000-0000-0000B33F0000}"/>
    <cellStyle name="40% - Accent4 10 6 3 2" xfId="36028" xr:uid="{3F9240B6-7D40-4BCA-B100-65BBA3F7B656}"/>
    <cellStyle name="40% - Accent4 10 6 4" xfId="20134" xr:uid="{00000000-0005-0000-0000-0000B43F0000}"/>
    <cellStyle name="40% - Accent4 10 6 4 2" xfId="43966" xr:uid="{C0631599-3005-4A44-B60C-885E06622B7F}"/>
    <cellStyle name="40% - Accent4 10 6 5" xfId="28087" xr:uid="{96085A80-2AB9-4185-8E4C-EB97A53A0393}"/>
    <cellStyle name="40% - Accent4 10 7" xfId="5975" xr:uid="{00000000-0005-0000-0000-0000B53F0000}"/>
    <cellStyle name="40% - Accent4 10 7 2" xfId="13958" xr:uid="{00000000-0005-0000-0000-0000B63F0000}"/>
    <cellStyle name="40% - Accent4 10 7 2 2" xfId="37801" xr:uid="{B5B17DEC-B977-4021-BB2A-B1FD8815DC74}"/>
    <cellStyle name="40% - Accent4 10 7 3" xfId="21906" xr:uid="{00000000-0005-0000-0000-0000B73F0000}"/>
    <cellStyle name="40% - Accent4 10 7 3 2" xfId="45738" xr:uid="{6C20138A-5954-4FB0-81B8-D77C5BA55D1B}"/>
    <cellStyle name="40% - Accent4 10 7 4" xfId="29860" xr:uid="{80BA40A9-E3EA-4455-BB09-EDCACA7B82FA}"/>
    <cellStyle name="40% - Accent4 10 8" xfId="9527" xr:uid="{00000000-0005-0000-0000-0000B83F0000}"/>
    <cellStyle name="40% - Accent4 10 8 2" xfId="17485" xr:uid="{00000000-0005-0000-0000-0000B93F0000}"/>
    <cellStyle name="40% - Accent4 10 8 2 2" xfId="41325" xr:uid="{41C634CA-AD96-4CBA-8A47-BEE24F5C195C}"/>
    <cellStyle name="40% - Accent4 10 8 3" xfId="25429" xr:uid="{00000000-0005-0000-0000-0000BA3F0000}"/>
    <cellStyle name="40% - Accent4 10 8 3 2" xfId="49261" xr:uid="{308B50B9-8348-4F5C-8964-0F80E152D808}"/>
    <cellStyle name="40% - Accent4 10 8 4" xfId="33384" xr:uid="{35BC35C8-4AF1-4A16-A37F-D3000FEEB4D8}"/>
    <cellStyle name="40% - Accent4 10 9" xfId="10423" xr:uid="{00000000-0005-0000-0000-0000BB3F0000}"/>
    <cellStyle name="40% - Accent4 10 9 2" xfId="34272" xr:uid="{10E6AEEA-3B56-4D70-BE72-406B5FCB18C0}"/>
    <cellStyle name="40% - Accent4 10_Exh G" xfId="3050" xr:uid="{00000000-0005-0000-0000-0000BC3F0000}"/>
    <cellStyle name="40% - Accent4 11" xfId="485" xr:uid="{00000000-0005-0000-0000-0000BD3F0000}"/>
    <cellStyle name="40% - Accent4 11 10" xfId="26334" xr:uid="{0286C9FC-A348-4DED-BD35-168ED4F9D025}"/>
    <cellStyle name="40% - Accent4 11 2" xfId="486" xr:uid="{00000000-0005-0000-0000-0000BE3F0000}"/>
    <cellStyle name="40% - Accent4 11 2 2" xfId="487" xr:uid="{00000000-0005-0000-0000-0000BF3F0000}"/>
    <cellStyle name="40% - Accent4 11 2 2 2" xfId="1513" xr:uid="{00000000-0005-0000-0000-0000C03F0000}"/>
    <cellStyle name="40% - Accent4 11 2 2 2 2" xfId="5040" xr:uid="{00000000-0005-0000-0000-0000C13F0000}"/>
    <cellStyle name="40% - Accent4 11 2 2 2 2 2" xfId="8631" xr:uid="{00000000-0005-0000-0000-0000C23F0000}"/>
    <cellStyle name="40% - Accent4 11 2 2 2 2 2 2" xfId="16601" xr:uid="{00000000-0005-0000-0000-0000C33F0000}"/>
    <cellStyle name="40% - Accent4 11 2 2 2 2 2 2 2" xfId="40443" xr:uid="{3D79B0EC-B979-45FE-B252-C944B4232CF6}"/>
    <cellStyle name="40% - Accent4 11 2 2 2 2 2 3" xfId="24547" xr:uid="{00000000-0005-0000-0000-0000C43F0000}"/>
    <cellStyle name="40% - Accent4 11 2 2 2 2 2 3 2" xfId="48379" xr:uid="{FACF887C-BD47-497B-AAFC-39FD38028BB7}"/>
    <cellStyle name="40% - Accent4 11 2 2 2 2 2 4" xfId="32502" xr:uid="{586AEC8F-6A98-444F-91C4-8D333ED059E3}"/>
    <cellStyle name="40% - Accent4 11 2 2 2 2 3" xfId="13063" xr:uid="{00000000-0005-0000-0000-0000C53F0000}"/>
    <cellStyle name="40% - Accent4 11 2 2 2 2 3 2" xfId="36912" xr:uid="{FCFA509A-E0C1-4EA8-B8E0-693637CEEA99}"/>
    <cellStyle name="40% - Accent4 11 2 2 2 2 4" xfId="21018" xr:uid="{00000000-0005-0000-0000-0000C63F0000}"/>
    <cellStyle name="40% - Accent4 11 2 2 2 2 4 2" xfId="44850" xr:uid="{1DF9A590-C49D-4EC3-BE16-B858377976C6}"/>
    <cellStyle name="40% - Accent4 11 2 2 2 2 5" xfId="28971" xr:uid="{C65631E8-189D-407F-9DD1-741EE4DF1A5F}"/>
    <cellStyle name="40% - Accent4 11 2 2 2 3" xfId="6872" xr:uid="{00000000-0005-0000-0000-0000C73F0000}"/>
    <cellStyle name="40% - Accent4 11 2 2 2 3 2" xfId="14843" xr:uid="{00000000-0005-0000-0000-0000C83F0000}"/>
    <cellStyle name="40% - Accent4 11 2 2 2 3 2 2" xfId="38685" xr:uid="{BF628C00-8F7C-4D14-AD20-FF2731B31013}"/>
    <cellStyle name="40% - Accent4 11 2 2 2 3 3" xfId="22790" xr:uid="{00000000-0005-0000-0000-0000C93F0000}"/>
    <cellStyle name="40% - Accent4 11 2 2 2 3 3 2" xfId="46622" xr:uid="{0147855E-8495-416B-BB5F-499D7FE6B662}"/>
    <cellStyle name="40% - Accent4 11 2 2 2 3 4" xfId="30744" xr:uid="{73C01720-1885-4EF7-B23A-BD5149ADE873}"/>
    <cellStyle name="40% - Accent4 11 2 2 2 4" xfId="11307" xr:uid="{00000000-0005-0000-0000-0000CA3F0000}"/>
    <cellStyle name="40% - Accent4 11 2 2 2 4 2" xfId="35156" xr:uid="{02D688FD-7E53-4B5F-A29C-BEA41C1EAC71}"/>
    <cellStyle name="40% - Accent4 11 2 2 2 5" xfId="19262" xr:uid="{00000000-0005-0000-0000-0000CB3F0000}"/>
    <cellStyle name="40% - Accent4 11 2 2 2 5 2" xfId="43094" xr:uid="{E51C5479-B22D-419A-8B4E-E40A322E4C01}"/>
    <cellStyle name="40% - Accent4 11 2 2 2 6" xfId="27214" xr:uid="{351364DE-0922-4343-A6E0-5252D4939A79}"/>
    <cellStyle name="40% - Accent4 11 2 2 2_Exh G" xfId="3061" xr:uid="{00000000-0005-0000-0000-0000CC3F0000}"/>
    <cellStyle name="40% - Accent4 11 2 2 3" xfId="4161" xr:uid="{00000000-0005-0000-0000-0000CD3F0000}"/>
    <cellStyle name="40% - Accent4 11 2 2 3 2" xfId="7753" xr:uid="{00000000-0005-0000-0000-0000CE3F0000}"/>
    <cellStyle name="40% - Accent4 11 2 2 3 2 2" xfId="15723" xr:uid="{00000000-0005-0000-0000-0000CF3F0000}"/>
    <cellStyle name="40% - Accent4 11 2 2 3 2 2 2" xfId="39565" xr:uid="{BE187A27-158C-45FA-9AE3-7ACA162558C2}"/>
    <cellStyle name="40% - Accent4 11 2 2 3 2 3" xfId="23669" xr:uid="{00000000-0005-0000-0000-0000D03F0000}"/>
    <cellStyle name="40% - Accent4 11 2 2 3 2 3 2" xfId="47501" xr:uid="{2B55AA6B-A887-45CE-9BDD-BB1848311CE5}"/>
    <cellStyle name="40% - Accent4 11 2 2 3 2 4" xfId="31624" xr:uid="{287892E5-5492-4351-BBE8-708B4BD98E51}"/>
    <cellStyle name="40% - Accent4 11 2 2 3 3" xfId="12185" xr:uid="{00000000-0005-0000-0000-0000D13F0000}"/>
    <cellStyle name="40% - Accent4 11 2 2 3 3 2" xfId="36034" xr:uid="{E9457C53-1CAE-4460-BD33-B80B09895E7F}"/>
    <cellStyle name="40% - Accent4 11 2 2 3 4" xfId="20140" xr:uid="{00000000-0005-0000-0000-0000D23F0000}"/>
    <cellStyle name="40% - Accent4 11 2 2 3 4 2" xfId="43972" xr:uid="{9ECECE0A-FE78-41A7-8DDC-B947CDB408BF}"/>
    <cellStyle name="40% - Accent4 11 2 2 3 5" xfId="28093" xr:uid="{E6290EC5-12FC-4278-A58C-885972DBCE65}"/>
    <cellStyle name="40% - Accent4 11 2 2 4" xfId="5981" xr:uid="{00000000-0005-0000-0000-0000D33F0000}"/>
    <cellStyle name="40% - Accent4 11 2 2 4 2" xfId="13964" xr:uid="{00000000-0005-0000-0000-0000D43F0000}"/>
    <cellStyle name="40% - Accent4 11 2 2 4 2 2" xfId="37807" xr:uid="{5E00FFE1-8A5A-4C36-B67C-43B4C7AEE6EC}"/>
    <cellStyle name="40% - Accent4 11 2 2 4 3" xfId="21912" xr:uid="{00000000-0005-0000-0000-0000D53F0000}"/>
    <cellStyle name="40% - Accent4 11 2 2 4 3 2" xfId="45744" xr:uid="{ED5264D9-D3F4-46E4-8883-639EC0E7B3C0}"/>
    <cellStyle name="40% - Accent4 11 2 2 4 4" xfId="29866" xr:uid="{D4AC5BBF-D879-4D87-9B14-7276BF9203FD}"/>
    <cellStyle name="40% - Accent4 11 2 2 5" xfId="9533" xr:uid="{00000000-0005-0000-0000-0000D63F0000}"/>
    <cellStyle name="40% - Accent4 11 2 2 5 2" xfId="17491" xr:uid="{00000000-0005-0000-0000-0000D73F0000}"/>
    <cellStyle name="40% - Accent4 11 2 2 5 2 2" xfId="41331" xr:uid="{DC65B2B6-CB20-4EE1-A271-A0AC6854D683}"/>
    <cellStyle name="40% - Accent4 11 2 2 5 3" xfId="25435" xr:uid="{00000000-0005-0000-0000-0000D83F0000}"/>
    <cellStyle name="40% - Accent4 11 2 2 5 3 2" xfId="49267" xr:uid="{4EA14811-D31E-4A6A-862E-6C05E6A1872D}"/>
    <cellStyle name="40% - Accent4 11 2 2 5 4" xfId="33390" xr:uid="{497362D6-13F8-4C8B-8B2E-36C569761C2D}"/>
    <cellStyle name="40% - Accent4 11 2 2 6" xfId="10429" xr:uid="{00000000-0005-0000-0000-0000D93F0000}"/>
    <cellStyle name="40% - Accent4 11 2 2 6 2" xfId="34278" xr:uid="{0FB2A468-41CB-4FE2-9099-3437BDCD82AD}"/>
    <cellStyle name="40% - Accent4 11 2 2 7" xfId="18384" xr:uid="{00000000-0005-0000-0000-0000DA3F0000}"/>
    <cellStyle name="40% - Accent4 11 2 2 7 2" xfId="42216" xr:uid="{977318FC-11CD-4DB7-9E9D-2E293D12993F}"/>
    <cellStyle name="40% - Accent4 11 2 2 8" xfId="26336" xr:uid="{021F94A6-0320-4EA6-B582-0F671C7714E4}"/>
    <cellStyle name="40% - Accent4 11 2 2_Exh G" xfId="3060" xr:uid="{00000000-0005-0000-0000-0000DB3F0000}"/>
    <cellStyle name="40% - Accent4 11 2 3" xfId="1512" xr:uid="{00000000-0005-0000-0000-0000DC3F0000}"/>
    <cellStyle name="40% - Accent4 11 2 3 2" xfId="5039" xr:uid="{00000000-0005-0000-0000-0000DD3F0000}"/>
    <cellStyle name="40% - Accent4 11 2 3 2 2" xfId="8630" xr:uid="{00000000-0005-0000-0000-0000DE3F0000}"/>
    <cellStyle name="40% - Accent4 11 2 3 2 2 2" xfId="16600" xr:uid="{00000000-0005-0000-0000-0000DF3F0000}"/>
    <cellStyle name="40% - Accent4 11 2 3 2 2 2 2" xfId="40442" xr:uid="{B9632810-1CD7-4E0F-9BBD-98DD0AB4E5DE}"/>
    <cellStyle name="40% - Accent4 11 2 3 2 2 3" xfId="24546" xr:uid="{00000000-0005-0000-0000-0000E03F0000}"/>
    <cellStyle name="40% - Accent4 11 2 3 2 2 3 2" xfId="48378" xr:uid="{F8A24BEF-2BB9-4FA8-BCF5-DD3A6A36E75E}"/>
    <cellStyle name="40% - Accent4 11 2 3 2 2 4" xfId="32501" xr:uid="{9E36612E-4A8A-4D98-84B1-71340D35A037}"/>
    <cellStyle name="40% - Accent4 11 2 3 2 3" xfId="13062" xr:uid="{00000000-0005-0000-0000-0000E13F0000}"/>
    <cellStyle name="40% - Accent4 11 2 3 2 3 2" xfId="36911" xr:uid="{CE45D98A-B594-47BB-8671-A50443A94E3B}"/>
    <cellStyle name="40% - Accent4 11 2 3 2 4" xfId="21017" xr:uid="{00000000-0005-0000-0000-0000E23F0000}"/>
    <cellStyle name="40% - Accent4 11 2 3 2 4 2" xfId="44849" xr:uid="{8EDF2164-4B0A-4AA5-B11E-870A9029631C}"/>
    <cellStyle name="40% - Accent4 11 2 3 2 5" xfId="28970" xr:uid="{C7D09500-AEFE-4A06-B1CB-97B14395E2E4}"/>
    <cellStyle name="40% - Accent4 11 2 3 3" xfId="6871" xr:uid="{00000000-0005-0000-0000-0000E33F0000}"/>
    <cellStyle name="40% - Accent4 11 2 3 3 2" xfId="14842" xr:uid="{00000000-0005-0000-0000-0000E43F0000}"/>
    <cellStyle name="40% - Accent4 11 2 3 3 2 2" xfId="38684" xr:uid="{C839CDC2-2391-47E5-8A18-304E5322A870}"/>
    <cellStyle name="40% - Accent4 11 2 3 3 3" xfId="22789" xr:uid="{00000000-0005-0000-0000-0000E53F0000}"/>
    <cellStyle name="40% - Accent4 11 2 3 3 3 2" xfId="46621" xr:uid="{5332BAB9-1047-4AA8-9FB4-19305EA168D0}"/>
    <cellStyle name="40% - Accent4 11 2 3 3 4" xfId="30743" xr:uid="{0BE6663A-5737-4B82-9903-E514C3156587}"/>
    <cellStyle name="40% - Accent4 11 2 3 4" xfId="11306" xr:uid="{00000000-0005-0000-0000-0000E63F0000}"/>
    <cellStyle name="40% - Accent4 11 2 3 4 2" xfId="35155" xr:uid="{01C344DC-9926-413D-82DB-4DEAFBC99CF7}"/>
    <cellStyle name="40% - Accent4 11 2 3 5" xfId="19261" xr:uid="{00000000-0005-0000-0000-0000E73F0000}"/>
    <cellStyle name="40% - Accent4 11 2 3 5 2" xfId="43093" xr:uid="{40BBF65D-FCD2-4597-9226-238DC0B81A5D}"/>
    <cellStyle name="40% - Accent4 11 2 3 6" xfId="27213" xr:uid="{0FD422C7-766A-46E4-8615-28889F260C3F}"/>
    <cellStyle name="40% - Accent4 11 2 3_Exh G" xfId="3062" xr:uid="{00000000-0005-0000-0000-0000E83F0000}"/>
    <cellStyle name="40% - Accent4 11 2 4" xfId="4160" xr:uid="{00000000-0005-0000-0000-0000E93F0000}"/>
    <cellStyle name="40% - Accent4 11 2 4 2" xfId="7752" xr:uid="{00000000-0005-0000-0000-0000EA3F0000}"/>
    <cellStyle name="40% - Accent4 11 2 4 2 2" xfId="15722" xr:uid="{00000000-0005-0000-0000-0000EB3F0000}"/>
    <cellStyle name="40% - Accent4 11 2 4 2 2 2" xfId="39564" xr:uid="{EACAE2A8-A8BC-432C-A1AA-0CA379ECCAAD}"/>
    <cellStyle name="40% - Accent4 11 2 4 2 3" xfId="23668" xr:uid="{00000000-0005-0000-0000-0000EC3F0000}"/>
    <cellStyle name="40% - Accent4 11 2 4 2 3 2" xfId="47500" xr:uid="{6B13DC09-8B7E-4F6A-9C6C-A3D1E0988E56}"/>
    <cellStyle name="40% - Accent4 11 2 4 2 4" xfId="31623" xr:uid="{5AF479C0-D395-4828-B50E-927AA68A9D2A}"/>
    <cellStyle name="40% - Accent4 11 2 4 3" xfId="12184" xr:uid="{00000000-0005-0000-0000-0000ED3F0000}"/>
    <cellStyle name="40% - Accent4 11 2 4 3 2" xfId="36033" xr:uid="{7D6B6FBE-A06E-473D-809B-F8770C8E7277}"/>
    <cellStyle name="40% - Accent4 11 2 4 4" xfId="20139" xr:uid="{00000000-0005-0000-0000-0000EE3F0000}"/>
    <cellStyle name="40% - Accent4 11 2 4 4 2" xfId="43971" xr:uid="{A2D3B30E-E3F7-4B09-BED6-6544AD9351CF}"/>
    <cellStyle name="40% - Accent4 11 2 4 5" xfId="28092" xr:uid="{E3962A42-73F6-4C0A-8EDB-EAB44E0F895C}"/>
    <cellStyle name="40% - Accent4 11 2 5" xfId="5980" xr:uid="{00000000-0005-0000-0000-0000EF3F0000}"/>
    <cellStyle name="40% - Accent4 11 2 5 2" xfId="13963" xr:uid="{00000000-0005-0000-0000-0000F03F0000}"/>
    <cellStyle name="40% - Accent4 11 2 5 2 2" xfId="37806" xr:uid="{08240CA3-2E32-42FA-B6F9-CD3D25978522}"/>
    <cellStyle name="40% - Accent4 11 2 5 3" xfId="21911" xr:uid="{00000000-0005-0000-0000-0000F13F0000}"/>
    <cellStyle name="40% - Accent4 11 2 5 3 2" xfId="45743" xr:uid="{FE895800-D819-4934-9DFE-F076BAA8EE05}"/>
    <cellStyle name="40% - Accent4 11 2 5 4" xfId="29865" xr:uid="{4BD5EBDD-9DDE-40B2-A5E3-C59D2FE44FE9}"/>
    <cellStyle name="40% - Accent4 11 2 6" xfId="9532" xr:uid="{00000000-0005-0000-0000-0000F23F0000}"/>
    <cellStyle name="40% - Accent4 11 2 6 2" xfId="17490" xr:uid="{00000000-0005-0000-0000-0000F33F0000}"/>
    <cellStyle name="40% - Accent4 11 2 6 2 2" xfId="41330" xr:uid="{A4BA58E8-1C2E-4690-91DF-ECB1D12522F7}"/>
    <cellStyle name="40% - Accent4 11 2 6 3" xfId="25434" xr:uid="{00000000-0005-0000-0000-0000F43F0000}"/>
    <cellStyle name="40% - Accent4 11 2 6 3 2" xfId="49266" xr:uid="{0729038B-74B6-4204-A7B6-DDCD1F68E35B}"/>
    <cellStyle name="40% - Accent4 11 2 6 4" xfId="33389" xr:uid="{38AA1799-0780-4058-B15F-2B8594C9A9FD}"/>
    <cellStyle name="40% - Accent4 11 2 7" xfId="10428" xr:uid="{00000000-0005-0000-0000-0000F53F0000}"/>
    <cellStyle name="40% - Accent4 11 2 7 2" xfId="34277" xr:uid="{3F643D3D-A68E-476F-ACB5-D2AEA39F48BF}"/>
    <cellStyle name="40% - Accent4 11 2 8" xfId="18383" xr:uid="{00000000-0005-0000-0000-0000F63F0000}"/>
    <cellStyle name="40% - Accent4 11 2 8 2" xfId="42215" xr:uid="{221305C9-1874-421C-A322-436AD6E2064D}"/>
    <cellStyle name="40% - Accent4 11 2 9" xfId="26335" xr:uid="{918A3D8A-7D30-4C7D-ABEF-49DA6E324648}"/>
    <cellStyle name="40% - Accent4 11 2_Exh G" xfId="3059" xr:uid="{00000000-0005-0000-0000-0000F73F0000}"/>
    <cellStyle name="40% - Accent4 11 3" xfId="488" xr:uid="{00000000-0005-0000-0000-0000F83F0000}"/>
    <cellStyle name="40% - Accent4 11 3 2" xfId="1514" xr:uid="{00000000-0005-0000-0000-0000F93F0000}"/>
    <cellStyle name="40% - Accent4 11 3 2 2" xfId="5041" xr:uid="{00000000-0005-0000-0000-0000FA3F0000}"/>
    <cellStyle name="40% - Accent4 11 3 2 2 2" xfId="8632" xr:uid="{00000000-0005-0000-0000-0000FB3F0000}"/>
    <cellStyle name="40% - Accent4 11 3 2 2 2 2" xfId="16602" xr:uid="{00000000-0005-0000-0000-0000FC3F0000}"/>
    <cellStyle name="40% - Accent4 11 3 2 2 2 2 2" xfId="40444" xr:uid="{91444C0F-996E-4910-A907-6DF0FB013977}"/>
    <cellStyle name="40% - Accent4 11 3 2 2 2 3" xfId="24548" xr:uid="{00000000-0005-0000-0000-0000FD3F0000}"/>
    <cellStyle name="40% - Accent4 11 3 2 2 2 3 2" xfId="48380" xr:uid="{83971264-9CA3-4406-901E-E9D57E2B98BA}"/>
    <cellStyle name="40% - Accent4 11 3 2 2 2 4" xfId="32503" xr:uid="{14191647-8680-4340-83E1-497C4BA52509}"/>
    <cellStyle name="40% - Accent4 11 3 2 2 3" xfId="13064" xr:uid="{00000000-0005-0000-0000-0000FE3F0000}"/>
    <cellStyle name="40% - Accent4 11 3 2 2 3 2" xfId="36913" xr:uid="{E4025B7F-53FC-4876-ACD6-A8B8F45F3E86}"/>
    <cellStyle name="40% - Accent4 11 3 2 2 4" xfId="21019" xr:uid="{00000000-0005-0000-0000-0000FF3F0000}"/>
    <cellStyle name="40% - Accent4 11 3 2 2 4 2" xfId="44851" xr:uid="{6848569F-3190-4F9B-A018-5B3E8F85C10F}"/>
    <cellStyle name="40% - Accent4 11 3 2 2 5" xfId="28972" xr:uid="{BBB96641-12A4-4F5F-99EC-E42AAD797863}"/>
    <cellStyle name="40% - Accent4 11 3 2 3" xfId="6873" xr:uid="{00000000-0005-0000-0000-000000400000}"/>
    <cellStyle name="40% - Accent4 11 3 2 3 2" xfId="14844" xr:uid="{00000000-0005-0000-0000-000001400000}"/>
    <cellStyle name="40% - Accent4 11 3 2 3 2 2" xfId="38686" xr:uid="{140D9D98-DDB1-4D95-BF46-1CF78F3D881D}"/>
    <cellStyle name="40% - Accent4 11 3 2 3 3" xfId="22791" xr:uid="{00000000-0005-0000-0000-000002400000}"/>
    <cellStyle name="40% - Accent4 11 3 2 3 3 2" xfId="46623" xr:uid="{6C0A0369-5FAC-423E-A074-45A2A1744282}"/>
    <cellStyle name="40% - Accent4 11 3 2 3 4" xfId="30745" xr:uid="{9AD0B369-590E-41E1-BA84-7C5BBBB4109B}"/>
    <cellStyle name="40% - Accent4 11 3 2 4" xfId="11308" xr:uid="{00000000-0005-0000-0000-000003400000}"/>
    <cellStyle name="40% - Accent4 11 3 2 4 2" xfId="35157" xr:uid="{1E749B1C-B2B9-4E9D-BB7A-19146E2CF9D9}"/>
    <cellStyle name="40% - Accent4 11 3 2 5" xfId="19263" xr:uid="{00000000-0005-0000-0000-000004400000}"/>
    <cellStyle name="40% - Accent4 11 3 2 5 2" xfId="43095" xr:uid="{389DAAA6-C526-438D-80AE-99EFD706F494}"/>
    <cellStyle name="40% - Accent4 11 3 2 6" xfId="27215" xr:uid="{8DBA957B-453B-460C-BE99-6D8F3B9E64FF}"/>
    <cellStyle name="40% - Accent4 11 3 2_Exh G" xfId="3064" xr:uid="{00000000-0005-0000-0000-000005400000}"/>
    <cellStyle name="40% - Accent4 11 3 3" xfId="4162" xr:uid="{00000000-0005-0000-0000-000006400000}"/>
    <cellStyle name="40% - Accent4 11 3 3 2" xfId="7754" xr:uid="{00000000-0005-0000-0000-000007400000}"/>
    <cellStyle name="40% - Accent4 11 3 3 2 2" xfId="15724" xr:uid="{00000000-0005-0000-0000-000008400000}"/>
    <cellStyle name="40% - Accent4 11 3 3 2 2 2" xfId="39566" xr:uid="{DAB3FC39-D169-4DDC-B2ED-136C50A39754}"/>
    <cellStyle name="40% - Accent4 11 3 3 2 3" xfId="23670" xr:uid="{00000000-0005-0000-0000-000009400000}"/>
    <cellStyle name="40% - Accent4 11 3 3 2 3 2" xfId="47502" xr:uid="{590D8A6B-DC3D-47A0-80BD-04B453C55D9D}"/>
    <cellStyle name="40% - Accent4 11 3 3 2 4" xfId="31625" xr:uid="{C96FC957-50A6-44EE-8CF1-4A56AF5699F0}"/>
    <cellStyle name="40% - Accent4 11 3 3 3" xfId="12186" xr:uid="{00000000-0005-0000-0000-00000A400000}"/>
    <cellStyle name="40% - Accent4 11 3 3 3 2" xfId="36035" xr:uid="{9372C229-F191-4D2B-ACAC-FDDD336C2C38}"/>
    <cellStyle name="40% - Accent4 11 3 3 4" xfId="20141" xr:uid="{00000000-0005-0000-0000-00000B400000}"/>
    <cellStyle name="40% - Accent4 11 3 3 4 2" xfId="43973" xr:uid="{5A353C31-4F05-4FD2-9318-80674F58A7CB}"/>
    <cellStyle name="40% - Accent4 11 3 3 5" xfId="28094" xr:uid="{D5104189-CFEA-45BD-8FBD-AF6C2DB37F93}"/>
    <cellStyle name="40% - Accent4 11 3 4" xfId="5982" xr:uid="{00000000-0005-0000-0000-00000C400000}"/>
    <cellStyle name="40% - Accent4 11 3 4 2" xfId="13965" xr:uid="{00000000-0005-0000-0000-00000D400000}"/>
    <cellStyle name="40% - Accent4 11 3 4 2 2" xfId="37808" xr:uid="{16EE97EF-66F2-4472-8138-8AA75321C809}"/>
    <cellStyle name="40% - Accent4 11 3 4 3" xfId="21913" xr:uid="{00000000-0005-0000-0000-00000E400000}"/>
    <cellStyle name="40% - Accent4 11 3 4 3 2" xfId="45745" xr:uid="{4904B9CE-F534-43F9-942A-687328679B79}"/>
    <cellStyle name="40% - Accent4 11 3 4 4" xfId="29867" xr:uid="{462A0127-2DAC-4538-A146-808E56B09E23}"/>
    <cellStyle name="40% - Accent4 11 3 5" xfId="9534" xr:uid="{00000000-0005-0000-0000-00000F400000}"/>
    <cellStyle name="40% - Accent4 11 3 5 2" xfId="17492" xr:uid="{00000000-0005-0000-0000-000010400000}"/>
    <cellStyle name="40% - Accent4 11 3 5 2 2" xfId="41332" xr:uid="{050BA098-5C51-42A9-9A67-DA86D9B5798D}"/>
    <cellStyle name="40% - Accent4 11 3 5 3" xfId="25436" xr:uid="{00000000-0005-0000-0000-000011400000}"/>
    <cellStyle name="40% - Accent4 11 3 5 3 2" xfId="49268" xr:uid="{97CE6771-781C-44B2-B9CC-36400067BC08}"/>
    <cellStyle name="40% - Accent4 11 3 5 4" xfId="33391" xr:uid="{268C679A-0168-4580-AB7F-C279C5717451}"/>
    <cellStyle name="40% - Accent4 11 3 6" xfId="10430" xr:uid="{00000000-0005-0000-0000-000012400000}"/>
    <cellStyle name="40% - Accent4 11 3 6 2" xfId="34279" xr:uid="{6EC5141D-A970-48E3-8DE0-C04BA9FD595C}"/>
    <cellStyle name="40% - Accent4 11 3 7" xfId="18385" xr:uid="{00000000-0005-0000-0000-000013400000}"/>
    <cellStyle name="40% - Accent4 11 3 7 2" xfId="42217" xr:uid="{2A367B9B-4D3A-4D55-859C-43261B12A646}"/>
    <cellStyle name="40% - Accent4 11 3 8" xfId="26337" xr:uid="{8B619FBC-1EC9-4F61-9A1F-12EFEED05FAE}"/>
    <cellStyle name="40% - Accent4 11 3_Exh G" xfId="3063" xr:uid="{00000000-0005-0000-0000-000014400000}"/>
    <cellStyle name="40% - Accent4 11 4" xfId="1511" xr:uid="{00000000-0005-0000-0000-000015400000}"/>
    <cellStyle name="40% - Accent4 11 4 2" xfId="5038" xr:uid="{00000000-0005-0000-0000-000016400000}"/>
    <cellStyle name="40% - Accent4 11 4 2 2" xfId="8629" xr:uid="{00000000-0005-0000-0000-000017400000}"/>
    <cellStyle name="40% - Accent4 11 4 2 2 2" xfId="16599" xr:uid="{00000000-0005-0000-0000-000018400000}"/>
    <cellStyle name="40% - Accent4 11 4 2 2 2 2" xfId="40441" xr:uid="{50C41173-E2CD-4DD4-8A7F-3855553779E8}"/>
    <cellStyle name="40% - Accent4 11 4 2 2 3" xfId="24545" xr:uid="{00000000-0005-0000-0000-000019400000}"/>
    <cellStyle name="40% - Accent4 11 4 2 2 3 2" xfId="48377" xr:uid="{51E6511F-BBCD-4347-B8BE-09B132774AC6}"/>
    <cellStyle name="40% - Accent4 11 4 2 2 4" xfId="32500" xr:uid="{6518BF76-95B9-42E7-AD12-65BE14A3594F}"/>
    <cellStyle name="40% - Accent4 11 4 2 3" xfId="13061" xr:uid="{00000000-0005-0000-0000-00001A400000}"/>
    <cellStyle name="40% - Accent4 11 4 2 3 2" xfId="36910" xr:uid="{BB9E8AF8-6484-466E-BDB0-8179B71BDAF5}"/>
    <cellStyle name="40% - Accent4 11 4 2 4" xfId="21016" xr:uid="{00000000-0005-0000-0000-00001B400000}"/>
    <cellStyle name="40% - Accent4 11 4 2 4 2" xfId="44848" xr:uid="{44837C38-717F-4A2B-9F3E-02C8C9D4293B}"/>
    <cellStyle name="40% - Accent4 11 4 2 5" xfId="28969" xr:uid="{8A7A36E7-8E49-4DA7-BE36-67C5023DE696}"/>
    <cellStyle name="40% - Accent4 11 4 3" xfId="6870" xr:uid="{00000000-0005-0000-0000-00001C400000}"/>
    <cellStyle name="40% - Accent4 11 4 3 2" xfId="14841" xr:uid="{00000000-0005-0000-0000-00001D400000}"/>
    <cellStyle name="40% - Accent4 11 4 3 2 2" xfId="38683" xr:uid="{8F0C1674-EC63-4C9A-B9FF-FAC7E03D0ED4}"/>
    <cellStyle name="40% - Accent4 11 4 3 3" xfId="22788" xr:uid="{00000000-0005-0000-0000-00001E400000}"/>
    <cellStyle name="40% - Accent4 11 4 3 3 2" xfId="46620" xr:uid="{05406EAE-DFD4-480C-AE07-15F7CF002F91}"/>
    <cellStyle name="40% - Accent4 11 4 3 4" xfId="30742" xr:uid="{018FDE6A-0BEB-409A-93C9-4DC7B3F8EA57}"/>
    <cellStyle name="40% - Accent4 11 4 4" xfId="11305" xr:uid="{00000000-0005-0000-0000-00001F400000}"/>
    <cellStyle name="40% - Accent4 11 4 4 2" xfId="35154" xr:uid="{D920E4DD-8BEF-4703-A9C8-5FBFBCCF9DF3}"/>
    <cellStyle name="40% - Accent4 11 4 5" xfId="19260" xr:uid="{00000000-0005-0000-0000-000020400000}"/>
    <cellStyle name="40% - Accent4 11 4 5 2" xfId="43092" xr:uid="{11A16259-BB29-4E64-8493-650D4AA51738}"/>
    <cellStyle name="40% - Accent4 11 4 6" xfId="27212" xr:uid="{AC6D32FC-177F-4130-BB03-A316D90A6258}"/>
    <cellStyle name="40% - Accent4 11 4_Exh G" xfId="3065" xr:uid="{00000000-0005-0000-0000-000021400000}"/>
    <cellStyle name="40% - Accent4 11 5" xfId="4159" xr:uid="{00000000-0005-0000-0000-000022400000}"/>
    <cellStyle name="40% - Accent4 11 5 2" xfId="7751" xr:uid="{00000000-0005-0000-0000-000023400000}"/>
    <cellStyle name="40% - Accent4 11 5 2 2" xfId="15721" xr:uid="{00000000-0005-0000-0000-000024400000}"/>
    <cellStyle name="40% - Accent4 11 5 2 2 2" xfId="39563" xr:uid="{80C38B93-B368-4336-8307-D3782F2B2320}"/>
    <cellStyle name="40% - Accent4 11 5 2 3" xfId="23667" xr:uid="{00000000-0005-0000-0000-000025400000}"/>
    <cellStyle name="40% - Accent4 11 5 2 3 2" xfId="47499" xr:uid="{04391034-4A42-40C2-9109-6632E092C4CF}"/>
    <cellStyle name="40% - Accent4 11 5 2 4" xfId="31622" xr:uid="{7741383F-CC3D-4AD6-B227-BD82F5F01E6B}"/>
    <cellStyle name="40% - Accent4 11 5 3" xfId="12183" xr:uid="{00000000-0005-0000-0000-000026400000}"/>
    <cellStyle name="40% - Accent4 11 5 3 2" xfId="36032" xr:uid="{449382DB-2264-4B4D-8057-196194D68CF9}"/>
    <cellStyle name="40% - Accent4 11 5 4" xfId="20138" xr:uid="{00000000-0005-0000-0000-000027400000}"/>
    <cellStyle name="40% - Accent4 11 5 4 2" xfId="43970" xr:uid="{893645AE-7D3C-4B10-AD0F-F7EE27D62C4B}"/>
    <cellStyle name="40% - Accent4 11 5 5" xfId="28091" xr:uid="{8C5FFA87-7485-41C8-A7AC-DD8BC32E73B0}"/>
    <cellStyle name="40% - Accent4 11 6" xfId="5979" xr:uid="{00000000-0005-0000-0000-000028400000}"/>
    <cellStyle name="40% - Accent4 11 6 2" xfId="13962" xr:uid="{00000000-0005-0000-0000-000029400000}"/>
    <cellStyle name="40% - Accent4 11 6 2 2" xfId="37805" xr:uid="{98CF3C51-A864-448F-AB3B-31DA48C45E24}"/>
    <cellStyle name="40% - Accent4 11 6 3" xfId="21910" xr:uid="{00000000-0005-0000-0000-00002A400000}"/>
    <cellStyle name="40% - Accent4 11 6 3 2" xfId="45742" xr:uid="{6D832CDF-55A1-40B7-A50B-B61036C63911}"/>
    <cellStyle name="40% - Accent4 11 6 4" xfId="29864" xr:uid="{6E1046C7-7630-4944-AF16-8E62CA9931FA}"/>
    <cellStyle name="40% - Accent4 11 7" xfId="9531" xr:uid="{00000000-0005-0000-0000-00002B400000}"/>
    <cellStyle name="40% - Accent4 11 7 2" xfId="17489" xr:uid="{00000000-0005-0000-0000-00002C400000}"/>
    <cellStyle name="40% - Accent4 11 7 2 2" xfId="41329" xr:uid="{391E8F74-62E6-4785-90CD-AF6020F4027A}"/>
    <cellStyle name="40% - Accent4 11 7 3" xfId="25433" xr:uid="{00000000-0005-0000-0000-00002D400000}"/>
    <cellStyle name="40% - Accent4 11 7 3 2" xfId="49265" xr:uid="{2AE4BFCE-2740-444D-AB9B-A0630EA8AAD9}"/>
    <cellStyle name="40% - Accent4 11 7 4" xfId="33388" xr:uid="{BCFFE88B-A343-407F-B2FF-DCFC7FFB228C}"/>
    <cellStyle name="40% - Accent4 11 8" xfId="10427" xr:uid="{00000000-0005-0000-0000-00002E400000}"/>
    <cellStyle name="40% - Accent4 11 8 2" xfId="34276" xr:uid="{7F8A4EF4-5776-4F52-B187-4A054F193228}"/>
    <cellStyle name="40% - Accent4 11 9" xfId="18382" xr:uid="{00000000-0005-0000-0000-00002F400000}"/>
    <cellStyle name="40% - Accent4 11 9 2" xfId="42214" xr:uid="{F17EA48B-A385-474E-9260-73E95839E161}"/>
    <cellStyle name="40% - Accent4 11_Exh G" xfId="3058" xr:uid="{00000000-0005-0000-0000-000030400000}"/>
    <cellStyle name="40% - Accent4 12" xfId="489" xr:uid="{00000000-0005-0000-0000-000031400000}"/>
    <cellStyle name="40% - Accent4 12 10" xfId="26338" xr:uid="{80D4225A-8ADE-4D7F-A9AF-C69435B279A7}"/>
    <cellStyle name="40% - Accent4 12 2" xfId="490" xr:uid="{00000000-0005-0000-0000-000032400000}"/>
    <cellStyle name="40% - Accent4 12 2 2" xfId="491" xr:uid="{00000000-0005-0000-0000-000033400000}"/>
    <cellStyle name="40% - Accent4 12 2 2 2" xfId="1517" xr:uid="{00000000-0005-0000-0000-000034400000}"/>
    <cellStyle name="40% - Accent4 12 2 2 2 2" xfId="5044" xr:uid="{00000000-0005-0000-0000-000035400000}"/>
    <cellStyle name="40% - Accent4 12 2 2 2 2 2" xfId="8635" xr:uid="{00000000-0005-0000-0000-000036400000}"/>
    <cellStyle name="40% - Accent4 12 2 2 2 2 2 2" xfId="16605" xr:uid="{00000000-0005-0000-0000-000037400000}"/>
    <cellStyle name="40% - Accent4 12 2 2 2 2 2 2 2" xfId="40447" xr:uid="{86809E0D-CB21-4BC8-87AD-95048A11FE02}"/>
    <cellStyle name="40% - Accent4 12 2 2 2 2 2 3" xfId="24551" xr:uid="{00000000-0005-0000-0000-000038400000}"/>
    <cellStyle name="40% - Accent4 12 2 2 2 2 2 3 2" xfId="48383" xr:uid="{A54757EC-8867-4912-B870-A8FE73C8FD9E}"/>
    <cellStyle name="40% - Accent4 12 2 2 2 2 2 4" xfId="32506" xr:uid="{A2A08A6F-6EAC-47DE-9AD2-2A64A025CC93}"/>
    <cellStyle name="40% - Accent4 12 2 2 2 2 3" xfId="13067" xr:uid="{00000000-0005-0000-0000-000039400000}"/>
    <cellStyle name="40% - Accent4 12 2 2 2 2 3 2" xfId="36916" xr:uid="{E04C7B1A-68A0-40D5-855B-C226C7835360}"/>
    <cellStyle name="40% - Accent4 12 2 2 2 2 4" xfId="21022" xr:uid="{00000000-0005-0000-0000-00003A400000}"/>
    <cellStyle name="40% - Accent4 12 2 2 2 2 4 2" xfId="44854" xr:uid="{5CACB679-7AB4-4155-BDD9-E11D734B742D}"/>
    <cellStyle name="40% - Accent4 12 2 2 2 2 5" xfId="28975" xr:uid="{155C97F6-6344-4387-853A-2C37C0CD1773}"/>
    <cellStyle name="40% - Accent4 12 2 2 2 3" xfId="6876" xr:uid="{00000000-0005-0000-0000-00003B400000}"/>
    <cellStyle name="40% - Accent4 12 2 2 2 3 2" xfId="14847" xr:uid="{00000000-0005-0000-0000-00003C400000}"/>
    <cellStyle name="40% - Accent4 12 2 2 2 3 2 2" xfId="38689" xr:uid="{ACDB26F2-47F9-4331-8A53-D2043C98B482}"/>
    <cellStyle name="40% - Accent4 12 2 2 2 3 3" xfId="22794" xr:uid="{00000000-0005-0000-0000-00003D400000}"/>
    <cellStyle name="40% - Accent4 12 2 2 2 3 3 2" xfId="46626" xr:uid="{9E23BF26-E700-4868-97E8-47CFDCBD75A9}"/>
    <cellStyle name="40% - Accent4 12 2 2 2 3 4" xfId="30748" xr:uid="{BAD62AED-2694-4B45-B09D-166CE650CE42}"/>
    <cellStyle name="40% - Accent4 12 2 2 2 4" xfId="11311" xr:uid="{00000000-0005-0000-0000-00003E400000}"/>
    <cellStyle name="40% - Accent4 12 2 2 2 4 2" xfId="35160" xr:uid="{C2B4C320-872C-469F-8927-5F4E13F35458}"/>
    <cellStyle name="40% - Accent4 12 2 2 2 5" xfId="19266" xr:uid="{00000000-0005-0000-0000-00003F400000}"/>
    <cellStyle name="40% - Accent4 12 2 2 2 5 2" xfId="43098" xr:uid="{E030B505-01F1-4E83-B3F7-C10E407485E2}"/>
    <cellStyle name="40% - Accent4 12 2 2 2 6" xfId="27218" xr:uid="{0590889B-9756-4DF0-B6D4-16755695DC08}"/>
    <cellStyle name="40% - Accent4 12 2 2 2_Exh G" xfId="3069" xr:uid="{00000000-0005-0000-0000-000040400000}"/>
    <cellStyle name="40% - Accent4 12 2 2 3" xfId="4165" xr:uid="{00000000-0005-0000-0000-000041400000}"/>
    <cellStyle name="40% - Accent4 12 2 2 3 2" xfId="7757" xr:uid="{00000000-0005-0000-0000-000042400000}"/>
    <cellStyle name="40% - Accent4 12 2 2 3 2 2" xfId="15727" xr:uid="{00000000-0005-0000-0000-000043400000}"/>
    <cellStyle name="40% - Accent4 12 2 2 3 2 2 2" xfId="39569" xr:uid="{776C48B6-03C4-4A82-8D9D-8D3DF04851AF}"/>
    <cellStyle name="40% - Accent4 12 2 2 3 2 3" xfId="23673" xr:uid="{00000000-0005-0000-0000-000044400000}"/>
    <cellStyle name="40% - Accent4 12 2 2 3 2 3 2" xfId="47505" xr:uid="{34CA7A9A-0900-434D-B10D-974687E2FD5D}"/>
    <cellStyle name="40% - Accent4 12 2 2 3 2 4" xfId="31628" xr:uid="{3386099E-5A30-40A8-8A6F-14FD85332B83}"/>
    <cellStyle name="40% - Accent4 12 2 2 3 3" xfId="12189" xr:uid="{00000000-0005-0000-0000-000045400000}"/>
    <cellStyle name="40% - Accent4 12 2 2 3 3 2" xfId="36038" xr:uid="{87BD1D91-D3A4-4453-A159-9D5E8CD0EB61}"/>
    <cellStyle name="40% - Accent4 12 2 2 3 4" xfId="20144" xr:uid="{00000000-0005-0000-0000-000046400000}"/>
    <cellStyle name="40% - Accent4 12 2 2 3 4 2" xfId="43976" xr:uid="{C66A52B9-76E4-40C4-B052-95F2BA18167C}"/>
    <cellStyle name="40% - Accent4 12 2 2 3 5" xfId="28097" xr:uid="{B1E5E0AA-D67C-4C9F-A01A-1A3E2ECE10E8}"/>
    <cellStyle name="40% - Accent4 12 2 2 4" xfId="5985" xr:uid="{00000000-0005-0000-0000-000047400000}"/>
    <cellStyle name="40% - Accent4 12 2 2 4 2" xfId="13968" xr:uid="{00000000-0005-0000-0000-000048400000}"/>
    <cellStyle name="40% - Accent4 12 2 2 4 2 2" xfId="37811" xr:uid="{AABF351D-33FC-43E2-B69F-690A39A5D162}"/>
    <cellStyle name="40% - Accent4 12 2 2 4 3" xfId="21916" xr:uid="{00000000-0005-0000-0000-000049400000}"/>
    <cellStyle name="40% - Accent4 12 2 2 4 3 2" xfId="45748" xr:uid="{2980AA5D-2548-4E7C-89DE-4103297AE5F4}"/>
    <cellStyle name="40% - Accent4 12 2 2 4 4" xfId="29870" xr:uid="{96F53058-7FDD-45CD-8941-B7099B467536}"/>
    <cellStyle name="40% - Accent4 12 2 2 5" xfId="9537" xr:uid="{00000000-0005-0000-0000-00004A400000}"/>
    <cellStyle name="40% - Accent4 12 2 2 5 2" xfId="17495" xr:uid="{00000000-0005-0000-0000-00004B400000}"/>
    <cellStyle name="40% - Accent4 12 2 2 5 2 2" xfId="41335" xr:uid="{76A8CDE3-A46D-4BDA-B67E-EE75A3167CE5}"/>
    <cellStyle name="40% - Accent4 12 2 2 5 3" xfId="25439" xr:uid="{00000000-0005-0000-0000-00004C400000}"/>
    <cellStyle name="40% - Accent4 12 2 2 5 3 2" xfId="49271" xr:uid="{EE73085C-3996-4D62-9614-4BC44FAC9A26}"/>
    <cellStyle name="40% - Accent4 12 2 2 5 4" xfId="33394" xr:uid="{CB0F5781-EBA4-44B6-9F1D-A9EFAF5C506F}"/>
    <cellStyle name="40% - Accent4 12 2 2 6" xfId="10433" xr:uid="{00000000-0005-0000-0000-00004D400000}"/>
    <cellStyle name="40% - Accent4 12 2 2 6 2" xfId="34282" xr:uid="{F9EC0A44-1EB4-4F99-9EAE-D3C229DB3A65}"/>
    <cellStyle name="40% - Accent4 12 2 2 7" xfId="18388" xr:uid="{00000000-0005-0000-0000-00004E400000}"/>
    <cellStyle name="40% - Accent4 12 2 2 7 2" xfId="42220" xr:uid="{71255634-F0DC-4F94-8884-15394E060E1F}"/>
    <cellStyle name="40% - Accent4 12 2 2 8" xfId="26340" xr:uid="{B88F9CBC-565B-44F5-8F60-B49AF7B5D7CC}"/>
    <cellStyle name="40% - Accent4 12 2 2_Exh G" xfId="3068" xr:uid="{00000000-0005-0000-0000-00004F400000}"/>
    <cellStyle name="40% - Accent4 12 2 3" xfId="1516" xr:uid="{00000000-0005-0000-0000-000050400000}"/>
    <cellStyle name="40% - Accent4 12 2 3 2" xfId="5043" xr:uid="{00000000-0005-0000-0000-000051400000}"/>
    <cellStyle name="40% - Accent4 12 2 3 2 2" xfId="8634" xr:uid="{00000000-0005-0000-0000-000052400000}"/>
    <cellStyle name="40% - Accent4 12 2 3 2 2 2" xfId="16604" xr:uid="{00000000-0005-0000-0000-000053400000}"/>
    <cellStyle name="40% - Accent4 12 2 3 2 2 2 2" xfId="40446" xr:uid="{886CBEC4-8F0C-490D-890E-0B9CD4AD74A8}"/>
    <cellStyle name="40% - Accent4 12 2 3 2 2 3" xfId="24550" xr:uid="{00000000-0005-0000-0000-000054400000}"/>
    <cellStyle name="40% - Accent4 12 2 3 2 2 3 2" xfId="48382" xr:uid="{3904D2B0-FD85-4255-8975-F1578895E2A3}"/>
    <cellStyle name="40% - Accent4 12 2 3 2 2 4" xfId="32505" xr:uid="{36B072D3-5C61-4197-B5E2-3171915076A4}"/>
    <cellStyle name="40% - Accent4 12 2 3 2 3" xfId="13066" xr:uid="{00000000-0005-0000-0000-000055400000}"/>
    <cellStyle name="40% - Accent4 12 2 3 2 3 2" xfId="36915" xr:uid="{FDED0D39-EC37-4A44-8875-A8C144040F19}"/>
    <cellStyle name="40% - Accent4 12 2 3 2 4" xfId="21021" xr:uid="{00000000-0005-0000-0000-000056400000}"/>
    <cellStyle name="40% - Accent4 12 2 3 2 4 2" xfId="44853" xr:uid="{989A3E1D-66F9-4772-86A1-471BEA96EEF5}"/>
    <cellStyle name="40% - Accent4 12 2 3 2 5" xfId="28974" xr:uid="{8004D7C4-8B99-45C3-AD37-EB86B7C689A3}"/>
    <cellStyle name="40% - Accent4 12 2 3 3" xfId="6875" xr:uid="{00000000-0005-0000-0000-000057400000}"/>
    <cellStyle name="40% - Accent4 12 2 3 3 2" xfId="14846" xr:uid="{00000000-0005-0000-0000-000058400000}"/>
    <cellStyle name="40% - Accent4 12 2 3 3 2 2" xfId="38688" xr:uid="{1E0F66AE-FD55-4852-90D6-A2793574B5DA}"/>
    <cellStyle name="40% - Accent4 12 2 3 3 3" xfId="22793" xr:uid="{00000000-0005-0000-0000-000059400000}"/>
    <cellStyle name="40% - Accent4 12 2 3 3 3 2" xfId="46625" xr:uid="{F4E3A4A9-B2D3-4567-810B-219558CC3776}"/>
    <cellStyle name="40% - Accent4 12 2 3 3 4" xfId="30747" xr:uid="{4EF1A80B-209C-40DA-8A5E-3D3E1839639B}"/>
    <cellStyle name="40% - Accent4 12 2 3 4" xfId="11310" xr:uid="{00000000-0005-0000-0000-00005A400000}"/>
    <cellStyle name="40% - Accent4 12 2 3 4 2" xfId="35159" xr:uid="{A66D02BD-786D-413B-985E-E81B50A0E81D}"/>
    <cellStyle name="40% - Accent4 12 2 3 5" xfId="19265" xr:uid="{00000000-0005-0000-0000-00005B400000}"/>
    <cellStyle name="40% - Accent4 12 2 3 5 2" xfId="43097" xr:uid="{13A4A293-A93D-40D1-AA19-B71700D55E32}"/>
    <cellStyle name="40% - Accent4 12 2 3 6" xfId="27217" xr:uid="{C6175AB5-5630-4F4D-86BA-EBE7F6E326B8}"/>
    <cellStyle name="40% - Accent4 12 2 3_Exh G" xfId="3070" xr:uid="{00000000-0005-0000-0000-00005C400000}"/>
    <cellStyle name="40% - Accent4 12 2 4" xfId="4164" xr:uid="{00000000-0005-0000-0000-00005D400000}"/>
    <cellStyle name="40% - Accent4 12 2 4 2" xfId="7756" xr:uid="{00000000-0005-0000-0000-00005E400000}"/>
    <cellStyle name="40% - Accent4 12 2 4 2 2" xfId="15726" xr:uid="{00000000-0005-0000-0000-00005F400000}"/>
    <cellStyle name="40% - Accent4 12 2 4 2 2 2" xfId="39568" xr:uid="{F275DCE7-1870-4C02-8F85-92698134888C}"/>
    <cellStyle name="40% - Accent4 12 2 4 2 3" xfId="23672" xr:uid="{00000000-0005-0000-0000-000060400000}"/>
    <cellStyle name="40% - Accent4 12 2 4 2 3 2" xfId="47504" xr:uid="{BC08F7F9-47F9-432F-892F-EDDA863BC42A}"/>
    <cellStyle name="40% - Accent4 12 2 4 2 4" xfId="31627" xr:uid="{9EC0B7FB-0664-4802-AC0A-4CFA6500C27C}"/>
    <cellStyle name="40% - Accent4 12 2 4 3" xfId="12188" xr:uid="{00000000-0005-0000-0000-000061400000}"/>
    <cellStyle name="40% - Accent4 12 2 4 3 2" xfId="36037" xr:uid="{56E0BD27-3D7A-4410-B502-3BD9A36E3ADA}"/>
    <cellStyle name="40% - Accent4 12 2 4 4" xfId="20143" xr:uid="{00000000-0005-0000-0000-000062400000}"/>
    <cellStyle name="40% - Accent4 12 2 4 4 2" xfId="43975" xr:uid="{B037EAD1-45BA-48D2-8B27-256A2C49B046}"/>
    <cellStyle name="40% - Accent4 12 2 4 5" xfId="28096" xr:uid="{2F8BC214-119B-45D5-962D-26171403527D}"/>
    <cellStyle name="40% - Accent4 12 2 5" xfId="5984" xr:uid="{00000000-0005-0000-0000-000063400000}"/>
    <cellStyle name="40% - Accent4 12 2 5 2" xfId="13967" xr:uid="{00000000-0005-0000-0000-000064400000}"/>
    <cellStyle name="40% - Accent4 12 2 5 2 2" xfId="37810" xr:uid="{CCB26F60-45D3-4695-8C43-3B6FF5554044}"/>
    <cellStyle name="40% - Accent4 12 2 5 3" xfId="21915" xr:uid="{00000000-0005-0000-0000-000065400000}"/>
    <cellStyle name="40% - Accent4 12 2 5 3 2" xfId="45747" xr:uid="{D757C051-7912-4FEB-98F8-FFBFFAC105B9}"/>
    <cellStyle name="40% - Accent4 12 2 5 4" xfId="29869" xr:uid="{D23B5797-F8E3-4384-809A-DC996374AEA8}"/>
    <cellStyle name="40% - Accent4 12 2 6" xfId="9536" xr:uid="{00000000-0005-0000-0000-000066400000}"/>
    <cellStyle name="40% - Accent4 12 2 6 2" xfId="17494" xr:uid="{00000000-0005-0000-0000-000067400000}"/>
    <cellStyle name="40% - Accent4 12 2 6 2 2" xfId="41334" xr:uid="{EC67BDF2-A3E0-4EC0-B270-AB0238459F2E}"/>
    <cellStyle name="40% - Accent4 12 2 6 3" xfId="25438" xr:uid="{00000000-0005-0000-0000-000068400000}"/>
    <cellStyle name="40% - Accent4 12 2 6 3 2" xfId="49270" xr:uid="{AB1885BF-015F-40A3-A608-31225B93C8C1}"/>
    <cellStyle name="40% - Accent4 12 2 6 4" xfId="33393" xr:uid="{0138365D-D6B5-4101-890E-2F8BF8376053}"/>
    <cellStyle name="40% - Accent4 12 2 7" xfId="10432" xr:uid="{00000000-0005-0000-0000-000069400000}"/>
    <cellStyle name="40% - Accent4 12 2 7 2" xfId="34281" xr:uid="{4782415B-22A7-4739-8BA2-5CAF2B199935}"/>
    <cellStyle name="40% - Accent4 12 2 8" xfId="18387" xr:uid="{00000000-0005-0000-0000-00006A400000}"/>
    <cellStyle name="40% - Accent4 12 2 8 2" xfId="42219" xr:uid="{3E7D1199-5C04-40D3-8864-E31979503BD0}"/>
    <cellStyle name="40% - Accent4 12 2 9" xfId="26339" xr:uid="{0D525391-1370-49ED-B341-0C9EA6E4B882}"/>
    <cellStyle name="40% - Accent4 12 2_Exh G" xfId="3067" xr:uid="{00000000-0005-0000-0000-00006B400000}"/>
    <cellStyle name="40% - Accent4 12 3" xfId="492" xr:uid="{00000000-0005-0000-0000-00006C400000}"/>
    <cellStyle name="40% - Accent4 12 3 2" xfId="1518" xr:uid="{00000000-0005-0000-0000-00006D400000}"/>
    <cellStyle name="40% - Accent4 12 3 2 2" xfId="5045" xr:uid="{00000000-0005-0000-0000-00006E400000}"/>
    <cellStyle name="40% - Accent4 12 3 2 2 2" xfId="8636" xr:uid="{00000000-0005-0000-0000-00006F400000}"/>
    <cellStyle name="40% - Accent4 12 3 2 2 2 2" xfId="16606" xr:uid="{00000000-0005-0000-0000-000070400000}"/>
    <cellStyle name="40% - Accent4 12 3 2 2 2 2 2" xfId="40448" xr:uid="{D1B28C61-08CC-4BC5-9CFC-FAD9328E758D}"/>
    <cellStyle name="40% - Accent4 12 3 2 2 2 3" xfId="24552" xr:uid="{00000000-0005-0000-0000-000071400000}"/>
    <cellStyle name="40% - Accent4 12 3 2 2 2 3 2" xfId="48384" xr:uid="{D5E0E965-8CB5-458B-9A54-063A02107B53}"/>
    <cellStyle name="40% - Accent4 12 3 2 2 2 4" xfId="32507" xr:uid="{B0FEC80A-680E-44D5-A360-B638E726C5D0}"/>
    <cellStyle name="40% - Accent4 12 3 2 2 3" xfId="13068" xr:uid="{00000000-0005-0000-0000-000072400000}"/>
    <cellStyle name="40% - Accent4 12 3 2 2 3 2" xfId="36917" xr:uid="{AB9760F5-9C44-46BC-ADA7-5FB114E02D9B}"/>
    <cellStyle name="40% - Accent4 12 3 2 2 4" xfId="21023" xr:uid="{00000000-0005-0000-0000-000073400000}"/>
    <cellStyle name="40% - Accent4 12 3 2 2 4 2" xfId="44855" xr:uid="{EFF5905F-2A0D-42F9-8186-F1077551F7D4}"/>
    <cellStyle name="40% - Accent4 12 3 2 2 5" xfId="28976" xr:uid="{A6B43848-79F5-4053-B1F6-3747A49EB877}"/>
    <cellStyle name="40% - Accent4 12 3 2 3" xfId="6877" xr:uid="{00000000-0005-0000-0000-000074400000}"/>
    <cellStyle name="40% - Accent4 12 3 2 3 2" xfId="14848" xr:uid="{00000000-0005-0000-0000-000075400000}"/>
    <cellStyle name="40% - Accent4 12 3 2 3 2 2" xfId="38690" xr:uid="{B4FDFB09-F229-4202-AE32-C203648CA3D3}"/>
    <cellStyle name="40% - Accent4 12 3 2 3 3" xfId="22795" xr:uid="{00000000-0005-0000-0000-000076400000}"/>
    <cellStyle name="40% - Accent4 12 3 2 3 3 2" xfId="46627" xr:uid="{AD32146A-EFF7-44E8-9B7E-80AF63B33C5B}"/>
    <cellStyle name="40% - Accent4 12 3 2 3 4" xfId="30749" xr:uid="{BF68811C-E409-4A73-B9ED-1B2EC4C511DD}"/>
    <cellStyle name="40% - Accent4 12 3 2 4" xfId="11312" xr:uid="{00000000-0005-0000-0000-000077400000}"/>
    <cellStyle name="40% - Accent4 12 3 2 4 2" xfId="35161" xr:uid="{50E93C53-0BD9-4BE3-A235-2235FB8A57EF}"/>
    <cellStyle name="40% - Accent4 12 3 2 5" xfId="19267" xr:uid="{00000000-0005-0000-0000-000078400000}"/>
    <cellStyle name="40% - Accent4 12 3 2 5 2" xfId="43099" xr:uid="{CC9E4917-EC99-4F7B-B14A-CCD1FDBA5254}"/>
    <cellStyle name="40% - Accent4 12 3 2 6" xfId="27219" xr:uid="{A86F78B1-F423-4250-886F-1D77C57ABD6F}"/>
    <cellStyle name="40% - Accent4 12 3 2_Exh G" xfId="3072" xr:uid="{00000000-0005-0000-0000-000079400000}"/>
    <cellStyle name="40% - Accent4 12 3 3" xfId="4166" xr:uid="{00000000-0005-0000-0000-00007A400000}"/>
    <cellStyle name="40% - Accent4 12 3 3 2" xfId="7758" xr:uid="{00000000-0005-0000-0000-00007B400000}"/>
    <cellStyle name="40% - Accent4 12 3 3 2 2" xfId="15728" xr:uid="{00000000-0005-0000-0000-00007C400000}"/>
    <cellStyle name="40% - Accent4 12 3 3 2 2 2" xfId="39570" xr:uid="{5173B856-F2C3-44A0-9483-3BEB69E0B095}"/>
    <cellStyle name="40% - Accent4 12 3 3 2 3" xfId="23674" xr:uid="{00000000-0005-0000-0000-00007D400000}"/>
    <cellStyle name="40% - Accent4 12 3 3 2 3 2" xfId="47506" xr:uid="{835A5FDA-7D94-43F2-9842-A63F173BD1BF}"/>
    <cellStyle name="40% - Accent4 12 3 3 2 4" xfId="31629" xr:uid="{D333BCCB-4F33-4D97-9BAE-2B9265C704FA}"/>
    <cellStyle name="40% - Accent4 12 3 3 3" xfId="12190" xr:uid="{00000000-0005-0000-0000-00007E400000}"/>
    <cellStyle name="40% - Accent4 12 3 3 3 2" xfId="36039" xr:uid="{7C77F689-F2BA-4EC6-A943-0A6815C41693}"/>
    <cellStyle name="40% - Accent4 12 3 3 4" xfId="20145" xr:uid="{00000000-0005-0000-0000-00007F400000}"/>
    <cellStyle name="40% - Accent4 12 3 3 4 2" xfId="43977" xr:uid="{10C25E88-AB38-450A-99D0-B7D6ABBE07FB}"/>
    <cellStyle name="40% - Accent4 12 3 3 5" xfId="28098" xr:uid="{68D85CED-3330-4048-8F75-B85C2FA8BE51}"/>
    <cellStyle name="40% - Accent4 12 3 4" xfId="5986" xr:uid="{00000000-0005-0000-0000-000080400000}"/>
    <cellStyle name="40% - Accent4 12 3 4 2" xfId="13969" xr:uid="{00000000-0005-0000-0000-000081400000}"/>
    <cellStyle name="40% - Accent4 12 3 4 2 2" xfId="37812" xr:uid="{B7FC95FC-2206-4D4B-A066-1D86AD202448}"/>
    <cellStyle name="40% - Accent4 12 3 4 3" xfId="21917" xr:uid="{00000000-0005-0000-0000-000082400000}"/>
    <cellStyle name="40% - Accent4 12 3 4 3 2" xfId="45749" xr:uid="{51280762-53C7-4DF9-AC14-CECA80AE52C1}"/>
    <cellStyle name="40% - Accent4 12 3 4 4" xfId="29871" xr:uid="{E476D846-E6A0-4B02-979D-D25D617E1395}"/>
    <cellStyle name="40% - Accent4 12 3 5" xfId="9538" xr:uid="{00000000-0005-0000-0000-000083400000}"/>
    <cellStyle name="40% - Accent4 12 3 5 2" xfId="17496" xr:uid="{00000000-0005-0000-0000-000084400000}"/>
    <cellStyle name="40% - Accent4 12 3 5 2 2" xfId="41336" xr:uid="{1086D9D0-5B62-4555-8886-ACB3B0B07AF7}"/>
    <cellStyle name="40% - Accent4 12 3 5 3" xfId="25440" xr:uid="{00000000-0005-0000-0000-000085400000}"/>
    <cellStyle name="40% - Accent4 12 3 5 3 2" xfId="49272" xr:uid="{1BABEB2A-950E-4A52-80B5-7D476F24F683}"/>
    <cellStyle name="40% - Accent4 12 3 5 4" xfId="33395" xr:uid="{46DE0169-9537-40F6-9AAF-9386D057283F}"/>
    <cellStyle name="40% - Accent4 12 3 6" xfId="10434" xr:uid="{00000000-0005-0000-0000-000086400000}"/>
    <cellStyle name="40% - Accent4 12 3 6 2" xfId="34283" xr:uid="{00F7F4BB-819C-4B7D-A471-65A958D9DB5B}"/>
    <cellStyle name="40% - Accent4 12 3 7" xfId="18389" xr:uid="{00000000-0005-0000-0000-000087400000}"/>
    <cellStyle name="40% - Accent4 12 3 7 2" xfId="42221" xr:uid="{9BE14422-9507-4FC7-97A4-371247DE2F9E}"/>
    <cellStyle name="40% - Accent4 12 3 8" xfId="26341" xr:uid="{14C2A170-5A11-47B6-A871-F1D049297B94}"/>
    <cellStyle name="40% - Accent4 12 3_Exh G" xfId="3071" xr:uid="{00000000-0005-0000-0000-000088400000}"/>
    <cellStyle name="40% - Accent4 12 4" xfId="1515" xr:uid="{00000000-0005-0000-0000-000089400000}"/>
    <cellStyle name="40% - Accent4 12 4 2" xfId="5042" xr:uid="{00000000-0005-0000-0000-00008A400000}"/>
    <cellStyle name="40% - Accent4 12 4 2 2" xfId="8633" xr:uid="{00000000-0005-0000-0000-00008B400000}"/>
    <cellStyle name="40% - Accent4 12 4 2 2 2" xfId="16603" xr:uid="{00000000-0005-0000-0000-00008C400000}"/>
    <cellStyle name="40% - Accent4 12 4 2 2 2 2" xfId="40445" xr:uid="{9CDF4268-6D85-43B9-9622-9863B196AE2F}"/>
    <cellStyle name="40% - Accent4 12 4 2 2 3" xfId="24549" xr:uid="{00000000-0005-0000-0000-00008D400000}"/>
    <cellStyle name="40% - Accent4 12 4 2 2 3 2" xfId="48381" xr:uid="{80D0BC1D-8212-43E0-ACF1-81E9FB2B0B9E}"/>
    <cellStyle name="40% - Accent4 12 4 2 2 4" xfId="32504" xr:uid="{8D08838A-1498-4FAE-89DE-B17622D285FC}"/>
    <cellStyle name="40% - Accent4 12 4 2 3" xfId="13065" xr:uid="{00000000-0005-0000-0000-00008E400000}"/>
    <cellStyle name="40% - Accent4 12 4 2 3 2" xfId="36914" xr:uid="{8F73892A-534A-48B3-BA43-5E9684A1AF77}"/>
    <cellStyle name="40% - Accent4 12 4 2 4" xfId="21020" xr:uid="{00000000-0005-0000-0000-00008F400000}"/>
    <cellStyle name="40% - Accent4 12 4 2 4 2" xfId="44852" xr:uid="{99400509-BF91-415F-8828-414CDF7EDA18}"/>
    <cellStyle name="40% - Accent4 12 4 2 5" xfId="28973" xr:uid="{8117DB69-0BF1-4CD6-A156-232F962F6F0C}"/>
    <cellStyle name="40% - Accent4 12 4 3" xfId="6874" xr:uid="{00000000-0005-0000-0000-000090400000}"/>
    <cellStyle name="40% - Accent4 12 4 3 2" xfId="14845" xr:uid="{00000000-0005-0000-0000-000091400000}"/>
    <cellStyle name="40% - Accent4 12 4 3 2 2" xfId="38687" xr:uid="{E32CAC52-47E6-4F66-9292-4A56078273C2}"/>
    <cellStyle name="40% - Accent4 12 4 3 3" xfId="22792" xr:uid="{00000000-0005-0000-0000-000092400000}"/>
    <cellStyle name="40% - Accent4 12 4 3 3 2" xfId="46624" xr:uid="{650264AA-7C25-4EC8-96D0-863E124097D8}"/>
    <cellStyle name="40% - Accent4 12 4 3 4" xfId="30746" xr:uid="{EEC12E87-D6A0-475E-94ED-374758A71103}"/>
    <cellStyle name="40% - Accent4 12 4 4" xfId="11309" xr:uid="{00000000-0005-0000-0000-000093400000}"/>
    <cellStyle name="40% - Accent4 12 4 4 2" xfId="35158" xr:uid="{8BCE7B86-9C0D-49E6-BD81-5AADE5805585}"/>
    <cellStyle name="40% - Accent4 12 4 5" xfId="19264" xr:uid="{00000000-0005-0000-0000-000094400000}"/>
    <cellStyle name="40% - Accent4 12 4 5 2" xfId="43096" xr:uid="{B3356F09-65E5-4656-98DD-49C617E66521}"/>
    <cellStyle name="40% - Accent4 12 4 6" xfId="27216" xr:uid="{79888420-CFCC-4FD8-9A00-C660CE58A183}"/>
    <cellStyle name="40% - Accent4 12 4_Exh G" xfId="3073" xr:uid="{00000000-0005-0000-0000-000095400000}"/>
    <cellStyle name="40% - Accent4 12 5" xfId="4163" xr:uid="{00000000-0005-0000-0000-000096400000}"/>
    <cellStyle name="40% - Accent4 12 5 2" xfId="7755" xr:uid="{00000000-0005-0000-0000-000097400000}"/>
    <cellStyle name="40% - Accent4 12 5 2 2" xfId="15725" xr:uid="{00000000-0005-0000-0000-000098400000}"/>
    <cellStyle name="40% - Accent4 12 5 2 2 2" xfId="39567" xr:uid="{80F09B1D-E499-45F6-BDD5-42437A0F05BE}"/>
    <cellStyle name="40% - Accent4 12 5 2 3" xfId="23671" xr:uid="{00000000-0005-0000-0000-000099400000}"/>
    <cellStyle name="40% - Accent4 12 5 2 3 2" xfId="47503" xr:uid="{50B72661-21E3-4B8B-8C77-A310F78F4957}"/>
    <cellStyle name="40% - Accent4 12 5 2 4" xfId="31626" xr:uid="{F761CBE0-1CE6-4D18-8047-B6E70D8F7278}"/>
    <cellStyle name="40% - Accent4 12 5 3" xfId="12187" xr:uid="{00000000-0005-0000-0000-00009A400000}"/>
    <cellStyle name="40% - Accent4 12 5 3 2" xfId="36036" xr:uid="{8076ECB8-C426-410B-9F55-4BA112235AD9}"/>
    <cellStyle name="40% - Accent4 12 5 4" xfId="20142" xr:uid="{00000000-0005-0000-0000-00009B400000}"/>
    <cellStyle name="40% - Accent4 12 5 4 2" xfId="43974" xr:uid="{542235AB-F116-4525-9476-84F59768FD59}"/>
    <cellStyle name="40% - Accent4 12 5 5" xfId="28095" xr:uid="{216F7ADD-243C-425C-810B-572A04CE6FB3}"/>
    <cellStyle name="40% - Accent4 12 6" xfId="5983" xr:uid="{00000000-0005-0000-0000-00009C400000}"/>
    <cellStyle name="40% - Accent4 12 6 2" xfId="13966" xr:uid="{00000000-0005-0000-0000-00009D400000}"/>
    <cellStyle name="40% - Accent4 12 6 2 2" xfId="37809" xr:uid="{AAA6F551-65C2-4EBD-89DE-578E7D916D4F}"/>
    <cellStyle name="40% - Accent4 12 6 3" xfId="21914" xr:uid="{00000000-0005-0000-0000-00009E400000}"/>
    <cellStyle name="40% - Accent4 12 6 3 2" xfId="45746" xr:uid="{DED67B95-B03E-4A28-98B1-F9580FB1B6FC}"/>
    <cellStyle name="40% - Accent4 12 6 4" xfId="29868" xr:uid="{A98A9356-522E-4896-A33C-AED3FF4FC3E1}"/>
    <cellStyle name="40% - Accent4 12 7" xfId="9535" xr:uid="{00000000-0005-0000-0000-00009F400000}"/>
    <cellStyle name="40% - Accent4 12 7 2" xfId="17493" xr:uid="{00000000-0005-0000-0000-0000A0400000}"/>
    <cellStyle name="40% - Accent4 12 7 2 2" xfId="41333" xr:uid="{051B9697-D386-4875-9EF9-A3766B98AA0F}"/>
    <cellStyle name="40% - Accent4 12 7 3" xfId="25437" xr:uid="{00000000-0005-0000-0000-0000A1400000}"/>
    <cellStyle name="40% - Accent4 12 7 3 2" xfId="49269" xr:uid="{A48FECBC-27D0-41F5-ACFD-EFC3DCD95D25}"/>
    <cellStyle name="40% - Accent4 12 7 4" xfId="33392" xr:uid="{C6C9BA08-996F-41A4-9741-79F7082C8254}"/>
    <cellStyle name="40% - Accent4 12 8" xfId="10431" xr:uid="{00000000-0005-0000-0000-0000A2400000}"/>
    <cellStyle name="40% - Accent4 12 8 2" xfId="34280" xr:uid="{17C83322-21F0-4771-9E3B-3F735C1F8347}"/>
    <cellStyle name="40% - Accent4 12 9" xfId="18386" xr:uid="{00000000-0005-0000-0000-0000A3400000}"/>
    <cellStyle name="40% - Accent4 12 9 2" xfId="42218" xr:uid="{882FD7D1-EBD7-47D1-B47B-C230D8D043C3}"/>
    <cellStyle name="40% - Accent4 12_Exh G" xfId="3066" xr:uid="{00000000-0005-0000-0000-0000A4400000}"/>
    <cellStyle name="40% - Accent4 13" xfId="493" xr:uid="{00000000-0005-0000-0000-0000A5400000}"/>
    <cellStyle name="40% - Accent4 13 10" xfId="26342" xr:uid="{32A3A9C5-AF00-4557-87C2-34B2138570BE}"/>
    <cellStyle name="40% - Accent4 13 2" xfId="494" xr:uid="{00000000-0005-0000-0000-0000A6400000}"/>
    <cellStyle name="40% - Accent4 13 2 2" xfId="495" xr:uid="{00000000-0005-0000-0000-0000A7400000}"/>
    <cellStyle name="40% - Accent4 13 2 2 2" xfId="1521" xr:uid="{00000000-0005-0000-0000-0000A8400000}"/>
    <cellStyle name="40% - Accent4 13 2 2 2 2" xfId="5048" xr:uid="{00000000-0005-0000-0000-0000A9400000}"/>
    <cellStyle name="40% - Accent4 13 2 2 2 2 2" xfId="8639" xr:uid="{00000000-0005-0000-0000-0000AA400000}"/>
    <cellStyle name="40% - Accent4 13 2 2 2 2 2 2" xfId="16609" xr:uid="{00000000-0005-0000-0000-0000AB400000}"/>
    <cellStyle name="40% - Accent4 13 2 2 2 2 2 2 2" xfId="40451" xr:uid="{BF7D88F2-57B9-41E3-AF37-8F10BBC00763}"/>
    <cellStyle name="40% - Accent4 13 2 2 2 2 2 3" xfId="24555" xr:uid="{00000000-0005-0000-0000-0000AC400000}"/>
    <cellStyle name="40% - Accent4 13 2 2 2 2 2 3 2" xfId="48387" xr:uid="{EEDF08AD-EA82-443C-B2F7-C92B65675B7A}"/>
    <cellStyle name="40% - Accent4 13 2 2 2 2 2 4" xfId="32510" xr:uid="{A9E3F1D9-D75D-4346-83EA-754FA950C685}"/>
    <cellStyle name="40% - Accent4 13 2 2 2 2 3" xfId="13071" xr:uid="{00000000-0005-0000-0000-0000AD400000}"/>
    <cellStyle name="40% - Accent4 13 2 2 2 2 3 2" xfId="36920" xr:uid="{448EE400-0B15-46BA-B19E-C487AC07ACB3}"/>
    <cellStyle name="40% - Accent4 13 2 2 2 2 4" xfId="21026" xr:uid="{00000000-0005-0000-0000-0000AE400000}"/>
    <cellStyle name="40% - Accent4 13 2 2 2 2 4 2" xfId="44858" xr:uid="{D3F5FC92-219E-49A9-AF91-EA11B6AABFB5}"/>
    <cellStyle name="40% - Accent4 13 2 2 2 2 5" xfId="28979" xr:uid="{9BB5793C-F1D4-478C-90C8-8087EC9354AE}"/>
    <cellStyle name="40% - Accent4 13 2 2 2 3" xfId="6880" xr:uid="{00000000-0005-0000-0000-0000AF400000}"/>
    <cellStyle name="40% - Accent4 13 2 2 2 3 2" xfId="14851" xr:uid="{00000000-0005-0000-0000-0000B0400000}"/>
    <cellStyle name="40% - Accent4 13 2 2 2 3 2 2" xfId="38693" xr:uid="{93049A72-536F-416E-9940-750C6C1AE434}"/>
    <cellStyle name="40% - Accent4 13 2 2 2 3 3" xfId="22798" xr:uid="{00000000-0005-0000-0000-0000B1400000}"/>
    <cellStyle name="40% - Accent4 13 2 2 2 3 3 2" xfId="46630" xr:uid="{3CB2D838-65E5-4B61-8BC6-4CF2D81FE95A}"/>
    <cellStyle name="40% - Accent4 13 2 2 2 3 4" xfId="30752" xr:uid="{6539131B-2B12-4524-B5F1-AC77AB9DA3B2}"/>
    <cellStyle name="40% - Accent4 13 2 2 2 4" xfId="11315" xr:uid="{00000000-0005-0000-0000-0000B2400000}"/>
    <cellStyle name="40% - Accent4 13 2 2 2 4 2" xfId="35164" xr:uid="{CBE40256-3083-4AD1-83DB-11FCFBF81BE0}"/>
    <cellStyle name="40% - Accent4 13 2 2 2 5" xfId="19270" xr:uid="{00000000-0005-0000-0000-0000B3400000}"/>
    <cellStyle name="40% - Accent4 13 2 2 2 5 2" xfId="43102" xr:uid="{52E11D6E-1FAB-4606-B342-BA8F1363663F}"/>
    <cellStyle name="40% - Accent4 13 2 2 2 6" xfId="27222" xr:uid="{B94824E5-0588-40FF-8480-2F32A56CE519}"/>
    <cellStyle name="40% - Accent4 13 2 2 2_Exh G" xfId="3077" xr:uid="{00000000-0005-0000-0000-0000B4400000}"/>
    <cellStyle name="40% - Accent4 13 2 2 3" xfId="4169" xr:uid="{00000000-0005-0000-0000-0000B5400000}"/>
    <cellStyle name="40% - Accent4 13 2 2 3 2" xfId="7761" xr:uid="{00000000-0005-0000-0000-0000B6400000}"/>
    <cellStyle name="40% - Accent4 13 2 2 3 2 2" xfId="15731" xr:uid="{00000000-0005-0000-0000-0000B7400000}"/>
    <cellStyle name="40% - Accent4 13 2 2 3 2 2 2" xfId="39573" xr:uid="{0BA68887-A30D-4B55-BA15-AA432DCAB6B0}"/>
    <cellStyle name="40% - Accent4 13 2 2 3 2 3" xfId="23677" xr:uid="{00000000-0005-0000-0000-0000B8400000}"/>
    <cellStyle name="40% - Accent4 13 2 2 3 2 3 2" xfId="47509" xr:uid="{DC91E0ED-6656-4483-BC33-87E9C430988A}"/>
    <cellStyle name="40% - Accent4 13 2 2 3 2 4" xfId="31632" xr:uid="{723B6B26-2A75-4327-933E-770C7C69A705}"/>
    <cellStyle name="40% - Accent4 13 2 2 3 3" xfId="12193" xr:uid="{00000000-0005-0000-0000-0000B9400000}"/>
    <cellStyle name="40% - Accent4 13 2 2 3 3 2" xfId="36042" xr:uid="{2D86418F-147C-43F8-8306-72B7ABB8B901}"/>
    <cellStyle name="40% - Accent4 13 2 2 3 4" xfId="20148" xr:uid="{00000000-0005-0000-0000-0000BA400000}"/>
    <cellStyle name="40% - Accent4 13 2 2 3 4 2" xfId="43980" xr:uid="{E9991526-6C51-449A-BE2C-6EBB71205B41}"/>
    <cellStyle name="40% - Accent4 13 2 2 3 5" xfId="28101" xr:uid="{F488031E-EA38-4E20-95A5-284F8CB33F4A}"/>
    <cellStyle name="40% - Accent4 13 2 2 4" xfId="5989" xr:uid="{00000000-0005-0000-0000-0000BB400000}"/>
    <cellStyle name="40% - Accent4 13 2 2 4 2" xfId="13972" xr:uid="{00000000-0005-0000-0000-0000BC400000}"/>
    <cellStyle name="40% - Accent4 13 2 2 4 2 2" xfId="37815" xr:uid="{5B62F344-80DC-45CE-B8FF-924C49FA6DE1}"/>
    <cellStyle name="40% - Accent4 13 2 2 4 3" xfId="21920" xr:uid="{00000000-0005-0000-0000-0000BD400000}"/>
    <cellStyle name="40% - Accent4 13 2 2 4 3 2" xfId="45752" xr:uid="{71745CEE-78B4-4E3E-A20F-00A3BA436D99}"/>
    <cellStyle name="40% - Accent4 13 2 2 4 4" xfId="29874" xr:uid="{5FC7005F-133C-411D-84BC-7A76678062CD}"/>
    <cellStyle name="40% - Accent4 13 2 2 5" xfId="9541" xr:uid="{00000000-0005-0000-0000-0000BE400000}"/>
    <cellStyle name="40% - Accent4 13 2 2 5 2" xfId="17499" xr:uid="{00000000-0005-0000-0000-0000BF400000}"/>
    <cellStyle name="40% - Accent4 13 2 2 5 2 2" xfId="41339" xr:uid="{08A59B4D-3185-458E-96F7-D0B5B7C071D3}"/>
    <cellStyle name="40% - Accent4 13 2 2 5 3" xfId="25443" xr:uid="{00000000-0005-0000-0000-0000C0400000}"/>
    <cellStyle name="40% - Accent4 13 2 2 5 3 2" xfId="49275" xr:uid="{CA42AC22-F13F-40B6-ACF1-C755F9A69B9B}"/>
    <cellStyle name="40% - Accent4 13 2 2 5 4" xfId="33398" xr:uid="{F474E87F-D8F3-411C-BA95-638073774DEF}"/>
    <cellStyle name="40% - Accent4 13 2 2 6" xfId="10437" xr:uid="{00000000-0005-0000-0000-0000C1400000}"/>
    <cellStyle name="40% - Accent4 13 2 2 6 2" xfId="34286" xr:uid="{797DF032-6221-4191-B571-A1581128DF71}"/>
    <cellStyle name="40% - Accent4 13 2 2 7" xfId="18392" xr:uid="{00000000-0005-0000-0000-0000C2400000}"/>
    <cellStyle name="40% - Accent4 13 2 2 7 2" xfId="42224" xr:uid="{009F3E26-F2DA-4346-BADB-4961338E19BF}"/>
    <cellStyle name="40% - Accent4 13 2 2 8" xfId="26344" xr:uid="{D2F39155-77A7-48FE-8BB2-809947911D8D}"/>
    <cellStyle name="40% - Accent4 13 2 2_Exh G" xfId="3076" xr:uid="{00000000-0005-0000-0000-0000C3400000}"/>
    <cellStyle name="40% - Accent4 13 2 3" xfId="1520" xr:uid="{00000000-0005-0000-0000-0000C4400000}"/>
    <cellStyle name="40% - Accent4 13 2 3 2" xfId="5047" xr:uid="{00000000-0005-0000-0000-0000C5400000}"/>
    <cellStyle name="40% - Accent4 13 2 3 2 2" xfId="8638" xr:uid="{00000000-0005-0000-0000-0000C6400000}"/>
    <cellStyle name="40% - Accent4 13 2 3 2 2 2" xfId="16608" xr:uid="{00000000-0005-0000-0000-0000C7400000}"/>
    <cellStyle name="40% - Accent4 13 2 3 2 2 2 2" xfId="40450" xr:uid="{E368ECE0-44CF-4FFE-A838-8DA10EF132C1}"/>
    <cellStyle name="40% - Accent4 13 2 3 2 2 3" xfId="24554" xr:uid="{00000000-0005-0000-0000-0000C8400000}"/>
    <cellStyle name="40% - Accent4 13 2 3 2 2 3 2" xfId="48386" xr:uid="{02122684-62A6-4AFA-B211-834E757EB6A1}"/>
    <cellStyle name="40% - Accent4 13 2 3 2 2 4" xfId="32509" xr:uid="{5902DB5C-4838-49D3-BCF6-9DC950D32F24}"/>
    <cellStyle name="40% - Accent4 13 2 3 2 3" xfId="13070" xr:uid="{00000000-0005-0000-0000-0000C9400000}"/>
    <cellStyle name="40% - Accent4 13 2 3 2 3 2" xfId="36919" xr:uid="{4E7FF113-3079-43AD-9561-CD416332D396}"/>
    <cellStyle name="40% - Accent4 13 2 3 2 4" xfId="21025" xr:uid="{00000000-0005-0000-0000-0000CA400000}"/>
    <cellStyle name="40% - Accent4 13 2 3 2 4 2" xfId="44857" xr:uid="{6DE7DCFA-2ADF-4236-8BC5-03689CE1EE2B}"/>
    <cellStyle name="40% - Accent4 13 2 3 2 5" xfId="28978" xr:uid="{4C1C6EE7-9322-407C-93FC-B94E48E1B296}"/>
    <cellStyle name="40% - Accent4 13 2 3 3" xfId="6879" xr:uid="{00000000-0005-0000-0000-0000CB400000}"/>
    <cellStyle name="40% - Accent4 13 2 3 3 2" xfId="14850" xr:uid="{00000000-0005-0000-0000-0000CC400000}"/>
    <cellStyle name="40% - Accent4 13 2 3 3 2 2" xfId="38692" xr:uid="{373CC48A-5A17-4DBA-9013-A19B31EAF630}"/>
    <cellStyle name="40% - Accent4 13 2 3 3 3" xfId="22797" xr:uid="{00000000-0005-0000-0000-0000CD400000}"/>
    <cellStyle name="40% - Accent4 13 2 3 3 3 2" xfId="46629" xr:uid="{8D0E799A-6FA2-402F-8537-992D04F6EC04}"/>
    <cellStyle name="40% - Accent4 13 2 3 3 4" xfId="30751" xr:uid="{6F856FC4-3712-42CD-A66C-DD74AE1EFF55}"/>
    <cellStyle name="40% - Accent4 13 2 3 4" xfId="11314" xr:uid="{00000000-0005-0000-0000-0000CE400000}"/>
    <cellStyle name="40% - Accent4 13 2 3 4 2" xfId="35163" xr:uid="{C2DCA902-CB76-4EE6-A6E3-D799BA4BFCAC}"/>
    <cellStyle name="40% - Accent4 13 2 3 5" xfId="19269" xr:uid="{00000000-0005-0000-0000-0000CF400000}"/>
    <cellStyle name="40% - Accent4 13 2 3 5 2" xfId="43101" xr:uid="{7B6B7FB4-5ACB-4E67-88F0-4CF863883D10}"/>
    <cellStyle name="40% - Accent4 13 2 3 6" xfId="27221" xr:uid="{1A48B2D0-3E12-4AA0-ACD2-6EE58E5E0D9C}"/>
    <cellStyle name="40% - Accent4 13 2 3_Exh G" xfId="3078" xr:uid="{00000000-0005-0000-0000-0000D0400000}"/>
    <cellStyle name="40% - Accent4 13 2 4" xfId="4168" xr:uid="{00000000-0005-0000-0000-0000D1400000}"/>
    <cellStyle name="40% - Accent4 13 2 4 2" xfId="7760" xr:uid="{00000000-0005-0000-0000-0000D2400000}"/>
    <cellStyle name="40% - Accent4 13 2 4 2 2" xfId="15730" xr:uid="{00000000-0005-0000-0000-0000D3400000}"/>
    <cellStyle name="40% - Accent4 13 2 4 2 2 2" xfId="39572" xr:uid="{1EAF73B1-AAC3-4198-AD51-75C07D2766CA}"/>
    <cellStyle name="40% - Accent4 13 2 4 2 3" xfId="23676" xr:uid="{00000000-0005-0000-0000-0000D4400000}"/>
    <cellStyle name="40% - Accent4 13 2 4 2 3 2" xfId="47508" xr:uid="{227A1B53-7AA3-49AD-A85A-78BF0119A149}"/>
    <cellStyle name="40% - Accent4 13 2 4 2 4" xfId="31631" xr:uid="{CAF797DF-6C05-416A-AB80-E4DEA923DE51}"/>
    <cellStyle name="40% - Accent4 13 2 4 3" xfId="12192" xr:uid="{00000000-0005-0000-0000-0000D5400000}"/>
    <cellStyle name="40% - Accent4 13 2 4 3 2" xfId="36041" xr:uid="{8A8857CF-3AF2-4F38-9720-8E6D279136FC}"/>
    <cellStyle name="40% - Accent4 13 2 4 4" xfId="20147" xr:uid="{00000000-0005-0000-0000-0000D6400000}"/>
    <cellStyle name="40% - Accent4 13 2 4 4 2" xfId="43979" xr:uid="{E8F95292-55BF-4AF8-87BA-1958174B3421}"/>
    <cellStyle name="40% - Accent4 13 2 4 5" xfId="28100" xr:uid="{AED30DC2-A739-48C4-A7BE-DF12936601F9}"/>
    <cellStyle name="40% - Accent4 13 2 5" xfId="5988" xr:uid="{00000000-0005-0000-0000-0000D7400000}"/>
    <cellStyle name="40% - Accent4 13 2 5 2" xfId="13971" xr:uid="{00000000-0005-0000-0000-0000D8400000}"/>
    <cellStyle name="40% - Accent4 13 2 5 2 2" xfId="37814" xr:uid="{973C9740-EA45-47BB-87DF-3CB3623C9D40}"/>
    <cellStyle name="40% - Accent4 13 2 5 3" xfId="21919" xr:uid="{00000000-0005-0000-0000-0000D9400000}"/>
    <cellStyle name="40% - Accent4 13 2 5 3 2" xfId="45751" xr:uid="{FF9C9902-215F-4334-8DE1-FAE814B28F87}"/>
    <cellStyle name="40% - Accent4 13 2 5 4" xfId="29873" xr:uid="{C4781489-41B4-455C-A2B8-382EAA315C1B}"/>
    <cellStyle name="40% - Accent4 13 2 6" xfId="9540" xr:uid="{00000000-0005-0000-0000-0000DA400000}"/>
    <cellStyle name="40% - Accent4 13 2 6 2" xfId="17498" xr:uid="{00000000-0005-0000-0000-0000DB400000}"/>
    <cellStyle name="40% - Accent4 13 2 6 2 2" xfId="41338" xr:uid="{F6436B1B-3AF8-4A6E-B7E3-2F4D86AAED72}"/>
    <cellStyle name="40% - Accent4 13 2 6 3" xfId="25442" xr:uid="{00000000-0005-0000-0000-0000DC400000}"/>
    <cellStyle name="40% - Accent4 13 2 6 3 2" xfId="49274" xr:uid="{0E48269F-C3B2-42CA-9757-7F20EA4EDDFF}"/>
    <cellStyle name="40% - Accent4 13 2 6 4" xfId="33397" xr:uid="{F6A91D20-D4DE-4AE2-ACF7-D61A387F4E2C}"/>
    <cellStyle name="40% - Accent4 13 2 7" xfId="10436" xr:uid="{00000000-0005-0000-0000-0000DD400000}"/>
    <cellStyle name="40% - Accent4 13 2 7 2" xfId="34285" xr:uid="{814128F5-2B07-46A5-834E-7F5B2CEE67A9}"/>
    <cellStyle name="40% - Accent4 13 2 8" xfId="18391" xr:uid="{00000000-0005-0000-0000-0000DE400000}"/>
    <cellStyle name="40% - Accent4 13 2 8 2" xfId="42223" xr:uid="{91E863F8-F761-45E8-B403-EAB5A1130DEC}"/>
    <cellStyle name="40% - Accent4 13 2 9" xfId="26343" xr:uid="{4D5A2B49-95EE-401B-99BA-6825980E931A}"/>
    <cellStyle name="40% - Accent4 13 2_Exh G" xfId="3075" xr:uid="{00000000-0005-0000-0000-0000DF400000}"/>
    <cellStyle name="40% - Accent4 13 3" xfId="496" xr:uid="{00000000-0005-0000-0000-0000E0400000}"/>
    <cellStyle name="40% - Accent4 13 3 2" xfId="1522" xr:uid="{00000000-0005-0000-0000-0000E1400000}"/>
    <cellStyle name="40% - Accent4 13 3 2 2" xfId="5049" xr:uid="{00000000-0005-0000-0000-0000E2400000}"/>
    <cellStyle name="40% - Accent4 13 3 2 2 2" xfId="8640" xr:uid="{00000000-0005-0000-0000-0000E3400000}"/>
    <cellStyle name="40% - Accent4 13 3 2 2 2 2" xfId="16610" xr:uid="{00000000-0005-0000-0000-0000E4400000}"/>
    <cellStyle name="40% - Accent4 13 3 2 2 2 2 2" xfId="40452" xr:uid="{E0C7AD84-A817-4BA3-B09C-702325D456CB}"/>
    <cellStyle name="40% - Accent4 13 3 2 2 2 3" xfId="24556" xr:uid="{00000000-0005-0000-0000-0000E5400000}"/>
    <cellStyle name="40% - Accent4 13 3 2 2 2 3 2" xfId="48388" xr:uid="{ADEDBEB4-ECFA-45CB-9901-01AEA14F03C0}"/>
    <cellStyle name="40% - Accent4 13 3 2 2 2 4" xfId="32511" xr:uid="{0542F831-68DD-4C95-801C-83C6F056AB88}"/>
    <cellStyle name="40% - Accent4 13 3 2 2 3" xfId="13072" xr:uid="{00000000-0005-0000-0000-0000E6400000}"/>
    <cellStyle name="40% - Accent4 13 3 2 2 3 2" xfId="36921" xr:uid="{78C7980A-0AB5-45A7-9E41-71144D2FFA83}"/>
    <cellStyle name="40% - Accent4 13 3 2 2 4" xfId="21027" xr:uid="{00000000-0005-0000-0000-0000E7400000}"/>
    <cellStyle name="40% - Accent4 13 3 2 2 4 2" xfId="44859" xr:uid="{FCD6FEE2-F8D0-41F8-90DE-08097AA3899E}"/>
    <cellStyle name="40% - Accent4 13 3 2 2 5" xfId="28980" xr:uid="{B4A8C0B4-F435-446D-A4E0-E8E9F450341C}"/>
    <cellStyle name="40% - Accent4 13 3 2 3" xfId="6881" xr:uid="{00000000-0005-0000-0000-0000E8400000}"/>
    <cellStyle name="40% - Accent4 13 3 2 3 2" xfId="14852" xr:uid="{00000000-0005-0000-0000-0000E9400000}"/>
    <cellStyle name="40% - Accent4 13 3 2 3 2 2" xfId="38694" xr:uid="{97202B13-6EC1-439B-9CE9-FAAD20F10204}"/>
    <cellStyle name="40% - Accent4 13 3 2 3 3" xfId="22799" xr:uid="{00000000-0005-0000-0000-0000EA400000}"/>
    <cellStyle name="40% - Accent4 13 3 2 3 3 2" xfId="46631" xr:uid="{9C8DBC86-F86A-4981-9FAA-22DA49C023E3}"/>
    <cellStyle name="40% - Accent4 13 3 2 3 4" xfId="30753" xr:uid="{239AA03E-C177-4754-B90B-E5A8CAFE2829}"/>
    <cellStyle name="40% - Accent4 13 3 2 4" xfId="11316" xr:uid="{00000000-0005-0000-0000-0000EB400000}"/>
    <cellStyle name="40% - Accent4 13 3 2 4 2" xfId="35165" xr:uid="{5F95FF56-BD30-48BB-9852-842B54502D54}"/>
    <cellStyle name="40% - Accent4 13 3 2 5" xfId="19271" xr:uid="{00000000-0005-0000-0000-0000EC400000}"/>
    <cellStyle name="40% - Accent4 13 3 2 5 2" xfId="43103" xr:uid="{60D9244B-C117-4DA8-AF12-030E7107C157}"/>
    <cellStyle name="40% - Accent4 13 3 2 6" xfId="27223" xr:uid="{68447A79-B7B8-4B31-9C59-E074F5197260}"/>
    <cellStyle name="40% - Accent4 13 3 2_Exh G" xfId="3080" xr:uid="{00000000-0005-0000-0000-0000ED400000}"/>
    <cellStyle name="40% - Accent4 13 3 3" xfId="4170" xr:uid="{00000000-0005-0000-0000-0000EE400000}"/>
    <cellStyle name="40% - Accent4 13 3 3 2" xfId="7762" xr:uid="{00000000-0005-0000-0000-0000EF400000}"/>
    <cellStyle name="40% - Accent4 13 3 3 2 2" xfId="15732" xr:uid="{00000000-0005-0000-0000-0000F0400000}"/>
    <cellStyle name="40% - Accent4 13 3 3 2 2 2" xfId="39574" xr:uid="{3DDF143D-08EB-4333-A0C7-7F4445B873DA}"/>
    <cellStyle name="40% - Accent4 13 3 3 2 3" xfId="23678" xr:uid="{00000000-0005-0000-0000-0000F1400000}"/>
    <cellStyle name="40% - Accent4 13 3 3 2 3 2" xfId="47510" xr:uid="{40A35FB7-F6B5-4190-9265-71461174DC4B}"/>
    <cellStyle name="40% - Accent4 13 3 3 2 4" xfId="31633" xr:uid="{8CAE82C7-E326-42BB-A7B2-8C06A0D9E274}"/>
    <cellStyle name="40% - Accent4 13 3 3 3" xfId="12194" xr:uid="{00000000-0005-0000-0000-0000F2400000}"/>
    <cellStyle name="40% - Accent4 13 3 3 3 2" xfId="36043" xr:uid="{7F7F464D-2BE0-4563-A92C-BDE0EDA78B63}"/>
    <cellStyle name="40% - Accent4 13 3 3 4" xfId="20149" xr:uid="{00000000-0005-0000-0000-0000F3400000}"/>
    <cellStyle name="40% - Accent4 13 3 3 4 2" xfId="43981" xr:uid="{E4B56ACE-6E4D-46EC-BA1A-5DC362D95B3F}"/>
    <cellStyle name="40% - Accent4 13 3 3 5" xfId="28102" xr:uid="{0DDB0C47-0AA1-4827-BC72-6B2E83F40D63}"/>
    <cellStyle name="40% - Accent4 13 3 4" xfId="5990" xr:uid="{00000000-0005-0000-0000-0000F4400000}"/>
    <cellStyle name="40% - Accent4 13 3 4 2" xfId="13973" xr:uid="{00000000-0005-0000-0000-0000F5400000}"/>
    <cellStyle name="40% - Accent4 13 3 4 2 2" xfId="37816" xr:uid="{18405503-691B-436C-8076-AF47C3E6DA2F}"/>
    <cellStyle name="40% - Accent4 13 3 4 3" xfId="21921" xr:uid="{00000000-0005-0000-0000-0000F6400000}"/>
    <cellStyle name="40% - Accent4 13 3 4 3 2" xfId="45753" xr:uid="{F241190E-1260-42FC-B766-E5F025AC3CAA}"/>
    <cellStyle name="40% - Accent4 13 3 4 4" xfId="29875" xr:uid="{466F3107-8C1D-4DDA-86EF-72D7451B3EC9}"/>
    <cellStyle name="40% - Accent4 13 3 5" xfId="9542" xr:uid="{00000000-0005-0000-0000-0000F7400000}"/>
    <cellStyle name="40% - Accent4 13 3 5 2" xfId="17500" xr:uid="{00000000-0005-0000-0000-0000F8400000}"/>
    <cellStyle name="40% - Accent4 13 3 5 2 2" xfId="41340" xr:uid="{FB91BD38-D903-4D52-9849-8FD5D7FBFFC4}"/>
    <cellStyle name="40% - Accent4 13 3 5 3" xfId="25444" xr:uid="{00000000-0005-0000-0000-0000F9400000}"/>
    <cellStyle name="40% - Accent4 13 3 5 3 2" xfId="49276" xr:uid="{31EF6D4A-DE22-40A3-AEDD-766104B2389D}"/>
    <cellStyle name="40% - Accent4 13 3 5 4" xfId="33399" xr:uid="{9AA1724D-2D99-42CB-8499-D11774D956BF}"/>
    <cellStyle name="40% - Accent4 13 3 6" xfId="10438" xr:uid="{00000000-0005-0000-0000-0000FA400000}"/>
    <cellStyle name="40% - Accent4 13 3 6 2" xfId="34287" xr:uid="{49430808-9A5F-41CA-8278-B703DC79B408}"/>
    <cellStyle name="40% - Accent4 13 3 7" xfId="18393" xr:uid="{00000000-0005-0000-0000-0000FB400000}"/>
    <cellStyle name="40% - Accent4 13 3 7 2" xfId="42225" xr:uid="{0B9FD9A5-5038-41CA-8DDF-57E869BDF159}"/>
    <cellStyle name="40% - Accent4 13 3 8" xfId="26345" xr:uid="{E374C097-1879-47EA-A017-7D9D881F1FB2}"/>
    <cellStyle name="40% - Accent4 13 3_Exh G" xfId="3079" xr:uid="{00000000-0005-0000-0000-0000FC400000}"/>
    <cellStyle name="40% - Accent4 13 4" xfId="1519" xr:uid="{00000000-0005-0000-0000-0000FD400000}"/>
    <cellStyle name="40% - Accent4 13 4 2" xfId="5046" xr:uid="{00000000-0005-0000-0000-0000FE400000}"/>
    <cellStyle name="40% - Accent4 13 4 2 2" xfId="8637" xr:uid="{00000000-0005-0000-0000-0000FF400000}"/>
    <cellStyle name="40% - Accent4 13 4 2 2 2" xfId="16607" xr:uid="{00000000-0005-0000-0000-000000410000}"/>
    <cellStyle name="40% - Accent4 13 4 2 2 2 2" xfId="40449" xr:uid="{C9285BBA-92A8-4F3E-A96E-A77F286CB9AF}"/>
    <cellStyle name="40% - Accent4 13 4 2 2 3" xfId="24553" xr:uid="{00000000-0005-0000-0000-000001410000}"/>
    <cellStyle name="40% - Accent4 13 4 2 2 3 2" xfId="48385" xr:uid="{21C81054-05DC-4EC9-BDB6-EC5EC535F95A}"/>
    <cellStyle name="40% - Accent4 13 4 2 2 4" xfId="32508" xr:uid="{6366D1A0-955B-4BC0-8B24-C44909A732ED}"/>
    <cellStyle name="40% - Accent4 13 4 2 3" xfId="13069" xr:uid="{00000000-0005-0000-0000-000002410000}"/>
    <cellStyle name="40% - Accent4 13 4 2 3 2" xfId="36918" xr:uid="{02DF09F9-3F5C-4143-8AA4-1F1BD75F39A3}"/>
    <cellStyle name="40% - Accent4 13 4 2 4" xfId="21024" xr:uid="{00000000-0005-0000-0000-000003410000}"/>
    <cellStyle name="40% - Accent4 13 4 2 4 2" xfId="44856" xr:uid="{B1C7E29F-E6DF-48B3-A724-7907A7C14E4B}"/>
    <cellStyle name="40% - Accent4 13 4 2 5" xfId="28977" xr:uid="{D3B26841-7E94-4C06-8784-AE5F1A497F47}"/>
    <cellStyle name="40% - Accent4 13 4 3" xfId="6878" xr:uid="{00000000-0005-0000-0000-000004410000}"/>
    <cellStyle name="40% - Accent4 13 4 3 2" xfId="14849" xr:uid="{00000000-0005-0000-0000-000005410000}"/>
    <cellStyle name="40% - Accent4 13 4 3 2 2" xfId="38691" xr:uid="{0D1B12A2-BFAE-4D16-B9FB-A96E5EE13949}"/>
    <cellStyle name="40% - Accent4 13 4 3 3" xfId="22796" xr:uid="{00000000-0005-0000-0000-000006410000}"/>
    <cellStyle name="40% - Accent4 13 4 3 3 2" xfId="46628" xr:uid="{DC6A12B1-1CC1-463C-A7A2-0D8358C3C4AD}"/>
    <cellStyle name="40% - Accent4 13 4 3 4" xfId="30750" xr:uid="{86297378-2C88-46D2-978A-43F2983D96BF}"/>
    <cellStyle name="40% - Accent4 13 4 4" xfId="11313" xr:uid="{00000000-0005-0000-0000-000007410000}"/>
    <cellStyle name="40% - Accent4 13 4 4 2" xfId="35162" xr:uid="{1E464D8D-4035-49A5-BF64-06608C594D0F}"/>
    <cellStyle name="40% - Accent4 13 4 5" xfId="19268" xr:uid="{00000000-0005-0000-0000-000008410000}"/>
    <cellStyle name="40% - Accent4 13 4 5 2" xfId="43100" xr:uid="{D367A3B8-3B85-4B86-B81A-2FAF702029BF}"/>
    <cellStyle name="40% - Accent4 13 4 6" xfId="27220" xr:uid="{43B7DA5F-C800-4172-B5C2-EA8EF02B0E01}"/>
    <cellStyle name="40% - Accent4 13 4_Exh G" xfId="3081" xr:uid="{00000000-0005-0000-0000-000009410000}"/>
    <cellStyle name="40% - Accent4 13 5" xfId="4167" xr:uid="{00000000-0005-0000-0000-00000A410000}"/>
    <cellStyle name="40% - Accent4 13 5 2" xfId="7759" xr:uid="{00000000-0005-0000-0000-00000B410000}"/>
    <cellStyle name="40% - Accent4 13 5 2 2" xfId="15729" xr:uid="{00000000-0005-0000-0000-00000C410000}"/>
    <cellStyle name="40% - Accent4 13 5 2 2 2" xfId="39571" xr:uid="{E0D7D561-CFC6-4862-9321-D126737BDCFB}"/>
    <cellStyle name="40% - Accent4 13 5 2 3" xfId="23675" xr:uid="{00000000-0005-0000-0000-00000D410000}"/>
    <cellStyle name="40% - Accent4 13 5 2 3 2" xfId="47507" xr:uid="{0A8D7526-487B-4049-A788-44900437DC9C}"/>
    <cellStyle name="40% - Accent4 13 5 2 4" xfId="31630" xr:uid="{B4214C2D-A9ED-4B9E-A1C8-4B03F7401AD5}"/>
    <cellStyle name="40% - Accent4 13 5 3" xfId="12191" xr:uid="{00000000-0005-0000-0000-00000E410000}"/>
    <cellStyle name="40% - Accent4 13 5 3 2" xfId="36040" xr:uid="{DE51C4D5-C8EB-4D57-B103-A954E9B62C87}"/>
    <cellStyle name="40% - Accent4 13 5 4" xfId="20146" xr:uid="{00000000-0005-0000-0000-00000F410000}"/>
    <cellStyle name="40% - Accent4 13 5 4 2" xfId="43978" xr:uid="{A6424F73-CCFF-4DBC-9A14-4B441C0E609E}"/>
    <cellStyle name="40% - Accent4 13 5 5" xfId="28099" xr:uid="{0A02EE47-4EAE-4D9D-85B4-DCEC98B6F55A}"/>
    <cellStyle name="40% - Accent4 13 6" xfId="5987" xr:uid="{00000000-0005-0000-0000-000010410000}"/>
    <cellStyle name="40% - Accent4 13 6 2" xfId="13970" xr:uid="{00000000-0005-0000-0000-000011410000}"/>
    <cellStyle name="40% - Accent4 13 6 2 2" xfId="37813" xr:uid="{53846137-2CA2-47F5-9939-2EC04CB55698}"/>
    <cellStyle name="40% - Accent4 13 6 3" xfId="21918" xr:uid="{00000000-0005-0000-0000-000012410000}"/>
    <cellStyle name="40% - Accent4 13 6 3 2" xfId="45750" xr:uid="{05116CC2-59E7-4B95-A7E2-7CD2377C9BE9}"/>
    <cellStyle name="40% - Accent4 13 6 4" xfId="29872" xr:uid="{179A9A1B-88C6-4107-89EC-69659C0D6BA1}"/>
    <cellStyle name="40% - Accent4 13 7" xfId="9539" xr:uid="{00000000-0005-0000-0000-000013410000}"/>
    <cellStyle name="40% - Accent4 13 7 2" xfId="17497" xr:uid="{00000000-0005-0000-0000-000014410000}"/>
    <cellStyle name="40% - Accent4 13 7 2 2" xfId="41337" xr:uid="{DE13EFFA-AC24-4CB0-BD56-6FD6BF108343}"/>
    <cellStyle name="40% - Accent4 13 7 3" xfId="25441" xr:uid="{00000000-0005-0000-0000-000015410000}"/>
    <cellStyle name="40% - Accent4 13 7 3 2" xfId="49273" xr:uid="{5559012A-6174-4EAA-BB00-DA7F027A032D}"/>
    <cellStyle name="40% - Accent4 13 7 4" xfId="33396" xr:uid="{73E01557-C520-42D9-BB31-CAEB2C3C8AA1}"/>
    <cellStyle name="40% - Accent4 13 8" xfId="10435" xr:uid="{00000000-0005-0000-0000-000016410000}"/>
    <cellStyle name="40% - Accent4 13 8 2" xfId="34284" xr:uid="{0992BC4C-283C-43A7-B943-9285C12152C8}"/>
    <cellStyle name="40% - Accent4 13 9" xfId="18390" xr:uid="{00000000-0005-0000-0000-000017410000}"/>
    <cellStyle name="40% - Accent4 13 9 2" xfId="42222" xr:uid="{673DB673-C89B-4CDF-ABCA-A7F7ACDA9D0B}"/>
    <cellStyle name="40% - Accent4 13_Exh G" xfId="3074" xr:uid="{00000000-0005-0000-0000-000018410000}"/>
    <cellStyle name="40% - Accent4 14" xfId="497" xr:uid="{00000000-0005-0000-0000-000019410000}"/>
    <cellStyle name="40% - Accent4 14 2" xfId="498" xr:uid="{00000000-0005-0000-0000-00001A410000}"/>
    <cellStyle name="40% - Accent4 14 2 2" xfId="1524" xr:uid="{00000000-0005-0000-0000-00001B410000}"/>
    <cellStyle name="40% - Accent4 14 2 2 2" xfId="5051" xr:uid="{00000000-0005-0000-0000-00001C410000}"/>
    <cellStyle name="40% - Accent4 14 2 2 2 2" xfId="8642" xr:uid="{00000000-0005-0000-0000-00001D410000}"/>
    <cellStyle name="40% - Accent4 14 2 2 2 2 2" xfId="16612" xr:uid="{00000000-0005-0000-0000-00001E410000}"/>
    <cellStyle name="40% - Accent4 14 2 2 2 2 2 2" xfId="40454" xr:uid="{52E7B048-1EBA-4795-9AC9-CB6F0D474857}"/>
    <cellStyle name="40% - Accent4 14 2 2 2 2 3" xfId="24558" xr:uid="{00000000-0005-0000-0000-00001F410000}"/>
    <cellStyle name="40% - Accent4 14 2 2 2 2 3 2" xfId="48390" xr:uid="{3AC34E4D-C6EA-4BF4-AC33-AD1ECA65B0BA}"/>
    <cellStyle name="40% - Accent4 14 2 2 2 2 4" xfId="32513" xr:uid="{98FD446E-6D98-4361-8598-8B7339BCC8D4}"/>
    <cellStyle name="40% - Accent4 14 2 2 2 3" xfId="13074" xr:uid="{00000000-0005-0000-0000-000020410000}"/>
    <cellStyle name="40% - Accent4 14 2 2 2 3 2" xfId="36923" xr:uid="{E9E7361B-A22A-4518-92C9-08F2F1D7303E}"/>
    <cellStyle name="40% - Accent4 14 2 2 2 4" xfId="21029" xr:uid="{00000000-0005-0000-0000-000021410000}"/>
    <cellStyle name="40% - Accent4 14 2 2 2 4 2" xfId="44861" xr:uid="{A63C1532-6E0A-4446-8762-B79A8418CB8D}"/>
    <cellStyle name="40% - Accent4 14 2 2 2 5" xfId="28982" xr:uid="{9C45FEB7-2385-4B84-92B3-98EB114BA546}"/>
    <cellStyle name="40% - Accent4 14 2 2 3" xfId="6883" xr:uid="{00000000-0005-0000-0000-000022410000}"/>
    <cellStyle name="40% - Accent4 14 2 2 3 2" xfId="14854" xr:uid="{00000000-0005-0000-0000-000023410000}"/>
    <cellStyle name="40% - Accent4 14 2 2 3 2 2" xfId="38696" xr:uid="{B6DA6697-0932-4D3B-9CD5-2ADECE1159A7}"/>
    <cellStyle name="40% - Accent4 14 2 2 3 3" xfId="22801" xr:uid="{00000000-0005-0000-0000-000024410000}"/>
    <cellStyle name="40% - Accent4 14 2 2 3 3 2" xfId="46633" xr:uid="{4F9C5AB7-A5EE-489A-B7F7-23CF4B647103}"/>
    <cellStyle name="40% - Accent4 14 2 2 3 4" xfId="30755" xr:uid="{C537C017-097E-4D90-9A2D-34E7CFC45AF1}"/>
    <cellStyle name="40% - Accent4 14 2 2 4" xfId="11318" xr:uid="{00000000-0005-0000-0000-000025410000}"/>
    <cellStyle name="40% - Accent4 14 2 2 4 2" xfId="35167" xr:uid="{4A81B8B3-C338-4E30-9C67-ED8D3D1F933A}"/>
    <cellStyle name="40% - Accent4 14 2 2 5" xfId="19273" xr:uid="{00000000-0005-0000-0000-000026410000}"/>
    <cellStyle name="40% - Accent4 14 2 2 5 2" xfId="43105" xr:uid="{E96CD4C5-87E8-4A8C-95B3-737C1B764B40}"/>
    <cellStyle name="40% - Accent4 14 2 2 6" xfId="27225" xr:uid="{399EB351-C8D1-40B1-986D-97DCF8419CC1}"/>
    <cellStyle name="40% - Accent4 14 2 2_Exh G" xfId="3084" xr:uid="{00000000-0005-0000-0000-000027410000}"/>
    <cellStyle name="40% - Accent4 14 2 3" xfId="4172" xr:uid="{00000000-0005-0000-0000-000028410000}"/>
    <cellStyle name="40% - Accent4 14 2 3 2" xfId="7764" xr:uid="{00000000-0005-0000-0000-000029410000}"/>
    <cellStyle name="40% - Accent4 14 2 3 2 2" xfId="15734" xr:uid="{00000000-0005-0000-0000-00002A410000}"/>
    <cellStyle name="40% - Accent4 14 2 3 2 2 2" xfId="39576" xr:uid="{B243C1A0-FA79-4E8C-96DB-A4C50C7C399D}"/>
    <cellStyle name="40% - Accent4 14 2 3 2 3" xfId="23680" xr:uid="{00000000-0005-0000-0000-00002B410000}"/>
    <cellStyle name="40% - Accent4 14 2 3 2 3 2" xfId="47512" xr:uid="{B4415D16-9B56-41CC-9450-31513628CAAF}"/>
    <cellStyle name="40% - Accent4 14 2 3 2 4" xfId="31635" xr:uid="{648F75D1-592B-4764-ACD5-715AF7989C68}"/>
    <cellStyle name="40% - Accent4 14 2 3 3" xfId="12196" xr:uid="{00000000-0005-0000-0000-00002C410000}"/>
    <cellStyle name="40% - Accent4 14 2 3 3 2" xfId="36045" xr:uid="{3FB48E77-9E85-427A-94A2-4356836E9DA0}"/>
    <cellStyle name="40% - Accent4 14 2 3 4" xfId="20151" xr:uid="{00000000-0005-0000-0000-00002D410000}"/>
    <cellStyle name="40% - Accent4 14 2 3 4 2" xfId="43983" xr:uid="{01EE1C17-EE02-41B5-979F-AD2DFE8CBD73}"/>
    <cellStyle name="40% - Accent4 14 2 3 5" xfId="28104" xr:uid="{770CB57B-EC6A-42A2-B0AA-8CB6C5DE2D83}"/>
    <cellStyle name="40% - Accent4 14 2 4" xfId="5992" xr:uid="{00000000-0005-0000-0000-00002E410000}"/>
    <cellStyle name="40% - Accent4 14 2 4 2" xfId="13975" xr:uid="{00000000-0005-0000-0000-00002F410000}"/>
    <cellStyle name="40% - Accent4 14 2 4 2 2" xfId="37818" xr:uid="{7562BDBC-FCC2-4E93-93E8-A41C183C3EA9}"/>
    <cellStyle name="40% - Accent4 14 2 4 3" xfId="21923" xr:uid="{00000000-0005-0000-0000-000030410000}"/>
    <cellStyle name="40% - Accent4 14 2 4 3 2" xfId="45755" xr:uid="{71874AF9-0FF9-4B4E-8727-C79EB4707D75}"/>
    <cellStyle name="40% - Accent4 14 2 4 4" xfId="29877" xr:uid="{CBB55A59-1814-4271-BF5A-CAE700101A0D}"/>
    <cellStyle name="40% - Accent4 14 2 5" xfId="9544" xr:uid="{00000000-0005-0000-0000-000031410000}"/>
    <cellStyle name="40% - Accent4 14 2 5 2" xfId="17502" xr:uid="{00000000-0005-0000-0000-000032410000}"/>
    <cellStyle name="40% - Accent4 14 2 5 2 2" xfId="41342" xr:uid="{72644311-9517-4722-837C-93A9F8F0BF33}"/>
    <cellStyle name="40% - Accent4 14 2 5 3" xfId="25446" xr:uid="{00000000-0005-0000-0000-000033410000}"/>
    <cellStyle name="40% - Accent4 14 2 5 3 2" xfId="49278" xr:uid="{1B8BE82E-7286-49B3-B43D-17A85B3853D9}"/>
    <cellStyle name="40% - Accent4 14 2 5 4" xfId="33401" xr:uid="{ACC40B05-856A-44BF-A6B7-CE80AEAD8DEF}"/>
    <cellStyle name="40% - Accent4 14 2 6" xfId="10440" xr:uid="{00000000-0005-0000-0000-000034410000}"/>
    <cellStyle name="40% - Accent4 14 2 6 2" xfId="34289" xr:uid="{B89AB038-E2CA-4E55-8E38-3E88210863DB}"/>
    <cellStyle name="40% - Accent4 14 2 7" xfId="18395" xr:uid="{00000000-0005-0000-0000-000035410000}"/>
    <cellStyle name="40% - Accent4 14 2 7 2" xfId="42227" xr:uid="{662FAC74-6420-4991-9389-B340CACEE031}"/>
    <cellStyle name="40% - Accent4 14 2 8" xfId="26347" xr:uid="{4143AEE5-65F5-4A92-8600-131BD7C96474}"/>
    <cellStyle name="40% - Accent4 14 2_Exh G" xfId="3083" xr:uid="{00000000-0005-0000-0000-000036410000}"/>
    <cellStyle name="40% - Accent4 14 3" xfId="1523" xr:uid="{00000000-0005-0000-0000-000037410000}"/>
    <cellStyle name="40% - Accent4 14 3 2" xfId="5050" xr:uid="{00000000-0005-0000-0000-000038410000}"/>
    <cellStyle name="40% - Accent4 14 3 2 2" xfId="8641" xr:uid="{00000000-0005-0000-0000-000039410000}"/>
    <cellStyle name="40% - Accent4 14 3 2 2 2" xfId="16611" xr:uid="{00000000-0005-0000-0000-00003A410000}"/>
    <cellStyle name="40% - Accent4 14 3 2 2 2 2" xfId="40453" xr:uid="{B3BEC9E1-2AA5-432B-B7C0-892C556AD4C3}"/>
    <cellStyle name="40% - Accent4 14 3 2 2 3" xfId="24557" xr:uid="{00000000-0005-0000-0000-00003B410000}"/>
    <cellStyle name="40% - Accent4 14 3 2 2 3 2" xfId="48389" xr:uid="{34FF0C03-0D0A-4ED1-A5D4-E7006000EF14}"/>
    <cellStyle name="40% - Accent4 14 3 2 2 4" xfId="32512" xr:uid="{E2E337C4-0695-49E1-BD03-1DCDDAEFBDCA}"/>
    <cellStyle name="40% - Accent4 14 3 2 3" xfId="13073" xr:uid="{00000000-0005-0000-0000-00003C410000}"/>
    <cellStyle name="40% - Accent4 14 3 2 3 2" xfId="36922" xr:uid="{3CA9572C-BA46-4D3C-BE65-70CD212D9378}"/>
    <cellStyle name="40% - Accent4 14 3 2 4" xfId="21028" xr:uid="{00000000-0005-0000-0000-00003D410000}"/>
    <cellStyle name="40% - Accent4 14 3 2 4 2" xfId="44860" xr:uid="{09495704-7E88-44A6-8947-617CE7C6ECCF}"/>
    <cellStyle name="40% - Accent4 14 3 2 5" xfId="28981" xr:uid="{3D6C7655-02AB-467B-A9C5-A3316E61EB39}"/>
    <cellStyle name="40% - Accent4 14 3 3" xfId="6882" xr:uid="{00000000-0005-0000-0000-00003E410000}"/>
    <cellStyle name="40% - Accent4 14 3 3 2" xfId="14853" xr:uid="{00000000-0005-0000-0000-00003F410000}"/>
    <cellStyle name="40% - Accent4 14 3 3 2 2" xfId="38695" xr:uid="{89C6F5F3-0FB0-4689-995E-19120E20EABB}"/>
    <cellStyle name="40% - Accent4 14 3 3 3" xfId="22800" xr:uid="{00000000-0005-0000-0000-000040410000}"/>
    <cellStyle name="40% - Accent4 14 3 3 3 2" xfId="46632" xr:uid="{313C897D-A7B2-4FC6-970B-1500C1B173DD}"/>
    <cellStyle name="40% - Accent4 14 3 3 4" xfId="30754" xr:uid="{E571B1A8-1A5F-49AE-811B-376BA8340497}"/>
    <cellStyle name="40% - Accent4 14 3 4" xfId="11317" xr:uid="{00000000-0005-0000-0000-000041410000}"/>
    <cellStyle name="40% - Accent4 14 3 4 2" xfId="35166" xr:uid="{DD0C43AE-E792-4B9E-9890-55EEE9F87A8F}"/>
    <cellStyle name="40% - Accent4 14 3 5" xfId="19272" xr:uid="{00000000-0005-0000-0000-000042410000}"/>
    <cellStyle name="40% - Accent4 14 3 5 2" xfId="43104" xr:uid="{8757678A-6D6C-4B5D-B15E-3ADF2BAB801B}"/>
    <cellStyle name="40% - Accent4 14 3 6" xfId="27224" xr:uid="{30CE344F-5608-4FAE-9909-F10C88AEFFF3}"/>
    <cellStyle name="40% - Accent4 14 3_Exh G" xfId="3085" xr:uid="{00000000-0005-0000-0000-000043410000}"/>
    <cellStyle name="40% - Accent4 14 4" xfId="4171" xr:uid="{00000000-0005-0000-0000-000044410000}"/>
    <cellStyle name="40% - Accent4 14 4 2" xfId="7763" xr:uid="{00000000-0005-0000-0000-000045410000}"/>
    <cellStyle name="40% - Accent4 14 4 2 2" xfId="15733" xr:uid="{00000000-0005-0000-0000-000046410000}"/>
    <cellStyle name="40% - Accent4 14 4 2 2 2" xfId="39575" xr:uid="{5669D65F-4ED1-4032-AF91-D9881E18D9A0}"/>
    <cellStyle name="40% - Accent4 14 4 2 3" xfId="23679" xr:uid="{00000000-0005-0000-0000-000047410000}"/>
    <cellStyle name="40% - Accent4 14 4 2 3 2" xfId="47511" xr:uid="{FA0A1BC0-CBD6-40DD-A56A-0FAA2A6D9DF8}"/>
    <cellStyle name="40% - Accent4 14 4 2 4" xfId="31634" xr:uid="{41D51D4F-60B0-404C-9B26-02ADDF7D7679}"/>
    <cellStyle name="40% - Accent4 14 4 3" xfId="12195" xr:uid="{00000000-0005-0000-0000-000048410000}"/>
    <cellStyle name="40% - Accent4 14 4 3 2" xfId="36044" xr:uid="{71677563-DDF3-4290-AD68-8ED0CC236067}"/>
    <cellStyle name="40% - Accent4 14 4 4" xfId="20150" xr:uid="{00000000-0005-0000-0000-000049410000}"/>
    <cellStyle name="40% - Accent4 14 4 4 2" xfId="43982" xr:uid="{B24E31F6-7905-4A10-84AC-D856CC47841E}"/>
    <cellStyle name="40% - Accent4 14 4 5" xfId="28103" xr:uid="{36168B1D-B144-4A37-ADD8-03767DE3D71D}"/>
    <cellStyle name="40% - Accent4 14 5" xfId="5991" xr:uid="{00000000-0005-0000-0000-00004A410000}"/>
    <cellStyle name="40% - Accent4 14 5 2" xfId="13974" xr:uid="{00000000-0005-0000-0000-00004B410000}"/>
    <cellStyle name="40% - Accent4 14 5 2 2" xfId="37817" xr:uid="{6DAD5847-9D33-477F-8E5F-F0B2B975845C}"/>
    <cellStyle name="40% - Accent4 14 5 3" xfId="21922" xr:uid="{00000000-0005-0000-0000-00004C410000}"/>
    <cellStyle name="40% - Accent4 14 5 3 2" xfId="45754" xr:uid="{394D7010-B4D9-455B-8351-2DD3DDD41AB8}"/>
    <cellStyle name="40% - Accent4 14 5 4" xfId="29876" xr:uid="{11FE31FE-CE4D-4E95-BFC9-94F54083AFA0}"/>
    <cellStyle name="40% - Accent4 14 6" xfId="9543" xr:uid="{00000000-0005-0000-0000-00004D410000}"/>
    <cellStyle name="40% - Accent4 14 6 2" xfId="17501" xr:uid="{00000000-0005-0000-0000-00004E410000}"/>
    <cellStyle name="40% - Accent4 14 6 2 2" xfId="41341" xr:uid="{779FBA9C-1F47-4577-8295-EC5D23EEA95F}"/>
    <cellStyle name="40% - Accent4 14 6 3" xfId="25445" xr:uid="{00000000-0005-0000-0000-00004F410000}"/>
    <cellStyle name="40% - Accent4 14 6 3 2" xfId="49277" xr:uid="{022E3040-F87C-42EE-B816-756907F2FD67}"/>
    <cellStyle name="40% - Accent4 14 6 4" xfId="33400" xr:uid="{4A0A8D01-2083-416E-8B1B-E02E8045D85E}"/>
    <cellStyle name="40% - Accent4 14 7" xfId="10439" xr:uid="{00000000-0005-0000-0000-000050410000}"/>
    <cellStyle name="40% - Accent4 14 7 2" xfId="34288" xr:uid="{61B9C0EA-FFCD-4BD2-86A6-31280FB420AC}"/>
    <cellStyle name="40% - Accent4 14 8" xfId="18394" xr:uid="{00000000-0005-0000-0000-000051410000}"/>
    <cellStyle name="40% - Accent4 14 8 2" xfId="42226" xr:uid="{96F8BDB9-87F2-45B4-BB09-B611A5BEE775}"/>
    <cellStyle name="40% - Accent4 14 9" xfId="26346" xr:uid="{117620F5-902F-4FAC-B177-36A08BD62B68}"/>
    <cellStyle name="40% - Accent4 14_Exh G" xfId="3082" xr:uid="{00000000-0005-0000-0000-000052410000}"/>
    <cellStyle name="40% - Accent4 15" xfId="499" xr:uid="{00000000-0005-0000-0000-000053410000}"/>
    <cellStyle name="40% - Accent4 15 2" xfId="1525" xr:uid="{00000000-0005-0000-0000-000054410000}"/>
    <cellStyle name="40% - Accent4 15 2 2" xfId="5052" xr:uid="{00000000-0005-0000-0000-000055410000}"/>
    <cellStyle name="40% - Accent4 15 2 2 2" xfId="8643" xr:uid="{00000000-0005-0000-0000-000056410000}"/>
    <cellStyle name="40% - Accent4 15 2 2 2 2" xfId="16613" xr:uid="{00000000-0005-0000-0000-000057410000}"/>
    <cellStyle name="40% - Accent4 15 2 2 2 2 2" xfId="40455" xr:uid="{7202F387-AD17-4F0D-B1CB-704B2B9A296C}"/>
    <cellStyle name="40% - Accent4 15 2 2 2 3" xfId="24559" xr:uid="{00000000-0005-0000-0000-000058410000}"/>
    <cellStyle name="40% - Accent4 15 2 2 2 3 2" xfId="48391" xr:uid="{EF30D652-4CF1-4B4C-9BD2-B64A614DA590}"/>
    <cellStyle name="40% - Accent4 15 2 2 2 4" xfId="32514" xr:uid="{925E686A-8DB6-4768-8C32-938B2B96121A}"/>
    <cellStyle name="40% - Accent4 15 2 2 3" xfId="13075" xr:uid="{00000000-0005-0000-0000-000059410000}"/>
    <cellStyle name="40% - Accent4 15 2 2 3 2" xfId="36924" xr:uid="{0FB82D1D-B320-4E4D-86D5-9268273390CC}"/>
    <cellStyle name="40% - Accent4 15 2 2 4" xfId="21030" xr:uid="{00000000-0005-0000-0000-00005A410000}"/>
    <cellStyle name="40% - Accent4 15 2 2 4 2" xfId="44862" xr:uid="{D162D7AB-E34C-4797-9A5E-026826309C97}"/>
    <cellStyle name="40% - Accent4 15 2 2 5" xfId="28983" xr:uid="{3D3A6E9D-4A42-4FB5-B9FE-6F47F319F4C7}"/>
    <cellStyle name="40% - Accent4 15 2 3" xfId="6884" xr:uid="{00000000-0005-0000-0000-00005B410000}"/>
    <cellStyle name="40% - Accent4 15 2 3 2" xfId="14855" xr:uid="{00000000-0005-0000-0000-00005C410000}"/>
    <cellStyle name="40% - Accent4 15 2 3 2 2" xfId="38697" xr:uid="{402BDB5B-0DC3-44FE-BCF6-64CA23D0677B}"/>
    <cellStyle name="40% - Accent4 15 2 3 3" xfId="22802" xr:uid="{00000000-0005-0000-0000-00005D410000}"/>
    <cellStyle name="40% - Accent4 15 2 3 3 2" xfId="46634" xr:uid="{7D4CCF73-02BB-451D-8491-EE68E1A850A7}"/>
    <cellStyle name="40% - Accent4 15 2 3 4" xfId="30756" xr:uid="{7DBC2E84-4C41-4880-BB18-C3C29AC0ED1E}"/>
    <cellStyle name="40% - Accent4 15 2 4" xfId="11319" xr:uid="{00000000-0005-0000-0000-00005E410000}"/>
    <cellStyle name="40% - Accent4 15 2 4 2" xfId="35168" xr:uid="{E8928721-1E7C-4059-8189-A186586E252E}"/>
    <cellStyle name="40% - Accent4 15 2 5" xfId="19274" xr:uid="{00000000-0005-0000-0000-00005F410000}"/>
    <cellStyle name="40% - Accent4 15 2 5 2" xfId="43106" xr:uid="{A7D0E833-728D-4DFA-9F49-58566F99BF87}"/>
    <cellStyle name="40% - Accent4 15 2 6" xfId="27226" xr:uid="{A50083E3-DDE9-49B1-AEC9-B8655A3C96F5}"/>
    <cellStyle name="40% - Accent4 15 2_Exh G" xfId="3087" xr:uid="{00000000-0005-0000-0000-000060410000}"/>
    <cellStyle name="40% - Accent4 15 3" xfId="4173" xr:uid="{00000000-0005-0000-0000-000061410000}"/>
    <cellStyle name="40% - Accent4 15 3 2" xfId="7765" xr:uid="{00000000-0005-0000-0000-000062410000}"/>
    <cellStyle name="40% - Accent4 15 3 2 2" xfId="15735" xr:uid="{00000000-0005-0000-0000-000063410000}"/>
    <cellStyle name="40% - Accent4 15 3 2 2 2" xfId="39577" xr:uid="{CACF827F-3EB3-4FF4-B719-E5F6A651D05A}"/>
    <cellStyle name="40% - Accent4 15 3 2 3" xfId="23681" xr:uid="{00000000-0005-0000-0000-000064410000}"/>
    <cellStyle name="40% - Accent4 15 3 2 3 2" xfId="47513" xr:uid="{3B08AEE9-2C45-43AC-A07C-5FA64C2C459D}"/>
    <cellStyle name="40% - Accent4 15 3 2 4" xfId="31636" xr:uid="{8FCBC72C-8E85-49C8-A0EA-E05F058139A9}"/>
    <cellStyle name="40% - Accent4 15 3 3" xfId="12197" xr:uid="{00000000-0005-0000-0000-000065410000}"/>
    <cellStyle name="40% - Accent4 15 3 3 2" xfId="36046" xr:uid="{70B2B36C-74E7-49DD-B7F4-4140B71A18AB}"/>
    <cellStyle name="40% - Accent4 15 3 4" xfId="20152" xr:uid="{00000000-0005-0000-0000-000066410000}"/>
    <cellStyle name="40% - Accent4 15 3 4 2" xfId="43984" xr:uid="{779F23C1-0C97-4899-B6CD-D1F057095B57}"/>
    <cellStyle name="40% - Accent4 15 3 5" xfId="28105" xr:uid="{6EBB9A82-CCDD-4244-8040-5AC399917C4A}"/>
    <cellStyle name="40% - Accent4 15 4" xfId="5993" xr:uid="{00000000-0005-0000-0000-000067410000}"/>
    <cellStyle name="40% - Accent4 15 4 2" xfId="13976" xr:uid="{00000000-0005-0000-0000-000068410000}"/>
    <cellStyle name="40% - Accent4 15 4 2 2" xfId="37819" xr:uid="{04DD7A69-3A48-4F31-B339-49C4038C931E}"/>
    <cellStyle name="40% - Accent4 15 4 3" xfId="21924" xr:uid="{00000000-0005-0000-0000-000069410000}"/>
    <cellStyle name="40% - Accent4 15 4 3 2" xfId="45756" xr:uid="{88D2A24E-D898-4EFE-AD75-44175721F65D}"/>
    <cellStyle name="40% - Accent4 15 4 4" xfId="29878" xr:uid="{6EAE62B2-32B3-4A6A-819B-F88FCCE8E251}"/>
    <cellStyle name="40% - Accent4 15 5" xfId="9545" xr:uid="{00000000-0005-0000-0000-00006A410000}"/>
    <cellStyle name="40% - Accent4 15 5 2" xfId="17503" xr:uid="{00000000-0005-0000-0000-00006B410000}"/>
    <cellStyle name="40% - Accent4 15 5 2 2" xfId="41343" xr:uid="{A33A3D53-522B-45C5-9458-B1583B551150}"/>
    <cellStyle name="40% - Accent4 15 5 3" xfId="25447" xr:uid="{00000000-0005-0000-0000-00006C410000}"/>
    <cellStyle name="40% - Accent4 15 5 3 2" xfId="49279" xr:uid="{EBA096AA-6AD5-4DA6-9D94-9790FCE50DCB}"/>
    <cellStyle name="40% - Accent4 15 5 4" xfId="33402" xr:uid="{5EE865F8-E1A5-48C6-9EAF-43FFBEF78E4B}"/>
    <cellStyle name="40% - Accent4 15 6" xfId="10441" xr:uid="{00000000-0005-0000-0000-00006D410000}"/>
    <cellStyle name="40% - Accent4 15 6 2" xfId="34290" xr:uid="{385269D9-A708-4EDB-B2C1-8485FF360DE4}"/>
    <cellStyle name="40% - Accent4 15 7" xfId="18396" xr:uid="{00000000-0005-0000-0000-00006E410000}"/>
    <cellStyle name="40% - Accent4 15 7 2" xfId="42228" xr:uid="{71499F45-70C6-4730-A83F-B2336E4A26C4}"/>
    <cellStyle name="40% - Accent4 15 8" xfId="26348" xr:uid="{B5170A6E-7DDA-4BCA-A934-3E4A2B337ED4}"/>
    <cellStyle name="40% - Accent4 15_Exh G" xfId="3086" xr:uid="{00000000-0005-0000-0000-00006F410000}"/>
    <cellStyle name="40% - Accent4 16" xfId="849" xr:uid="{00000000-0005-0000-0000-000070410000}"/>
    <cellStyle name="40% - Accent4 16 2" xfId="1784" xr:uid="{00000000-0005-0000-0000-000071410000}"/>
    <cellStyle name="40% - Accent4 16 2 2" xfId="5304" xr:uid="{00000000-0005-0000-0000-000072410000}"/>
    <cellStyle name="40% - Accent4 16 2 2 2" xfId="8895" xr:uid="{00000000-0005-0000-0000-000073410000}"/>
    <cellStyle name="40% - Accent4 16 2 2 2 2" xfId="16865" xr:uid="{00000000-0005-0000-0000-000074410000}"/>
    <cellStyle name="40% - Accent4 16 2 2 2 2 2" xfId="40707" xr:uid="{60CD5B50-9C74-4CBB-A421-78318E96296A}"/>
    <cellStyle name="40% - Accent4 16 2 2 2 3" xfId="24811" xr:uid="{00000000-0005-0000-0000-000075410000}"/>
    <cellStyle name="40% - Accent4 16 2 2 2 3 2" xfId="48643" xr:uid="{6CB5F435-7089-41B9-8837-347E48EEE80A}"/>
    <cellStyle name="40% - Accent4 16 2 2 2 4" xfId="32766" xr:uid="{06918825-6FF2-4FB1-BCCF-402175052DD8}"/>
    <cellStyle name="40% - Accent4 16 2 2 3" xfId="13327" xr:uid="{00000000-0005-0000-0000-000076410000}"/>
    <cellStyle name="40% - Accent4 16 2 2 3 2" xfId="37176" xr:uid="{ADF50A8D-0D2F-4979-BA09-4244C6BE8D68}"/>
    <cellStyle name="40% - Accent4 16 2 2 4" xfId="21282" xr:uid="{00000000-0005-0000-0000-000077410000}"/>
    <cellStyle name="40% - Accent4 16 2 2 4 2" xfId="45114" xr:uid="{170E0C62-63B8-4D5A-929A-368BFF625216}"/>
    <cellStyle name="40% - Accent4 16 2 2 5" xfId="29235" xr:uid="{B3496B4C-5857-4EDB-88E2-8E9B856914D1}"/>
    <cellStyle name="40% - Accent4 16 2 3" xfId="7136" xr:uid="{00000000-0005-0000-0000-000078410000}"/>
    <cellStyle name="40% - Accent4 16 2 3 2" xfId="15107" xr:uid="{00000000-0005-0000-0000-000079410000}"/>
    <cellStyle name="40% - Accent4 16 2 3 2 2" xfId="38949" xr:uid="{576C8791-6FD3-4D88-8EE4-EFAA34ADE8AC}"/>
    <cellStyle name="40% - Accent4 16 2 3 3" xfId="23054" xr:uid="{00000000-0005-0000-0000-00007A410000}"/>
    <cellStyle name="40% - Accent4 16 2 3 3 2" xfId="46886" xr:uid="{E1E250EC-DF7D-43B5-A8AD-CC92FD11AD35}"/>
    <cellStyle name="40% - Accent4 16 2 3 4" xfId="31008" xr:uid="{47C408BD-73C7-49BF-A4B0-761CE0169AE5}"/>
    <cellStyle name="40% - Accent4 16 2 4" xfId="11571" xr:uid="{00000000-0005-0000-0000-00007B410000}"/>
    <cellStyle name="40% - Accent4 16 2 4 2" xfId="35420" xr:uid="{76C80284-0984-462D-851B-07ADD5AA3629}"/>
    <cellStyle name="40% - Accent4 16 2 5" xfId="19526" xr:uid="{00000000-0005-0000-0000-00007C410000}"/>
    <cellStyle name="40% - Accent4 16 2 5 2" xfId="43358" xr:uid="{FF77B386-B275-473B-896B-C4A139C0E88D}"/>
    <cellStyle name="40% - Accent4 16 2 6" xfId="27478" xr:uid="{5442CE8B-484C-4A2A-A509-50B125A5F572}"/>
    <cellStyle name="40% - Accent4 16 2_Exh G" xfId="3089" xr:uid="{00000000-0005-0000-0000-00007D410000}"/>
    <cellStyle name="40% - Accent4 16 3" xfId="4425" xr:uid="{00000000-0005-0000-0000-00007E410000}"/>
    <cellStyle name="40% - Accent4 16 3 2" xfId="8017" xr:uid="{00000000-0005-0000-0000-00007F410000}"/>
    <cellStyle name="40% - Accent4 16 3 2 2" xfId="15987" xr:uid="{00000000-0005-0000-0000-000080410000}"/>
    <cellStyle name="40% - Accent4 16 3 2 2 2" xfId="39829" xr:uid="{705C648B-73DF-4633-9CA8-7421A47336AF}"/>
    <cellStyle name="40% - Accent4 16 3 2 3" xfId="23933" xr:uid="{00000000-0005-0000-0000-000081410000}"/>
    <cellStyle name="40% - Accent4 16 3 2 3 2" xfId="47765" xr:uid="{837CAC72-9973-4993-B3B3-CFA384C14DC5}"/>
    <cellStyle name="40% - Accent4 16 3 2 4" xfId="31888" xr:uid="{6D3E94B2-AD76-412F-9ED2-9F78EC221048}"/>
    <cellStyle name="40% - Accent4 16 3 3" xfId="12449" xr:uid="{00000000-0005-0000-0000-000082410000}"/>
    <cellStyle name="40% - Accent4 16 3 3 2" xfId="36298" xr:uid="{37EBF04D-CAAC-456A-B80B-80E67F83A3C6}"/>
    <cellStyle name="40% - Accent4 16 3 4" xfId="20404" xr:uid="{00000000-0005-0000-0000-000083410000}"/>
    <cellStyle name="40% - Accent4 16 3 4 2" xfId="44236" xr:uid="{A7C1AA3F-5A1D-4D3E-AAC1-6F4B3DBA69DB}"/>
    <cellStyle name="40% - Accent4 16 3 5" xfId="28357" xr:uid="{D5D35CEC-5F7E-49F6-B632-A8CC14557A8E}"/>
    <cellStyle name="40% - Accent4 16 4" xfId="6255" xr:uid="{00000000-0005-0000-0000-000084410000}"/>
    <cellStyle name="40% - Accent4 16 4 2" xfId="14229" xr:uid="{00000000-0005-0000-0000-000085410000}"/>
    <cellStyle name="40% - Accent4 16 4 2 2" xfId="38071" xr:uid="{C3E6D8FA-B562-47C7-8423-A4D3C50DB52A}"/>
    <cellStyle name="40% - Accent4 16 4 3" xfId="22176" xr:uid="{00000000-0005-0000-0000-000086410000}"/>
    <cellStyle name="40% - Accent4 16 4 3 2" xfId="46008" xr:uid="{866E9BE7-CDAC-460D-A8A0-C5924EDFC00F}"/>
    <cellStyle name="40% - Accent4 16 4 4" xfId="30130" xr:uid="{ABE789A3-8E32-4040-8EFD-8CC59BE09807}"/>
    <cellStyle name="40% - Accent4 16 5" xfId="9797" xr:uid="{00000000-0005-0000-0000-000087410000}"/>
    <cellStyle name="40% - Accent4 16 5 2" xfId="17755" xr:uid="{00000000-0005-0000-0000-000088410000}"/>
    <cellStyle name="40% - Accent4 16 5 2 2" xfId="41595" xr:uid="{69EE2AE1-12D7-48B6-9B26-87FBF6CE1642}"/>
    <cellStyle name="40% - Accent4 16 5 3" xfId="25699" xr:uid="{00000000-0005-0000-0000-000089410000}"/>
    <cellStyle name="40% - Accent4 16 5 3 2" xfId="49531" xr:uid="{B75A3C1D-5E43-4066-AD25-FC926315CE53}"/>
    <cellStyle name="40% - Accent4 16 5 4" xfId="33654" xr:uid="{6073F5ED-A15C-4D93-AB33-BEFBA536099F}"/>
    <cellStyle name="40% - Accent4 16 6" xfId="10693" xr:uid="{00000000-0005-0000-0000-00008A410000}"/>
    <cellStyle name="40% - Accent4 16 6 2" xfId="34542" xr:uid="{9C0731A9-B77A-4404-9527-90A48C256443}"/>
    <cellStyle name="40% - Accent4 16 7" xfId="18648" xr:uid="{00000000-0005-0000-0000-00008B410000}"/>
    <cellStyle name="40% - Accent4 16 7 2" xfId="42480" xr:uid="{7EEC8A07-1A70-4877-A15D-8CD834B05E0E}"/>
    <cellStyle name="40% - Accent4 16 8" xfId="26600" xr:uid="{AF85E0E6-56A1-4468-AF1D-335B114D5881}"/>
    <cellStyle name="40% - Accent4 16_Exh G" xfId="3088" xr:uid="{00000000-0005-0000-0000-00008C410000}"/>
    <cellStyle name="40% - Accent4 17" xfId="49790" xr:uid="{50B61F38-D25E-4EB7-8710-268F673E3CCC}"/>
    <cellStyle name="40% - Accent4 18" xfId="49830" xr:uid="{E259418A-DF69-43A4-86F2-EF9B61F57B64}"/>
    <cellStyle name="40% - Accent4 2" xfId="500" xr:uid="{00000000-0005-0000-0000-00008D410000}"/>
    <cellStyle name="40% - Accent4 2 10" xfId="18397" xr:uid="{00000000-0005-0000-0000-00008E410000}"/>
    <cellStyle name="40% - Accent4 2 10 2" xfId="42229" xr:uid="{042FADDB-5BD3-4C43-8B38-7CBF00A8B178}"/>
    <cellStyle name="40% - Accent4 2 11" xfId="26349" xr:uid="{F43D789F-D7E7-46BC-BEBB-8B59612E4579}"/>
    <cellStyle name="40% - Accent4 2 12" xfId="49775" xr:uid="{C13CB8F4-CA60-4765-8B23-CCD3878CE86D}"/>
    <cellStyle name="40% - Accent4 2 13" xfId="49803" xr:uid="{20DEE15C-4915-43B4-B034-7BE8861D20D7}"/>
    <cellStyle name="40% - Accent4 2 14" xfId="49844" xr:uid="{16AFE9F0-2619-4DA2-A356-C7850FDBC141}"/>
    <cellStyle name="40% - Accent4 2 2" xfId="501" xr:uid="{00000000-0005-0000-0000-00008F410000}"/>
    <cellStyle name="40% - Accent4 2 2 10" xfId="26350" xr:uid="{C8AF8A1A-B42D-48FD-81D4-321483732515}"/>
    <cellStyle name="40% - Accent4 2 2 2" xfId="502" xr:uid="{00000000-0005-0000-0000-000090410000}"/>
    <cellStyle name="40% - Accent4 2 2 2 2" xfId="1528" xr:uid="{00000000-0005-0000-0000-000091410000}"/>
    <cellStyle name="40% - Accent4 2 2 2 2 2" xfId="5055" xr:uid="{00000000-0005-0000-0000-000092410000}"/>
    <cellStyle name="40% - Accent4 2 2 2 2 2 2" xfId="8646" xr:uid="{00000000-0005-0000-0000-000093410000}"/>
    <cellStyle name="40% - Accent4 2 2 2 2 2 2 2" xfId="16616" xr:uid="{00000000-0005-0000-0000-000094410000}"/>
    <cellStyle name="40% - Accent4 2 2 2 2 2 2 2 2" xfId="40458" xr:uid="{3B9E2DED-D417-436F-B0EE-7147630BB9A7}"/>
    <cellStyle name="40% - Accent4 2 2 2 2 2 2 3" xfId="24562" xr:uid="{00000000-0005-0000-0000-000095410000}"/>
    <cellStyle name="40% - Accent4 2 2 2 2 2 2 3 2" xfId="48394" xr:uid="{81F7E82E-7667-481B-AC39-17A8DAFDE222}"/>
    <cellStyle name="40% - Accent4 2 2 2 2 2 2 4" xfId="32517" xr:uid="{1BE74311-ACCC-4DA0-B35D-D0A4E999BA9C}"/>
    <cellStyle name="40% - Accent4 2 2 2 2 2 3" xfId="13078" xr:uid="{00000000-0005-0000-0000-000096410000}"/>
    <cellStyle name="40% - Accent4 2 2 2 2 2 3 2" xfId="36927" xr:uid="{C39296C9-D847-40F2-943C-A952E337F4BB}"/>
    <cellStyle name="40% - Accent4 2 2 2 2 2 4" xfId="21033" xr:uid="{00000000-0005-0000-0000-000097410000}"/>
    <cellStyle name="40% - Accent4 2 2 2 2 2 4 2" xfId="44865" xr:uid="{AD437589-0A52-4D66-9F7B-F2466DFF3740}"/>
    <cellStyle name="40% - Accent4 2 2 2 2 2 5" xfId="28986" xr:uid="{993CCC55-F13C-4E16-BDE9-E8ABE0D286FF}"/>
    <cellStyle name="40% - Accent4 2 2 2 2 3" xfId="6887" xr:uid="{00000000-0005-0000-0000-000098410000}"/>
    <cellStyle name="40% - Accent4 2 2 2 2 3 2" xfId="14858" xr:uid="{00000000-0005-0000-0000-000099410000}"/>
    <cellStyle name="40% - Accent4 2 2 2 2 3 2 2" xfId="38700" xr:uid="{04D84990-0335-490B-996E-B456E4A55DCC}"/>
    <cellStyle name="40% - Accent4 2 2 2 2 3 3" xfId="22805" xr:uid="{00000000-0005-0000-0000-00009A410000}"/>
    <cellStyle name="40% - Accent4 2 2 2 2 3 3 2" xfId="46637" xr:uid="{82CCE9A4-0E55-401D-B3FF-9B6103AB1CCA}"/>
    <cellStyle name="40% - Accent4 2 2 2 2 3 4" xfId="30759" xr:uid="{4F576E48-0B10-4EBF-BDB7-597483AD65BC}"/>
    <cellStyle name="40% - Accent4 2 2 2 2 4" xfId="11322" xr:uid="{00000000-0005-0000-0000-00009B410000}"/>
    <cellStyle name="40% - Accent4 2 2 2 2 4 2" xfId="35171" xr:uid="{0F9D785B-6B00-4380-B903-B4C28FD05862}"/>
    <cellStyle name="40% - Accent4 2 2 2 2 5" xfId="19277" xr:uid="{00000000-0005-0000-0000-00009C410000}"/>
    <cellStyle name="40% - Accent4 2 2 2 2 5 2" xfId="43109" xr:uid="{0F9EF237-F91F-43F6-B26E-E3AADAF2E435}"/>
    <cellStyle name="40% - Accent4 2 2 2 2 6" xfId="27229" xr:uid="{1FFC42C4-779C-471C-AD45-ACEC1F01AFC6}"/>
    <cellStyle name="40% - Accent4 2 2 2 2_Exh G" xfId="3093" xr:uid="{00000000-0005-0000-0000-00009D410000}"/>
    <cellStyle name="40% - Accent4 2 2 2 3" xfId="4176" xr:uid="{00000000-0005-0000-0000-00009E410000}"/>
    <cellStyle name="40% - Accent4 2 2 2 3 2" xfId="7768" xr:uid="{00000000-0005-0000-0000-00009F410000}"/>
    <cellStyle name="40% - Accent4 2 2 2 3 2 2" xfId="15738" xr:uid="{00000000-0005-0000-0000-0000A0410000}"/>
    <cellStyle name="40% - Accent4 2 2 2 3 2 2 2" xfId="39580" xr:uid="{E51DB69C-92BD-458F-8CC6-B3AA13EF8554}"/>
    <cellStyle name="40% - Accent4 2 2 2 3 2 3" xfId="23684" xr:uid="{00000000-0005-0000-0000-0000A1410000}"/>
    <cellStyle name="40% - Accent4 2 2 2 3 2 3 2" xfId="47516" xr:uid="{B63CFEAD-76C2-4FD4-A147-EE5F0283E85F}"/>
    <cellStyle name="40% - Accent4 2 2 2 3 2 4" xfId="31639" xr:uid="{1A13D493-82E2-403C-A6F5-9F392D3FA636}"/>
    <cellStyle name="40% - Accent4 2 2 2 3 3" xfId="12200" xr:uid="{00000000-0005-0000-0000-0000A2410000}"/>
    <cellStyle name="40% - Accent4 2 2 2 3 3 2" xfId="36049" xr:uid="{B3CA77E0-2EC5-4F54-9F6D-D2F1539B3CC6}"/>
    <cellStyle name="40% - Accent4 2 2 2 3 4" xfId="20155" xr:uid="{00000000-0005-0000-0000-0000A3410000}"/>
    <cellStyle name="40% - Accent4 2 2 2 3 4 2" xfId="43987" xr:uid="{759BAF34-29E2-4A9C-A254-77A0654CDBAA}"/>
    <cellStyle name="40% - Accent4 2 2 2 3 5" xfId="28108" xr:uid="{59BA5C05-097D-4C29-9F78-EDDCEAC455B6}"/>
    <cellStyle name="40% - Accent4 2 2 2 4" xfId="5996" xr:uid="{00000000-0005-0000-0000-0000A4410000}"/>
    <cellStyle name="40% - Accent4 2 2 2 4 2" xfId="13979" xr:uid="{00000000-0005-0000-0000-0000A5410000}"/>
    <cellStyle name="40% - Accent4 2 2 2 4 2 2" xfId="37822" xr:uid="{AA8EB964-26EC-40A6-A3E2-F72EDC18F683}"/>
    <cellStyle name="40% - Accent4 2 2 2 4 3" xfId="21927" xr:uid="{00000000-0005-0000-0000-0000A6410000}"/>
    <cellStyle name="40% - Accent4 2 2 2 4 3 2" xfId="45759" xr:uid="{7F45FE0C-0281-45D9-B323-7D01E26716C1}"/>
    <cellStyle name="40% - Accent4 2 2 2 4 4" xfId="29881" xr:uid="{A22D62E3-BF07-4424-86F8-616D141FC8FA}"/>
    <cellStyle name="40% - Accent4 2 2 2 5" xfId="9548" xr:uid="{00000000-0005-0000-0000-0000A7410000}"/>
    <cellStyle name="40% - Accent4 2 2 2 5 2" xfId="17506" xr:uid="{00000000-0005-0000-0000-0000A8410000}"/>
    <cellStyle name="40% - Accent4 2 2 2 5 2 2" xfId="41346" xr:uid="{0AC187AB-707E-4AE7-9329-B2EEEF7555EF}"/>
    <cellStyle name="40% - Accent4 2 2 2 5 3" xfId="25450" xr:uid="{00000000-0005-0000-0000-0000A9410000}"/>
    <cellStyle name="40% - Accent4 2 2 2 5 3 2" xfId="49282" xr:uid="{55DD5A72-E22A-45BA-84EC-7C20C5B342DC}"/>
    <cellStyle name="40% - Accent4 2 2 2 5 4" xfId="33405" xr:uid="{57966FAA-8D5F-43E5-8A37-AB930E625681}"/>
    <cellStyle name="40% - Accent4 2 2 2 6" xfId="10444" xr:uid="{00000000-0005-0000-0000-0000AA410000}"/>
    <cellStyle name="40% - Accent4 2 2 2 6 2" xfId="34293" xr:uid="{19416A94-A973-4A44-95E6-4AFD4ED5E02E}"/>
    <cellStyle name="40% - Accent4 2 2 2 7" xfId="18399" xr:uid="{00000000-0005-0000-0000-0000AB410000}"/>
    <cellStyle name="40% - Accent4 2 2 2 7 2" xfId="42231" xr:uid="{61906CBA-C8F6-4E17-B5FB-D28295308EAB}"/>
    <cellStyle name="40% - Accent4 2 2 2 8" xfId="26351" xr:uid="{7CE528F0-1247-4947-A97A-637B892000A0}"/>
    <cellStyle name="40% - Accent4 2 2 2_Exh G" xfId="3092" xr:uid="{00000000-0005-0000-0000-0000AC410000}"/>
    <cellStyle name="40% - Accent4 2 2 3" xfId="969" xr:uid="{00000000-0005-0000-0000-0000AD410000}"/>
    <cellStyle name="40% - Accent4 2 2 3 2" xfId="1883" xr:uid="{00000000-0005-0000-0000-0000AE410000}"/>
    <cellStyle name="40% - Accent4 2 2 3 2 2" xfId="5400" xr:uid="{00000000-0005-0000-0000-0000AF410000}"/>
    <cellStyle name="40% - Accent4 2 2 3 2 2 2" xfId="8991" xr:uid="{00000000-0005-0000-0000-0000B0410000}"/>
    <cellStyle name="40% - Accent4 2 2 3 2 2 2 2" xfId="16961" xr:uid="{00000000-0005-0000-0000-0000B1410000}"/>
    <cellStyle name="40% - Accent4 2 2 3 2 2 2 2 2" xfId="40803" xr:uid="{48619863-E2E6-4645-BBA8-4F87C0500F17}"/>
    <cellStyle name="40% - Accent4 2 2 3 2 2 2 3" xfId="24907" xr:uid="{00000000-0005-0000-0000-0000B2410000}"/>
    <cellStyle name="40% - Accent4 2 2 3 2 2 2 3 2" xfId="48739" xr:uid="{9973B9DB-6E74-43DB-8E43-F29B46E6A4F5}"/>
    <cellStyle name="40% - Accent4 2 2 3 2 2 2 4" xfId="32862" xr:uid="{CBAB7F29-C96C-4407-A9E2-CE26FE3F9AD6}"/>
    <cellStyle name="40% - Accent4 2 2 3 2 2 3" xfId="13423" xr:uid="{00000000-0005-0000-0000-0000B3410000}"/>
    <cellStyle name="40% - Accent4 2 2 3 2 2 3 2" xfId="37272" xr:uid="{E2CE381C-474B-4996-AD76-8395C28B2388}"/>
    <cellStyle name="40% - Accent4 2 2 3 2 2 4" xfId="21378" xr:uid="{00000000-0005-0000-0000-0000B4410000}"/>
    <cellStyle name="40% - Accent4 2 2 3 2 2 4 2" xfId="45210" xr:uid="{7B821503-0B2F-48CF-9295-2C3A07CE71A7}"/>
    <cellStyle name="40% - Accent4 2 2 3 2 2 5" xfId="29331" xr:uid="{F9C5450D-7151-4790-803E-AC112EA6B1BB}"/>
    <cellStyle name="40% - Accent4 2 2 3 2 3" xfId="7232" xr:uid="{00000000-0005-0000-0000-0000B5410000}"/>
    <cellStyle name="40% - Accent4 2 2 3 2 3 2" xfId="15203" xr:uid="{00000000-0005-0000-0000-0000B6410000}"/>
    <cellStyle name="40% - Accent4 2 2 3 2 3 2 2" xfId="39045" xr:uid="{958E5D4E-8A47-4030-A8C6-70EE60A5E06E}"/>
    <cellStyle name="40% - Accent4 2 2 3 2 3 3" xfId="23150" xr:uid="{00000000-0005-0000-0000-0000B7410000}"/>
    <cellStyle name="40% - Accent4 2 2 3 2 3 3 2" xfId="46982" xr:uid="{1D1CF853-722D-4328-827A-ABA0712A8CF8}"/>
    <cellStyle name="40% - Accent4 2 2 3 2 3 4" xfId="31104" xr:uid="{4EE30D47-45F5-4348-8110-FB699FCB768E}"/>
    <cellStyle name="40% - Accent4 2 2 3 2 4" xfId="11667" xr:uid="{00000000-0005-0000-0000-0000B8410000}"/>
    <cellStyle name="40% - Accent4 2 2 3 2 4 2" xfId="35516" xr:uid="{7B7F205D-2094-4D0B-8220-BAAF7ED9DB2B}"/>
    <cellStyle name="40% - Accent4 2 2 3 2 5" xfId="19622" xr:uid="{00000000-0005-0000-0000-0000B9410000}"/>
    <cellStyle name="40% - Accent4 2 2 3 2 5 2" xfId="43454" xr:uid="{C30DCFBF-B93A-4255-83BF-44773E128B59}"/>
    <cellStyle name="40% - Accent4 2 2 3 2 6" xfId="27574" xr:uid="{BB42082F-7CA8-4061-92C9-86DA929CDDF3}"/>
    <cellStyle name="40% - Accent4 2 2 3 2_Exh G" xfId="3095" xr:uid="{00000000-0005-0000-0000-0000BA410000}"/>
    <cellStyle name="40% - Accent4 2 2 3 3" xfId="4521" xr:uid="{00000000-0005-0000-0000-0000BB410000}"/>
    <cellStyle name="40% - Accent4 2 2 3 3 2" xfId="8113" xr:uid="{00000000-0005-0000-0000-0000BC410000}"/>
    <cellStyle name="40% - Accent4 2 2 3 3 2 2" xfId="16083" xr:uid="{00000000-0005-0000-0000-0000BD410000}"/>
    <cellStyle name="40% - Accent4 2 2 3 3 2 2 2" xfId="39925" xr:uid="{5DA6FF1F-BC29-48C2-AAFF-27A082275BA5}"/>
    <cellStyle name="40% - Accent4 2 2 3 3 2 3" xfId="24029" xr:uid="{00000000-0005-0000-0000-0000BE410000}"/>
    <cellStyle name="40% - Accent4 2 2 3 3 2 3 2" xfId="47861" xr:uid="{CE6C9A39-6F51-4058-B744-D99177C50B0D}"/>
    <cellStyle name="40% - Accent4 2 2 3 3 2 4" xfId="31984" xr:uid="{170B105C-BE20-4A3B-BCD2-7C0988541555}"/>
    <cellStyle name="40% - Accent4 2 2 3 3 3" xfId="12545" xr:uid="{00000000-0005-0000-0000-0000BF410000}"/>
    <cellStyle name="40% - Accent4 2 2 3 3 3 2" xfId="36394" xr:uid="{2A245452-3BC3-4F19-99B9-72716AA160A8}"/>
    <cellStyle name="40% - Accent4 2 2 3 3 4" xfId="20500" xr:uid="{00000000-0005-0000-0000-0000C0410000}"/>
    <cellStyle name="40% - Accent4 2 2 3 3 4 2" xfId="44332" xr:uid="{8A66DE16-0735-4AB4-B1B4-3F0C776EB1E8}"/>
    <cellStyle name="40% - Accent4 2 2 3 3 5" xfId="28453" xr:uid="{BEAE95DE-9658-497F-A964-8718EB04C44A}"/>
    <cellStyle name="40% - Accent4 2 2 3 4" xfId="6351" xr:uid="{00000000-0005-0000-0000-0000C1410000}"/>
    <cellStyle name="40% - Accent4 2 2 3 4 2" xfId="14325" xr:uid="{00000000-0005-0000-0000-0000C2410000}"/>
    <cellStyle name="40% - Accent4 2 2 3 4 2 2" xfId="38167" xr:uid="{18ACFF46-BB01-46A8-947B-C02AB98255C4}"/>
    <cellStyle name="40% - Accent4 2 2 3 4 3" xfId="22272" xr:uid="{00000000-0005-0000-0000-0000C3410000}"/>
    <cellStyle name="40% - Accent4 2 2 3 4 3 2" xfId="46104" xr:uid="{CC95FD76-FAD4-44A0-9923-B86C78A7916B}"/>
    <cellStyle name="40% - Accent4 2 2 3 4 4" xfId="30226" xr:uid="{2DEFDFBF-C731-4D19-8FB5-DCF28EC043F7}"/>
    <cellStyle name="40% - Accent4 2 2 3 5" xfId="9893" xr:uid="{00000000-0005-0000-0000-0000C4410000}"/>
    <cellStyle name="40% - Accent4 2 2 3 5 2" xfId="17851" xr:uid="{00000000-0005-0000-0000-0000C5410000}"/>
    <cellStyle name="40% - Accent4 2 2 3 5 2 2" xfId="41691" xr:uid="{FA0A3E77-4CD7-41A9-A605-E58274DAC8A9}"/>
    <cellStyle name="40% - Accent4 2 2 3 5 3" xfId="25795" xr:uid="{00000000-0005-0000-0000-0000C6410000}"/>
    <cellStyle name="40% - Accent4 2 2 3 5 3 2" xfId="49627" xr:uid="{90BA8F7C-1026-4182-BB60-D49BCB0D9830}"/>
    <cellStyle name="40% - Accent4 2 2 3 5 4" xfId="33750" xr:uid="{F25AE26D-A3FC-4AAF-9BB2-9F357076ABF8}"/>
    <cellStyle name="40% - Accent4 2 2 3 6" xfId="10789" xr:uid="{00000000-0005-0000-0000-0000C7410000}"/>
    <cellStyle name="40% - Accent4 2 2 3 6 2" xfId="34638" xr:uid="{6C10DDAD-FB02-45F2-B9C9-877AABDBB162}"/>
    <cellStyle name="40% - Accent4 2 2 3 7" xfId="18744" xr:uid="{00000000-0005-0000-0000-0000C8410000}"/>
    <cellStyle name="40% - Accent4 2 2 3 7 2" xfId="42576" xr:uid="{9295FBE4-3ECB-4F8C-A7C5-4466CFDD98FC}"/>
    <cellStyle name="40% - Accent4 2 2 3 8" xfId="26696" xr:uid="{EA8EE386-B486-4DCF-800B-90B957A3724A}"/>
    <cellStyle name="40% - Accent4 2 2 3_Exh G" xfId="3094" xr:uid="{00000000-0005-0000-0000-0000C9410000}"/>
    <cellStyle name="40% - Accent4 2 2 4" xfId="1527" xr:uid="{00000000-0005-0000-0000-0000CA410000}"/>
    <cellStyle name="40% - Accent4 2 2 4 2" xfId="5054" xr:uid="{00000000-0005-0000-0000-0000CB410000}"/>
    <cellStyle name="40% - Accent4 2 2 4 2 2" xfId="8645" xr:uid="{00000000-0005-0000-0000-0000CC410000}"/>
    <cellStyle name="40% - Accent4 2 2 4 2 2 2" xfId="16615" xr:uid="{00000000-0005-0000-0000-0000CD410000}"/>
    <cellStyle name="40% - Accent4 2 2 4 2 2 2 2" xfId="40457" xr:uid="{72DB3F85-D1D9-420F-8C49-FFC75E4D3F1B}"/>
    <cellStyle name="40% - Accent4 2 2 4 2 2 3" xfId="24561" xr:uid="{00000000-0005-0000-0000-0000CE410000}"/>
    <cellStyle name="40% - Accent4 2 2 4 2 2 3 2" xfId="48393" xr:uid="{A8F7B629-B201-4D91-ACAC-5753C923D301}"/>
    <cellStyle name="40% - Accent4 2 2 4 2 2 4" xfId="32516" xr:uid="{88661F99-6BE5-4488-8355-8109801DD93F}"/>
    <cellStyle name="40% - Accent4 2 2 4 2 3" xfId="13077" xr:uid="{00000000-0005-0000-0000-0000CF410000}"/>
    <cellStyle name="40% - Accent4 2 2 4 2 3 2" xfId="36926" xr:uid="{DCED09E9-2658-4BA6-A911-48F990D42063}"/>
    <cellStyle name="40% - Accent4 2 2 4 2 4" xfId="21032" xr:uid="{00000000-0005-0000-0000-0000D0410000}"/>
    <cellStyle name="40% - Accent4 2 2 4 2 4 2" xfId="44864" xr:uid="{EAE796D2-39DC-4501-BE24-7DF93FAB44FF}"/>
    <cellStyle name="40% - Accent4 2 2 4 2 5" xfId="28985" xr:uid="{F4A8CCD8-545A-47DF-BC85-04EBBB0C1C00}"/>
    <cellStyle name="40% - Accent4 2 2 4 3" xfId="6886" xr:uid="{00000000-0005-0000-0000-0000D1410000}"/>
    <cellStyle name="40% - Accent4 2 2 4 3 2" xfId="14857" xr:uid="{00000000-0005-0000-0000-0000D2410000}"/>
    <cellStyle name="40% - Accent4 2 2 4 3 2 2" xfId="38699" xr:uid="{9B885CAE-25EB-468D-9B04-D24965CB67EF}"/>
    <cellStyle name="40% - Accent4 2 2 4 3 3" xfId="22804" xr:uid="{00000000-0005-0000-0000-0000D3410000}"/>
    <cellStyle name="40% - Accent4 2 2 4 3 3 2" xfId="46636" xr:uid="{074B2234-0C7C-49AA-A228-A1F4CD68A6CA}"/>
    <cellStyle name="40% - Accent4 2 2 4 3 4" xfId="30758" xr:uid="{57C277FF-6BE8-4427-9FFB-5F895D321175}"/>
    <cellStyle name="40% - Accent4 2 2 4 4" xfId="11321" xr:uid="{00000000-0005-0000-0000-0000D4410000}"/>
    <cellStyle name="40% - Accent4 2 2 4 4 2" xfId="35170" xr:uid="{27499511-20C6-442B-A1C2-1E136078235F}"/>
    <cellStyle name="40% - Accent4 2 2 4 5" xfId="19276" xr:uid="{00000000-0005-0000-0000-0000D5410000}"/>
    <cellStyle name="40% - Accent4 2 2 4 5 2" xfId="43108" xr:uid="{9EE0CD0B-1D97-4DD1-9146-934FF11BEDB4}"/>
    <cellStyle name="40% - Accent4 2 2 4 6" xfId="27228" xr:uid="{E7997852-8238-475D-9B5A-2F656C6B8351}"/>
    <cellStyle name="40% - Accent4 2 2 4_Exh G" xfId="3096" xr:uid="{00000000-0005-0000-0000-0000D6410000}"/>
    <cellStyle name="40% - Accent4 2 2 5" xfId="4175" xr:uid="{00000000-0005-0000-0000-0000D7410000}"/>
    <cellStyle name="40% - Accent4 2 2 5 2" xfId="7767" xr:uid="{00000000-0005-0000-0000-0000D8410000}"/>
    <cellStyle name="40% - Accent4 2 2 5 2 2" xfId="15737" xr:uid="{00000000-0005-0000-0000-0000D9410000}"/>
    <cellStyle name="40% - Accent4 2 2 5 2 2 2" xfId="39579" xr:uid="{7D2CF6AD-5C66-4897-94C5-B76934352DEA}"/>
    <cellStyle name="40% - Accent4 2 2 5 2 3" xfId="23683" xr:uid="{00000000-0005-0000-0000-0000DA410000}"/>
    <cellStyle name="40% - Accent4 2 2 5 2 3 2" xfId="47515" xr:uid="{438049AC-7ED3-4327-8AFE-415E1D064B87}"/>
    <cellStyle name="40% - Accent4 2 2 5 2 4" xfId="31638" xr:uid="{0517DFF5-018D-4777-A575-71E85C036902}"/>
    <cellStyle name="40% - Accent4 2 2 5 3" xfId="12199" xr:uid="{00000000-0005-0000-0000-0000DB410000}"/>
    <cellStyle name="40% - Accent4 2 2 5 3 2" xfId="36048" xr:uid="{AACB2EC5-D637-4A50-8ADF-50A395569D73}"/>
    <cellStyle name="40% - Accent4 2 2 5 4" xfId="20154" xr:uid="{00000000-0005-0000-0000-0000DC410000}"/>
    <cellStyle name="40% - Accent4 2 2 5 4 2" xfId="43986" xr:uid="{39441BF7-3C75-4D30-99EF-E7829377166C}"/>
    <cellStyle name="40% - Accent4 2 2 5 5" xfId="28107" xr:uid="{5D5C4B9C-D830-46E5-B39F-CBCDD0A72908}"/>
    <cellStyle name="40% - Accent4 2 2 6" xfId="5995" xr:uid="{00000000-0005-0000-0000-0000DD410000}"/>
    <cellStyle name="40% - Accent4 2 2 6 2" xfId="13978" xr:uid="{00000000-0005-0000-0000-0000DE410000}"/>
    <cellStyle name="40% - Accent4 2 2 6 2 2" xfId="37821" xr:uid="{26DA5B5F-C2C7-4846-A31A-DBA4D29C5E84}"/>
    <cellStyle name="40% - Accent4 2 2 6 3" xfId="21926" xr:uid="{00000000-0005-0000-0000-0000DF410000}"/>
    <cellStyle name="40% - Accent4 2 2 6 3 2" xfId="45758" xr:uid="{9F98AE64-B737-4921-87DF-3F7602AABA54}"/>
    <cellStyle name="40% - Accent4 2 2 6 4" xfId="29880" xr:uid="{DA7A222F-E673-4652-AA55-1F6FC32D9131}"/>
    <cellStyle name="40% - Accent4 2 2 7" xfId="9547" xr:uid="{00000000-0005-0000-0000-0000E0410000}"/>
    <cellStyle name="40% - Accent4 2 2 7 2" xfId="17505" xr:uid="{00000000-0005-0000-0000-0000E1410000}"/>
    <cellStyle name="40% - Accent4 2 2 7 2 2" xfId="41345" xr:uid="{A36C18AB-07E0-42CC-899F-E133FDD22EBB}"/>
    <cellStyle name="40% - Accent4 2 2 7 3" xfId="25449" xr:uid="{00000000-0005-0000-0000-0000E2410000}"/>
    <cellStyle name="40% - Accent4 2 2 7 3 2" xfId="49281" xr:uid="{DB020100-CE66-4DF7-9240-FC04CEA37AFD}"/>
    <cellStyle name="40% - Accent4 2 2 7 4" xfId="33404" xr:uid="{5DB45DF1-8FE2-4231-BE38-CE02C16F0FED}"/>
    <cellStyle name="40% - Accent4 2 2 8" xfId="10443" xr:uid="{00000000-0005-0000-0000-0000E3410000}"/>
    <cellStyle name="40% - Accent4 2 2 8 2" xfId="34292" xr:uid="{9199B007-BDDA-4B30-AE4C-DD111D638C97}"/>
    <cellStyle name="40% - Accent4 2 2 9" xfId="18398" xr:uid="{00000000-0005-0000-0000-0000E4410000}"/>
    <cellStyle name="40% - Accent4 2 2 9 2" xfId="42230" xr:uid="{8004325E-3584-41EE-8252-936FC6E605E4}"/>
    <cellStyle name="40% - Accent4 2 2_Exh G" xfId="3091" xr:uid="{00000000-0005-0000-0000-0000E5410000}"/>
    <cellStyle name="40% - Accent4 2 3" xfId="503" xr:uid="{00000000-0005-0000-0000-0000E6410000}"/>
    <cellStyle name="40% - Accent4 2 3 2" xfId="1529" xr:uid="{00000000-0005-0000-0000-0000E7410000}"/>
    <cellStyle name="40% - Accent4 2 3 2 2" xfId="5056" xr:uid="{00000000-0005-0000-0000-0000E8410000}"/>
    <cellStyle name="40% - Accent4 2 3 2 2 2" xfId="8647" xr:uid="{00000000-0005-0000-0000-0000E9410000}"/>
    <cellStyle name="40% - Accent4 2 3 2 2 2 2" xfId="16617" xr:uid="{00000000-0005-0000-0000-0000EA410000}"/>
    <cellStyle name="40% - Accent4 2 3 2 2 2 2 2" xfId="40459" xr:uid="{5C677370-4824-42BD-BDDD-061A7F2C37F7}"/>
    <cellStyle name="40% - Accent4 2 3 2 2 2 3" xfId="24563" xr:uid="{00000000-0005-0000-0000-0000EB410000}"/>
    <cellStyle name="40% - Accent4 2 3 2 2 2 3 2" xfId="48395" xr:uid="{6BF0F9A8-AAE6-46F5-95C0-E1C387E5CA4F}"/>
    <cellStyle name="40% - Accent4 2 3 2 2 2 4" xfId="32518" xr:uid="{E1B990B8-2373-43E5-9300-166F9122FE1F}"/>
    <cellStyle name="40% - Accent4 2 3 2 2 3" xfId="13079" xr:uid="{00000000-0005-0000-0000-0000EC410000}"/>
    <cellStyle name="40% - Accent4 2 3 2 2 3 2" xfId="36928" xr:uid="{A38ACCFD-5970-4558-B034-07D0D4E00B08}"/>
    <cellStyle name="40% - Accent4 2 3 2 2 4" xfId="21034" xr:uid="{00000000-0005-0000-0000-0000ED410000}"/>
    <cellStyle name="40% - Accent4 2 3 2 2 4 2" xfId="44866" xr:uid="{C0A9F629-B8A0-4958-BC05-0EB6A423636E}"/>
    <cellStyle name="40% - Accent4 2 3 2 2 5" xfId="28987" xr:uid="{EB1E4724-2AD4-4AC9-AB03-519267448953}"/>
    <cellStyle name="40% - Accent4 2 3 2 3" xfId="6888" xr:uid="{00000000-0005-0000-0000-0000EE410000}"/>
    <cellStyle name="40% - Accent4 2 3 2 3 2" xfId="14859" xr:uid="{00000000-0005-0000-0000-0000EF410000}"/>
    <cellStyle name="40% - Accent4 2 3 2 3 2 2" xfId="38701" xr:uid="{04816579-7253-4925-8467-92715CB61E49}"/>
    <cellStyle name="40% - Accent4 2 3 2 3 3" xfId="22806" xr:uid="{00000000-0005-0000-0000-0000F0410000}"/>
    <cellStyle name="40% - Accent4 2 3 2 3 3 2" xfId="46638" xr:uid="{332ECCA4-BFDB-492E-AD0A-70AB695152D0}"/>
    <cellStyle name="40% - Accent4 2 3 2 3 4" xfId="30760" xr:uid="{32171904-0F47-470D-9F41-D2B02AB9B5DB}"/>
    <cellStyle name="40% - Accent4 2 3 2 4" xfId="11323" xr:uid="{00000000-0005-0000-0000-0000F1410000}"/>
    <cellStyle name="40% - Accent4 2 3 2 4 2" xfId="35172" xr:uid="{151FDB53-8BC6-42E1-B869-4008D1EA3869}"/>
    <cellStyle name="40% - Accent4 2 3 2 5" xfId="19278" xr:uid="{00000000-0005-0000-0000-0000F2410000}"/>
    <cellStyle name="40% - Accent4 2 3 2 5 2" xfId="43110" xr:uid="{468AFD6A-D30E-4492-B7D5-FDC05F32BCFC}"/>
    <cellStyle name="40% - Accent4 2 3 2 6" xfId="27230" xr:uid="{1A93E228-EEFC-4AD2-920D-5F58B6A92918}"/>
    <cellStyle name="40% - Accent4 2 3 2_Exh G" xfId="3098" xr:uid="{00000000-0005-0000-0000-0000F3410000}"/>
    <cellStyle name="40% - Accent4 2 3 3" xfId="4177" xr:uid="{00000000-0005-0000-0000-0000F4410000}"/>
    <cellStyle name="40% - Accent4 2 3 3 2" xfId="7769" xr:uid="{00000000-0005-0000-0000-0000F5410000}"/>
    <cellStyle name="40% - Accent4 2 3 3 2 2" xfId="15739" xr:uid="{00000000-0005-0000-0000-0000F6410000}"/>
    <cellStyle name="40% - Accent4 2 3 3 2 2 2" xfId="39581" xr:uid="{629768F3-818C-4A5A-8C02-D66B329F1D4C}"/>
    <cellStyle name="40% - Accent4 2 3 3 2 3" xfId="23685" xr:uid="{00000000-0005-0000-0000-0000F7410000}"/>
    <cellStyle name="40% - Accent4 2 3 3 2 3 2" xfId="47517" xr:uid="{9EDE8CCD-6FA2-4882-A6B2-8827A169F34D}"/>
    <cellStyle name="40% - Accent4 2 3 3 2 4" xfId="31640" xr:uid="{77CB774B-A3C5-400F-A554-DD6249EBD075}"/>
    <cellStyle name="40% - Accent4 2 3 3 3" xfId="12201" xr:uid="{00000000-0005-0000-0000-0000F8410000}"/>
    <cellStyle name="40% - Accent4 2 3 3 3 2" xfId="36050" xr:uid="{80E2C33A-C31B-4D3D-B1AC-FDB701C14E04}"/>
    <cellStyle name="40% - Accent4 2 3 3 4" xfId="20156" xr:uid="{00000000-0005-0000-0000-0000F9410000}"/>
    <cellStyle name="40% - Accent4 2 3 3 4 2" xfId="43988" xr:uid="{A7CCC952-A99E-48B6-8A26-E1E9B1CF2FAC}"/>
    <cellStyle name="40% - Accent4 2 3 3 5" xfId="28109" xr:uid="{DC96DBD8-63A6-4C76-8DAC-8487D6E88E62}"/>
    <cellStyle name="40% - Accent4 2 3 4" xfId="5997" xr:uid="{00000000-0005-0000-0000-0000FA410000}"/>
    <cellStyle name="40% - Accent4 2 3 4 2" xfId="13980" xr:uid="{00000000-0005-0000-0000-0000FB410000}"/>
    <cellStyle name="40% - Accent4 2 3 4 2 2" xfId="37823" xr:uid="{401706EC-23F2-4EFF-9D6E-AA5D58FBEE84}"/>
    <cellStyle name="40% - Accent4 2 3 4 3" xfId="21928" xr:uid="{00000000-0005-0000-0000-0000FC410000}"/>
    <cellStyle name="40% - Accent4 2 3 4 3 2" xfId="45760" xr:uid="{2582B0FE-8069-49CD-B601-596DFF5E0616}"/>
    <cellStyle name="40% - Accent4 2 3 4 4" xfId="29882" xr:uid="{EBD85D5B-0DDA-4597-914E-EF3771C61736}"/>
    <cellStyle name="40% - Accent4 2 3 5" xfId="9549" xr:uid="{00000000-0005-0000-0000-0000FD410000}"/>
    <cellStyle name="40% - Accent4 2 3 5 2" xfId="17507" xr:uid="{00000000-0005-0000-0000-0000FE410000}"/>
    <cellStyle name="40% - Accent4 2 3 5 2 2" xfId="41347" xr:uid="{0CBD5E4F-6944-4140-A302-D129512D79A0}"/>
    <cellStyle name="40% - Accent4 2 3 5 3" xfId="25451" xr:uid="{00000000-0005-0000-0000-0000FF410000}"/>
    <cellStyle name="40% - Accent4 2 3 5 3 2" xfId="49283" xr:uid="{EF7BE122-ACEB-4C9E-BACC-381A6D4DDDA8}"/>
    <cellStyle name="40% - Accent4 2 3 5 4" xfId="33406" xr:uid="{22767313-776D-4721-93D9-36D7B7A24B2B}"/>
    <cellStyle name="40% - Accent4 2 3 6" xfId="10445" xr:uid="{00000000-0005-0000-0000-000000420000}"/>
    <cellStyle name="40% - Accent4 2 3 6 2" xfId="34294" xr:uid="{985A8EAC-D628-4135-B18B-12BD32183AEB}"/>
    <cellStyle name="40% - Accent4 2 3 7" xfId="18400" xr:uid="{00000000-0005-0000-0000-000001420000}"/>
    <cellStyle name="40% - Accent4 2 3 7 2" xfId="42232" xr:uid="{040287AA-E986-4011-9ABA-2C1EEEE19D67}"/>
    <cellStyle name="40% - Accent4 2 3 8" xfId="26352" xr:uid="{C4C8FB22-B409-4DC7-9ECC-BFE6EA03FD07}"/>
    <cellStyle name="40% - Accent4 2 3_Exh G" xfId="3097" xr:uid="{00000000-0005-0000-0000-000002420000}"/>
    <cellStyle name="40% - Accent4 2 4" xfId="968" xr:uid="{00000000-0005-0000-0000-000003420000}"/>
    <cellStyle name="40% - Accent4 2 4 2" xfId="1882" xr:uid="{00000000-0005-0000-0000-000004420000}"/>
    <cellStyle name="40% - Accent4 2 4 2 2" xfId="5399" xr:uid="{00000000-0005-0000-0000-000005420000}"/>
    <cellStyle name="40% - Accent4 2 4 2 2 2" xfId="8990" xr:uid="{00000000-0005-0000-0000-000006420000}"/>
    <cellStyle name="40% - Accent4 2 4 2 2 2 2" xfId="16960" xr:uid="{00000000-0005-0000-0000-000007420000}"/>
    <cellStyle name="40% - Accent4 2 4 2 2 2 2 2" xfId="40802" xr:uid="{E6531F4B-9F01-4524-B56F-726C226BBF72}"/>
    <cellStyle name="40% - Accent4 2 4 2 2 2 3" xfId="24906" xr:uid="{00000000-0005-0000-0000-000008420000}"/>
    <cellStyle name="40% - Accent4 2 4 2 2 2 3 2" xfId="48738" xr:uid="{AC738C05-AB56-475B-A266-DD7B92A688D2}"/>
    <cellStyle name="40% - Accent4 2 4 2 2 2 4" xfId="32861" xr:uid="{3E635B6C-6E99-48C0-913D-359C19E7EADF}"/>
    <cellStyle name="40% - Accent4 2 4 2 2 3" xfId="13422" xr:uid="{00000000-0005-0000-0000-000009420000}"/>
    <cellStyle name="40% - Accent4 2 4 2 2 3 2" xfId="37271" xr:uid="{3F2D100F-CB90-4799-BD3E-0DB7816EC53B}"/>
    <cellStyle name="40% - Accent4 2 4 2 2 4" xfId="21377" xr:uid="{00000000-0005-0000-0000-00000A420000}"/>
    <cellStyle name="40% - Accent4 2 4 2 2 4 2" xfId="45209" xr:uid="{93370C7F-1AD5-4382-8F38-C05B4F0C293A}"/>
    <cellStyle name="40% - Accent4 2 4 2 2 5" xfId="29330" xr:uid="{606D281A-ADAB-43CF-A771-AB5D26EC61EF}"/>
    <cellStyle name="40% - Accent4 2 4 2 3" xfId="7231" xr:uid="{00000000-0005-0000-0000-00000B420000}"/>
    <cellStyle name="40% - Accent4 2 4 2 3 2" xfId="15202" xr:uid="{00000000-0005-0000-0000-00000C420000}"/>
    <cellStyle name="40% - Accent4 2 4 2 3 2 2" xfId="39044" xr:uid="{AF55F7A8-42E9-443F-A638-5E680326381F}"/>
    <cellStyle name="40% - Accent4 2 4 2 3 3" xfId="23149" xr:uid="{00000000-0005-0000-0000-00000D420000}"/>
    <cellStyle name="40% - Accent4 2 4 2 3 3 2" xfId="46981" xr:uid="{CCCE4694-D0E7-4824-93EF-88AD72E4ED1B}"/>
    <cellStyle name="40% - Accent4 2 4 2 3 4" xfId="31103" xr:uid="{4C9ADAE8-BA9E-46E4-8092-6BC33A4611C9}"/>
    <cellStyle name="40% - Accent4 2 4 2 4" xfId="11666" xr:uid="{00000000-0005-0000-0000-00000E420000}"/>
    <cellStyle name="40% - Accent4 2 4 2 4 2" xfId="35515" xr:uid="{95245B3C-E9B1-47AA-A0B2-340CC9CB0FDE}"/>
    <cellStyle name="40% - Accent4 2 4 2 5" xfId="19621" xr:uid="{00000000-0005-0000-0000-00000F420000}"/>
    <cellStyle name="40% - Accent4 2 4 2 5 2" xfId="43453" xr:uid="{5F764E5F-C90C-425E-B00A-E5951B72014B}"/>
    <cellStyle name="40% - Accent4 2 4 2 6" xfId="27573" xr:uid="{DA0EAFDB-7178-40EE-97A9-81DC7920D249}"/>
    <cellStyle name="40% - Accent4 2 4 2_Exh G" xfId="3100" xr:uid="{00000000-0005-0000-0000-000010420000}"/>
    <cellStyle name="40% - Accent4 2 4 3" xfId="4520" xr:uid="{00000000-0005-0000-0000-000011420000}"/>
    <cellStyle name="40% - Accent4 2 4 3 2" xfId="8112" xr:uid="{00000000-0005-0000-0000-000012420000}"/>
    <cellStyle name="40% - Accent4 2 4 3 2 2" xfId="16082" xr:uid="{00000000-0005-0000-0000-000013420000}"/>
    <cellStyle name="40% - Accent4 2 4 3 2 2 2" xfId="39924" xr:uid="{4C6A2FCE-D62B-450A-9E3F-B948DE4E19E8}"/>
    <cellStyle name="40% - Accent4 2 4 3 2 3" xfId="24028" xr:uid="{00000000-0005-0000-0000-000014420000}"/>
    <cellStyle name="40% - Accent4 2 4 3 2 3 2" xfId="47860" xr:uid="{1144C03E-F74E-47C4-BB1D-880B10ADE431}"/>
    <cellStyle name="40% - Accent4 2 4 3 2 4" xfId="31983" xr:uid="{AC32F730-8BAA-40DC-961D-9D6CD2B7B706}"/>
    <cellStyle name="40% - Accent4 2 4 3 3" xfId="12544" xr:uid="{00000000-0005-0000-0000-000015420000}"/>
    <cellStyle name="40% - Accent4 2 4 3 3 2" xfId="36393" xr:uid="{9D8BA786-5D34-4261-844F-E9D70E9DA38E}"/>
    <cellStyle name="40% - Accent4 2 4 3 4" xfId="20499" xr:uid="{00000000-0005-0000-0000-000016420000}"/>
    <cellStyle name="40% - Accent4 2 4 3 4 2" xfId="44331" xr:uid="{7454A02C-88C9-4F7B-B59C-6EE44B8A47E8}"/>
    <cellStyle name="40% - Accent4 2 4 3 5" xfId="28452" xr:uid="{3257DA1B-EE44-4D2F-80D3-FBD6815B117A}"/>
    <cellStyle name="40% - Accent4 2 4 4" xfId="6350" xr:uid="{00000000-0005-0000-0000-000017420000}"/>
    <cellStyle name="40% - Accent4 2 4 4 2" xfId="14324" xr:uid="{00000000-0005-0000-0000-000018420000}"/>
    <cellStyle name="40% - Accent4 2 4 4 2 2" xfId="38166" xr:uid="{92C98F21-3F25-4279-BC6E-A8225582367F}"/>
    <cellStyle name="40% - Accent4 2 4 4 3" xfId="22271" xr:uid="{00000000-0005-0000-0000-000019420000}"/>
    <cellStyle name="40% - Accent4 2 4 4 3 2" xfId="46103" xr:uid="{B1A89891-A03D-49EB-968C-4DB6A1EFD2E6}"/>
    <cellStyle name="40% - Accent4 2 4 4 4" xfId="30225" xr:uid="{654773FA-CE4C-4371-AF18-139BDCF4A5C0}"/>
    <cellStyle name="40% - Accent4 2 4 5" xfId="9892" xr:uid="{00000000-0005-0000-0000-00001A420000}"/>
    <cellStyle name="40% - Accent4 2 4 5 2" xfId="17850" xr:uid="{00000000-0005-0000-0000-00001B420000}"/>
    <cellStyle name="40% - Accent4 2 4 5 2 2" xfId="41690" xr:uid="{5443139E-6122-4CE2-A8C7-86434B998E0B}"/>
    <cellStyle name="40% - Accent4 2 4 5 3" xfId="25794" xr:uid="{00000000-0005-0000-0000-00001C420000}"/>
    <cellStyle name="40% - Accent4 2 4 5 3 2" xfId="49626" xr:uid="{85C81B12-AAAE-4C3E-A203-FC191BC1CE3A}"/>
    <cellStyle name="40% - Accent4 2 4 5 4" xfId="33749" xr:uid="{33BE3F59-32AD-49DF-A600-4081141F3614}"/>
    <cellStyle name="40% - Accent4 2 4 6" xfId="10788" xr:uid="{00000000-0005-0000-0000-00001D420000}"/>
    <cellStyle name="40% - Accent4 2 4 6 2" xfId="34637" xr:uid="{A2CCB97E-D373-4136-B8AD-EFFD087CF093}"/>
    <cellStyle name="40% - Accent4 2 4 7" xfId="18743" xr:uid="{00000000-0005-0000-0000-00001E420000}"/>
    <cellStyle name="40% - Accent4 2 4 7 2" xfId="42575" xr:uid="{6C9693D6-41B4-4D98-A3A1-14DC31FF2D35}"/>
    <cellStyle name="40% - Accent4 2 4 8" xfId="26695" xr:uid="{4EF0658D-D9D2-4A77-A213-5D888E59808F}"/>
    <cellStyle name="40% - Accent4 2 4_Exh G" xfId="3099" xr:uid="{00000000-0005-0000-0000-00001F420000}"/>
    <cellStyle name="40% - Accent4 2 5" xfId="1526" xr:uid="{00000000-0005-0000-0000-000020420000}"/>
    <cellStyle name="40% - Accent4 2 5 2" xfId="5053" xr:uid="{00000000-0005-0000-0000-000021420000}"/>
    <cellStyle name="40% - Accent4 2 5 2 2" xfId="8644" xr:uid="{00000000-0005-0000-0000-000022420000}"/>
    <cellStyle name="40% - Accent4 2 5 2 2 2" xfId="16614" xr:uid="{00000000-0005-0000-0000-000023420000}"/>
    <cellStyle name="40% - Accent4 2 5 2 2 2 2" xfId="40456" xr:uid="{C1FEBA76-1D6E-4D5C-AF1B-581933AE9C13}"/>
    <cellStyle name="40% - Accent4 2 5 2 2 3" xfId="24560" xr:uid="{00000000-0005-0000-0000-000024420000}"/>
    <cellStyle name="40% - Accent4 2 5 2 2 3 2" xfId="48392" xr:uid="{48D9CB70-E02C-4BEC-ACBA-4299EB31FBCD}"/>
    <cellStyle name="40% - Accent4 2 5 2 2 4" xfId="32515" xr:uid="{6B48B180-2F11-44FB-A7B9-A1B280A79C6C}"/>
    <cellStyle name="40% - Accent4 2 5 2 3" xfId="13076" xr:uid="{00000000-0005-0000-0000-000025420000}"/>
    <cellStyle name="40% - Accent4 2 5 2 3 2" xfId="36925" xr:uid="{D9592565-8542-4260-9C19-F7D60F2D9649}"/>
    <cellStyle name="40% - Accent4 2 5 2 4" xfId="21031" xr:uid="{00000000-0005-0000-0000-000026420000}"/>
    <cellStyle name="40% - Accent4 2 5 2 4 2" xfId="44863" xr:uid="{90C4A698-8C1B-40A5-B646-D1AFA7069D71}"/>
    <cellStyle name="40% - Accent4 2 5 2 5" xfId="28984" xr:uid="{851CD6DE-1BBD-4CF2-95B0-D8F4D8859EFD}"/>
    <cellStyle name="40% - Accent4 2 5 3" xfId="6885" xr:uid="{00000000-0005-0000-0000-000027420000}"/>
    <cellStyle name="40% - Accent4 2 5 3 2" xfId="14856" xr:uid="{00000000-0005-0000-0000-000028420000}"/>
    <cellStyle name="40% - Accent4 2 5 3 2 2" xfId="38698" xr:uid="{AF431400-BA85-4E91-9357-DCBCECA2330D}"/>
    <cellStyle name="40% - Accent4 2 5 3 3" xfId="22803" xr:uid="{00000000-0005-0000-0000-000029420000}"/>
    <cellStyle name="40% - Accent4 2 5 3 3 2" xfId="46635" xr:uid="{C7A07EAD-E8EA-4F62-A29D-E952962BFE83}"/>
    <cellStyle name="40% - Accent4 2 5 3 4" xfId="30757" xr:uid="{E49F4070-350B-4577-96C9-527291C00DD9}"/>
    <cellStyle name="40% - Accent4 2 5 4" xfId="11320" xr:uid="{00000000-0005-0000-0000-00002A420000}"/>
    <cellStyle name="40% - Accent4 2 5 4 2" xfId="35169" xr:uid="{4D116ACE-8885-4A01-AC76-AC0487B6B32F}"/>
    <cellStyle name="40% - Accent4 2 5 5" xfId="19275" xr:uid="{00000000-0005-0000-0000-00002B420000}"/>
    <cellStyle name="40% - Accent4 2 5 5 2" xfId="43107" xr:uid="{9B7B9A79-570B-4057-84A7-0D54AEA77937}"/>
    <cellStyle name="40% - Accent4 2 5 6" xfId="27227" xr:uid="{781D9EB0-6F0C-49F8-9914-FBBC6BF978CA}"/>
    <cellStyle name="40% - Accent4 2 5_Exh G" xfId="3101" xr:uid="{00000000-0005-0000-0000-00002C420000}"/>
    <cellStyle name="40% - Accent4 2 6" xfId="4174" xr:uid="{00000000-0005-0000-0000-00002D420000}"/>
    <cellStyle name="40% - Accent4 2 6 2" xfId="7766" xr:uid="{00000000-0005-0000-0000-00002E420000}"/>
    <cellStyle name="40% - Accent4 2 6 2 2" xfId="15736" xr:uid="{00000000-0005-0000-0000-00002F420000}"/>
    <cellStyle name="40% - Accent4 2 6 2 2 2" xfId="39578" xr:uid="{7A72D268-95B0-46EE-8675-0D555F42F1D8}"/>
    <cellStyle name="40% - Accent4 2 6 2 3" xfId="23682" xr:uid="{00000000-0005-0000-0000-000030420000}"/>
    <cellStyle name="40% - Accent4 2 6 2 3 2" xfId="47514" xr:uid="{45BC722A-4AA1-4E2D-AAD5-AA7D978E2A9F}"/>
    <cellStyle name="40% - Accent4 2 6 2 4" xfId="31637" xr:uid="{6280B64F-1129-455A-B9D9-2FC907B5D686}"/>
    <cellStyle name="40% - Accent4 2 6 3" xfId="12198" xr:uid="{00000000-0005-0000-0000-000031420000}"/>
    <cellStyle name="40% - Accent4 2 6 3 2" xfId="36047" xr:uid="{84C1C32A-D394-4683-B3A0-BC6C5FAF8D78}"/>
    <cellStyle name="40% - Accent4 2 6 4" xfId="20153" xr:uid="{00000000-0005-0000-0000-000032420000}"/>
    <cellStyle name="40% - Accent4 2 6 4 2" xfId="43985" xr:uid="{CBB32699-E694-4E1E-B6CD-466CC1E135C5}"/>
    <cellStyle name="40% - Accent4 2 6 5" xfId="28106" xr:uid="{F06A3372-EDB2-42B9-816A-A326A33B0794}"/>
    <cellStyle name="40% - Accent4 2 7" xfId="5994" xr:uid="{00000000-0005-0000-0000-000033420000}"/>
    <cellStyle name="40% - Accent4 2 7 2" xfId="13977" xr:uid="{00000000-0005-0000-0000-000034420000}"/>
    <cellStyle name="40% - Accent4 2 7 2 2" xfId="37820" xr:uid="{B8BAEC34-C367-4972-B94B-C7733DB280CB}"/>
    <cellStyle name="40% - Accent4 2 7 3" xfId="21925" xr:uid="{00000000-0005-0000-0000-000035420000}"/>
    <cellStyle name="40% - Accent4 2 7 3 2" xfId="45757" xr:uid="{E7463EA1-84B3-4434-A289-C8261E57AB78}"/>
    <cellStyle name="40% - Accent4 2 7 4" xfId="29879" xr:uid="{D8C621DE-D38E-43D0-AFAD-0DD4479B8393}"/>
    <cellStyle name="40% - Accent4 2 8" xfId="9546" xr:uid="{00000000-0005-0000-0000-000036420000}"/>
    <cellStyle name="40% - Accent4 2 8 2" xfId="17504" xr:uid="{00000000-0005-0000-0000-000037420000}"/>
    <cellStyle name="40% - Accent4 2 8 2 2" xfId="41344" xr:uid="{92EC5AD4-9BEF-434E-A269-A143CD531C38}"/>
    <cellStyle name="40% - Accent4 2 8 3" xfId="25448" xr:uid="{00000000-0005-0000-0000-000038420000}"/>
    <cellStyle name="40% - Accent4 2 8 3 2" xfId="49280" xr:uid="{A1EC5AD2-5D57-429B-9B5D-7B4D613857A8}"/>
    <cellStyle name="40% - Accent4 2 8 4" xfId="33403" xr:uid="{D23E3B21-BE1D-48B9-95D6-58062F110EEC}"/>
    <cellStyle name="40% - Accent4 2 9" xfId="10442" xr:uid="{00000000-0005-0000-0000-000039420000}"/>
    <cellStyle name="40% - Accent4 2 9 2" xfId="34291" xr:uid="{0CA3DB56-3DC9-4C9E-A4BC-F9A344E1E025}"/>
    <cellStyle name="40% - Accent4 2_Exh G" xfId="3090" xr:uid="{00000000-0005-0000-0000-00003A420000}"/>
    <cellStyle name="40% - Accent4 3" xfId="504" xr:uid="{00000000-0005-0000-0000-00003B420000}"/>
    <cellStyle name="40% - Accent4 3 10" xfId="18401" xr:uid="{00000000-0005-0000-0000-00003C420000}"/>
    <cellStyle name="40% - Accent4 3 10 2" xfId="42233" xr:uid="{49916F93-9D85-4322-B891-5714523448AC}"/>
    <cellStyle name="40% - Accent4 3 11" xfId="26353" xr:uid="{704D65E6-3812-458E-8780-F1BD932EABC7}"/>
    <cellStyle name="40% - Accent4 3 12" xfId="49761" xr:uid="{035F9CAE-C5B0-4BA8-ACB3-3374E481DDF7}"/>
    <cellStyle name="40% - Accent4 3 13" xfId="49815" xr:uid="{90095F8B-97D1-444B-B9E6-FF108C247D51}"/>
    <cellStyle name="40% - Accent4 3 2" xfId="505" xr:uid="{00000000-0005-0000-0000-00003D420000}"/>
    <cellStyle name="40% - Accent4 3 2 10" xfId="26354" xr:uid="{23323BF3-4995-48D2-BF93-162B62F7705E}"/>
    <cellStyle name="40% - Accent4 3 2 2" xfId="506" xr:uid="{00000000-0005-0000-0000-00003E420000}"/>
    <cellStyle name="40% - Accent4 3 2 2 2" xfId="1532" xr:uid="{00000000-0005-0000-0000-00003F420000}"/>
    <cellStyle name="40% - Accent4 3 2 2 2 2" xfId="5059" xr:uid="{00000000-0005-0000-0000-000040420000}"/>
    <cellStyle name="40% - Accent4 3 2 2 2 2 2" xfId="8650" xr:uid="{00000000-0005-0000-0000-000041420000}"/>
    <cellStyle name="40% - Accent4 3 2 2 2 2 2 2" xfId="16620" xr:uid="{00000000-0005-0000-0000-000042420000}"/>
    <cellStyle name="40% - Accent4 3 2 2 2 2 2 2 2" xfId="40462" xr:uid="{FE44741B-91D6-46B8-BBC9-D24D4D515EF2}"/>
    <cellStyle name="40% - Accent4 3 2 2 2 2 2 3" xfId="24566" xr:uid="{00000000-0005-0000-0000-000043420000}"/>
    <cellStyle name="40% - Accent4 3 2 2 2 2 2 3 2" xfId="48398" xr:uid="{B84F2D39-6105-48EE-BB50-3E9261ECFD73}"/>
    <cellStyle name="40% - Accent4 3 2 2 2 2 2 4" xfId="32521" xr:uid="{1E86C068-057C-4287-AEFF-4CA5E208CF19}"/>
    <cellStyle name="40% - Accent4 3 2 2 2 2 3" xfId="13082" xr:uid="{00000000-0005-0000-0000-000044420000}"/>
    <cellStyle name="40% - Accent4 3 2 2 2 2 3 2" xfId="36931" xr:uid="{8514BDE4-4446-490E-9480-CE58F5911459}"/>
    <cellStyle name="40% - Accent4 3 2 2 2 2 4" xfId="21037" xr:uid="{00000000-0005-0000-0000-000045420000}"/>
    <cellStyle name="40% - Accent4 3 2 2 2 2 4 2" xfId="44869" xr:uid="{B8E67818-F028-4BAC-8CB6-4F23223D8443}"/>
    <cellStyle name="40% - Accent4 3 2 2 2 2 5" xfId="28990" xr:uid="{9615B3B5-886B-4734-9ED7-80AEDBAD6EFC}"/>
    <cellStyle name="40% - Accent4 3 2 2 2 3" xfId="6891" xr:uid="{00000000-0005-0000-0000-000046420000}"/>
    <cellStyle name="40% - Accent4 3 2 2 2 3 2" xfId="14862" xr:uid="{00000000-0005-0000-0000-000047420000}"/>
    <cellStyle name="40% - Accent4 3 2 2 2 3 2 2" xfId="38704" xr:uid="{5B2A7079-460C-491E-B015-7F9C8073AC93}"/>
    <cellStyle name="40% - Accent4 3 2 2 2 3 3" xfId="22809" xr:uid="{00000000-0005-0000-0000-000048420000}"/>
    <cellStyle name="40% - Accent4 3 2 2 2 3 3 2" xfId="46641" xr:uid="{E8DF3231-E0CD-45F2-82A6-A2F57A1BFB99}"/>
    <cellStyle name="40% - Accent4 3 2 2 2 3 4" xfId="30763" xr:uid="{A6FF5BC9-5E2C-458D-BEFF-363ACDE4E617}"/>
    <cellStyle name="40% - Accent4 3 2 2 2 4" xfId="11326" xr:uid="{00000000-0005-0000-0000-000049420000}"/>
    <cellStyle name="40% - Accent4 3 2 2 2 4 2" xfId="35175" xr:uid="{C4FB5B39-3EBD-41D5-A8FB-1A9D85EC05A7}"/>
    <cellStyle name="40% - Accent4 3 2 2 2 5" xfId="19281" xr:uid="{00000000-0005-0000-0000-00004A420000}"/>
    <cellStyle name="40% - Accent4 3 2 2 2 5 2" xfId="43113" xr:uid="{EC8D52D5-257A-47FC-B75C-33133B6663D8}"/>
    <cellStyle name="40% - Accent4 3 2 2 2 6" xfId="27233" xr:uid="{60622B2D-F32F-475A-B209-74309E9119BF}"/>
    <cellStyle name="40% - Accent4 3 2 2 2_Exh G" xfId="3105" xr:uid="{00000000-0005-0000-0000-00004B420000}"/>
    <cellStyle name="40% - Accent4 3 2 2 3" xfId="4180" xr:uid="{00000000-0005-0000-0000-00004C420000}"/>
    <cellStyle name="40% - Accent4 3 2 2 3 2" xfId="7772" xr:uid="{00000000-0005-0000-0000-00004D420000}"/>
    <cellStyle name="40% - Accent4 3 2 2 3 2 2" xfId="15742" xr:uid="{00000000-0005-0000-0000-00004E420000}"/>
    <cellStyle name="40% - Accent4 3 2 2 3 2 2 2" xfId="39584" xr:uid="{7831F4BD-8A93-4DBF-8C57-9EB841A2006A}"/>
    <cellStyle name="40% - Accent4 3 2 2 3 2 3" xfId="23688" xr:uid="{00000000-0005-0000-0000-00004F420000}"/>
    <cellStyle name="40% - Accent4 3 2 2 3 2 3 2" xfId="47520" xr:uid="{4D1A4858-8C23-40B0-B4D9-AAE05C4482C4}"/>
    <cellStyle name="40% - Accent4 3 2 2 3 2 4" xfId="31643" xr:uid="{43558F6A-117B-4BB0-BE9C-AD2CB980A0A9}"/>
    <cellStyle name="40% - Accent4 3 2 2 3 3" xfId="12204" xr:uid="{00000000-0005-0000-0000-000050420000}"/>
    <cellStyle name="40% - Accent4 3 2 2 3 3 2" xfId="36053" xr:uid="{1F916163-4CB4-46D0-A626-3BE5D253FAAE}"/>
    <cellStyle name="40% - Accent4 3 2 2 3 4" xfId="20159" xr:uid="{00000000-0005-0000-0000-000051420000}"/>
    <cellStyle name="40% - Accent4 3 2 2 3 4 2" xfId="43991" xr:uid="{5EF445DE-BCE4-4811-8276-ED0BB348A4A9}"/>
    <cellStyle name="40% - Accent4 3 2 2 3 5" xfId="28112" xr:uid="{F1767D6F-F057-423B-86AC-1F9C7D22A811}"/>
    <cellStyle name="40% - Accent4 3 2 2 4" xfId="6000" xr:uid="{00000000-0005-0000-0000-000052420000}"/>
    <cellStyle name="40% - Accent4 3 2 2 4 2" xfId="13983" xr:uid="{00000000-0005-0000-0000-000053420000}"/>
    <cellStyle name="40% - Accent4 3 2 2 4 2 2" xfId="37826" xr:uid="{651E779F-A241-4143-BC53-CB68B488F404}"/>
    <cellStyle name="40% - Accent4 3 2 2 4 3" xfId="21931" xr:uid="{00000000-0005-0000-0000-000054420000}"/>
    <cellStyle name="40% - Accent4 3 2 2 4 3 2" xfId="45763" xr:uid="{8D5E4F32-C3C2-48F0-85B0-81402FE2A7F3}"/>
    <cellStyle name="40% - Accent4 3 2 2 4 4" xfId="29885" xr:uid="{E6A31E4F-1EB8-4D01-B5F0-1134ACD9AD44}"/>
    <cellStyle name="40% - Accent4 3 2 2 5" xfId="9552" xr:uid="{00000000-0005-0000-0000-000055420000}"/>
    <cellStyle name="40% - Accent4 3 2 2 5 2" xfId="17510" xr:uid="{00000000-0005-0000-0000-000056420000}"/>
    <cellStyle name="40% - Accent4 3 2 2 5 2 2" xfId="41350" xr:uid="{82E8496C-5740-4565-B685-E4DD676C8D82}"/>
    <cellStyle name="40% - Accent4 3 2 2 5 3" xfId="25454" xr:uid="{00000000-0005-0000-0000-000057420000}"/>
    <cellStyle name="40% - Accent4 3 2 2 5 3 2" xfId="49286" xr:uid="{FB6CC448-D97B-492A-9019-3823278373FA}"/>
    <cellStyle name="40% - Accent4 3 2 2 5 4" xfId="33409" xr:uid="{9CBDE43F-B335-4673-8B50-10798DC0E1D0}"/>
    <cellStyle name="40% - Accent4 3 2 2 6" xfId="10448" xr:uid="{00000000-0005-0000-0000-000058420000}"/>
    <cellStyle name="40% - Accent4 3 2 2 6 2" xfId="34297" xr:uid="{95D2E2F6-BDC5-4E81-9D25-59F597AF1EAA}"/>
    <cellStyle name="40% - Accent4 3 2 2 7" xfId="18403" xr:uid="{00000000-0005-0000-0000-000059420000}"/>
    <cellStyle name="40% - Accent4 3 2 2 7 2" xfId="42235" xr:uid="{1CD30561-E1E3-4CB0-9E94-AA7170F4CD07}"/>
    <cellStyle name="40% - Accent4 3 2 2 8" xfId="26355" xr:uid="{E9380D34-3375-400B-B93E-65B073CE4297}"/>
    <cellStyle name="40% - Accent4 3 2 2_Exh G" xfId="3104" xr:uid="{00000000-0005-0000-0000-00005A420000}"/>
    <cellStyle name="40% - Accent4 3 2 3" xfId="971" xr:uid="{00000000-0005-0000-0000-00005B420000}"/>
    <cellStyle name="40% - Accent4 3 2 3 2" xfId="1885" xr:uid="{00000000-0005-0000-0000-00005C420000}"/>
    <cellStyle name="40% - Accent4 3 2 3 2 2" xfId="5402" xr:uid="{00000000-0005-0000-0000-00005D420000}"/>
    <cellStyle name="40% - Accent4 3 2 3 2 2 2" xfId="8993" xr:uid="{00000000-0005-0000-0000-00005E420000}"/>
    <cellStyle name="40% - Accent4 3 2 3 2 2 2 2" xfId="16963" xr:uid="{00000000-0005-0000-0000-00005F420000}"/>
    <cellStyle name="40% - Accent4 3 2 3 2 2 2 2 2" xfId="40805" xr:uid="{49330E50-3941-4C04-BA1D-5A9C617EB3EF}"/>
    <cellStyle name="40% - Accent4 3 2 3 2 2 2 3" xfId="24909" xr:uid="{00000000-0005-0000-0000-000060420000}"/>
    <cellStyle name="40% - Accent4 3 2 3 2 2 2 3 2" xfId="48741" xr:uid="{A86F116B-CC41-448D-968A-F66BE6250B6D}"/>
    <cellStyle name="40% - Accent4 3 2 3 2 2 2 4" xfId="32864" xr:uid="{532CF3DD-FE6F-481B-80CE-C24357095A7F}"/>
    <cellStyle name="40% - Accent4 3 2 3 2 2 3" xfId="13425" xr:uid="{00000000-0005-0000-0000-000061420000}"/>
    <cellStyle name="40% - Accent4 3 2 3 2 2 3 2" xfId="37274" xr:uid="{B6FD8A8D-A21C-485C-9A3F-8CF56EBE75CD}"/>
    <cellStyle name="40% - Accent4 3 2 3 2 2 4" xfId="21380" xr:uid="{00000000-0005-0000-0000-000062420000}"/>
    <cellStyle name="40% - Accent4 3 2 3 2 2 4 2" xfId="45212" xr:uid="{A20F9225-6F39-4424-8158-15520356104D}"/>
    <cellStyle name="40% - Accent4 3 2 3 2 2 5" xfId="29333" xr:uid="{7CACD3AF-0FFA-4844-94C1-0DC99D7530B7}"/>
    <cellStyle name="40% - Accent4 3 2 3 2 3" xfId="7234" xr:uid="{00000000-0005-0000-0000-000063420000}"/>
    <cellStyle name="40% - Accent4 3 2 3 2 3 2" xfId="15205" xr:uid="{00000000-0005-0000-0000-000064420000}"/>
    <cellStyle name="40% - Accent4 3 2 3 2 3 2 2" xfId="39047" xr:uid="{551A2799-98B8-4810-B886-59B02043CA2C}"/>
    <cellStyle name="40% - Accent4 3 2 3 2 3 3" xfId="23152" xr:uid="{00000000-0005-0000-0000-000065420000}"/>
    <cellStyle name="40% - Accent4 3 2 3 2 3 3 2" xfId="46984" xr:uid="{5E8A5D29-5497-44A3-AA8B-3994C6D820CA}"/>
    <cellStyle name="40% - Accent4 3 2 3 2 3 4" xfId="31106" xr:uid="{7DB7D26D-2D85-4F87-938B-E29B1FCEC405}"/>
    <cellStyle name="40% - Accent4 3 2 3 2 4" xfId="11669" xr:uid="{00000000-0005-0000-0000-000066420000}"/>
    <cellStyle name="40% - Accent4 3 2 3 2 4 2" xfId="35518" xr:uid="{AC0F22F6-FB37-4623-A335-C8EF661EDC36}"/>
    <cellStyle name="40% - Accent4 3 2 3 2 5" xfId="19624" xr:uid="{00000000-0005-0000-0000-000067420000}"/>
    <cellStyle name="40% - Accent4 3 2 3 2 5 2" xfId="43456" xr:uid="{A0E597D5-8DBE-4C91-99F4-3CA819679678}"/>
    <cellStyle name="40% - Accent4 3 2 3 2 6" xfId="27576" xr:uid="{6C4E6BBB-B3F0-455B-9ECD-1D38EEEA0127}"/>
    <cellStyle name="40% - Accent4 3 2 3 2_Exh G" xfId="3107" xr:uid="{00000000-0005-0000-0000-000068420000}"/>
    <cellStyle name="40% - Accent4 3 2 3 3" xfId="4523" xr:uid="{00000000-0005-0000-0000-000069420000}"/>
    <cellStyle name="40% - Accent4 3 2 3 3 2" xfId="8115" xr:uid="{00000000-0005-0000-0000-00006A420000}"/>
    <cellStyle name="40% - Accent4 3 2 3 3 2 2" xfId="16085" xr:uid="{00000000-0005-0000-0000-00006B420000}"/>
    <cellStyle name="40% - Accent4 3 2 3 3 2 2 2" xfId="39927" xr:uid="{744F78D7-ACA1-49AC-8DB1-AEAF253CAC26}"/>
    <cellStyle name="40% - Accent4 3 2 3 3 2 3" xfId="24031" xr:uid="{00000000-0005-0000-0000-00006C420000}"/>
    <cellStyle name="40% - Accent4 3 2 3 3 2 3 2" xfId="47863" xr:uid="{243C5EBB-47A5-4AA0-9482-49317993EE3B}"/>
    <cellStyle name="40% - Accent4 3 2 3 3 2 4" xfId="31986" xr:uid="{98D854A5-07F6-4042-820C-9950F1FEAAF1}"/>
    <cellStyle name="40% - Accent4 3 2 3 3 3" xfId="12547" xr:uid="{00000000-0005-0000-0000-00006D420000}"/>
    <cellStyle name="40% - Accent4 3 2 3 3 3 2" xfId="36396" xr:uid="{D0414C77-8912-4A0C-99D1-B3CF432972CA}"/>
    <cellStyle name="40% - Accent4 3 2 3 3 4" xfId="20502" xr:uid="{00000000-0005-0000-0000-00006E420000}"/>
    <cellStyle name="40% - Accent4 3 2 3 3 4 2" xfId="44334" xr:uid="{FCD77185-01C6-4BFD-80FD-2096C44DC0FF}"/>
    <cellStyle name="40% - Accent4 3 2 3 3 5" xfId="28455" xr:uid="{84496EC1-4678-49B4-B6A3-22ADC8DBD235}"/>
    <cellStyle name="40% - Accent4 3 2 3 4" xfId="6353" xr:uid="{00000000-0005-0000-0000-00006F420000}"/>
    <cellStyle name="40% - Accent4 3 2 3 4 2" xfId="14327" xr:uid="{00000000-0005-0000-0000-000070420000}"/>
    <cellStyle name="40% - Accent4 3 2 3 4 2 2" xfId="38169" xr:uid="{E3B0C46C-BAEF-43D0-8128-40CBAAB11E74}"/>
    <cellStyle name="40% - Accent4 3 2 3 4 3" xfId="22274" xr:uid="{00000000-0005-0000-0000-000071420000}"/>
    <cellStyle name="40% - Accent4 3 2 3 4 3 2" xfId="46106" xr:uid="{50008A7B-4C4B-4D99-9314-2D2A8728D1C6}"/>
    <cellStyle name="40% - Accent4 3 2 3 4 4" xfId="30228" xr:uid="{77F64F59-E8B8-46ED-864E-4F0B47DD00F9}"/>
    <cellStyle name="40% - Accent4 3 2 3 5" xfId="9895" xr:uid="{00000000-0005-0000-0000-000072420000}"/>
    <cellStyle name="40% - Accent4 3 2 3 5 2" xfId="17853" xr:uid="{00000000-0005-0000-0000-000073420000}"/>
    <cellStyle name="40% - Accent4 3 2 3 5 2 2" xfId="41693" xr:uid="{425615C1-5F67-4A52-A6D1-B917192AE23E}"/>
    <cellStyle name="40% - Accent4 3 2 3 5 3" xfId="25797" xr:uid="{00000000-0005-0000-0000-000074420000}"/>
    <cellStyle name="40% - Accent4 3 2 3 5 3 2" xfId="49629" xr:uid="{7E022157-9A02-4E77-8988-020B072E7924}"/>
    <cellStyle name="40% - Accent4 3 2 3 5 4" xfId="33752" xr:uid="{837D4625-5D43-44BD-B1F5-157EE2862F1F}"/>
    <cellStyle name="40% - Accent4 3 2 3 6" xfId="10791" xr:uid="{00000000-0005-0000-0000-000075420000}"/>
    <cellStyle name="40% - Accent4 3 2 3 6 2" xfId="34640" xr:uid="{DB431E61-DE3F-4AF0-AD74-138401F4AC64}"/>
    <cellStyle name="40% - Accent4 3 2 3 7" xfId="18746" xr:uid="{00000000-0005-0000-0000-000076420000}"/>
    <cellStyle name="40% - Accent4 3 2 3 7 2" xfId="42578" xr:uid="{57258889-4FE3-46B8-95C5-8FAD2FFCA8B7}"/>
    <cellStyle name="40% - Accent4 3 2 3 8" xfId="26698" xr:uid="{0349E3F8-E68F-4EA0-99C5-030642A7124C}"/>
    <cellStyle name="40% - Accent4 3 2 3_Exh G" xfId="3106" xr:uid="{00000000-0005-0000-0000-000077420000}"/>
    <cellStyle name="40% - Accent4 3 2 4" xfId="1531" xr:uid="{00000000-0005-0000-0000-000078420000}"/>
    <cellStyle name="40% - Accent4 3 2 4 2" xfId="5058" xr:uid="{00000000-0005-0000-0000-000079420000}"/>
    <cellStyle name="40% - Accent4 3 2 4 2 2" xfId="8649" xr:uid="{00000000-0005-0000-0000-00007A420000}"/>
    <cellStyle name="40% - Accent4 3 2 4 2 2 2" xfId="16619" xr:uid="{00000000-0005-0000-0000-00007B420000}"/>
    <cellStyle name="40% - Accent4 3 2 4 2 2 2 2" xfId="40461" xr:uid="{27F9CCD1-B22C-49F8-AC21-2872D95D4586}"/>
    <cellStyle name="40% - Accent4 3 2 4 2 2 3" xfId="24565" xr:uid="{00000000-0005-0000-0000-00007C420000}"/>
    <cellStyle name="40% - Accent4 3 2 4 2 2 3 2" xfId="48397" xr:uid="{73274771-B831-4019-A63C-A550EB8A3441}"/>
    <cellStyle name="40% - Accent4 3 2 4 2 2 4" xfId="32520" xr:uid="{8C05C1A6-1841-4463-AB23-C6987E825393}"/>
    <cellStyle name="40% - Accent4 3 2 4 2 3" xfId="13081" xr:uid="{00000000-0005-0000-0000-00007D420000}"/>
    <cellStyle name="40% - Accent4 3 2 4 2 3 2" xfId="36930" xr:uid="{208EB7D2-6A98-48FD-A36F-C8856F1257B5}"/>
    <cellStyle name="40% - Accent4 3 2 4 2 4" xfId="21036" xr:uid="{00000000-0005-0000-0000-00007E420000}"/>
    <cellStyle name="40% - Accent4 3 2 4 2 4 2" xfId="44868" xr:uid="{9E4470DA-8FDF-4F04-98FF-8AC7AD670188}"/>
    <cellStyle name="40% - Accent4 3 2 4 2 5" xfId="28989" xr:uid="{E0E815E4-7E80-4097-AE45-86C8A34503DA}"/>
    <cellStyle name="40% - Accent4 3 2 4 3" xfId="6890" xr:uid="{00000000-0005-0000-0000-00007F420000}"/>
    <cellStyle name="40% - Accent4 3 2 4 3 2" xfId="14861" xr:uid="{00000000-0005-0000-0000-000080420000}"/>
    <cellStyle name="40% - Accent4 3 2 4 3 2 2" xfId="38703" xr:uid="{86E8FFB2-52F8-461A-8A8F-031D4099961C}"/>
    <cellStyle name="40% - Accent4 3 2 4 3 3" xfId="22808" xr:uid="{00000000-0005-0000-0000-000081420000}"/>
    <cellStyle name="40% - Accent4 3 2 4 3 3 2" xfId="46640" xr:uid="{B405BDEE-97B2-49B2-83F9-F2BD85F8A49A}"/>
    <cellStyle name="40% - Accent4 3 2 4 3 4" xfId="30762" xr:uid="{BFACB55D-CA6E-406A-9A77-5EA5D912621B}"/>
    <cellStyle name="40% - Accent4 3 2 4 4" xfId="11325" xr:uid="{00000000-0005-0000-0000-000082420000}"/>
    <cellStyle name="40% - Accent4 3 2 4 4 2" xfId="35174" xr:uid="{7DE6EA36-AFC4-4903-974E-3C9C323D9764}"/>
    <cellStyle name="40% - Accent4 3 2 4 5" xfId="19280" xr:uid="{00000000-0005-0000-0000-000083420000}"/>
    <cellStyle name="40% - Accent4 3 2 4 5 2" xfId="43112" xr:uid="{669D7D72-9354-4E9D-A150-353F5C9DCA04}"/>
    <cellStyle name="40% - Accent4 3 2 4 6" xfId="27232" xr:uid="{3C6208F0-00FF-4C34-B48F-3F8220301D10}"/>
    <cellStyle name="40% - Accent4 3 2 4_Exh G" xfId="3108" xr:uid="{00000000-0005-0000-0000-000084420000}"/>
    <cellStyle name="40% - Accent4 3 2 5" xfId="4179" xr:uid="{00000000-0005-0000-0000-000085420000}"/>
    <cellStyle name="40% - Accent4 3 2 5 2" xfId="7771" xr:uid="{00000000-0005-0000-0000-000086420000}"/>
    <cellStyle name="40% - Accent4 3 2 5 2 2" xfId="15741" xr:uid="{00000000-0005-0000-0000-000087420000}"/>
    <cellStyle name="40% - Accent4 3 2 5 2 2 2" xfId="39583" xr:uid="{8E6760F7-9AFB-4C7E-BAB0-2EF508955EE4}"/>
    <cellStyle name="40% - Accent4 3 2 5 2 3" xfId="23687" xr:uid="{00000000-0005-0000-0000-000088420000}"/>
    <cellStyle name="40% - Accent4 3 2 5 2 3 2" xfId="47519" xr:uid="{F0450BBF-E0EE-434D-969B-9AF7AB3030A3}"/>
    <cellStyle name="40% - Accent4 3 2 5 2 4" xfId="31642" xr:uid="{918FE828-0ABC-45AE-8AFE-A872EB4CEEA5}"/>
    <cellStyle name="40% - Accent4 3 2 5 3" xfId="12203" xr:uid="{00000000-0005-0000-0000-000089420000}"/>
    <cellStyle name="40% - Accent4 3 2 5 3 2" xfId="36052" xr:uid="{9B7D2F4A-C79C-4159-9D65-003B1CBC429E}"/>
    <cellStyle name="40% - Accent4 3 2 5 4" xfId="20158" xr:uid="{00000000-0005-0000-0000-00008A420000}"/>
    <cellStyle name="40% - Accent4 3 2 5 4 2" xfId="43990" xr:uid="{61A76E26-79E8-477D-9184-9569738810B2}"/>
    <cellStyle name="40% - Accent4 3 2 5 5" xfId="28111" xr:uid="{170CA39E-1D84-43F9-AA26-1AB9366F5465}"/>
    <cellStyle name="40% - Accent4 3 2 6" xfId="5999" xr:uid="{00000000-0005-0000-0000-00008B420000}"/>
    <cellStyle name="40% - Accent4 3 2 6 2" xfId="13982" xr:uid="{00000000-0005-0000-0000-00008C420000}"/>
    <cellStyle name="40% - Accent4 3 2 6 2 2" xfId="37825" xr:uid="{61BB1006-FF72-4DF0-9A3A-9C753BED0165}"/>
    <cellStyle name="40% - Accent4 3 2 6 3" xfId="21930" xr:uid="{00000000-0005-0000-0000-00008D420000}"/>
    <cellStyle name="40% - Accent4 3 2 6 3 2" xfId="45762" xr:uid="{B6A97396-7205-448E-82A3-F8009C8D1A16}"/>
    <cellStyle name="40% - Accent4 3 2 6 4" xfId="29884" xr:uid="{580BE241-31B9-45CC-ABC3-5A1BC1BE6001}"/>
    <cellStyle name="40% - Accent4 3 2 7" xfId="9551" xr:uid="{00000000-0005-0000-0000-00008E420000}"/>
    <cellStyle name="40% - Accent4 3 2 7 2" xfId="17509" xr:uid="{00000000-0005-0000-0000-00008F420000}"/>
    <cellStyle name="40% - Accent4 3 2 7 2 2" xfId="41349" xr:uid="{8E708B9B-E6C0-427F-8644-A2446210D5E8}"/>
    <cellStyle name="40% - Accent4 3 2 7 3" xfId="25453" xr:uid="{00000000-0005-0000-0000-000090420000}"/>
    <cellStyle name="40% - Accent4 3 2 7 3 2" xfId="49285" xr:uid="{E02AA4E5-51DF-4217-86DA-1A5E105484F9}"/>
    <cellStyle name="40% - Accent4 3 2 7 4" xfId="33408" xr:uid="{15FB393E-996C-4687-9DF3-BB1A92D76C57}"/>
    <cellStyle name="40% - Accent4 3 2 8" xfId="10447" xr:uid="{00000000-0005-0000-0000-000091420000}"/>
    <cellStyle name="40% - Accent4 3 2 8 2" xfId="34296" xr:uid="{D82E3D42-E108-4E46-8254-7B65C15797D2}"/>
    <cellStyle name="40% - Accent4 3 2 9" xfId="18402" xr:uid="{00000000-0005-0000-0000-000092420000}"/>
    <cellStyle name="40% - Accent4 3 2 9 2" xfId="42234" xr:uid="{8761760F-6115-459C-868F-C5E2612CC872}"/>
    <cellStyle name="40% - Accent4 3 2_Exh G" xfId="3103" xr:uid="{00000000-0005-0000-0000-000093420000}"/>
    <cellStyle name="40% - Accent4 3 3" xfId="507" xr:uid="{00000000-0005-0000-0000-000094420000}"/>
    <cellStyle name="40% - Accent4 3 3 2" xfId="1533" xr:uid="{00000000-0005-0000-0000-000095420000}"/>
    <cellStyle name="40% - Accent4 3 3 2 2" xfId="5060" xr:uid="{00000000-0005-0000-0000-000096420000}"/>
    <cellStyle name="40% - Accent4 3 3 2 2 2" xfId="8651" xr:uid="{00000000-0005-0000-0000-000097420000}"/>
    <cellStyle name="40% - Accent4 3 3 2 2 2 2" xfId="16621" xr:uid="{00000000-0005-0000-0000-000098420000}"/>
    <cellStyle name="40% - Accent4 3 3 2 2 2 2 2" xfId="40463" xr:uid="{35ED1A03-E224-46A4-938B-8F831B1213CE}"/>
    <cellStyle name="40% - Accent4 3 3 2 2 2 3" xfId="24567" xr:uid="{00000000-0005-0000-0000-000099420000}"/>
    <cellStyle name="40% - Accent4 3 3 2 2 2 3 2" xfId="48399" xr:uid="{A558D5B2-C87F-4F9A-9912-C3F63249B501}"/>
    <cellStyle name="40% - Accent4 3 3 2 2 2 4" xfId="32522" xr:uid="{B2623D0C-C0A5-4714-96AD-A77EDDB2168F}"/>
    <cellStyle name="40% - Accent4 3 3 2 2 3" xfId="13083" xr:uid="{00000000-0005-0000-0000-00009A420000}"/>
    <cellStyle name="40% - Accent4 3 3 2 2 3 2" xfId="36932" xr:uid="{B72EBBB2-D4D8-452A-88CC-330E7F4B1EA2}"/>
    <cellStyle name="40% - Accent4 3 3 2 2 4" xfId="21038" xr:uid="{00000000-0005-0000-0000-00009B420000}"/>
    <cellStyle name="40% - Accent4 3 3 2 2 4 2" xfId="44870" xr:uid="{1322A623-63BB-42EA-9D8F-97EDD7F5203F}"/>
    <cellStyle name="40% - Accent4 3 3 2 2 5" xfId="28991" xr:uid="{50498A66-5C70-4247-8DEA-F3F10310094E}"/>
    <cellStyle name="40% - Accent4 3 3 2 3" xfId="6892" xr:uid="{00000000-0005-0000-0000-00009C420000}"/>
    <cellStyle name="40% - Accent4 3 3 2 3 2" xfId="14863" xr:uid="{00000000-0005-0000-0000-00009D420000}"/>
    <cellStyle name="40% - Accent4 3 3 2 3 2 2" xfId="38705" xr:uid="{BE4D05D0-2844-4438-864A-4D6E5A362D49}"/>
    <cellStyle name="40% - Accent4 3 3 2 3 3" xfId="22810" xr:uid="{00000000-0005-0000-0000-00009E420000}"/>
    <cellStyle name="40% - Accent4 3 3 2 3 3 2" xfId="46642" xr:uid="{A4D0E37F-2F03-4B0A-9B26-2FCE4F148D82}"/>
    <cellStyle name="40% - Accent4 3 3 2 3 4" xfId="30764" xr:uid="{FBB818D9-D82B-424F-9BE8-D31C417409A6}"/>
    <cellStyle name="40% - Accent4 3 3 2 4" xfId="11327" xr:uid="{00000000-0005-0000-0000-00009F420000}"/>
    <cellStyle name="40% - Accent4 3 3 2 4 2" xfId="35176" xr:uid="{2D5AC206-6EEB-48F4-962A-1E3B561FC014}"/>
    <cellStyle name="40% - Accent4 3 3 2 5" xfId="19282" xr:uid="{00000000-0005-0000-0000-0000A0420000}"/>
    <cellStyle name="40% - Accent4 3 3 2 5 2" xfId="43114" xr:uid="{606FF65D-C694-4CB8-ACFB-92BEC51C1A6E}"/>
    <cellStyle name="40% - Accent4 3 3 2 6" xfId="27234" xr:uid="{4899E49C-69AB-4881-9799-F207EF3C3324}"/>
    <cellStyle name="40% - Accent4 3 3 2_Exh G" xfId="3110" xr:uid="{00000000-0005-0000-0000-0000A1420000}"/>
    <cellStyle name="40% - Accent4 3 3 3" xfId="4181" xr:uid="{00000000-0005-0000-0000-0000A2420000}"/>
    <cellStyle name="40% - Accent4 3 3 3 2" xfId="7773" xr:uid="{00000000-0005-0000-0000-0000A3420000}"/>
    <cellStyle name="40% - Accent4 3 3 3 2 2" xfId="15743" xr:uid="{00000000-0005-0000-0000-0000A4420000}"/>
    <cellStyle name="40% - Accent4 3 3 3 2 2 2" xfId="39585" xr:uid="{251A9456-3D47-4195-B0A7-FEE46B912FF9}"/>
    <cellStyle name="40% - Accent4 3 3 3 2 3" xfId="23689" xr:uid="{00000000-0005-0000-0000-0000A5420000}"/>
    <cellStyle name="40% - Accent4 3 3 3 2 3 2" xfId="47521" xr:uid="{71D939B4-1454-47C6-8850-0908E7AD1870}"/>
    <cellStyle name="40% - Accent4 3 3 3 2 4" xfId="31644" xr:uid="{4BE99974-172E-4C4A-AD7A-9E11821D4563}"/>
    <cellStyle name="40% - Accent4 3 3 3 3" xfId="12205" xr:uid="{00000000-0005-0000-0000-0000A6420000}"/>
    <cellStyle name="40% - Accent4 3 3 3 3 2" xfId="36054" xr:uid="{240E3F73-02B2-41FE-9365-C0B76C077E2A}"/>
    <cellStyle name="40% - Accent4 3 3 3 4" xfId="20160" xr:uid="{00000000-0005-0000-0000-0000A7420000}"/>
    <cellStyle name="40% - Accent4 3 3 3 4 2" xfId="43992" xr:uid="{543F9263-22CF-439E-9D73-70EDE2D6857B}"/>
    <cellStyle name="40% - Accent4 3 3 3 5" xfId="28113" xr:uid="{9920FBBF-80E2-4BE2-99F1-07CACB492770}"/>
    <cellStyle name="40% - Accent4 3 3 4" xfId="6001" xr:uid="{00000000-0005-0000-0000-0000A8420000}"/>
    <cellStyle name="40% - Accent4 3 3 4 2" xfId="13984" xr:uid="{00000000-0005-0000-0000-0000A9420000}"/>
    <cellStyle name="40% - Accent4 3 3 4 2 2" xfId="37827" xr:uid="{137755AB-22EC-499E-8EF3-4E271E00CA83}"/>
    <cellStyle name="40% - Accent4 3 3 4 3" xfId="21932" xr:uid="{00000000-0005-0000-0000-0000AA420000}"/>
    <cellStyle name="40% - Accent4 3 3 4 3 2" xfId="45764" xr:uid="{6C0FFFFA-1D7C-4B65-A129-E3EFCDF6612F}"/>
    <cellStyle name="40% - Accent4 3 3 4 4" xfId="29886" xr:uid="{215FFDA2-A462-4F11-B6B1-3D62428B401B}"/>
    <cellStyle name="40% - Accent4 3 3 5" xfId="9553" xr:uid="{00000000-0005-0000-0000-0000AB420000}"/>
    <cellStyle name="40% - Accent4 3 3 5 2" xfId="17511" xr:uid="{00000000-0005-0000-0000-0000AC420000}"/>
    <cellStyle name="40% - Accent4 3 3 5 2 2" xfId="41351" xr:uid="{2B8CD29E-64E6-4425-883C-17FC8D436CF7}"/>
    <cellStyle name="40% - Accent4 3 3 5 3" xfId="25455" xr:uid="{00000000-0005-0000-0000-0000AD420000}"/>
    <cellStyle name="40% - Accent4 3 3 5 3 2" xfId="49287" xr:uid="{2746BA38-69BC-433C-BE2A-7328B93C9D3A}"/>
    <cellStyle name="40% - Accent4 3 3 5 4" xfId="33410" xr:uid="{BBE4DC0B-6072-4CF7-A192-952CB2946912}"/>
    <cellStyle name="40% - Accent4 3 3 6" xfId="10449" xr:uid="{00000000-0005-0000-0000-0000AE420000}"/>
    <cellStyle name="40% - Accent4 3 3 6 2" xfId="34298" xr:uid="{AA695110-CCEF-48E0-9D13-087C6EB0DD64}"/>
    <cellStyle name="40% - Accent4 3 3 7" xfId="18404" xr:uid="{00000000-0005-0000-0000-0000AF420000}"/>
    <cellStyle name="40% - Accent4 3 3 7 2" xfId="42236" xr:uid="{32120AA1-013F-4DDC-A848-5A514FFCE095}"/>
    <cellStyle name="40% - Accent4 3 3 8" xfId="26356" xr:uid="{D09791FF-1DB4-4866-9FD6-F0B81A6F1E67}"/>
    <cellStyle name="40% - Accent4 3 3_Exh G" xfId="3109" xr:uid="{00000000-0005-0000-0000-0000B0420000}"/>
    <cellStyle name="40% - Accent4 3 4" xfId="970" xr:uid="{00000000-0005-0000-0000-0000B1420000}"/>
    <cellStyle name="40% - Accent4 3 4 2" xfId="1884" xr:uid="{00000000-0005-0000-0000-0000B2420000}"/>
    <cellStyle name="40% - Accent4 3 4 2 2" xfId="5401" xr:uid="{00000000-0005-0000-0000-0000B3420000}"/>
    <cellStyle name="40% - Accent4 3 4 2 2 2" xfId="8992" xr:uid="{00000000-0005-0000-0000-0000B4420000}"/>
    <cellStyle name="40% - Accent4 3 4 2 2 2 2" xfId="16962" xr:uid="{00000000-0005-0000-0000-0000B5420000}"/>
    <cellStyle name="40% - Accent4 3 4 2 2 2 2 2" xfId="40804" xr:uid="{C7AC2A04-8DD2-4463-8871-254CD50490C8}"/>
    <cellStyle name="40% - Accent4 3 4 2 2 2 3" xfId="24908" xr:uid="{00000000-0005-0000-0000-0000B6420000}"/>
    <cellStyle name="40% - Accent4 3 4 2 2 2 3 2" xfId="48740" xr:uid="{7BEEE5F8-7848-4DC2-AE51-7AD2665DAEEC}"/>
    <cellStyle name="40% - Accent4 3 4 2 2 2 4" xfId="32863" xr:uid="{EFA28FBE-6B89-493F-9481-940593F6D987}"/>
    <cellStyle name="40% - Accent4 3 4 2 2 3" xfId="13424" xr:uid="{00000000-0005-0000-0000-0000B7420000}"/>
    <cellStyle name="40% - Accent4 3 4 2 2 3 2" xfId="37273" xr:uid="{7A750902-C119-4047-ACD8-1B4CA897739F}"/>
    <cellStyle name="40% - Accent4 3 4 2 2 4" xfId="21379" xr:uid="{00000000-0005-0000-0000-0000B8420000}"/>
    <cellStyle name="40% - Accent4 3 4 2 2 4 2" xfId="45211" xr:uid="{E8D5AD15-2403-41DE-954A-EC34F9CCE902}"/>
    <cellStyle name="40% - Accent4 3 4 2 2 5" xfId="29332" xr:uid="{4D820A08-4877-4007-B343-B64186DA278F}"/>
    <cellStyle name="40% - Accent4 3 4 2 3" xfId="7233" xr:uid="{00000000-0005-0000-0000-0000B9420000}"/>
    <cellStyle name="40% - Accent4 3 4 2 3 2" xfId="15204" xr:uid="{00000000-0005-0000-0000-0000BA420000}"/>
    <cellStyle name="40% - Accent4 3 4 2 3 2 2" xfId="39046" xr:uid="{9AFBA840-1D1E-48B1-AC48-396468826388}"/>
    <cellStyle name="40% - Accent4 3 4 2 3 3" xfId="23151" xr:uid="{00000000-0005-0000-0000-0000BB420000}"/>
    <cellStyle name="40% - Accent4 3 4 2 3 3 2" xfId="46983" xr:uid="{2EDB9720-7761-45BE-BD5A-1B509E261DB4}"/>
    <cellStyle name="40% - Accent4 3 4 2 3 4" xfId="31105" xr:uid="{86F92019-BB8B-4EB9-9A4B-6028DC039E24}"/>
    <cellStyle name="40% - Accent4 3 4 2 4" xfId="11668" xr:uid="{00000000-0005-0000-0000-0000BC420000}"/>
    <cellStyle name="40% - Accent4 3 4 2 4 2" xfId="35517" xr:uid="{E04A7DD2-0F5A-4D42-91A9-11D37ABBF56A}"/>
    <cellStyle name="40% - Accent4 3 4 2 5" xfId="19623" xr:uid="{00000000-0005-0000-0000-0000BD420000}"/>
    <cellStyle name="40% - Accent4 3 4 2 5 2" xfId="43455" xr:uid="{6FB69803-3708-4177-9011-E3C17CCCB5E5}"/>
    <cellStyle name="40% - Accent4 3 4 2 6" xfId="27575" xr:uid="{15C0157E-037E-494F-800B-39CFBAA498C0}"/>
    <cellStyle name="40% - Accent4 3 4 2_Exh G" xfId="3112" xr:uid="{00000000-0005-0000-0000-0000BE420000}"/>
    <cellStyle name="40% - Accent4 3 4 3" xfId="4522" xr:uid="{00000000-0005-0000-0000-0000BF420000}"/>
    <cellStyle name="40% - Accent4 3 4 3 2" xfId="8114" xr:uid="{00000000-0005-0000-0000-0000C0420000}"/>
    <cellStyle name="40% - Accent4 3 4 3 2 2" xfId="16084" xr:uid="{00000000-0005-0000-0000-0000C1420000}"/>
    <cellStyle name="40% - Accent4 3 4 3 2 2 2" xfId="39926" xr:uid="{DE7C41D0-3214-406E-962F-E462BF30A05A}"/>
    <cellStyle name="40% - Accent4 3 4 3 2 3" xfId="24030" xr:uid="{00000000-0005-0000-0000-0000C2420000}"/>
    <cellStyle name="40% - Accent4 3 4 3 2 3 2" xfId="47862" xr:uid="{573D4506-09D3-466E-90E7-A3527194617C}"/>
    <cellStyle name="40% - Accent4 3 4 3 2 4" xfId="31985" xr:uid="{BE94CD56-7526-4961-A888-430EAE97E6A0}"/>
    <cellStyle name="40% - Accent4 3 4 3 3" xfId="12546" xr:uid="{00000000-0005-0000-0000-0000C3420000}"/>
    <cellStyle name="40% - Accent4 3 4 3 3 2" xfId="36395" xr:uid="{C1CE491C-AA91-47A1-B54D-3AEA4D83F11F}"/>
    <cellStyle name="40% - Accent4 3 4 3 4" xfId="20501" xr:uid="{00000000-0005-0000-0000-0000C4420000}"/>
    <cellStyle name="40% - Accent4 3 4 3 4 2" xfId="44333" xr:uid="{DEF854BA-9A6D-4216-BCB7-3C1CCEC3B537}"/>
    <cellStyle name="40% - Accent4 3 4 3 5" xfId="28454" xr:uid="{E39723AB-BA5B-4221-8119-F26AC1B0B752}"/>
    <cellStyle name="40% - Accent4 3 4 4" xfId="6352" xr:uid="{00000000-0005-0000-0000-0000C5420000}"/>
    <cellStyle name="40% - Accent4 3 4 4 2" xfId="14326" xr:uid="{00000000-0005-0000-0000-0000C6420000}"/>
    <cellStyle name="40% - Accent4 3 4 4 2 2" xfId="38168" xr:uid="{CCE05C0F-33AA-4B89-85B1-BFB559F2B8A5}"/>
    <cellStyle name="40% - Accent4 3 4 4 3" xfId="22273" xr:uid="{00000000-0005-0000-0000-0000C7420000}"/>
    <cellStyle name="40% - Accent4 3 4 4 3 2" xfId="46105" xr:uid="{24CAE5A8-8407-4865-BB34-C6BC737EF57C}"/>
    <cellStyle name="40% - Accent4 3 4 4 4" xfId="30227" xr:uid="{16EAC0ED-B5D9-4435-AE95-7F325AF86CB7}"/>
    <cellStyle name="40% - Accent4 3 4 5" xfId="9894" xr:uid="{00000000-0005-0000-0000-0000C8420000}"/>
    <cellStyle name="40% - Accent4 3 4 5 2" xfId="17852" xr:uid="{00000000-0005-0000-0000-0000C9420000}"/>
    <cellStyle name="40% - Accent4 3 4 5 2 2" xfId="41692" xr:uid="{20CE98F9-3316-4C3E-A5DC-24C1A4805EBE}"/>
    <cellStyle name="40% - Accent4 3 4 5 3" xfId="25796" xr:uid="{00000000-0005-0000-0000-0000CA420000}"/>
    <cellStyle name="40% - Accent4 3 4 5 3 2" xfId="49628" xr:uid="{152F0983-E32F-4121-8265-BCBADC71D300}"/>
    <cellStyle name="40% - Accent4 3 4 5 4" xfId="33751" xr:uid="{7D7CEBD2-6104-437D-BB7A-61D706399D36}"/>
    <cellStyle name="40% - Accent4 3 4 6" xfId="10790" xr:uid="{00000000-0005-0000-0000-0000CB420000}"/>
    <cellStyle name="40% - Accent4 3 4 6 2" xfId="34639" xr:uid="{CC39EE34-79B3-4561-93C8-A0F66CB16F15}"/>
    <cellStyle name="40% - Accent4 3 4 7" xfId="18745" xr:uid="{00000000-0005-0000-0000-0000CC420000}"/>
    <cellStyle name="40% - Accent4 3 4 7 2" xfId="42577" xr:uid="{1A7EDD43-D232-423D-8FC6-822BC9FF5724}"/>
    <cellStyle name="40% - Accent4 3 4 8" xfId="26697" xr:uid="{43FE3D6B-C47C-41BD-9C73-45AA56E5E1C1}"/>
    <cellStyle name="40% - Accent4 3 4_Exh G" xfId="3111" xr:uid="{00000000-0005-0000-0000-0000CD420000}"/>
    <cellStyle name="40% - Accent4 3 5" xfId="1530" xr:uid="{00000000-0005-0000-0000-0000CE420000}"/>
    <cellStyle name="40% - Accent4 3 5 2" xfId="5057" xr:uid="{00000000-0005-0000-0000-0000CF420000}"/>
    <cellStyle name="40% - Accent4 3 5 2 2" xfId="8648" xr:uid="{00000000-0005-0000-0000-0000D0420000}"/>
    <cellStyle name="40% - Accent4 3 5 2 2 2" xfId="16618" xr:uid="{00000000-0005-0000-0000-0000D1420000}"/>
    <cellStyle name="40% - Accent4 3 5 2 2 2 2" xfId="40460" xr:uid="{4E84AD0E-DD58-465A-9E78-72B5395D0CD7}"/>
    <cellStyle name="40% - Accent4 3 5 2 2 3" xfId="24564" xr:uid="{00000000-0005-0000-0000-0000D2420000}"/>
    <cellStyle name="40% - Accent4 3 5 2 2 3 2" xfId="48396" xr:uid="{58BCAEEB-7D24-47FB-9230-2162802888C6}"/>
    <cellStyle name="40% - Accent4 3 5 2 2 4" xfId="32519" xr:uid="{EF31644C-3669-433F-AF2F-8159B54E32E2}"/>
    <cellStyle name="40% - Accent4 3 5 2 3" xfId="13080" xr:uid="{00000000-0005-0000-0000-0000D3420000}"/>
    <cellStyle name="40% - Accent4 3 5 2 3 2" xfId="36929" xr:uid="{C398D6F0-3D87-494B-9F8B-9AD640CF01FF}"/>
    <cellStyle name="40% - Accent4 3 5 2 4" xfId="21035" xr:uid="{00000000-0005-0000-0000-0000D4420000}"/>
    <cellStyle name="40% - Accent4 3 5 2 4 2" xfId="44867" xr:uid="{F484B028-393E-4A76-9383-8B901C72BCF1}"/>
    <cellStyle name="40% - Accent4 3 5 2 5" xfId="28988" xr:uid="{630FE6DA-639E-4541-81C2-6B67F7BF51FF}"/>
    <cellStyle name="40% - Accent4 3 5 3" xfId="6889" xr:uid="{00000000-0005-0000-0000-0000D5420000}"/>
    <cellStyle name="40% - Accent4 3 5 3 2" xfId="14860" xr:uid="{00000000-0005-0000-0000-0000D6420000}"/>
    <cellStyle name="40% - Accent4 3 5 3 2 2" xfId="38702" xr:uid="{D75562EB-A0CD-42E5-83D1-54B53AE46BCC}"/>
    <cellStyle name="40% - Accent4 3 5 3 3" xfId="22807" xr:uid="{00000000-0005-0000-0000-0000D7420000}"/>
    <cellStyle name="40% - Accent4 3 5 3 3 2" xfId="46639" xr:uid="{CB0D7B56-593D-4A41-BF58-1400BACD3DAE}"/>
    <cellStyle name="40% - Accent4 3 5 3 4" xfId="30761" xr:uid="{606D61A2-6DE6-4CCD-8F4A-1AA6DD348C9F}"/>
    <cellStyle name="40% - Accent4 3 5 4" xfId="11324" xr:uid="{00000000-0005-0000-0000-0000D8420000}"/>
    <cellStyle name="40% - Accent4 3 5 4 2" xfId="35173" xr:uid="{8CFBB0A6-117A-4D7F-9F94-E7D4C341891C}"/>
    <cellStyle name="40% - Accent4 3 5 5" xfId="19279" xr:uid="{00000000-0005-0000-0000-0000D9420000}"/>
    <cellStyle name="40% - Accent4 3 5 5 2" xfId="43111" xr:uid="{523DE42C-A847-468C-8EC1-D2B2621055CF}"/>
    <cellStyle name="40% - Accent4 3 5 6" xfId="27231" xr:uid="{DC4A2825-3037-409B-9353-D4E38785554B}"/>
    <cellStyle name="40% - Accent4 3 5_Exh G" xfId="3113" xr:uid="{00000000-0005-0000-0000-0000DA420000}"/>
    <cellStyle name="40% - Accent4 3 6" xfId="4178" xr:uid="{00000000-0005-0000-0000-0000DB420000}"/>
    <cellStyle name="40% - Accent4 3 6 2" xfId="7770" xr:uid="{00000000-0005-0000-0000-0000DC420000}"/>
    <cellStyle name="40% - Accent4 3 6 2 2" xfId="15740" xr:uid="{00000000-0005-0000-0000-0000DD420000}"/>
    <cellStyle name="40% - Accent4 3 6 2 2 2" xfId="39582" xr:uid="{F04C63D2-A808-43F2-A0F0-8FF34E6EB7FA}"/>
    <cellStyle name="40% - Accent4 3 6 2 3" xfId="23686" xr:uid="{00000000-0005-0000-0000-0000DE420000}"/>
    <cellStyle name="40% - Accent4 3 6 2 3 2" xfId="47518" xr:uid="{30834049-2691-463D-AF2B-1407DD4EDBBC}"/>
    <cellStyle name="40% - Accent4 3 6 2 4" xfId="31641" xr:uid="{999B39C3-3533-434C-B02E-2DE5E02DEAD9}"/>
    <cellStyle name="40% - Accent4 3 6 3" xfId="12202" xr:uid="{00000000-0005-0000-0000-0000DF420000}"/>
    <cellStyle name="40% - Accent4 3 6 3 2" xfId="36051" xr:uid="{4A98A0C7-BDA5-426F-97B2-D42459DDF897}"/>
    <cellStyle name="40% - Accent4 3 6 4" xfId="20157" xr:uid="{00000000-0005-0000-0000-0000E0420000}"/>
    <cellStyle name="40% - Accent4 3 6 4 2" xfId="43989" xr:uid="{A24D7954-E6FE-4B92-9D6A-535662233E94}"/>
    <cellStyle name="40% - Accent4 3 6 5" xfId="28110" xr:uid="{26B18A09-CC5D-409A-B70B-B3334920A8AD}"/>
    <cellStyle name="40% - Accent4 3 7" xfId="5998" xr:uid="{00000000-0005-0000-0000-0000E1420000}"/>
    <cellStyle name="40% - Accent4 3 7 2" xfId="13981" xr:uid="{00000000-0005-0000-0000-0000E2420000}"/>
    <cellStyle name="40% - Accent4 3 7 2 2" xfId="37824" xr:uid="{2FB2F2C4-1D17-4763-86C7-934FA2F728C0}"/>
    <cellStyle name="40% - Accent4 3 7 3" xfId="21929" xr:uid="{00000000-0005-0000-0000-0000E3420000}"/>
    <cellStyle name="40% - Accent4 3 7 3 2" xfId="45761" xr:uid="{7C1F244D-B806-4F93-91AF-9465DBA07896}"/>
    <cellStyle name="40% - Accent4 3 7 4" xfId="29883" xr:uid="{988E7929-BBB9-4A26-93DC-0EAEDA53CFF4}"/>
    <cellStyle name="40% - Accent4 3 8" xfId="9550" xr:uid="{00000000-0005-0000-0000-0000E4420000}"/>
    <cellStyle name="40% - Accent4 3 8 2" xfId="17508" xr:uid="{00000000-0005-0000-0000-0000E5420000}"/>
    <cellStyle name="40% - Accent4 3 8 2 2" xfId="41348" xr:uid="{11BED97D-6136-4ACF-B129-FEDF875F48FA}"/>
    <cellStyle name="40% - Accent4 3 8 3" xfId="25452" xr:uid="{00000000-0005-0000-0000-0000E6420000}"/>
    <cellStyle name="40% - Accent4 3 8 3 2" xfId="49284" xr:uid="{A9AD87E6-8BD6-4A54-9D9C-BCCA1A43C185}"/>
    <cellStyle name="40% - Accent4 3 8 4" xfId="33407" xr:uid="{E0D032B9-3AAF-4228-8595-007B3B02E378}"/>
    <cellStyle name="40% - Accent4 3 9" xfId="10446" xr:uid="{00000000-0005-0000-0000-0000E7420000}"/>
    <cellStyle name="40% - Accent4 3 9 2" xfId="34295" xr:uid="{32EE4004-5261-4ABC-9FBD-090F51B71838}"/>
    <cellStyle name="40% - Accent4 3_Exh G" xfId="3102" xr:uid="{00000000-0005-0000-0000-0000E8420000}"/>
    <cellStyle name="40% - Accent4 4" xfId="508" xr:uid="{00000000-0005-0000-0000-0000E9420000}"/>
    <cellStyle name="40% - Accent4 4 10" xfId="18405" xr:uid="{00000000-0005-0000-0000-0000EA420000}"/>
    <cellStyle name="40% - Accent4 4 10 2" xfId="42237" xr:uid="{632A42EE-C81E-479F-A0B3-15F332C5E610}"/>
    <cellStyle name="40% - Accent4 4 11" xfId="26357" xr:uid="{24534573-AF5A-4AF7-A21C-97A969C3CA84}"/>
    <cellStyle name="40% - Accent4 4 2" xfId="509" xr:uid="{00000000-0005-0000-0000-0000EB420000}"/>
    <cellStyle name="40% - Accent4 4 2 10" xfId="26358" xr:uid="{9D838E66-EDEC-446F-941C-E45C772F7136}"/>
    <cellStyle name="40% - Accent4 4 2 2" xfId="510" xr:uid="{00000000-0005-0000-0000-0000EC420000}"/>
    <cellStyle name="40% - Accent4 4 2 2 2" xfId="1536" xr:uid="{00000000-0005-0000-0000-0000ED420000}"/>
    <cellStyle name="40% - Accent4 4 2 2 2 2" xfId="5063" xr:uid="{00000000-0005-0000-0000-0000EE420000}"/>
    <cellStyle name="40% - Accent4 4 2 2 2 2 2" xfId="8654" xr:uid="{00000000-0005-0000-0000-0000EF420000}"/>
    <cellStyle name="40% - Accent4 4 2 2 2 2 2 2" xfId="16624" xr:uid="{00000000-0005-0000-0000-0000F0420000}"/>
    <cellStyle name="40% - Accent4 4 2 2 2 2 2 2 2" xfId="40466" xr:uid="{03263D1D-3D9F-4EC8-A437-547673822D81}"/>
    <cellStyle name="40% - Accent4 4 2 2 2 2 2 3" xfId="24570" xr:uid="{00000000-0005-0000-0000-0000F1420000}"/>
    <cellStyle name="40% - Accent4 4 2 2 2 2 2 3 2" xfId="48402" xr:uid="{FE97CCF2-0448-4254-BC25-AE61D81D6136}"/>
    <cellStyle name="40% - Accent4 4 2 2 2 2 2 4" xfId="32525" xr:uid="{B99B8BA8-33C4-4887-A6A1-3FBD9DB731DC}"/>
    <cellStyle name="40% - Accent4 4 2 2 2 2 3" xfId="13086" xr:uid="{00000000-0005-0000-0000-0000F2420000}"/>
    <cellStyle name="40% - Accent4 4 2 2 2 2 3 2" xfId="36935" xr:uid="{50642F53-291E-4DBC-8406-E054960EEB2B}"/>
    <cellStyle name="40% - Accent4 4 2 2 2 2 4" xfId="21041" xr:uid="{00000000-0005-0000-0000-0000F3420000}"/>
    <cellStyle name="40% - Accent4 4 2 2 2 2 4 2" xfId="44873" xr:uid="{E225F7EE-3705-4376-B667-2A0B85FAF5AF}"/>
    <cellStyle name="40% - Accent4 4 2 2 2 2 5" xfId="28994" xr:uid="{C046F657-3383-45D1-B514-92BD9DD573DA}"/>
    <cellStyle name="40% - Accent4 4 2 2 2 3" xfId="6895" xr:uid="{00000000-0005-0000-0000-0000F4420000}"/>
    <cellStyle name="40% - Accent4 4 2 2 2 3 2" xfId="14866" xr:uid="{00000000-0005-0000-0000-0000F5420000}"/>
    <cellStyle name="40% - Accent4 4 2 2 2 3 2 2" xfId="38708" xr:uid="{BF50D321-AF4C-4818-B79A-B5AF846C0528}"/>
    <cellStyle name="40% - Accent4 4 2 2 2 3 3" xfId="22813" xr:uid="{00000000-0005-0000-0000-0000F6420000}"/>
    <cellStyle name="40% - Accent4 4 2 2 2 3 3 2" xfId="46645" xr:uid="{F318B258-3E9B-41DB-822F-7360AD25D4B9}"/>
    <cellStyle name="40% - Accent4 4 2 2 2 3 4" xfId="30767" xr:uid="{6C5E6A5E-5EB4-4F63-BB20-097E94A316FA}"/>
    <cellStyle name="40% - Accent4 4 2 2 2 4" xfId="11330" xr:uid="{00000000-0005-0000-0000-0000F7420000}"/>
    <cellStyle name="40% - Accent4 4 2 2 2 4 2" xfId="35179" xr:uid="{2720ABBF-F126-4ED5-AF64-68B8DEAA5EB3}"/>
    <cellStyle name="40% - Accent4 4 2 2 2 5" xfId="19285" xr:uid="{00000000-0005-0000-0000-0000F8420000}"/>
    <cellStyle name="40% - Accent4 4 2 2 2 5 2" xfId="43117" xr:uid="{D66E7FFC-34B5-4F2F-B884-E26AD7C6F8C7}"/>
    <cellStyle name="40% - Accent4 4 2 2 2 6" xfId="27237" xr:uid="{F16B2073-4AC1-4B6D-82B0-415DD4D570B7}"/>
    <cellStyle name="40% - Accent4 4 2 2 2_Exh G" xfId="3117" xr:uid="{00000000-0005-0000-0000-0000F9420000}"/>
    <cellStyle name="40% - Accent4 4 2 2 3" xfId="4184" xr:uid="{00000000-0005-0000-0000-0000FA420000}"/>
    <cellStyle name="40% - Accent4 4 2 2 3 2" xfId="7776" xr:uid="{00000000-0005-0000-0000-0000FB420000}"/>
    <cellStyle name="40% - Accent4 4 2 2 3 2 2" xfId="15746" xr:uid="{00000000-0005-0000-0000-0000FC420000}"/>
    <cellStyle name="40% - Accent4 4 2 2 3 2 2 2" xfId="39588" xr:uid="{E0EF5402-8C29-4DD2-A8A9-BAE7FFFD6066}"/>
    <cellStyle name="40% - Accent4 4 2 2 3 2 3" xfId="23692" xr:uid="{00000000-0005-0000-0000-0000FD420000}"/>
    <cellStyle name="40% - Accent4 4 2 2 3 2 3 2" xfId="47524" xr:uid="{57724B9F-C2F9-40C6-AB1C-898A7819245B}"/>
    <cellStyle name="40% - Accent4 4 2 2 3 2 4" xfId="31647" xr:uid="{6F74029A-5C03-484B-9CB7-EC682841C8F2}"/>
    <cellStyle name="40% - Accent4 4 2 2 3 3" xfId="12208" xr:uid="{00000000-0005-0000-0000-0000FE420000}"/>
    <cellStyle name="40% - Accent4 4 2 2 3 3 2" xfId="36057" xr:uid="{38C3D1E7-CCE2-4B36-973B-5D8797AAC1C2}"/>
    <cellStyle name="40% - Accent4 4 2 2 3 4" xfId="20163" xr:uid="{00000000-0005-0000-0000-0000FF420000}"/>
    <cellStyle name="40% - Accent4 4 2 2 3 4 2" xfId="43995" xr:uid="{7B325E63-CA49-4A17-A326-06CBEC19908E}"/>
    <cellStyle name="40% - Accent4 4 2 2 3 5" xfId="28116" xr:uid="{20320513-C35E-4469-8B84-0C98286A33CA}"/>
    <cellStyle name="40% - Accent4 4 2 2 4" xfId="6004" xr:uid="{00000000-0005-0000-0000-000000430000}"/>
    <cellStyle name="40% - Accent4 4 2 2 4 2" xfId="13987" xr:uid="{00000000-0005-0000-0000-000001430000}"/>
    <cellStyle name="40% - Accent4 4 2 2 4 2 2" xfId="37830" xr:uid="{9D664A58-25C0-4DFE-A5C0-FEB406C61D48}"/>
    <cellStyle name="40% - Accent4 4 2 2 4 3" xfId="21935" xr:uid="{00000000-0005-0000-0000-000002430000}"/>
    <cellStyle name="40% - Accent4 4 2 2 4 3 2" xfId="45767" xr:uid="{ECC20FDC-2666-4977-ADE0-F25B65C29295}"/>
    <cellStyle name="40% - Accent4 4 2 2 4 4" xfId="29889" xr:uid="{5120AC82-7B9B-481D-A9A0-BC87571CA4B7}"/>
    <cellStyle name="40% - Accent4 4 2 2 5" xfId="9556" xr:uid="{00000000-0005-0000-0000-000003430000}"/>
    <cellStyle name="40% - Accent4 4 2 2 5 2" xfId="17514" xr:uid="{00000000-0005-0000-0000-000004430000}"/>
    <cellStyle name="40% - Accent4 4 2 2 5 2 2" xfId="41354" xr:uid="{DAD5828F-295E-4F78-A455-746ADAF8DBE6}"/>
    <cellStyle name="40% - Accent4 4 2 2 5 3" xfId="25458" xr:uid="{00000000-0005-0000-0000-000005430000}"/>
    <cellStyle name="40% - Accent4 4 2 2 5 3 2" xfId="49290" xr:uid="{3D07B77C-2BAD-48D4-9EEC-2165A448B8FC}"/>
    <cellStyle name="40% - Accent4 4 2 2 5 4" xfId="33413" xr:uid="{5121BB49-BD81-4E44-A38F-E9E937E68DD9}"/>
    <cellStyle name="40% - Accent4 4 2 2 6" xfId="10452" xr:uid="{00000000-0005-0000-0000-000006430000}"/>
    <cellStyle name="40% - Accent4 4 2 2 6 2" xfId="34301" xr:uid="{08EC8E00-2AD2-48D4-9037-1A45A51F330F}"/>
    <cellStyle name="40% - Accent4 4 2 2 7" xfId="18407" xr:uid="{00000000-0005-0000-0000-000007430000}"/>
    <cellStyle name="40% - Accent4 4 2 2 7 2" xfId="42239" xr:uid="{F92B3D76-C3BE-4D0A-B593-F3C2E4F46CFE}"/>
    <cellStyle name="40% - Accent4 4 2 2 8" xfId="26359" xr:uid="{1D926EE3-F124-4771-99C7-E69F9D4F5F4F}"/>
    <cellStyle name="40% - Accent4 4 2 2_Exh G" xfId="3116" xr:uid="{00000000-0005-0000-0000-000008430000}"/>
    <cellStyle name="40% - Accent4 4 2 3" xfId="973" xr:uid="{00000000-0005-0000-0000-000009430000}"/>
    <cellStyle name="40% - Accent4 4 2 3 2" xfId="1887" xr:uid="{00000000-0005-0000-0000-00000A430000}"/>
    <cellStyle name="40% - Accent4 4 2 3 2 2" xfId="5404" xr:uid="{00000000-0005-0000-0000-00000B430000}"/>
    <cellStyle name="40% - Accent4 4 2 3 2 2 2" xfId="8995" xr:uid="{00000000-0005-0000-0000-00000C430000}"/>
    <cellStyle name="40% - Accent4 4 2 3 2 2 2 2" xfId="16965" xr:uid="{00000000-0005-0000-0000-00000D430000}"/>
    <cellStyle name="40% - Accent4 4 2 3 2 2 2 2 2" xfId="40807" xr:uid="{5E1419DF-392A-45EA-A760-15714D08E8BE}"/>
    <cellStyle name="40% - Accent4 4 2 3 2 2 2 3" xfId="24911" xr:uid="{00000000-0005-0000-0000-00000E430000}"/>
    <cellStyle name="40% - Accent4 4 2 3 2 2 2 3 2" xfId="48743" xr:uid="{34E00AF5-66F9-4939-838D-72CE96089B62}"/>
    <cellStyle name="40% - Accent4 4 2 3 2 2 2 4" xfId="32866" xr:uid="{2AB987FF-40C0-4A61-88AA-9609E3CE4BA0}"/>
    <cellStyle name="40% - Accent4 4 2 3 2 2 3" xfId="13427" xr:uid="{00000000-0005-0000-0000-00000F430000}"/>
    <cellStyle name="40% - Accent4 4 2 3 2 2 3 2" xfId="37276" xr:uid="{832B2434-20AB-4ADF-B211-1D99F6E9EA1C}"/>
    <cellStyle name="40% - Accent4 4 2 3 2 2 4" xfId="21382" xr:uid="{00000000-0005-0000-0000-000010430000}"/>
    <cellStyle name="40% - Accent4 4 2 3 2 2 4 2" xfId="45214" xr:uid="{432DB84B-B8AD-4020-A60E-C9D561DC5CEF}"/>
    <cellStyle name="40% - Accent4 4 2 3 2 2 5" xfId="29335" xr:uid="{9B780CF2-F8F5-404B-9DE6-02A3C08B02D1}"/>
    <cellStyle name="40% - Accent4 4 2 3 2 3" xfId="7236" xr:uid="{00000000-0005-0000-0000-000011430000}"/>
    <cellStyle name="40% - Accent4 4 2 3 2 3 2" xfId="15207" xr:uid="{00000000-0005-0000-0000-000012430000}"/>
    <cellStyle name="40% - Accent4 4 2 3 2 3 2 2" xfId="39049" xr:uid="{80F18427-E7CD-42E2-863D-33D34CFB6852}"/>
    <cellStyle name="40% - Accent4 4 2 3 2 3 3" xfId="23154" xr:uid="{00000000-0005-0000-0000-000013430000}"/>
    <cellStyle name="40% - Accent4 4 2 3 2 3 3 2" xfId="46986" xr:uid="{67CB5910-B6D6-4BB3-A2F2-4C65C21A327C}"/>
    <cellStyle name="40% - Accent4 4 2 3 2 3 4" xfId="31108" xr:uid="{F1788394-D3E9-4A26-89D3-4D14F38BE006}"/>
    <cellStyle name="40% - Accent4 4 2 3 2 4" xfId="11671" xr:uid="{00000000-0005-0000-0000-000014430000}"/>
    <cellStyle name="40% - Accent4 4 2 3 2 4 2" xfId="35520" xr:uid="{530B6867-A34E-4763-AE1F-39203AB1E887}"/>
    <cellStyle name="40% - Accent4 4 2 3 2 5" xfId="19626" xr:uid="{00000000-0005-0000-0000-000015430000}"/>
    <cellStyle name="40% - Accent4 4 2 3 2 5 2" xfId="43458" xr:uid="{3E31BCD5-9BE8-4E4F-AF04-502F1919999A}"/>
    <cellStyle name="40% - Accent4 4 2 3 2 6" xfId="27578" xr:uid="{B2B18174-E387-45F3-802E-A9CCAC9448EE}"/>
    <cellStyle name="40% - Accent4 4 2 3 2_Exh G" xfId="3119" xr:uid="{00000000-0005-0000-0000-000016430000}"/>
    <cellStyle name="40% - Accent4 4 2 3 3" xfId="4525" xr:uid="{00000000-0005-0000-0000-000017430000}"/>
    <cellStyle name="40% - Accent4 4 2 3 3 2" xfId="8117" xr:uid="{00000000-0005-0000-0000-000018430000}"/>
    <cellStyle name="40% - Accent4 4 2 3 3 2 2" xfId="16087" xr:uid="{00000000-0005-0000-0000-000019430000}"/>
    <cellStyle name="40% - Accent4 4 2 3 3 2 2 2" xfId="39929" xr:uid="{ED9B34F4-E6AA-4B7C-8D5E-80018C4E3847}"/>
    <cellStyle name="40% - Accent4 4 2 3 3 2 3" xfId="24033" xr:uid="{00000000-0005-0000-0000-00001A430000}"/>
    <cellStyle name="40% - Accent4 4 2 3 3 2 3 2" xfId="47865" xr:uid="{BB3B07B5-CAF3-407A-8943-BF0B05D0522F}"/>
    <cellStyle name="40% - Accent4 4 2 3 3 2 4" xfId="31988" xr:uid="{94A7BCF2-2AB6-4BD8-A302-C8C141ACAD65}"/>
    <cellStyle name="40% - Accent4 4 2 3 3 3" xfId="12549" xr:uid="{00000000-0005-0000-0000-00001B430000}"/>
    <cellStyle name="40% - Accent4 4 2 3 3 3 2" xfId="36398" xr:uid="{9AB7A869-0166-4081-AE7E-FB54D280CCF1}"/>
    <cellStyle name="40% - Accent4 4 2 3 3 4" xfId="20504" xr:uid="{00000000-0005-0000-0000-00001C430000}"/>
    <cellStyle name="40% - Accent4 4 2 3 3 4 2" xfId="44336" xr:uid="{0CEF0139-5E97-4EA4-8778-858122A4BCFC}"/>
    <cellStyle name="40% - Accent4 4 2 3 3 5" xfId="28457" xr:uid="{7697D3E2-EFA9-4DF8-8433-C361522EAAA1}"/>
    <cellStyle name="40% - Accent4 4 2 3 4" xfId="6355" xr:uid="{00000000-0005-0000-0000-00001D430000}"/>
    <cellStyle name="40% - Accent4 4 2 3 4 2" xfId="14329" xr:uid="{00000000-0005-0000-0000-00001E430000}"/>
    <cellStyle name="40% - Accent4 4 2 3 4 2 2" xfId="38171" xr:uid="{1DE76E4D-3988-4A3C-9956-72BC45AA5B71}"/>
    <cellStyle name="40% - Accent4 4 2 3 4 3" xfId="22276" xr:uid="{00000000-0005-0000-0000-00001F430000}"/>
    <cellStyle name="40% - Accent4 4 2 3 4 3 2" xfId="46108" xr:uid="{6708FF72-1076-475A-80DF-505ABD844BE0}"/>
    <cellStyle name="40% - Accent4 4 2 3 4 4" xfId="30230" xr:uid="{FB709C41-7F3D-42EE-9087-06290E49B212}"/>
    <cellStyle name="40% - Accent4 4 2 3 5" xfId="9897" xr:uid="{00000000-0005-0000-0000-000020430000}"/>
    <cellStyle name="40% - Accent4 4 2 3 5 2" xfId="17855" xr:uid="{00000000-0005-0000-0000-000021430000}"/>
    <cellStyle name="40% - Accent4 4 2 3 5 2 2" xfId="41695" xr:uid="{C72FA11A-1F2B-44CC-9917-EF22ABB7846D}"/>
    <cellStyle name="40% - Accent4 4 2 3 5 3" xfId="25799" xr:uid="{00000000-0005-0000-0000-000022430000}"/>
    <cellStyle name="40% - Accent4 4 2 3 5 3 2" xfId="49631" xr:uid="{1818DA87-340B-4864-9A56-C6FD0EDD8984}"/>
    <cellStyle name="40% - Accent4 4 2 3 5 4" xfId="33754" xr:uid="{EE45810F-72CC-4CDC-949B-AC3B04820A45}"/>
    <cellStyle name="40% - Accent4 4 2 3 6" xfId="10793" xr:uid="{00000000-0005-0000-0000-000023430000}"/>
    <cellStyle name="40% - Accent4 4 2 3 6 2" xfId="34642" xr:uid="{B545CE5E-02EA-4063-B714-D737AB3AACBE}"/>
    <cellStyle name="40% - Accent4 4 2 3 7" xfId="18748" xr:uid="{00000000-0005-0000-0000-000024430000}"/>
    <cellStyle name="40% - Accent4 4 2 3 7 2" xfId="42580" xr:uid="{D979B0F9-7EE8-4326-BFF2-DC5E1C64821B}"/>
    <cellStyle name="40% - Accent4 4 2 3 8" xfId="26700" xr:uid="{A13844D7-41ED-4CC9-B9C5-D9CB808FB05D}"/>
    <cellStyle name="40% - Accent4 4 2 3_Exh G" xfId="3118" xr:uid="{00000000-0005-0000-0000-000025430000}"/>
    <cellStyle name="40% - Accent4 4 2 4" xfId="1535" xr:uid="{00000000-0005-0000-0000-000026430000}"/>
    <cellStyle name="40% - Accent4 4 2 4 2" xfId="5062" xr:uid="{00000000-0005-0000-0000-000027430000}"/>
    <cellStyle name="40% - Accent4 4 2 4 2 2" xfId="8653" xr:uid="{00000000-0005-0000-0000-000028430000}"/>
    <cellStyle name="40% - Accent4 4 2 4 2 2 2" xfId="16623" xr:uid="{00000000-0005-0000-0000-000029430000}"/>
    <cellStyle name="40% - Accent4 4 2 4 2 2 2 2" xfId="40465" xr:uid="{E963F103-100D-461C-AA06-A1581217D798}"/>
    <cellStyle name="40% - Accent4 4 2 4 2 2 3" xfId="24569" xr:uid="{00000000-0005-0000-0000-00002A430000}"/>
    <cellStyle name="40% - Accent4 4 2 4 2 2 3 2" xfId="48401" xr:uid="{ED5F477B-0BE5-4DCF-97BF-3978B0491B52}"/>
    <cellStyle name="40% - Accent4 4 2 4 2 2 4" xfId="32524" xr:uid="{33CA7FED-8709-46E1-B1FA-1D1B05AFA90D}"/>
    <cellStyle name="40% - Accent4 4 2 4 2 3" xfId="13085" xr:uid="{00000000-0005-0000-0000-00002B430000}"/>
    <cellStyle name="40% - Accent4 4 2 4 2 3 2" xfId="36934" xr:uid="{832CA3B0-58A5-4264-BDA6-A1434D6ADE94}"/>
    <cellStyle name="40% - Accent4 4 2 4 2 4" xfId="21040" xr:uid="{00000000-0005-0000-0000-00002C430000}"/>
    <cellStyle name="40% - Accent4 4 2 4 2 4 2" xfId="44872" xr:uid="{128222D9-BFCF-4089-A8C5-859063477A70}"/>
    <cellStyle name="40% - Accent4 4 2 4 2 5" xfId="28993" xr:uid="{C8DA9DCB-76E4-4120-8AF9-F8D1FB6CDF1A}"/>
    <cellStyle name="40% - Accent4 4 2 4 3" xfId="6894" xr:uid="{00000000-0005-0000-0000-00002D430000}"/>
    <cellStyle name="40% - Accent4 4 2 4 3 2" xfId="14865" xr:uid="{00000000-0005-0000-0000-00002E430000}"/>
    <cellStyle name="40% - Accent4 4 2 4 3 2 2" xfId="38707" xr:uid="{066B5290-A610-44C8-A570-D0121401EB0F}"/>
    <cellStyle name="40% - Accent4 4 2 4 3 3" xfId="22812" xr:uid="{00000000-0005-0000-0000-00002F430000}"/>
    <cellStyle name="40% - Accent4 4 2 4 3 3 2" xfId="46644" xr:uid="{15B5C3C2-8A0F-49CA-8D62-75DE4AB95C4F}"/>
    <cellStyle name="40% - Accent4 4 2 4 3 4" xfId="30766" xr:uid="{5A3248EC-A6E9-44D6-B3E7-39AC03B657E6}"/>
    <cellStyle name="40% - Accent4 4 2 4 4" xfId="11329" xr:uid="{00000000-0005-0000-0000-000030430000}"/>
    <cellStyle name="40% - Accent4 4 2 4 4 2" xfId="35178" xr:uid="{952060E3-49B5-4242-8B0F-93068C8622DE}"/>
    <cellStyle name="40% - Accent4 4 2 4 5" xfId="19284" xr:uid="{00000000-0005-0000-0000-000031430000}"/>
    <cellStyle name="40% - Accent4 4 2 4 5 2" xfId="43116" xr:uid="{A7BB438C-0273-4BDC-BF3C-CAE455289927}"/>
    <cellStyle name="40% - Accent4 4 2 4 6" xfId="27236" xr:uid="{945EFB84-33F6-4685-BE39-139655543289}"/>
    <cellStyle name="40% - Accent4 4 2 4_Exh G" xfId="3120" xr:uid="{00000000-0005-0000-0000-000032430000}"/>
    <cellStyle name="40% - Accent4 4 2 5" xfId="4183" xr:uid="{00000000-0005-0000-0000-000033430000}"/>
    <cellStyle name="40% - Accent4 4 2 5 2" xfId="7775" xr:uid="{00000000-0005-0000-0000-000034430000}"/>
    <cellStyle name="40% - Accent4 4 2 5 2 2" xfId="15745" xr:uid="{00000000-0005-0000-0000-000035430000}"/>
    <cellStyle name="40% - Accent4 4 2 5 2 2 2" xfId="39587" xr:uid="{ED92AC35-7F58-4D22-8217-87ACB4608679}"/>
    <cellStyle name="40% - Accent4 4 2 5 2 3" xfId="23691" xr:uid="{00000000-0005-0000-0000-000036430000}"/>
    <cellStyle name="40% - Accent4 4 2 5 2 3 2" xfId="47523" xr:uid="{8E7CA8CD-D4FE-46B5-A049-66E9F3867240}"/>
    <cellStyle name="40% - Accent4 4 2 5 2 4" xfId="31646" xr:uid="{F8954320-BEFC-4A61-AA8C-DF47414970E9}"/>
    <cellStyle name="40% - Accent4 4 2 5 3" xfId="12207" xr:uid="{00000000-0005-0000-0000-000037430000}"/>
    <cellStyle name="40% - Accent4 4 2 5 3 2" xfId="36056" xr:uid="{AE9C55FD-0FF3-4E1D-8892-65254C566A9D}"/>
    <cellStyle name="40% - Accent4 4 2 5 4" xfId="20162" xr:uid="{00000000-0005-0000-0000-000038430000}"/>
    <cellStyle name="40% - Accent4 4 2 5 4 2" xfId="43994" xr:uid="{BF7118AA-4390-4DF0-9142-65F6F5868DDC}"/>
    <cellStyle name="40% - Accent4 4 2 5 5" xfId="28115" xr:uid="{8FACBF6D-23CE-479C-8DFA-523E3774FD3F}"/>
    <cellStyle name="40% - Accent4 4 2 6" xfId="6003" xr:uid="{00000000-0005-0000-0000-000039430000}"/>
    <cellStyle name="40% - Accent4 4 2 6 2" xfId="13986" xr:uid="{00000000-0005-0000-0000-00003A430000}"/>
    <cellStyle name="40% - Accent4 4 2 6 2 2" xfId="37829" xr:uid="{773E736A-67E7-48AB-8FB5-4F22778E339A}"/>
    <cellStyle name="40% - Accent4 4 2 6 3" xfId="21934" xr:uid="{00000000-0005-0000-0000-00003B430000}"/>
    <cellStyle name="40% - Accent4 4 2 6 3 2" xfId="45766" xr:uid="{007C6A6C-9DCB-48D5-B9C9-158054410268}"/>
    <cellStyle name="40% - Accent4 4 2 6 4" xfId="29888" xr:uid="{CCD3C1A7-C127-4F9B-9689-E5D93DE36FC3}"/>
    <cellStyle name="40% - Accent4 4 2 7" xfId="9555" xr:uid="{00000000-0005-0000-0000-00003C430000}"/>
    <cellStyle name="40% - Accent4 4 2 7 2" xfId="17513" xr:uid="{00000000-0005-0000-0000-00003D430000}"/>
    <cellStyle name="40% - Accent4 4 2 7 2 2" xfId="41353" xr:uid="{F0CCE1ED-4EC1-44A4-B3AE-67C77768BE1F}"/>
    <cellStyle name="40% - Accent4 4 2 7 3" xfId="25457" xr:uid="{00000000-0005-0000-0000-00003E430000}"/>
    <cellStyle name="40% - Accent4 4 2 7 3 2" xfId="49289" xr:uid="{49A801B6-40D2-4497-A3D5-C56289449DED}"/>
    <cellStyle name="40% - Accent4 4 2 7 4" xfId="33412" xr:uid="{898C76D2-AE0B-4BE5-9029-C994F2DE920A}"/>
    <cellStyle name="40% - Accent4 4 2 8" xfId="10451" xr:uid="{00000000-0005-0000-0000-00003F430000}"/>
    <cellStyle name="40% - Accent4 4 2 8 2" xfId="34300" xr:uid="{3B9E4D37-C7A7-465B-BD45-4896EED40509}"/>
    <cellStyle name="40% - Accent4 4 2 9" xfId="18406" xr:uid="{00000000-0005-0000-0000-000040430000}"/>
    <cellStyle name="40% - Accent4 4 2 9 2" xfId="42238" xr:uid="{28DEAE5D-21B4-45C4-87F0-57623EB333EB}"/>
    <cellStyle name="40% - Accent4 4 2_Exh G" xfId="3115" xr:uid="{00000000-0005-0000-0000-000041430000}"/>
    <cellStyle name="40% - Accent4 4 3" xfId="511" xr:uid="{00000000-0005-0000-0000-000042430000}"/>
    <cellStyle name="40% - Accent4 4 3 2" xfId="1537" xr:uid="{00000000-0005-0000-0000-000043430000}"/>
    <cellStyle name="40% - Accent4 4 3 2 2" xfId="5064" xr:uid="{00000000-0005-0000-0000-000044430000}"/>
    <cellStyle name="40% - Accent4 4 3 2 2 2" xfId="8655" xr:uid="{00000000-0005-0000-0000-000045430000}"/>
    <cellStyle name="40% - Accent4 4 3 2 2 2 2" xfId="16625" xr:uid="{00000000-0005-0000-0000-000046430000}"/>
    <cellStyle name="40% - Accent4 4 3 2 2 2 2 2" xfId="40467" xr:uid="{073A4BCC-6BC2-4226-A2E1-E5DC8AC23553}"/>
    <cellStyle name="40% - Accent4 4 3 2 2 2 3" xfId="24571" xr:uid="{00000000-0005-0000-0000-000047430000}"/>
    <cellStyle name="40% - Accent4 4 3 2 2 2 3 2" xfId="48403" xr:uid="{BC337507-8E9A-4107-AF87-303838D788EC}"/>
    <cellStyle name="40% - Accent4 4 3 2 2 2 4" xfId="32526" xr:uid="{40C160F6-3C51-49EF-AE06-3E118631C9E2}"/>
    <cellStyle name="40% - Accent4 4 3 2 2 3" xfId="13087" xr:uid="{00000000-0005-0000-0000-000048430000}"/>
    <cellStyle name="40% - Accent4 4 3 2 2 3 2" xfId="36936" xr:uid="{A30A20A3-0873-4B3E-8177-9C9960737FF1}"/>
    <cellStyle name="40% - Accent4 4 3 2 2 4" xfId="21042" xr:uid="{00000000-0005-0000-0000-000049430000}"/>
    <cellStyle name="40% - Accent4 4 3 2 2 4 2" xfId="44874" xr:uid="{CA897CB4-CA63-47C2-90A1-394945A4BC25}"/>
    <cellStyle name="40% - Accent4 4 3 2 2 5" xfId="28995" xr:uid="{3BC96E24-AA07-4202-B5DF-9EA69FFCC17D}"/>
    <cellStyle name="40% - Accent4 4 3 2 3" xfId="6896" xr:uid="{00000000-0005-0000-0000-00004A430000}"/>
    <cellStyle name="40% - Accent4 4 3 2 3 2" xfId="14867" xr:uid="{00000000-0005-0000-0000-00004B430000}"/>
    <cellStyle name="40% - Accent4 4 3 2 3 2 2" xfId="38709" xr:uid="{FC0F7E60-181B-4D46-86F4-514015C45714}"/>
    <cellStyle name="40% - Accent4 4 3 2 3 3" xfId="22814" xr:uid="{00000000-0005-0000-0000-00004C430000}"/>
    <cellStyle name="40% - Accent4 4 3 2 3 3 2" xfId="46646" xr:uid="{17BB96B7-E5DA-4661-B29A-1B69328FDFC4}"/>
    <cellStyle name="40% - Accent4 4 3 2 3 4" xfId="30768" xr:uid="{E55E812A-A369-4419-B9AD-E0F05DF03092}"/>
    <cellStyle name="40% - Accent4 4 3 2 4" xfId="11331" xr:uid="{00000000-0005-0000-0000-00004D430000}"/>
    <cellStyle name="40% - Accent4 4 3 2 4 2" xfId="35180" xr:uid="{B0B954E9-F7AD-4BF5-AB73-2CE5A40AA066}"/>
    <cellStyle name="40% - Accent4 4 3 2 5" xfId="19286" xr:uid="{00000000-0005-0000-0000-00004E430000}"/>
    <cellStyle name="40% - Accent4 4 3 2 5 2" xfId="43118" xr:uid="{1B1256D7-B13F-4736-A98A-0DEFE1CE9483}"/>
    <cellStyle name="40% - Accent4 4 3 2 6" xfId="27238" xr:uid="{36E5E701-7C61-480C-A60E-DF877B9977DF}"/>
    <cellStyle name="40% - Accent4 4 3 2_Exh G" xfId="3122" xr:uid="{00000000-0005-0000-0000-00004F430000}"/>
    <cellStyle name="40% - Accent4 4 3 3" xfId="4185" xr:uid="{00000000-0005-0000-0000-000050430000}"/>
    <cellStyle name="40% - Accent4 4 3 3 2" xfId="7777" xr:uid="{00000000-0005-0000-0000-000051430000}"/>
    <cellStyle name="40% - Accent4 4 3 3 2 2" xfId="15747" xr:uid="{00000000-0005-0000-0000-000052430000}"/>
    <cellStyle name="40% - Accent4 4 3 3 2 2 2" xfId="39589" xr:uid="{036D19CD-1CBA-4842-8C13-9EE1C34DFB62}"/>
    <cellStyle name="40% - Accent4 4 3 3 2 3" xfId="23693" xr:uid="{00000000-0005-0000-0000-000053430000}"/>
    <cellStyle name="40% - Accent4 4 3 3 2 3 2" xfId="47525" xr:uid="{AC71452B-C4F1-49F0-AD23-728255E5BDE3}"/>
    <cellStyle name="40% - Accent4 4 3 3 2 4" xfId="31648" xr:uid="{ED47B456-19CD-4022-9E39-5EE6AE058792}"/>
    <cellStyle name="40% - Accent4 4 3 3 3" xfId="12209" xr:uid="{00000000-0005-0000-0000-000054430000}"/>
    <cellStyle name="40% - Accent4 4 3 3 3 2" xfId="36058" xr:uid="{3901452D-3933-4A4E-A07C-AD6AE0DCEDB1}"/>
    <cellStyle name="40% - Accent4 4 3 3 4" xfId="20164" xr:uid="{00000000-0005-0000-0000-000055430000}"/>
    <cellStyle name="40% - Accent4 4 3 3 4 2" xfId="43996" xr:uid="{D0A20728-B7F2-41FD-90CE-5094BC391DDE}"/>
    <cellStyle name="40% - Accent4 4 3 3 5" xfId="28117" xr:uid="{1194464D-8FF0-48B4-9C62-072610CC36D9}"/>
    <cellStyle name="40% - Accent4 4 3 4" xfId="6005" xr:uid="{00000000-0005-0000-0000-000056430000}"/>
    <cellStyle name="40% - Accent4 4 3 4 2" xfId="13988" xr:uid="{00000000-0005-0000-0000-000057430000}"/>
    <cellStyle name="40% - Accent4 4 3 4 2 2" xfId="37831" xr:uid="{CC790D92-A27F-4953-80CD-A415F415E793}"/>
    <cellStyle name="40% - Accent4 4 3 4 3" xfId="21936" xr:uid="{00000000-0005-0000-0000-000058430000}"/>
    <cellStyle name="40% - Accent4 4 3 4 3 2" xfId="45768" xr:uid="{BFE4B4EC-7C99-4907-A1AC-8E974FEF88F1}"/>
    <cellStyle name="40% - Accent4 4 3 4 4" xfId="29890" xr:uid="{FE41C395-DE11-4539-9517-BF688FD39B6A}"/>
    <cellStyle name="40% - Accent4 4 3 5" xfId="9557" xr:uid="{00000000-0005-0000-0000-000059430000}"/>
    <cellStyle name="40% - Accent4 4 3 5 2" xfId="17515" xr:uid="{00000000-0005-0000-0000-00005A430000}"/>
    <cellStyle name="40% - Accent4 4 3 5 2 2" xfId="41355" xr:uid="{DCA53B72-6D7F-49A8-AA9E-37A60D26755D}"/>
    <cellStyle name="40% - Accent4 4 3 5 3" xfId="25459" xr:uid="{00000000-0005-0000-0000-00005B430000}"/>
    <cellStyle name="40% - Accent4 4 3 5 3 2" xfId="49291" xr:uid="{56DE96D6-ACCB-4E34-BC3B-00533F235A00}"/>
    <cellStyle name="40% - Accent4 4 3 5 4" xfId="33414" xr:uid="{F2E373DD-C77A-48FC-BE64-D56D1748A2AB}"/>
    <cellStyle name="40% - Accent4 4 3 6" xfId="10453" xr:uid="{00000000-0005-0000-0000-00005C430000}"/>
    <cellStyle name="40% - Accent4 4 3 6 2" xfId="34302" xr:uid="{A3672DC4-37C3-4E89-8865-E0C4A5230DCC}"/>
    <cellStyle name="40% - Accent4 4 3 7" xfId="18408" xr:uid="{00000000-0005-0000-0000-00005D430000}"/>
    <cellStyle name="40% - Accent4 4 3 7 2" xfId="42240" xr:uid="{F2B44DE8-C8CF-4856-9774-8D4E83508C58}"/>
    <cellStyle name="40% - Accent4 4 3 8" xfId="26360" xr:uid="{6D236BAA-C7DB-40E9-8A20-A4B0FF05FEF7}"/>
    <cellStyle name="40% - Accent4 4 3_Exh G" xfId="3121" xr:uid="{00000000-0005-0000-0000-00005E430000}"/>
    <cellStyle name="40% - Accent4 4 4" xfId="972" xr:uid="{00000000-0005-0000-0000-00005F430000}"/>
    <cellStyle name="40% - Accent4 4 4 2" xfId="1886" xr:uid="{00000000-0005-0000-0000-000060430000}"/>
    <cellStyle name="40% - Accent4 4 4 2 2" xfId="5403" xr:uid="{00000000-0005-0000-0000-000061430000}"/>
    <cellStyle name="40% - Accent4 4 4 2 2 2" xfId="8994" xr:uid="{00000000-0005-0000-0000-000062430000}"/>
    <cellStyle name="40% - Accent4 4 4 2 2 2 2" xfId="16964" xr:uid="{00000000-0005-0000-0000-000063430000}"/>
    <cellStyle name="40% - Accent4 4 4 2 2 2 2 2" xfId="40806" xr:uid="{F87E5F92-11E4-4EF3-995F-73F739C88579}"/>
    <cellStyle name="40% - Accent4 4 4 2 2 2 3" xfId="24910" xr:uid="{00000000-0005-0000-0000-000064430000}"/>
    <cellStyle name="40% - Accent4 4 4 2 2 2 3 2" xfId="48742" xr:uid="{09EAAD9B-5A73-48AA-B33B-96EF2D321AF7}"/>
    <cellStyle name="40% - Accent4 4 4 2 2 2 4" xfId="32865" xr:uid="{F52B4E9C-9587-4456-9CE4-CECEE3281DFC}"/>
    <cellStyle name="40% - Accent4 4 4 2 2 3" xfId="13426" xr:uid="{00000000-0005-0000-0000-000065430000}"/>
    <cellStyle name="40% - Accent4 4 4 2 2 3 2" xfId="37275" xr:uid="{7164CC7A-A62A-4557-B3A6-5702960F7DFF}"/>
    <cellStyle name="40% - Accent4 4 4 2 2 4" xfId="21381" xr:uid="{00000000-0005-0000-0000-000066430000}"/>
    <cellStyle name="40% - Accent4 4 4 2 2 4 2" xfId="45213" xr:uid="{DA7DAD9A-6832-4A9E-9074-AF6151EDBFF4}"/>
    <cellStyle name="40% - Accent4 4 4 2 2 5" xfId="29334" xr:uid="{5D5FC4EC-0DD8-475D-8DC5-DCE888EEF3C3}"/>
    <cellStyle name="40% - Accent4 4 4 2 3" xfId="7235" xr:uid="{00000000-0005-0000-0000-000067430000}"/>
    <cellStyle name="40% - Accent4 4 4 2 3 2" xfId="15206" xr:uid="{00000000-0005-0000-0000-000068430000}"/>
    <cellStyle name="40% - Accent4 4 4 2 3 2 2" xfId="39048" xr:uid="{5E26AE9D-FA48-40F0-9862-A7B5FDF8530F}"/>
    <cellStyle name="40% - Accent4 4 4 2 3 3" xfId="23153" xr:uid="{00000000-0005-0000-0000-000069430000}"/>
    <cellStyle name="40% - Accent4 4 4 2 3 3 2" xfId="46985" xr:uid="{37344C04-3602-43AE-985E-C6DC21D8C6F5}"/>
    <cellStyle name="40% - Accent4 4 4 2 3 4" xfId="31107" xr:uid="{5A302D48-B212-4BA9-8111-9BAAB99841B7}"/>
    <cellStyle name="40% - Accent4 4 4 2 4" xfId="11670" xr:uid="{00000000-0005-0000-0000-00006A430000}"/>
    <cellStyle name="40% - Accent4 4 4 2 4 2" xfId="35519" xr:uid="{9E2FDB0E-256A-42C3-999D-A85DDFDE6E9A}"/>
    <cellStyle name="40% - Accent4 4 4 2 5" xfId="19625" xr:uid="{00000000-0005-0000-0000-00006B430000}"/>
    <cellStyle name="40% - Accent4 4 4 2 5 2" xfId="43457" xr:uid="{7B411342-F410-4AD8-A597-3888AEA340BD}"/>
    <cellStyle name="40% - Accent4 4 4 2 6" xfId="27577" xr:uid="{615E07E1-239C-4899-9A0F-3BAAE64FD725}"/>
    <cellStyle name="40% - Accent4 4 4 2_Exh G" xfId="3124" xr:uid="{00000000-0005-0000-0000-00006C430000}"/>
    <cellStyle name="40% - Accent4 4 4 3" xfId="4524" xr:uid="{00000000-0005-0000-0000-00006D430000}"/>
    <cellStyle name="40% - Accent4 4 4 3 2" xfId="8116" xr:uid="{00000000-0005-0000-0000-00006E430000}"/>
    <cellStyle name="40% - Accent4 4 4 3 2 2" xfId="16086" xr:uid="{00000000-0005-0000-0000-00006F430000}"/>
    <cellStyle name="40% - Accent4 4 4 3 2 2 2" xfId="39928" xr:uid="{974C7BFE-98E8-4EE7-892C-E38330046E4D}"/>
    <cellStyle name="40% - Accent4 4 4 3 2 3" xfId="24032" xr:uid="{00000000-0005-0000-0000-000070430000}"/>
    <cellStyle name="40% - Accent4 4 4 3 2 3 2" xfId="47864" xr:uid="{17C1D3FA-04D4-4BB9-8DEE-3552F58B75F4}"/>
    <cellStyle name="40% - Accent4 4 4 3 2 4" xfId="31987" xr:uid="{02651627-76BE-4F00-90A1-C33463840E3D}"/>
    <cellStyle name="40% - Accent4 4 4 3 3" xfId="12548" xr:uid="{00000000-0005-0000-0000-000071430000}"/>
    <cellStyle name="40% - Accent4 4 4 3 3 2" xfId="36397" xr:uid="{52398E97-5D37-42CE-9E6B-E587798C125B}"/>
    <cellStyle name="40% - Accent4 4 4 3 4" xfId="20503" xr:uid="{00000000-0005-0000-0000-000072430000}"/>
    <cellStyle name="40% - Accent4 4 4 3 4 2" xfId="44335" xr:uid="{18B1F2DE-D0E3-4748-B115-439CA32441C0}"/>
    <cellStyle name="40% - Accent4 4 4 3 5" xfId="28456" xr:uid="{85520F26-EAF6-49F2-92EA-1A1ED095E387}"/>
    <cellStyle name="40% - Accent4 4 4 4" xfId="6354" xr:uid="{00000000-0005-0000-0000-000073430000}"/>
    <cellStyle name="40% - Accent4 4 4 4 2" xfId="14328" xr:uid="{00000000-0005-0000-0000-000074430000}"/>
    <cellStyle name="40% - Accent4 4 4 4 2 2" xfId="38170" xr:uid="{CDC227E3-8DF5-456C-9560-625199BA5BC2}"/>
    <cellStyle name="40% - Accent4 4 4 4 3" xfId="22275" xr:uid="{00000000-0005-0000-0000-000075430000}"/>
    <cellStyle name="40% - Accent4 4 4 4 3 2" xfId="46107" xr:uid="{04790122-33F7-41DD-9C94-E8F355DF5C8D}"/>
    <cellStyle name="40% - Accent4 4 4 4 4" xfId="30229" xr:uid="{CBCA3F3D-EFA0-41AB-A148-4F4859207A26}"/>
    <cellStyle name="40% - Accent4 4 4 5" xfId="9896" xr:uid="{00000000-0005-0000-0000-000076430000}"/>
    <cellStyle name="40% - Accent4 4 4 5 2" xfId="17854" xr:uid="{00000000-0005-0000-0000-000077430000}"/>
    <cellStyle name="40% - Accent4 4 4 5 2 2" xfId="41694" xr:uid="{B5072B4E-BAC3-4759-860B-B75014AAC3C7}"/>
    <cellStyle name="40% - Accent4 4 4 5 3" xfId="25798" xr:uid="{00000000-0005-0000-0000-000078430000}"/>
    <cellStyle name="40% - Accent4 4 4 5 3 2" xfId="49630" xr:uid="{C7579C3F-D791-454F-8A24-42A2C9AD5BCF}"/>
    <cellStyle name="40% - Accent4 4 4 5 4" xfId="33753" xr:uid="{599C771A-BB94-4669-963B-24B5E26C7A69}"/>
    <cellStyle name="40% - Accent4 4 4 6" xfId="10792" xr:uid="{00000000-0005-0000-0000-000079430000}"/>
    <cellStyle name="40% - Accent4 4 4 6 2" xfId="34641" xr:uid="{ADA26ABE-5160-4F48-B557-F3B784745CE9}"/>
    <cellStyle name="40% - Accent4 4 4 7" xfId="18747" xr:uid="{00000000-0005-0000-0000-00007A430000}"/>
    <cellStyle name="40% - Accent4 4 4 7 2" xfId="42579" xr:uid="{715A35C1-10BF-4D6C-909A-ECEA7546D05A}"/>
    <cellStyle name="40% - Accent4 4 4 8" xfId="26699" xr:uid="{C24C1827-34DC-4445-A112-E1661FBC0BC6}"/>
    <cellStyle name="40% - Accent4 4 4_Exh G" xfId="3123" xr:uid="{00000000-0005-0000-0000-00007B430000}"/>
    <cellStyle name="40% - Accent4 4 5" xfId="1534" xr:uid="{00000000-0005-0000-0000-00007C430000}"/>
    <cellStyle name="40% - Accent4 4 5 2" xfId="5061" xr:uid="{00000000-0005-0000-0000-00007D430000}"/>
    <cellStyle name="40% - Accent4 4 5 2 2" xfId="8652" xr:uid="{00000000-0005-0000-0000-00007E430000}"/>
    <cellStyle name="40% - Accent4 4 5 2 2 2" xfId="16622" xr:uid="{00000000-0005-0000-0000-00007F430000}"/>
    <cellStyle name="40% - Accent4 4 5 2 2 2 2" xfId="40464" xr:uid="{59732075-9E01-4C02-89EC-A347C4A1D1C9}"/>
    <cellStyle name="40% - Accent4 4 5 2 2 3" xfId="24568" xr:uid="{00000000-0005-0000-0000-000080430000}"/>
    <cellStyle name="40% - Accent4 4 5 2 2 3 2" xfId="48400" xr:uid="{D6EEC58A-BB43-4B0C-A452-4258B2D8BA7F}"/>
    <cellStyle name="40% - Accent4 4 5 2 2 4" xfId="32523" xr:uid="{660648D5-2FA9-4ED5-9D32-0C5C6D68CF38}"/>
    <cellStyle name="40% - Accent4 4 5 2 3" xfId="13084" xr:uid="{00000000-0005-0000-0000-000081430000}"/>
    <cellStyle name="40% - Accent4 4 5 2 3 2" xfId="36933" xr:uid="{9F2A256A-7711-45D6-8329-CB529A1D25AF}"/>
    <cellStyle name="40% - Accent4 4 5 2 4" xfId="21039" xr:uid="{00000000-0005-0000-0000-000082430000}"/>
    <cellStyle name="40% - Accent4 4 5 2 4 2" xfId="44871" xr:uid="{DDBD42A3-3F26-4ADE-BC74-46EFB7024CB8}"/>
    <cellStyle name="40% - Accent4 4 5 2 5" xfId="28992" xr:uid="{D49A2D43-FBC1-43CA-87F6-1C75D5CBC3A6}"/>
    <cellStyle name="40% - Accent4 4 5 3" xfId="6893" xr:uid="{00000000-0005-0000-0000-000083430000}"/>
    <cellStyle name="40% - Accent4 4 5 3 2" xfId="14864" xr:uid="{00000000-0005-0000-0000-000084430000}"/>
    <cellStyle name="40% - Accent4 4 5 3 2 2" xfId="38706" xr:uid="{8B6EDCFB-0E5F-4628-8A31-7F4CDE7C3E35}"/>
    <cellStyle name="40% - Accent4 4 5 3 3" xfId="22811" xr:uid="{00000000-0005-0000-0000-000085430000}"/>
    <cellStyle name="40% - Accent4 4 5 3 3 2" xfId="46643" xr:uid="{4DA78600-DCEC-47E7-9CF0-AEE910AE30FB}"/>
    <cellStyle name="40% - Accent4 4 5 3 4" xfId="30765" xr:uid="{8B08A570-3EA0-47BF-B39D-B8547DEF65CB}"/>
    <cellStyle name="40% - Accent4 4 5 4" xfId="11328" xr:uid="{00000000-0005-0000-0000-000086430000}"/>
    <cellStyle name="40% - Accent4 4 5 4 2" xfId="35177" xr:uid="{24152146-A8D7-4297-9915-13B305E2FCB6}"/>
    <cellStyle name="40% - Accent4 4 5 5" xfId="19283" xr:uid="{00000000-0005-0000-0000-000087430000}"/>
    <cellStyle name="40% - Accent4 4 5 5 2" xfId="43115" xr:uid="{FC9840C4-F8DC-4DEE-928B-80535E78E8A1}"/>
    <cellStyle name="40% - Accent4 4 5 6" xfId="27235" xr:uid="{69D2340B-06DF-4204-9A9A-F4B3CB1E9A76}"/>
    <cellStyle name="40% - Accent4 4 5_Exh G" xfId="3125" xr:uid="{00000000-0005-0000-0000-000088430000}"/>
    <cellStyle name="40% - Accent4 4 6" xfId="4182" xr:uid="{00000000-0005-0000-0000-000089430000}"/>
    <cellStyle name="40% - Accent4 4 6 2" xfId="7774" xr:uid="{00000000-0005-0000-0000-00008A430000}"/>
    <cellStyle name="40% - Accent4 4 6 2 2" xfId="15744" xr:uid="{00000000-0005-0000-0000-00008B430000}"/>
    <cellStyle name="40% - Accent4 4 6 2 2 2" xfId="39586" xr:uid="{FF199829-BEC7-418D-8682-335636A639A2}"/>
    <cellStyle name="40% - Accent4 4 6 2 3" xfId="23690" xr:uid="{00000000-0005-0000-0000-00008C430000}"/>
    <cellStyle name="40% - Accent4 4 6 2 3 2" xfId="47522" xr:uid="{EFB5BAEA-61F9-4328-9A4A-96646802DD5B}"/>
    <cellStyle name="40% - Accent4 4 6 2 4" xfId="31645" xr:uid="{7FB0B6E2-44A0-4D04-8013-249A8071ADE9}"/>
    <cellStyle name="40% - Accent4 4 6 3" xfId="12206" xr:uid="{00000000-0005-0000-0000-00008D430000}"/>
    <cellStyle name="40% - Accent4 4 6 3 2" xfId="36055" xr:uid="{5A0C2591-CA36-4CF2-90D0-86C560E3A83A}"/>
    <cellStyle name="40% - Accent4 4 6 4" xfId="20161" xr:uid="{00000000-0005-0000-0000-00008E430000}"/>
    <cellStyle name="40% - Accent4 4 6 4 2" xfId="43993" xr:uid="{B2F5D345-E78B-40EB-94B3-1D266944305B}"/>
    <cellStyle name="40% - Accent4 4 6 5" xfId="28114" xr:uid="{4B43F683-5B91-4987-9998-7F4D49422889}"/>
    <cellStyle name="40% - Accent4 4 7" xfId="6002" xr:uid="{00000000-0005-0000-0000-00008F430000}"/>
    <cellStyle name="40% - Accent4 4 7 2" xfId="13985" xr:uid="{00000000-0005-0000-0000-000090430000}"/>
    <cellStyle name="40% - Accent4 4 7 2 2" xfId="37828" xr:uid="{BE895380-E86D-4C60-B979-395B6F8E5471}"/>
    <cellStyle name="40% - Accent4 4 7 3" xfId="21933" xr:uid="{00000000-0005-0000-0000-000091430000}"/>
    <cellStyle name="40% - Accent4 4 7 3 2" xfId="45765" xr:uid="{09BFA047-E13A-4B00-B4A2-EF69B1B40E7B}"/>
    <cellStyle name="40% - Accent4 4 7 4" xfId="29887" xr:uid="{79CBAEC0-D3F6-4CA3-94E2-DFB3C2EC1BF4}"/>
    <cellStyle name="40% - Accent4 4 8" xfId="9554" xr:uid="{00000000-0005-0000-0000-000092430000}"/>
    <cellStyle name="40% - Accent4 4 8 2" xfId="17512" xr:uid="{00000000-0005-0000-0000-000093430000}"/>
    <cellStyle name="40% - Accent4 4 8 2 2" xfId="41352" xr:uid="{531F5B57-163D-4229-89FA-F859CE4525F5}"/>
    <cellStyle name="40% - Accent4 4 8 3" xfId="25456" xr:uid="{00000000-0005-0000-0000-000094430000}"/>
    <cellStyle name="40% - Accent4 4 8 3 2" xfId="49288" xr:uid="{A2E6666D-B3AB-4959-A6C7-A3065801F4C5}"/>
    <cellStyle name="40% - Accent4 4 8 4" xfId="33411" xr:uid="{FC20C28A-8B6E-482F-B72C-C60D2F5B02C7}"/>
    <cellStyle name="40% - Accent4 4 9" xfId="10450" xr:uid="{00000000-0005-0000-0000-000095430000}"/>
    <cellStyle name="40% - Accent4 4 9 2" xfId="34299" xr:uid="{A68FDC22-01C1-4519-9A08-56D40095BF2A}"/>
    <cellStyle name="40% - Accent4 4_Exh G" xfId="3114" xr:uid="{00000000-0005-0000-0000-000096430000}"/>
    <cellStyle name="40% - Accent4 5" xfId="512" xr:uid="{00000000-0005-0000-0000-000097430000}"/>
    <cellStyle name="40% - Accent4 5 10" xfId="18409" xr:uid="{00000000-0005-0000-0000-000098430000}"/>
    <cellStyle name="40% - Accent4 5 10 2" xfId="42241" xr:uid="{51D00649-327F-4BB3-9F38-F0F764FF1424}"/>
    <cellStyle name="40% - Accent4 5 11" xfId="26361" xr:uid="{A6A8CC89-9B4A-4AD6-AF37-825A6BA8D3FE}"/>
    <cellStyle name="40% - Accent4 5 2" xfId="513" xr:uid="{00000000-0005-0000-0000-000099430000}"/>
    <cellStyle name="40% - Accent4 5 2 2" xfId="514" xr:uid="{00000000-0005-0000-0000-00009A430000}"/>
    <cellStyle name="40% - Accent4 5 2 2 2" xfId="1540" xr:uid="{00000000-0005-0000-0000-00009B430000}"/>
    <cellStyle name="40% - Accent4 5 2 2 2 2" xfId="5067" xr:uid="{00000000-0005-0000-0000-00009C430000}"/>
    <cellStyle name="40% - Accent4 5 2 2 2 2 2" xfId="8658" xr:uid="{00000000-0005-0000-0000-00009D430000}"/>
    <cellStyle name="40% - Accent4 5 2 2 2 2 2 2" xfId="16628" xr:uid="{00000000-0005-0000-0000-00009E430000}"/>
    <cellStyle name="40% - Accent4 5 2 2 2 2 2 2 2" xfId="40470" xr:uid="{6F9ABDF6-96D0-485B-96D9-FD90F44E7E51}"/>
    <cellStyle name="40% - Accent4 5 2 2 2 2 2 3" xfId="24574" xr:uid="{00000000-0005-0000-0000-00009F430000}"/>
    <cellStyle name="40% - Accent4 5 2 2 2 2 2 3 2" xfId="48406" xr:uid="{5EF5D02F-8301-4262-9DC9-B60F3879236A}"/>
    <cellStyle name="40% - Accent4 5 2 2 2 2 2 4" xfId="32529" xr:uid="{357B8DE0-593B-4036-B74D-5579C389CDF1}"/>
    <cellStyle name="40% - Accent4 5 2 2 2 2 3" xfId="13090" xr:uid="{00000000-0005-0000-0000-0000A0430000}"/>
    <cellStyle name="40% - Accent4 5 2 2 2 2 3 2" xfId="36939" xr:uid="{7EB3022A-ECE0-4059-8CE9-909EC93F49A3}"/>
    <cellStyle name="40% - Accent4 5 2 2 2 2 4" xfId="21045" xr:uid="{00000000-0005-0000-0000-0000A1430000}"/>
    <cellStyle name="40% - Accent4 5 2 2 2 2 4 2" xfId="44877" xr:uid="{57596FD9-72EB-4D1C-B974-2F9E1B07C3A9}"/>
    <cellStyle name="40% - Accent4 5 2 2 2 2 5" xfId="28998" xr:uid="{30B3D384-A13A-4AD6-A0CC-BE84037D32F7}"/>
    <cellStyle name="40% - Accent4 5 2 2 2 3" xfId="6899" xr:uid="{00000000-0005-0000-0000-0000A2430000}"/>
    <cellStyle name="40% - Accent4 5 2 2 2 3 2" xfId="14870" xr:uid="{00000000-0005-0000-0000-0000A3430000}"/>
    <cellStyle name="40% - Accent4 5 2 2 2 3 2 2" xfId="38712" xr:uid="{43727A52-1C35-4C6B-95D7-13BF9BC63723}"/>
    <cellStyle name="40% - Accent4 5 2 2 2 3 3" xfId="22817" xr:uid="{00000000-0005-0000-0000-0000A4430000}"/>
    <cellStyle name="40% - Accent4 5 2 2 2 3 3 2" xfId="46649" xr:uid="{8E1819E7-FCA6-41A1-A33C-70D8C736D95E}"/>
    <cellStyle name="40% - Accent4 5 2 2 2 3 4" xfId="30771" xr:uid="{0DBED7DE-773D-430A-858C-301A1F2FCE4E}"/>
    <cellStyle name="40% - Accent4 5 2 2 2 4" xfId="11334" xr:uid="{00000000-0005-0000-0000-0000A5430000}"/>
    <cellStyle name="40% - Accent4 5 2 2 2 4 2" xfId="35183" xr:uid="{A0C88A35-89D8-4E3F-BD46-06945B18155D}"/>
    <cellStyle name="40% - Accent4 5 2 2 2 5" xfId="19289" xr:uid="{00000000-0005-0000-0000-0000A6430000}"/>
    <cellStyle name="40% - Accent4 5 2 2 2 5 2" xfId="43121" xr:uid="{1BE36FA3-4D12-47DC-B3DB-E9ACEE5941D5}"/>
    <cellStyle name="40% - Accent4 5 2 2 2 6" xfId="27241" xr:uid="{4194EEC7-5C51-4C14-9AD5-C42942B8653A}"/>
    <cellStyle name="40% - Accent4 5 2 2 2_Exh G" xfId="3129" xr:uid="{00000000-0005-0000-0000-0000A7430000}"/>
    <cellStyle name="40% - Accent4 5 2 2 3" xfId="4188" xr:uid="{00000000-0005-0000-0000-0000A8430000}"/>
    <cellStyle name="40% - Accent4 5 2 2 3 2" xfId="7780" xr:uid="{00000000-0005-0000-0000-0000A9430000}"/>
    <cellStyle name="40% - Accent4 5 2 2 3 2 2" xfId="15750" xr:uid="{00000000-0005-0000-0000-0000AA430000}"/>
    <cellStyle name="40% - Accent4 5 2 2 3 2 2 2" xfId="39592" xr:uid="{1387D85E-CFEF-4CAE-93C4-22882311AEBE}"/>
    <cellStyle name="40% - Accent4 5 2 2 3 2 3" xfId="23696" xr:uid="{00000000-0005-0000-0000-0000AB430000}"/>
    <cellStyle name="40% - Accent4 5 2 2 3 2 3 2" xfId="47528" xr:uid="{4235C8A7-1DC5-47CF-8302-57713F18C6C5}"/>
    <cellStyle name="40% - Accent4 5 2 2 3 2 4" xfId="31651" xr:uid="{4B294F42-1ADA-4C38-8ABF-DF9A47BD20D8}"/>
    <cellStyle name="40% - Accent4 5 2 2 3 3" xfId="12212" xr:uid="{00000000-0005-0000-0000-0000AC430000}"/>
    <cellStyle name="40% - Accent4 5 2 2 3 3 2" xfId="36061" xr:uid="{DDC77752-5AC1-48B1-B5A6-DD1CF523D0C3}"/>
    <cellStyle name="40% - Accent4 5 2 2 3 4" xfId="20167" xr:uid="{00000000-0005-0000-0000-0000AD430000}"/>
    <cellStyle name="40% - Accent4 5 2 2 3 4 2" xfId="43999" xr:uid="{1F332F48-D31B-428B-A6D5-E4287BE275EF}"/>
    <cellStyle name="40% - Accent4 5 2 2 3 5" xfId="28120" xr:uid="{671EFA2B-A44E-4B34-BDFB-A0CCD28ACE34}"/>
    <cellStyle name="40% - Accent4 5 2 2 4" xfId="6008" xr:uid="{00000000-0005-0000-0000-0000AE430000}"/>
    <cellStyle name="40% - Accent4 5 2 2 4 2" xfId="13991" xr:uid="{00000000-0005-0000-0000-0000AF430000}"/>
    <cellStyle name="40% - Accent4 5 2 2 4 2 2" xfId="37834" xr:uid="{86F3A11A-5688-4699-8EB3-210847E594F8}"/>
    <cellStyle name="40% - Accent4 5 2 2 4 3" xfId="21939" xr:uid="{00000000-0005-0000-0000-0000B0430000}"/>
    <cellStyle name="40% - Accent4 5 2 2 4 3 2" xfId="45771" xr:uid="{960DF57C-EEF5-488B-9AC5-5B69E80C8B49}"/>
    <cellStyle name="40% - Accent4 5 2 2 4 4" xfId="29893" xr:uid="{1DF9F97E-81F8-44E1-BDB5-3BE2EBD6F8CC}"/>
    <cellStyle name="40% - Accent4 5 2 2 5" xfId="9560" xr:uid="{00000000-0005-0000-0000-0000B1430000}"/>
    <cellStyle name="40% - Accent4 5 2 2 5 2" xfId="17518" xr:uid="{00000000-0005-0000-0000-0000B2430000}"/>
    <cellStyle name="40% - Accent4 5 2 2 5 2 2" xfId="41358" xr:uid="{0652AD67-7D74-43E3-8345-4811F323D033}"/>
    <cellStyle name="40% - Accent4 5 2 2 5 3" xfId="25462" xr:uid="{00000000-0005-0000-0000-0000B3430000}"/>
    <cellStyle name="40% - Accent4 5 2 2 5 3 2" xfId="49294" xr:uid="{0F57F259-50D4-45BB-8741-35E888AF2604}"/>
    <cellStyle name="40% - Accent4 5 2 2 5 4" xfId="33417" xr:uid="{2200C0A8-724E-47F8-8578-0C69526B8BFE}"/>
    <cellStyle name="40% - Accent4 5 2 2 6" xfId="10456" xr:uid="{00000000-0005-0000-0000-0000B4430000}"/>
    <cellStyle name="40% - Accent4 5 2 2 6 2" xfId="34305" xr:uid="{95EED8F2-6ACA-40D7-911C-A26D4BCAB477}"/>
    <cellStyle name="40% - Accent4 5 2 2 7" xfId="18411" xr:uid="{00000000-0005-0000-0000-0000B5430000}"/>
    <cellStyle name="40% - Accent4 5 2 2 7 2" xfId="42243" xr:uid="{09346E9F-60B8-4146-899B-54350401D814}"/>
    <cellStyle name="40% - Accent4 5 2 2 8" xfId="26363" xr:uid="{2359A658-5EA8-456E-87F6-EC7D838AC595}"/>
    <cellStyle name="40% - Accent4 5 2 2_Exh G" xfId="3128" xr:uid="{00000000-0005-0000-0000-0000B6430000}"/>
    <cellStyle name="40% - Accent4 5 2 3" xfId="1539" xr:uid="{00000000-0005-0000-0000-0000B7430000}"/>
    <cellStyle name="40% - Accent4 5 2 3 2" xfId="5066" xr:uid="{00000000-0005-0000-0000-0000B8430000}"/>
    <cellStyle name="40% - Accent4 5 2 3 2 2" xfId="8657" xr:uid="{00000000-0005-0000-0000-0000B9430000}"/>
    <cellStyle name="40% - Accent4 5 2 3 2 2 2" xfId="16627" xr:uid="{00000000-0005-0000-0000-0000BA430000}"/>
    <cellStyle name="40% - Accent4 5 2 3 2 2 2 2" xfId="40469" xr:uid="{366C0484-7AD0-41AD-8896-AABF8659B403}"/>
    <cellStyle name="40% - Accent4 5 2 3 2 2 3" xfId="24573" xr:uid="{00000000-0005-0000-0000-0000BB430000}"/>
    <cellStyle name="40% - Accent4 5 2 3 2 2 3 2" xfId="48405" xr:uid="{B81948E0-0430-41EB-80C0-1060F787C388}"/>
    <cellStyle name="40% - Accent4 5 2 3 2 2 4" xfId="32528" xr:uid="{26A9E966-652C-473A-80A5-B1B4A8827F54}"/>
    <cellStyle name="40% - Accent4 5 2 3 2 3" xfId="13089" xr:uid="{00000000-0005-0000-0000-0000BC430000}"/>
    <cellStyle name="40% - Accent4 5 2 3 2 3 2" xfId="36938" xr:uid="{7DA4C76F-AE3F-4E0F-8655-4F89F6BCEE69}"/>
    <cellStyle name="40% - Accent4 5 2 3 2 4" xfId="21044" xr:uid="{00000000-0005-0000-0000-0000BD430000}"/>
    <cellStyle name="40% - Accent4 5 2 3 2 4 2" xfId="44876" xr:uid="{87FC1A2D-EE5D-4097-8C5E-0019D64F59D2}"/>
    <cellStyle name="40% - Accent4 5 2 3 2 5" xfId="28997" xr:uid="{F736DA2D-84BB-4AA8-A42E-74A874DEF544}"/>
    <cellStyle name="40% - Accent4 5 2 3 3" xfId="6898" xr:uid="{00000000-0005-0000-0000-0000BE430000}"/>
    <cellStyle name="40% - Accent4 5 2 3 3 2" xfId="14869" xr:uid="{00000000-0005-0000-0000-0000BF430000}"/>
    <cellStyle name="40% - Accent4 5 2 3 3 2 2" xfId="38711" xr:uid="{2D7B43B5-EAB9-4655-B764-812F49E46188}"/>
    <cellStyle name="40% - Accent4 5 2 3 3 3" xfId="22816" xr:uid="{00000000-0005-0000-0000-0000C0430000}"/>
    <cellStyle name="40% - Accent4 5 2 3 3 3 2" xfId="46648" xr:uid="{A000AAFA-30FB-46C0-B619-7ECBACF4167C}"/>
    <cellStyle name="40% - Accent4 5 2 3 3 4" xfId="30770" xr:uid="{E6F0ABDC-B5AD-4CE9-AA02-E7F3751027F3}"/>
    <cellStyle name="40% - Accent4 5 2 3 4" xfId="11333" xr:uid="{00000000-0005-0000-0000-0000C1430000}"/>
    <cellStyle name="40% - Accent4 5 2 3 4 2" xfId="35182" xr:uid="{5F701DA5-F05E-4BD2-B078-CCE595BEE870}"/>
    <cellStyle name="40% - Accent4 5 2 3 5" xfId="19288" xr:uid="{00000000-0005-0000-0000-0000C2430000}"/>
    <cellStyle name="40% - Accent4 5 2 3 5 2" xfId="43120" xr:uid="{11C0E031-C2B8-47EC-85D6-323B06D9EC87}"/>
    <cellStyle name="40% - Accent4 5 2 3 6" xfId="27240" xr:uid="{2B75F477-B372-4BA2-9A4D-99047010E8DA}"/>
    <cellStyle name="40% - Accent4 5 2 3_Exh G" xfId="3130" xr:uid="{00000000-0005-0000-0000-0000C3430000}"/>
    <cellStyle name="40% - Accent4 5 2 4" xfId="4187" xr:uid="{00000000-0005-0000-0000-0000C4430000}"/>
    <cellStyle name="40% - Accent4 5 2 4 2" xfId="7779" xr:uid="{00000000-0005-0000-0000-0000C5430000}"/>
    <cellStyle name="40% - Accent4 5 2 4 2 2" xfId="15749" xr:uid="{00000000-0005-0000-0000-0000C6430000}"/>
    <cellStyle name="40% - Accent4 5 2 4 2 2 2" xfId="39591" xr:uid="{D99DB429-6E8F-4F76-9A9A-D159CE645FD4}"/>
    <cellStyle name="40% - Accent4 5 2 4 2 3" xfId="23695" xr:uid="{00000000-0005-0000-0000-0000C7430000}"/>
    <cellStyle name="40% - Accent4 5 2 4 2 3 2" xfId="47527" xr:uid="{BF205A9F-4C8E-4505-88E6-042E046737FA}"/>
    <cellStyle name="40% - Accent4 5 2 4 2 4" xfId="31650" xr:uid="{7EE452ED-89D1-4363-9E0F-3C1CACCD91B2}"/>
    <cellStyle name="40% - Accent4 5 2 4 3" xfId="12211" xr:uid="{00000000-0005-0000-0000-0000C8430000}"/>
    <cellStyle name="40% - Accent4 5 2 4 3 2" xfId="36060" xr:uid="{7CFBDB1D-0588-46EC-BF17-7482A39188B9}"/>
    <cellStyle name="40% - Accent4 5 2 4 4" xfId="20166" xr:uid="{00000000-0005-0000-0000-0000C9430000}"/>
    <cellStyle name="40% - Accent4 5 2 4 4 2" xfId="43998" xr:uid="{42C2D527-BE20-4B21-8406-B4608E4C8BCD}"/>
    <cellStyle name="40% - Accent4 5 2 4 5" xfId="28119" xr:uid="{12E32CC6-D015-4955-948D-6FF406EAA7E0}"/>
    <cellStyle name="40% - Accent4 5 2 5" xfId="6007" xr:uid="{00000000-0005-0000-0000-0000CA430000}"/>
    <cellStyle name="40% - Accent4 5 2 5 2" xfId="13990" xr:uid="{00000000-0005-0000-0000-0000CB430000}"/>
    <cellStyle name="40% - Accent4 5 2 5 2 2" xfId="37833" xr:uid="{1733AA71-F2B4-40AB-9FF7-BD09F1C19F94}"/>
    <cellStyle name="40% - Accent4 5 2 5 3" xfId="21938" xr:uid="{00000000-0005-0000-0000-0000CC430000}"/>
    <cellStyle name="40% - Accent4 5 2 5 3 2" xfId="45770" xr:uid="{68B02DB7-1733-4CC5-96E2-E0EAD2AD4F16}"/>
    <cellStyle name="40% - Accent4 5 2 5 4" xfId="29892" xr:uid="{9E469063-6829-496A-A68C-D336BC4C5369}"/>
    <cellStyle name="40% - Accent4 5 2 6" xfId="9559" xr:uid="{00000000-0005-0000-0000-0000CD430000}"/>
    <cellStyle name="40% - Accent4 5 2 6 2" xfId="17517" xr:uid="{00000000-0005-0000-0000-0000CE430000}"/>
    <cellStyle name="40% - Accent4 5 2 6 2 2" xfId="41357" xr:uid="{4CDFA218-8402-42A8-B575-77CB580D14A5}"/>
    <cellStyle name="40% - Accent4 5 2 6 3" xfId="25461" xr:uid="{00000000-0005-0000-0000-0000CF430000}"/>
    <cellStyle name="40% - Accent4 5 2 6 3 2" xfId="49293" xr:uid="{8D18BBAD-C4C6-401C-8C50-5BFF7EFE4E66}"/>
    <cellStyle name="40% - Accent4 5 2 6 4" xfId="33416" xr:uid="{B275E251-CF04-4C94-A502-E257A99C6901}"/>
    <cellStyle name="40% - Accent4 5 2 7" xfId="10455" xr:uid="{00000000-0005-0000-0000-0000D0430000}"/>
    <cellStyle name="40% - Accent4 5 2 7 2" xfId="34304" xr:uid="{2417F9CF-4B76-46A6-BC16-016CC3FF94D2}"/>
    <cellStyle name="40% - Accent4 5 2 8" xfId="18410" xr:uid="{00000000-0005-0000-0000-0000D1430000}"/>
    <cellStyle name="40% - Accent4 5 2 8 2" xfId="42242" xr:uid="{4026BCF2-C958-40BE-8CF1-BF3FACB2D20E}"/>
    <cellStyle name="40% - Accent4 5 2 9" xfId="26362" xr:uid="{F7F6495A-028E-4D49-8C4E-7A4674048A10}"/>
    <cellStyle name="40% - Accent4 5 2_Exh G" xfId="3127" xr:uid="{00000000-0005-0000-0000-0000D2430000}"/>
    <cellStyle name="40% - Accent4 5 3" xfId="515" xr:uid="{00000000-0005-0000-0000-0000D3430000}"/>
    <cellStyle name="40% - Accent4 5 3 2" xfId="1541" xr:uid="{00000000-0005-0000-0000-0000D4430000}"/>
    <cellStyle name="40% - Accent4 5 3 2 2" xfId="5068" xr:uid="{00000000-0005-0000-0000-0000D5430000}"/>
    <cellStyle name="40% - Accent4 5 3 2 2 2" xfId="8659" xr:uid="{00000000-0005-0000-0000-0000D6430000}"/>
    <cellStyle name="40% - Accent4 5 3 2 2 2 2" xfId="16629" xr:uid="{00000000-0005-0000-0000-0000D7430000}"/>
    <cellStyle name="40% - Accent4 5 3 2 2 2 2 2" xfId="40471" xr:uid="{016AD8A3-D28B-41D6-8F47-2C96767A7F10}"/>
    <cellStyle name="40% - Accent4 5 3 2 2 2 3" xfId="24575" xr:uid="{00000000-0005-0000-0000-0000D8430000}"/>
    <cellStyle name="40% - Accent4 5 3 2 2 2 3 2" xfId="48407" xr:uid="{B3AC8E0B-FDC8-47F3-892F-20D4AF7F6E46}"/>
    <cellStyle name="40% - Accent4 5 3 2 2 2 4" xfId="32530" xr:uid="{9548C680-9B17-4E18-A88E-E60302F32034}"/>
    <cellStyle name="40% - Accent4 5 3 2 2 3" xfId="13091" xr:uid="{00000000-0005-0000-0000-0000D9430000}"/>
    <cellStyle name="40% - Accent4 5 3 2 2 3 2" xfId="36940" xr:uid="{6B91F2CC-6EC8-493F-935E-748F499BCBCC}"/>
    <cellStyle name="40% - Accent4 5 3 2 2 4" xfId="21046" xr:uid="{00000000-0005-0000-0000-0000DA430000}"/>
    <cellStyle name="40% - Accent4 5 3 2 2 4 2" xfId="44878" xr:uid="{138D1A57-6F45-49D3-ABE4-B6440666EBE5}"/>
    <cellStyle name="40% - Accent4 5 3 2 2 5" xfId="28999" xr:uid="{7CC5EFA9-CE3B-43B9-A8DD-9C670E52E62C}"/>
    <cellStyle name="40% - Accent4 5 3 2 3" xfId="6900" xr:uid="{00000000-0005-0000-0000-0000DB430000}"/>
    <cellStyle name="40% - Accent4 5 3 2 3 2" xfId="14871" xr:uid="{00000000-0005-0000-0000-0000DC430000}"/>
    <cellStyle name="40% - Accent4 5 3 2 3 2 2" xfId="38713" xr:uid="{DD307113-F336-4334-A0FA-2DBAA56D1A9D}"/>
    <cellStyle name="40% - Accent4 5 3 2 3 3" xfId="22818" xr:uid="{00000000-0005-0000-0000-0000DD430000}"/>
    <cellStyle name="40% - Accent4 5 3 2 3 3 2" xfId="46650" xr:uid="{C1F4D3B0-7748-4CB8-A24B-3A26792EB85B}"/>
    <cellStyle name="40% - Accent4 5 3 2 3 4" xfId="30772" xr:uid="{AD24DB93-A281-4DC4-A2A8-59CB25E6B9E6}"/>
    <cellStyle name="40% - Accent4 5 3 2 4" xfId="11335" xr:uid="{00000000-0005-0000-0000-0000DE430000}"/>
    <cellStyle name="40% - Accent4 5 3 2 4 2" xfId="35184" xr:uid="{14F8A69D-45E0-4B57-BEA0-F23E5944B2D4}"/>
    <cellStyle name="40% - Accent4 5 3 2 5" xfId="19290" xr:uid="{00000000-0005-0000-0000-0000DF430000}"/>
    <cellStyle name="40% - Accent4 5 3 2 5 2" xfId="43122" xr:uid="{8108251F-F119-413F-B8D1-71238D1FE923}"/>
    <cellStyle name="40% - Accent4 5 3 2 6" xfId="27242" xr:uid="{95F3FA36-6506-4A55-877F-C5CD1B2529D3}"/>
    <cellStyle name="40% - Accent4 5 3 2_Exh G" xfId="3132" xr:uid="{00000000-0005-0000-0000-0000E0430000}"/>
    <cellStyle name="40% - Accent4 5 3 3" xfId="4189" xr:uid="{00000000-0005-0000-0000-0000E1430000}"/>
    <cellStyle name="40% - Accent4 5 3 3 2" xfId="7781" xr:uid="{00000000-0005-0000-0000-0000E2430000}"/>
    <cellStyle name="40% - Accent4 5 3 3 2 2" xfId="15751" xr:uid="{00000000-0005-0000-0000-0000E3430000}"/>
    <cellStyle name="40% - Accent4 5 3 3 2 2 2" xfId="39593" xr:uid="{C2BE2395-72E8-4E5B-A691-AFE08422119F}"/>
    <cellStyle name="40% - Accent4 5 3 3 2 3" xfId="23697" xr:uid="{00000000-0005-0000-0000-0000E4430000}"/>
    <cellStyle name="40% - Accent4 5 3 3 2 3 2" xfId="47529" xr:uid="{7B33B3C4-F6C3-415B-8D67-E41AD174EDEC}"/>
    <cellStyle name="40% - Accent4 5 3 3 2 4" xfId="31652" xr:uid="{B5A3D209-E1C9-4ADC-8C4A-A44471DE505A}"/>
    <cellStyle name="40% - Accent4 5 3 3 3" xfId="12213" xr:uid="{00000000-0005-0000-0000-0000E5430000}"/>
    <cellStyle name="40% - Accent4 5 3 3 3 2" xfId="36062" xr:uid="{32E3F9B4-554E-4566-8FCD-C43181639881}"/>
    <cellStyle name="40% - Accent4 5 3 3 4" xfId="20168" xr:uid="{00000000-0005-0000-0000-0000E6430000}"/>
    <cellStyle name="40% - Accent4 5 3 3 4 2" xfId="44000" xr:uid="{BC7034D1-321C-4B29-B962-F478C5B68121}"/>
    <cellStyle name="40% - Accent4 5 3 3 5" xfId="28121" xr:uid="{446F288A-73C8-4202-B8FE-A07A69907953}"/>
    <cellStyle name="40% - Accent4 5 3 4" xfId="6009" xr:uid="{00000000-0005-0000-0000-0000E7430000}"/>
    <cellStyle name="40% - Accent4 5 3 4 2" xfId="13992" xr:uid="{00000000-0005-0000-0000-0000E8430000}"/>
    <cellStyle name="40% - Accent4 5 3 4 2 2" xfId="37835" xr:uid="{C23ABD26-3420-44FA-AD83-A74986BBF623}"/>
    <cellStyle name="40% - Accent4 5 3 4 3" xfId="21940" xr:uid="{00000000-0005-0000-0000-0000E9430000}"/>
    <cellStyle name="40% - Accent4 5 3 4 3 2" xfId="45772" xr:uid="{2DE10990-247C-46B7-B690-92C0715B6F2E}"/>
    <cellStyle name="40% - Accent4 5 3 4 4" xfId="29894" xr:uid="{976B1C17-6881-40B5-B343-E88C453AD149}"/>
    <cellStyle name="40% - Accent4 5 3 5" xfId="9561" xr:uid="{00000000-0005-0000-0000-0000EA430000}"/>
    <cellStyle name="40% - Accent4 5 3 5 2" xfId="17519" xr:uid="{00000000-0005-0000-0000-0000EB430000}"/>
    <cellStyle name="40% - Accent4 5 3 5 2 2" xfId="41359" xr:uid="{41B3CA5D-8BC4-4252-8780-3501D3A21F8D}"/>
    <cellStyle name="40% - Accent4 5 3 5 3" xfId="25463" xr:uid="{00000000-0005-0000-0000-0000EC430000}"/>
    <cellStyle name="40% - Accent4 5 3 5 3 2" xfId="49295" xr:uid="{FBDC073E-BE45-4AED-BD86-A4058C6E5223}"/>
    <cellStyle name="40% - Accent4 5 3 5 4" xfId="33418" xr:uid="{13B9F04C-DBC5-486E-883B-D5FAB47F7185}"/>
    <cellStyle name="40% - Accent4 5 3 6" xfId="10457" xr:uid="{00000000-0005-0000-0000-0000ED430000}"/>
    <cellStyle name="40% - Accent4 5 3 6 2" xfId="34306" xr:uid="{5CA07A1B-4150-4AFB-B0A5-CC9CD151CE40}"/>
    <cellStyle name="40% - Accent4 5 3 7" xfId="18412" xr:uid="{00000000-0005-0000-0000-0000EE430000}"/>
    <cellStyle name="40% - Accent4 5 3 7 2" xfId="42244" xr:uid="{A52079A5-B731-46CE-9EE6-3A03C195C096}"/>
    <cellStyle name="40% - Accent4 5 3 8" xfId="26364" xr:uid="{52EFC276-2834-4800-BA2D-5719F0E5D5B8}"/>
    <cellStyle name="40% - Accent4 5 3_Exh G" xfId="3131" xr:uid="{00000000-0005-0000-0000-0000EF430000}"/>
    <cellStyle name="40% - Accent4 5 4" xfId="974" xr:uid="{00000000-0005-0000-0000-0000F0430000}"/>
    <cellStyle name="40% - Accent4 5 5" xfId="1538" xr:uid="{00000000-0005-0000-0000-0000F1430000}"/>
    <cellStyle name="40% - Accent4 5 5 2" xfId="5065" xr:uid="{00000000-0005-0000-0000-0000F2430000}"/>
    <cellStyle name="40% - Accent4 5 5 2 2" xfId="8656" xr:uid="{00000000-0005-0000-0000-0000F3430000}"/>
    <cellStyle name="40% - Accent4 5 5 2 2 2" xfId="16626" xr:uid="{00000000-0005-0000-0000-0000F4430000}"/>
    <cellStyle name="40% - Accent4 5 5 2 2 2 2" xfId="40468" xr:uid="{D739D11D-3E58-46E2-8D4A-D4386DC03D17}"/>
    <cellStyle name="40% - Accent4 5 5 2 2 3" xfId="24572" xr:uid="{00000000-0005-0000-0000-0000F5430000}"/>
    <cellStyle name="40% - Accent4 5 5 2 2 3 2" xfId="48404" xr:uid="{A6B1A34F-155F-4230-A426-8B8E8AECE176}"/>
    <cellStyle name="40% - Accent4 5 5 2 2 4" xfId="32527" xr:uid="{C4C0C5F5-99BD-467F-ABE6-FEE486DD3C76}"/>
    <cellStyle name="40% - Accent4 5 5 2 3" xfId="13088" xr:uid="{00000000-0005-0000-0000-0000F6430000}"/>
    <cellStyle name="40% - Accent4 5 5 2 3 2" xfId="36937" xr:uid="{49D4B5CF-23DA-4136-BF82-021089A57981}"/>
    <cellStyle name="40% - Accent4 5 5 2 4" xfId="21043" xr:uid="{00000000-0005-0000-0000-0000F7430000}"/>
    <cellStyle name="40% - Accent4 5 5 2 4 2" xfId="44875" xr:uid="{750A29DB-D666-4C95-A705-F48C2510A235}"/>
    <cellStyle name="40% - Accent4 5 5 2 5" xfId="28996" xr:uid="{748F9732-796C-4632-9D48-D2F644AFE32C}"/>
    <cellStyle name="40% - Accent4 5 5 3" xfId="6897" xr:uid="{00000000-0005-0000-0000-0000F8430000}"/>
    <cellStyle name="40% - Accent4 5 5 3 2" xfId="14868" xr:uid="{00000000-0005-0000-0000-0000F9430000}"/>
    <cellStyle name="40% - Accent4 5 5 3 2 2" xfId="38710" xr:uid="{C93A1728-5528-4B03-8E64-899E6536CD0F}"/>
    <cellStyle name="40% - Accent4 5 5 3 3" xfId="22815" xr:uid="{00000000-0005-0000-0000-0000FA430000}"/>
    <cellStyle name="40% - Accent4 5 5 3 3 2" xfId="46647" xr:uid="{D82AC054-22AC-46AB-8E0C-455ADFFE263E}"/>
    <cellStyle name="40% - Accent4 5 5 3 4" xfId="30769" xr:uid="{7AA26CBC-CCC1-4529-A3D9-78ACCB984EA9}"/>
    <cellStyle name="40% - Accent4 5 5 4" xfId="11332" xr:uid="{00000000-0005-0000-0000-0000FB430000}"/>
    <cellStyle name="40% - Accent4 5 5 4 2" xfId="35181" xr:uid="{8C628DF8-5976-41CE-AAE7-DEE8C5C2E617}"/>
    <cellStyle name="40% - Accent4 5 5 5" xfId="19287" xr:uid="{00000000-0005-0000-0000-0000FC430000}"/>
    <cellStyle name="40% - Accent4 5 5 5 2" xfId="43119" xr:uid="{D8E671A6-9E95-45D8-9D95-4C853AE9AB5F}"/>
    <cellStyle name="40% - Accent4 5 5 6" xfId="27239" xr:uid="{57CA02EB-61B7-4364-97DA-DFC45003BF6F}"/>
    <cellStyle name="40% - Accent4 5 5_Exh G" xfId="3133" xr:uid="{00000000-0005-0000-0000-0000FD430000}"/>
    <cellStyle name="40% - Accent4 5 6" xfId="4186" xr:uid="{00000000-0005-0000-0000-0000FE430000}"/>
    <cellStyle name="40% - Accent4 5 6 2" xfId="7778" xr:uid="{00000000-0005-0000-0000-0000FF430000}"/>
    <cellStyle name="40% - Accent4 5 6 2 2" xfId="15748" xr:uid="{00000000-0005-0000-0000-000000440000}"/>
    <cellStyle name="40% - Accent4 5 6 2 2 2" xfId="39590" xr:uid="{64163782-DBA3-4E5E-9F49-AD81565064BB}"/>
    <cellStyle name="40% - Accent4 5 6 2 3" xfId="23694" xr:uid="{00000000-0005-0000-0000-000001440000}"/>
    <cellStyle name="40% - Accent4 5 6 2 3 2" xfId="47526" xr:uid="{F311DF7A-F4DB-46D8-BE33-D9D91B117BA5}"/>
    <cellStyle name="40% - Accent4 5 6 2 4" xfId="31649" xr:uid="{96CEA652-354D-4F6E-9774-75E07B34DEB8}"/>
    <cellStyle name="40% - Accent4 5 6 3" xfId="12210" xr:uid="{00000000-0005-0000-0000-000002440000}"/>
    <cellStyle name="40% - Accent4 5 6 3 2" xfId="36059" xr:uid="{6B47EB5C-72DF-45D4-A6F1-04D37C0D1705}"/>
    <cellStyle name="40% - Accent4 5 6 4" xfId="20165" xr:uid="{00000000-0005-0000-0000-000003440000}"/>
    <cellStyle name="40% - Accent4 5 6 4 2" xfId="43997" xr:uid="{FCCF9856-6347-488B-B572-E5EEF97E8C7E}"/>
    <cellStyle name="40% - Accent4 5 6 5" xfId="28118" xr:uid="{FD13C5D7-03BB-411D-A2DE-D9C4E627ED1D}"/>
    <cellStyle name="40% - Accent4 5 7" xfId="6006" xr:uid="{00000000-0005-0000-0000-000004440000}"/>
    <cellStyle name="40% - Accent4 5 7 2" xfId="13989" xr:uid="{00000000-0005-0000-0000-000005440000}"/>
    <cellStyle name="40% - Accent4 5 7 2 2" xfId="37832" xr:uid="{509632C0-1ECC-43FA-BB12-B9BA5ED30E35}"/>
    <cellStyle name="40% - Accent4 5 7 3" xfId="21937" xr:uid="{00000000-0005-0000-0000-000006440000}"/>
    <cellStyle name="40% - Accent4 5 7 3 2" xfId="45769" xr:uid="{9425075A-1390-40A3-B8B3-9085933AE1F8}"/>
    <cellStyle name="40% - Accent4 5 7 4" xfId="29891" xr:uid="{4B8560B0-25F5-4CB9-BE72-744E193A6CE1}"/>
    <cellStyle name="40% - Accent4 5 8" xfId="9558" xr:uid="{00000000-0005-0000-0000-000007440000}"/>
    <cellStyle name="40% - Accent4 5 8 2" xfId="17516" xr:uid="{00000000-0005-0000-0000-000008440000}"/>
    <cellStyle name="40% - Accent4 5 8 2 2" xfId="41356" xr:uid="{FDF79948-AFC2-4A50-B333-3D720D98C26A}"/>
    <cellStyle name="40% - Accent4 5 8 3" xfId="25460" xr:uid="{00000000-0005-0000-0000-000009440000}"/>
    <cellStyle name="40% - Accent4 5 8 3 2" xfId="49292" xr:uid="{62DDAE1C-9A6B-4B38-8A50-F13DB4640FD4}"/>
    <cellStyle name="40% - Accent4 5 8 4" xfId="33415" xr:uid="{09876AB9-D3DE-4AB6-A543-34CA38CB332E}"/>
    <cellStyle name="40% - Accent4 5 9" xfId="10454" xr:uid="{00000000-0005-0000-0000-00000A440000}"/>
    <cellStyle name="40% - Accent4 5 9 2" xfId="34303" xr:uid="{3D40DC91-EE6E-481D-BE83-138CE9E3C009}"/>
    <cellStyle name="40% - Accent4 5_Exh G" xfId="3126" xr:uid="{00000000-0005-0000-0000-00000B440000}"/>
    <cellStyle name="40% - Accent4 6" xfId="516" xr:uid="{00000000-0005-0000-0000-00000C440000}"/>
    <cellStyle name="40% - Accent4 6 10" xfId="18413" xr:uid="{00000000-0005-0000-0000-00000D440000}"/>
    <cellStyle name="40% - Accent4 6 10 2" xfId="42245" xr:uid="{36896209-307F-41A3-A8D8-37D8D6041F37}"/>
    <cellStyle name="40% - Accent4 6 11" xfId="26365" xr:uid="{F94A08EE-26B3-476F-A26B-5BDD189927DA}"/>
    <cellStyle name="40% - Accent4 6 2" xfId="517" xr:uid="{00000000-0005-0000-0000-00000E440000}"/>
    <cellStyle name="40% - Accent4 6 2 2" xfId="518" xr:uid="{00000000-0005-0000-0000-00000F440000}"/>
    <cellStyle name="40% - Accent4 6 2 2 2" xfId="1544" xr:uid="{00000000-0005-0000-0000-000010440000}"/>
    <cellStyle name="40% - Accent4 6 2 2 2 2" xfId="5071" xr:uid="{00000000-0005-0000-0000-000011440000}"/>
    <cellStyle name="40% - Accent4 6 2 2 2 2 2" xfId="8662" xr:uid="{00000000-0005-0000-0000-000012440000}"/>
    <cellStyle name="40% - Accent4 6 2 2 2 2 2 2" xfId="16632" xr:uid="{00000000-0005-0000-0000-000013440000}"/>
    <cellStyle name="40% - Accent4 6 2 2 2 2 2 2 2" xfId="40474" xr:uid="{335AC1AA-6EC9-45FB-8CC2-55107701D950}"/>
    <cellStyle name="40% - Accent4 6 2 2 2 2 2 3" xfId="24578" xr:uid="{00000000-0005-0000-0000-000014440000}"/>
    <cellStyle name="40% - Accent4 6 2 2 2 2 2 3 2" xfId="48410" xr:uid="{6DD36B7F-53FA-444E-88C8-F5D0D329F81C}"/>
    <cellStyle name="40% - Accent4 6 2 2 2 2 2 4" xfId="32533" xr:uid="{E79C8354-8D6D-4897-8EBB-1DC0484313B5}"/>
    <cellStyle name="40% - Accent4 6 2 2 2 2 3" xfId="13094" xr:uid="{00000000-0005-0000-0000-000015440000}"/>
    <cellStyle name="40% - Accent4 6 2 2 2 2 3 2" xfId="36943" xr:uid="{8694BD90-6428-4ACE-81D4-6E53422269D4}"/>
    <cellStyle name="40% - Accent4 6 2 2 2 2 4" xfId="21049" xr:uid="{00000000-0005-0000-0000-000016440000}"/>
    <cellStyle name="40% - Accent4 6 2 2 2 2 4 2" xfId="44881" xr:uid="{7F658B65-5D94-4AA7-B198-7379537036A1}"/>
    <cellStyle name="40% - Accent4 6 2 2 2 2 5" xfId="29002" xr:uid="{AF4969E2-768F-4671-BB95-9CD6970A24B2}"/>
    <cellStyle name="40% - Accent4 6 2 2 2 3" xfId="6903" xr:uid="{00000000-0005-0000-0000-000017440000}"/>
    <cellStyle name="40% - Accent4 6 2 2 2 3 2" xfId="14874" xr:uid="{00000000-0005-0000-0000-000018440000}"/>
    <cellStyle name="40% - Accent4 6 2 2 2 3 2 2" xfId="38716" xr:uid="{E127F8E3-6053-40E7-93F7-99830FEE5103}"/>
    <cellStyle name="40% - Accent4 6 2 2 2 3 3" xfId="22821" xr:uid="{00000000-0005-0000-0000-000019440000}"/>
    <cellStyle name="40% - Accent4 6 2 2 2 3 3 2" xfId="46653" xr:uid="{D15EF857-9A32-4428-8FE9-B0A87A919C72}"/>
    <cellStyle name="40% - Accent4 6 2 2 2 3 4" xfId="30775" xr:uid="{FDFC0990-4809-4045-AC96-C75E9D724297}"/>
    <cellStyle name="40% - Accent4 6 2 2 2 4" xfId="11338" xr:uid="{00000000-0005-0000-0000-00001A440000}"/>
    <cellStyle name="40% - Accent4 6 2 2 2 4 2" xfId="35187" xr:uid="{5E48E342-3D8F-44F3-9C10-C97671142618}"/>
    <cellStyle name="40% - Accent4 6 2 2 2 5" xfId="19293" xr:uid="{00000000-0005-0000-0000-00001B440000}"/>
    <cellStyle name="40% - Accent4 6 2 2 2 5 2" xfId="43125" xr:uid="{0897C516-C91C-4B1E-88F0-0CCEBE16843B}"/>
    <cellStyle name="40% - Accent4 6 2 2 2 6" xfId="27245" xr:uid="{941A14C8-9D8A-4629-953A-63DCF930D06A}"/>
    <cellStyle name="40% - Accent4 6 2 2 2_Exh G" xfId="3137" xr:uid="{00000000-0005-0000-0000-00001C440000}"/>
    <cellStyle name="40% - Accent4 6 2 2 3" xfId="4192" xr:uid="{00000000-0005-0000-0000-00001D440000}"/>
    <cellStyle name="40% - Accent4 6 2 2 3 2" xfId="7784" xr:uid="{00000000-0005-0000-0000-00001E440000}"/>
    <cellStyle name="40% - Accent4 6 2 2 3 2 2" xfId="15754" xr:uid="{00000000-0005-0000-0000-00001F440000}"/>
    <cellStyle name="40% - Accent4 6 2 2 3 2 2 2" xfId="39596" xr:uid="{26CBD372-0B37-44A6-B2C3-5A6B24E46F22}"/>
    <cellStyle name="40% - Accent4 6 2 2 3 2 3" xfId="23700" xr:uid="{00000000-0005-0000-0000-000020440000}"/>
    <cellStyle name="40% - Accent4 6 2 2 3 2 3 2" xfId="47532" xr:uid="{B1078D16-90FE-46C2-A50C-CC0CC06B7EE8}"/>
    <cellStyle name="40% - Accent4 6 2 2 3 2 4" xfId="31655" xr:uid="{EC80333E-B229-494B-B903-ED8D2224E909}"/>
    <cellStyle name="40% - Accent4 6 2 2 3 3" xfId="12216" xr:uid="{00000000-0005-0000-0000-000021440000}"/>
    <cellStyle name="40% - Accent4 6 2 2 3 3 2" xfId="36065" xr:uid="{F1D37ACA-7212-4A1D-B903-8A4A596A640A}"/>
    <cellStyle name="40% - Accent4 6 2 2 3 4" xfId="20171" xr:uid="{00000000-0005-0000-0000-000022440000}"/>
    <cellStyle name="40% - Accent4 6 2 2 3 4 2" xfId="44003" xr:uid="{CF0C1153-F8D7-4455-8A16-408280430D46}"/>
    <cellStyle name="40% - Accent4 6 2 2 3 5" xfId="28124" xr:uid="{BAAA2BAE-ACF8-4A28-BBD6-CAB2848C932E}"/>
    <cellStyle name="40% - Accent4 6 2 2 4" xfId="6012" xr:uid="{00000000-0005-0000-0000-000023440000}"/>
    <cellStyle name="40% - Accent4 6 2 2 4 2" xfId="13995" xr:uid="{00000000-0005-0000-0000-000024440000}"/>
    <cellStyle name="40% - Accent4 6 2 2 4 2 2" xfId="37838" xr:uid="{8B5FCEB8-C501-47A6-BF68-85EF4FF6ACA1}"/>
    <cellStyle name="40% - Accent4 6 2 2 4 3" xfId="21943" xr:uid="{00000000-0005-0000-0000-000025440000}"/>
    <cellStyle name="40% - Accent4 6 2 2 4 3 2" xfId="45775" xr:uid="{AFD010E5-80C0-4C47-BD27-5DEE565A4993}"/>
    <cellStyle name="40% - Accent4 6 2 2 4 4" xfId="29897" xr:uid="{D27564A0-9853-4A0F-88C1-3B7D01CCD801}"/>
    <cellStyle name="40% - Accent4 6 2 2 5" xfId="9564" xr:uid="{00000000-0005-0000-0000-000026440000}"/>
    <cellStyle name="40% - Accent4 6 2 2 5 2" xfId="17522" xr:uid="{00000000-0005-0000-0000-000027440000}"/>
    <cellStyle name="40% - Accent4 6 2 2 5 2 2" xfId="41362" xr:uid="{F5232822-77E1-4B61-AB18-86C33A04BCFC}"/>
    <cellStyle name="40% - Accent4 6 2 2 5 3" xfId="25466" xr:uid="{00000000-0005-0000-0000-000028440000}"/>
    <cellStyle name="40% - Accent4 6 2 2 5 3 2" xfId="49298" xr:uid="{AA62FB88-F604-470B-9FE4-CFA9F037A718}"/>
    <cellStyle name="40% - Accent4 6 2 2 5 4" xfId="33421" xr:uid="{B934F80C-6CE8-460C-BBE8-196E01522BFB}"/>
    <cellStyle name="40% - Accent4 6 2 2 6" xfId="10460" xr:uid="{00000000-0005-0000-0000-000029440000}"/>
    <cellStyle name="40% - Accent4 6 2 2 6 2" xfId="34309" xr:uid="{71D30F94-20E2-45D4-B969-9BBE8599D3D8}"/>
    <cellStyle name="40% - Accent4 6 2 2 7" xfId="18415" xr:uid="{00000000-0005-0000-0000-00002A440000}"/>
    <cellStyle name="40% - Accent4 6 2 2 7 2" xfId="42247" xr:uid="{8FFF0B0D-BFE9-40B1-AF3A-A679B32462BE}"/>
    <cellStyle name="40% - Accent4 6 2 2 8" xfId="26367" xr:uid="{3627350C-95C5-47DE-B3E5-32002B6AA95A}"/>
    <cellStyle name="40% - Accent4 6 2 2_Exh G" xfId="3136" xr:uid="{00000000-0005-0000-0000-00002B440000}"/>
    <cellStyle name="40% - Accent4 6 2 3" xfId="1543" xr:uid="{00000000-0005-0000-0000-00002C440000}"/>
    <cellStyle name="40% - Accent4 6 2 3 2" xfId="5070" xr:uid="{00000000-0005-0000-0000-00002D440000}"/>
    <cellStyle name="40% - Accent4 6 2 3 2 2" xfId="8661" xr:uid="{00000000-0005-0000-0000-00002E440000}"/>
    <cellStyle name="40% - Accent4 6 2 3 2 2 2" xfId="16631" xr:uid="{00000000-0005-0000-0000-00002F440000}"/>
    <cellStyle name="40% - Accent4 6 2 3 2 2 2 2" xfId="40473" xr:uid="{C81338E3-B386-4D55-8C3F-CFCEC7E9A025}"/>
    <cellStyle name="40% - Accent4 6 2 3 2 2 3" xfId="24577" xr:uid="{00000000-0005-0000-0000-000030440000}"/>
    <cellStyle name="40% - Accent4 6 2 3 2 2 3 2" xfId="48409" xr:uid="{3D2FCCB4-FC42-4DC1-92E7-2390A0BC3835}"/>
    <cellStyle name="40% - Accent4 6 2 3 2 2 4" xfId="32532" xr:uid="{9C65C242-B057-45F9-9834-0D49474E2CFD}"/>
    <cellStyle name="40% - Accent4 6 2 3 2 3" xfId="13093" xr:uid="{00000000-0005-0000-0000-000031440000}"/>
    <cellStyle name="40% - Accent4 6 2 3 2 3 2" xfId="36942" xr:uid="{AE43EF56-F88F-4455-9C75-57BB0DF937EF}"/>
    <cellStyle name="40% - Accent4 6 2 3 2 4" xfId="21048" xr:uid="{00000000-0005-0000-0000-000032440000}"/>
    <cellStyle name="40% - Accent4 6 2 3 2 4 2" xfId="44880" xr:uid="{978B9730-96E6-455A-AE63-3A3930FA275D}"/>
    <cellStyle name="40% - Accent4 6 2 3 2 5" xfId="29001" xr:uid="{BB1FD1AB-5442-4DB5-9D7D-EC96479D5C8F}"/>
    <cellStyle name="40% - Accent4 6 2 3 3" xfId="6902" xr:uid="{00000000-0005-0000-0000-000033440000}"/>
    <cellStyle name="40% - Accent4 6 2 3 3 2" xfId="14873" xr:uid="{00000000-0005-0000-0000-000034440000}"/>
    <cellStyle name="40% - Accent4 6 2 3 3 2 2" xfId="38715" xr:uid="{7ABBD1C9-D754-45DA-B7A0-728131E04237}"/>
    <cellStyle name="40% - Accent4 6 2 3 3 3" xfId="22820" xr:uid="{00000000-0005-0000-0000-000035440000}"/>
    <cellStyle name="40% - Accent4 6 2 3 3 3 2" xfId="46652" xr:uid="{250AB40B-5507-4FB7-A7FE-26E7877C9F9C}"/>
    <cellStyle name="40% - Accent4 6 2 3 3 4" xfId="30774" xr:uid="{4E26E436-0F7E-4379-978C-B41696877040}"/>
    <cellStyle name="40% - Accent4 6 2 3 4" xfId="11337" xr:uid="{00000000-0005-0000-0000-000036440000}"/>
    <cellStyle name="40% - Accent4 6 2 3 4 2" xfId="35186" xr:uid="{976038F2-CBB7-45C7-AA6F-2A008A08B3B2}"/>
    <cellStyle name="40% - Accent4 6 2 3 5" xfId="19292" xr:uid="{00000000-0005-0000-0000-000037440000}"/>
    <cellStyle name="40% - Accent4 6 2 3 5 2" xfId="43124" xr:uid="{D78D4AE6-5AAA-4C0A-8E1A-AA776A4C773F}"/>
    <cellStyle name="40% - Accent4 6 2 3 6" xfId="27244" xr:uid="{D11CBAF3-BF45-4A15-BFD8-680AC3EC414C}"/>
    <cellStyle name="40% - Accent4 6 2 3_Exh G" xfId="3138" xr:uid="{00000000-0005-0000-0000-000038440000}"/>
    <cellStyle name="40% - Accent4 6 2 4" xfId="4191" xr:uid="{00000000-0005-0000-0000-000039440000}"/>
    <cellStyle name="40% - Accent4 6 2 4 2" xfId="7783" xr:uid="{00000000-0005-0000-0000-00003A440000}"/>
    <cellStyle name="40% - Accent4 6 2 4 2 2" xfId="15753" xr:uid="{00000000-0005-0000-0000-00003B440000}"/>
    <cellStyle name="40% - Accent4 6 2 4 2 2 2" xfId="39595" xr:uid="{8E3FA1AF-C2CA-4FD6-B6EF-5A5AE9C920DB}"/>
    <cellStyle name="40% - Accent4 6 2 4 2 3" xfId="23699" xr:uid="{00000000-0005-0000-0000-00003C440000}"/>
    <cellStyle name="40% - Accent4 6 2 4 2 3 2" xfId="47531" xr:uid="{37B65D50-8859-429C-B445-5A0E4D7BCE00}"/>
    <cellStyle name="40% - Accent4 6 2 4 2 4" xfId="31654" xr:uid="{7A0D4C8A-DFAC-4284-9E01-F4CA55910B05}"/>
    <cellStyle name="40% - Accent4 6 2 4 3" xfId="12215" xr:uid="{00000000-0005-0000-0000-00003D440000}"/>
    <cellStyle name="40% - Accent4 6 2 4 3 2" xfId="36064" xr:uid="{E74678AB-C20E-4FF5-B26A-4FA23B88D64D}"/>
    <cellStyle name="40% - Accent4 6 2 4 4" xfId="20170" xr:uid="{00000000-0005-0000-0000-00003E440000}"/>
    <cellStyle name="40% - Accent4 6 2 4 4 2" xfId="44002" xr:uid="{C0F75FF2-57D6-4C23-820A-7467B08B604A}"/>
    <cellStyle name="40% - Accent4 6 2 4 5" xfId="28123" xr:uid="{6FE68E6E-F92D-4E73-8A80-291693B2FE4D}"/>
    <cellStyle name="40% - Accent4 6 2 5" xfId="6011" xr:uid="{00000000-0005-0000-0000-00003F440000}"/>
    <cellStyle name="40% - Accent4 6 2 5 2" xfId="13994" xr:uid="{00000000-0005-0000-0000-000040440000}"/>
    <cellStyle name="40% - Accent4 6 2 5 2 2" xfId="37837" xr:uid="{EA3BE73D-2FD7-46E1-AEB2-A941AFC130C9}"/>
    <cellStyle name="40% - Accent4 6 2 5 3" xfId="21942" xr:uid="{00000000-0005-0000-0000-000041440000}"/>
    <cellStyle name="40% - Accent4 6 2 5 3 2" xfId="45774" xr:uid="{A92B7A11-A827-412D-AAD6-D6AFCC6E4359}"/>
    <cellStyle name="40% - Accent4 6 2 5 4" xfId="29896" xr:uid="{75EA3434-3EA1-477D-A179-3848ECAAAF5F}"/>
    <cellStyle name="40% - Accent4 6 2 6" xfId="9563" xr:uid="{00000000-0005-0000-0000-000042440000}"/>
    <cellStyle name="40% - Accent4 6 2 6 2" xfId="17521" xr:uid="{00000000-0005-0000-0000-000043440000}"/>
    <cellStyle name="40% - Accent4 6 2 6 2 2" xfId="41361" xr:uid="{15A30379-502D-40D4-956D-DD83F1ADF502}"/>
    <cellStyle name="40% - Accent4 6 2 6 3" xfId="25465" xr:uid="{00000000-0005-0000-0000-000044440000}"/>
    <cellStyle name="40% - Accent4 6 2 6 3 2" xfId="49297" xr:uid="{3621FA04-CC3D-46D6-9A7C-A1F2309BD7CE}"/>
    <cellStyle name="40% - Accent4 6 2 6 4" xfId="33420" xr:uid="{5F50FF8A-5320-42B3-8AAA-18AAE1FDCF03}"/>
    <cellStyle name="40% - Accent4 6 2 7" xfId="10459" xr:uid="{00000000-0005-0000-0000-000045440000}"/>
    <cellStyle name="40% - Accent4 6 2 7 2" xfId="34308" xr:uid="{85EFB796-53D8-40FC-BAFC-29A64961F3B5}"/>
    <cellStyle name="40% - Accent4 6 2 8" xfId="18414" xr:uid="{00000000-0005-0000-0000-000046440000}"/>
    <cellStyle name="40% - Accent4 6 2 8 2" xfId="42246" xr:uid="{8D3303B2-6F44-4113-AACD-8BAFC142EC0D}"/>
    <cellStyle name="40% - Accent4 6 2 9" xfId="26366" xr:uid="{91883701-A989-4ADC-8C90-DEDF29E6A884}"/>
    <cellStyle name="40% - Accent4 6 2_Exh G" xfId="3135" xr:uid="{00000000-0005-0000-0000-000047440000}"/>
    <cellStyle name="40% - Accent4 6 3" xfId="519" xr:uid="{00000000-0005-0000-0000-000048440000}"/>
    <cellStyle name="40% - Accent4 6 3 2" xfId="1545" xr:uid="{00000000-0005-0000-0000-000049440000}"/>
    <cellStyle name="40% - Accent4 6 3 2 2" xfId="5072" xr:uid="{00000000-0005-0000-0000-00004A440000}"/>
    <cellStyle name="40% - Accent4 6 3 2 2 2" xfId="8663" xr:uid="{00000000-0005-0000-0000-00004B440000}"/>
    <cellStyle name="40% - Accent4 6 3 2 2 2 2" xfId="16633" xr:uid="{00000000-0005-0000-0000-00004C440000}"/>
    <cellStyle name="40% - Accent4 6 3 2 2 2 2 2" xfId="40475" xr:uid="{3C464F1C-BEFD-4B37-88BD-2D53EE18B46D}"/>
    <cellStyle name="40% - Accent4 6 3 2 2 2 3" xfId="24579" xr:uid="{00000000-0005-0000-0000-00004D440000}"/>
    <cellStyle name="40% - Accent4 6 3 2 2 2 3 2" xfId="48411" xr:uid="{8FCF2804-63BB-4FC7-8DD6-FC116DC0D278}"/>
    <cellStyle name="40% - Accent4 6 3 2 2 2 4" xfId="32534" xr:uid="{D7C7432C-2BDA-4879-8749-E6918D46BEF3}"/>
    <cellStyle name="40% - Accent4 6 3 2 2 3" xfId="13095" xr:uid="{00000000-0005-0000-0000-00004E440000}"/>
    <cellStyle name="40% - Accent4 6 3 2 2 3 2" xfId="36944" xr:uid="{A6937A29-F9C7-447B-9BC7-0BBAC7D0B5F8}"/>
    <cellStyle name="40% - Accent4 6 3 2 2 4" xfId="21050" xr:uid="{00000000-0005-0000-0000-00004F440000}"/>
    <cellStyle name="40% - Accent4 6 3 2 2 4 2" xfId="44882" xr:uid="{9AD0C85A-D017-4E41-B35C-3F8ADE9B7FB2}"/>
    <cellStyle name="40% - Accent4 6 3 2 2 5" xfId="29003" xr:uid="{61BDA20E-7D8F-4C8C-B492-5AA1FAA778E4}"/>
    <cellStyle name="40% - Accent4 6 3 2 3" xfId="6904" xr:uid="{00000000-0005-0000-0000-000050440000}"/>
    <cellStyle name="40% - Accent4 6 3 2 3 2" xfId="14875" xr:uid="{00000000-0005-0000-0000-000051440000}"/>
    <cellStyle name="40% - Accent4 6 3 2 3 2 2" xfId="38717" xr:uid="{91554448-CEEA-4A6F-91AF-08CA68B94F91}"/>
    <cellStyle name="40% - Accent4 6 3 2 3 3" xfId="22822" xr:uid="{00000000-0005-0000-0000-000052440000}"/>
    <cellStyle name="40% - Accent4 6 3 2 3 3 2" xfId="46654" xr:uid="{F6104E2E-9162-4CAC-8B76-648C34C85EF4}"/>
    <cellStyle name="40% - Accent4 6 3 2 3 4" xfId="30776" xr:uid="{F90ED860-61FE-49F3-9CB2-5606E91B4D01}"/>
    <cellStyle name="40% - Accent4 6 3 2 4" xfId="11339" xr:uid="{00000000-0005-0000-0000-000053440000}"/>
    <cellStyle name="40% - Accent4 6 3 2 4 2" xfId="35188" xr:uid="{848DEEBC-11CE-4A38-9CE6-62245642CEE1}"/>
    <cellStyle name="40% - Accent4 6 3 2 5" xfId="19294" xr:uid="{00000000-0005-0000-0000-000054440000}"/>
    <cellStyle name="40% - Accent4 6 3 2 5 2" xfId="43126" xr:uid="{F45C579D-B7BE-4926-B566-70FFA1A894DA}"/>
    <cellStyle name="40% - Accent4 6 3 2 6" xfId="27246" xr:uid="{7D0AF433-0EB5-4898-A32A-FB56CC4EBA19}"/>
    <cellStyle name="40% - Accent4 6 3 2_Exh G" xfId="3140" xr:uid="{00000000-0005-0000-0000-000055440000}"/>
    <cellStyle name="40% - Accent4 6 3 3" xfId="4193" xr:uid="{00000000-0005-0000-0000-000056440000}"/>
    <cellStyle name="40% - Accent4 6 3 3 2" xfId="7785" xr:uid="{00000000-0005-0000-0000-000057440000}"/>
    <cellStyle name="40% - Accent4 6 3 3 2 2" xfId="15755" xr:uid="{00000000-0005-0000-0000-000058440000}"/>
    <cellStyle name="40% - Accent4 6 3 3 2 2 2" xfId="39597" xr:uid="{FB072F8A-1BC8-4E5A-8D8F-AD267056B7A6}"/>
    <cellStyle name="40% - Accent4 6 3 3 2 3" xfId="23701" xr:uid="{00000000-0005-0000-0000-000059440000}"/>
    <cellStyle name="40% - Accent4 6 3 3 2 3 2" xfId="47533" xr:uid="{19515DF9-9DF0-4049-9F83-2C46B7F4A6FA}"/>
    <cellStyle name="40% - Accent4 6 3 3 2 4" xfId="31656" xr:uid="{72EB74A6-37F4-4D4D-916F-7EC5E2986E40}"/>
    <cellStyle name="40% - Accent4 6 3 3 3" xfId="12217" xr:uid="{00000000-0005-0000-0000-00005A440000}"/>
    <cellStyle name="40% - Accent4 6 3 3 3 2" xfId="36066" xr:uid="{59380E2F-50F5-4623-B62E-1DD60BD40733}"/>
    <cellStyle name="40% - Accent4 6 3 3 4" xfId="20172" xr:uid="{00000000-0005-0000-0000-00005B440000}"/>
    <cellStyle name="40% - Accent4 6 3 3 4 2" xfId="44004" xr:uid="{76682BB6-4A8D-419C-B2E9-EB4E5FCD0218}"/>
    <cellStyle name="40% - Accent4 6 3 3 5" xfId="28125" xr:uid="{0337BA4A-FAEB-431F-A076-9A2813589AFA}"/>
    <cellStyle name="40% - Accent4 6 3 4" xfId="6013" xr:uid="{00000000-0005-0000-0000-00005C440000}"/>
    <cellStyle name="40% - Accent4 6 3 4 2" xfId="13996" xr:uid="{00000000-0005-0000-0000-00005D440000}"/>
    <cellStyle name="40% - Accent4 6 3 4 2 2" xfId="37839" xr:uid="{A7EAD118-6E75-4C47-BA0C-84CA3AD96E60}"/>
    <cellStyle name="40% - Accent4 6 3 4 3" xfId="21944" xr:uid="{00000000-0005-0000-0000-00005E440000}"/>
    <cellStyle name="40% - Accent4 6 3 4 3 2" xfId="45776" xr:uid="{340A6D39-DE72-46F0-91DF-253B6C3D8E22}"/>
    <cellStyle name="40% - Accent4 6 3 4 4" xfId="29898" xr:uid="{0816E6AC-E640-4BED-99B1-89675442A21C}"/>
    <cellStyle name="40% - Accent4 6 3 5" xfId="9565" xr:uid="{00000000-0005-0000-0000-00005F440000}"/>
    <cellStyle name="40% - Accent4 6 3 5 2" xfId="17523" xr:uid="{00000000-0005-0000-0000-000060440000}"/>
    <cellStyle name="40% - Accent4 6 3 5 2 2" xfId="41363" xr:uid="{28940197-81CC-421B-9AFF-E9B54C219070}"/>
    <cellStyle name="40% - Accent4 6 3 5 3" xfId="25467" xr:uid="{00000000-0005-0000-0000-000061440000}"/>
    <cellStyle name="40% - Accent4 6 3 5 3 2" xfId="49299" xr:uid="{3063DCC6-CD82-4C3A-8C4A-7AE854413BEA}"/>
    <cellStyle name="40% - Accent4 6 3 5 4" xfId="33422" xr:uid="{9CEF7156-AAFB-46C7-A66E-5F55EFF509B1}"/>
    <cellStyle name="40% - Accent4 6 3 6" xfId="10461" xr:uid="{00000000-0005-0000-0000-000062440000}"/>
    <cellStyle name="40% - Accent4 6 3 6 2" xfId="34310" xr:uid="{FC8EF790-8605-4A2A-B2AE-3494CB654D2A}"/>
    <cellStyle name="40% - Accent4 6 3 7" xfId="18416" xr:uid="{00000000-0005-0000-0000-000063440000}"/>
    <cellStyle name="40% - Accent4 6 3 7 2" xfId="42248" xr:uid="{9E8F5136-69BD-4FB9-AEC4-788D80FE6322}"/>
    <cellStyle name="40% - Accent4 6 3 8" xfId="26368" xr:uid="{6D242AE4-815E-4A06-A19E-15A4F7F6E63E}"/>
    <cellStyle name="40% - Accent4 6 3_Exh G" xfId="3139" xr:uid="{00000000-0005-0000-0000-000064440000}"/>
    <cellStyle name="40% - Accent4 6 4" xfId="975" xr:uid="{00000000-0005-0000-0000-000065440000}"/>
    <cellStyle name="40% - Accent4 6 4 2" xfId="1888" xr:uid="{00000000-0005-0000-0000-000066440000}"/>
    <cellStyle name="40% - Accent4 6 4 2 2" xfId="5405" xr:uid="{00000000-0005-0000-0000-000067440000}"/>
    <cellStyle name="40% - Accent4 6 4 2 2 2" xfId="8996" xr:uid="{00000000-0005-0000-0000-000068440000}"/>
    <cellStyle name="40% - Accent4 6 4 2 2 2 2" xfId="16966" xr:uid="{00000000-0005-0000-0000-000069440000}"/>
    <cellStyle name="40% - Accent4 6 4 2 2 2 2 2" xfId="40808" xr:uid="{1FA67933-1BF3-43C7-B2B7-D62C11068451}"/>
    <cellStyle name="40% - Accent4 6 4 2 2 2 3" xfId="24912" xr:uid="{00000000-0005-0000-0000-00006A440000}"/>
    <cellStyle name="40% - Accent4 6 4 2 2 2 3 2" xfId="48744" xr:uid="{D0D2B7C8-EB81-440C-921F-7EE7443E9FFA}"/>
    <cellStyle name="40% - Accent4 6 4 2 2 2 4" xfId="32867" xr:uid="{071E32CB-99C5-4FCD-A044-0A62CFD97707}"/>
    <cellStyle name="40% - Accent4 6 4 2 2 3" xfId="13428" xr:uid="{00000000-0005-0000-0000-00006B440000}"/>
    <cellStyle name="40% - Accent4 6 4 2 2 3 2" xfId="37277" xr:uid="{813DD8A5-7436-4457-BBCB-F52EB7EA3A4D}"/>
    <cellStyle name="40% - Accent4 6 4 2 2 4" xfId="21383" xr:uid="{00000000-0005-0000-0000-00006C440000}"/>
    <cellStyle name="40% - Accent4 6 4 2 2 4 2" xfId="45215" xr:uid="{5336BE54-CB39-4C94-9A2D-A1CCA9F267FB}"/>
    <cellStyle name="40% - Accent4 6 4 2 2 5" xfId="29336" xr:uid="{215BBC47-2545-4576-ADC5-A89FE784B431}"/>
    <cellStyle name="40% - Accent4 6 4 2 3" xfId="7237" xr:uid="{00000000-0005-0000-0000-00006D440000}"/>
    <cellStyle name="40% - Accent4 6 4 2 3 2" xfId="15208" xr:uid="{00000000-0005-0000-0000-00006E440000}"/>
    <cellStyle name="40% - Accent4 6 4 2 3 2 2" xfId="39050" xr:uid="{6E766A23-2334-49B2-A133-53B8673B5DF7}"/>
    <cellStyle name="40% - Accent4 6 4 2 3 3" xfId="23155" xr:uid="{00000000-0005-0000-0000-00006F440000}"/>
    <cellStyle name="40% - Accent4 6 4 2 3 3 2" xfId="46987" xr:uid="{7A268F09-B42A-43D1-B742-573F5C3D6247}"/>
    <cellStyle name="40% - Accent4 6 4 2 3 4" xfId="31109" xr:uid="{DA05723D-A198-48CE-A9CB-858A07C8759F}"/>
    <cellStyle name="40% - Accent4 6 4 2 4" xfId="11672" xr:uid="{00000000-0005-0000-0000-000070440000}"/>
    <cellStyle name="40% - Accent4 6 4 2 4 2" xfId="35521" xr:uid="{C9888AE9-AAAC-4892-B7E3-4B81E6380711}"/>
    <cellStyle name="40% - Accent4 6 4 2 5" xfId="19627" xr:uid="{00000000-0005-0000-0000-000071440000}"/>
    <cellStyle name="40% - Accent4 6 4 2 5 2" xfId="43459" xr:uid="{93937DC8-D04F-4B3D-9476-CB19583BFBC7}"/>
    <cellStyle name="40% - Accent4 6 4 2 6" xfId="27579" xr:uid="{3ED2A1CB-23ED-4018-967F-195889C62BDE}"/>
    <cellStyle name="40% - Accent4 6 4 2_Exh G" xfId="3142" xr:uid="{00000000-0005-0000-0000-000072440000}"/>
    <cellStyle name="40% - Accent4 6 4 3" xfId="4526" xr:uid="{00000000-0005-0000-0000-000073440000}"/>
    <cellStyle name="40% - Accent4 6 4 3 2" xfId="8118" xr:uid="{00000000-0005-0000-0000-000074440000}"/>
    <cellStyle name="40% - Accent4 6 4 3 2 2" xfId="16088" xr:uid="{00000000-0005-0000-0000-000075440000}"/>
    <cellStyle name="40% - Accent4 6 4 3 2 2 2" xfId="39930" xr:uid="{3A95E963-C3E0-46C7-9AA6-192DAC11CB86}"/>
    <cellStyle name="40% - Accent4 6 4 3 2 3" xfId="24034" xr:uid="{00000000-0005-0000-0000-000076440000}"/>
    <cellStyle name="40% - Accent4 6 4 3 2 3 2" xfId="47866" xr:uid="{6911D841-C38F-4029-8312-FC74F5C86A10}"/>
    <cellStyle name="40% - Accent4 6 4 3 2 4" xfId="31989" xr:uid="{F27D14ED-BF58-45E0-A0AE-93440EBC666E}"/>
    <cellStyle name="40% - Accent4 6 4 3 3" xfId="12550" xr:uid="{00000000-0005-0000-0000-000077440000}"/>
    <cellStyle name="40% - Accent4 6 4 3 3 2" xfId="36399" xr:uid="{32D61DA6-E5EC-42D4-A2CD-F3FB03DC3B09}"/>
    <cellStyle name="40% - Accent4 6 4 3 4" xfId="20505" xr:uid="{00000000-0005-0000-0000-000078440000}"/>
    <cellStyle name="40% - Accent4 6 4 3 4 2" xfId="44337" xr:uid="{DBF104E2-21AD-4BCA-A884-5C71EE06CFB6}"/>
    <cellStyle name="40% - Accent4 6 4 3 5" xfId="28458" xr:uid="{D2827329-4B80-46BF-AEB7-332D961A3DD9}"/>
    <cellStyle name="40% - Accent4 6 4 4" xfId="6356" xr:uid="{00000000-0005-0000-0000-000079440000}"/>
    <cellStyle name="40% - Accent4 6 4 4 2" xfId="14330" xr:uid="{00000000-0005-0000-0000-00007A440000}"/>
    <cellStyle name="40% - Accent4 6 4 4 2 2" xfId="38172" xr:uid="{E05B3BC8-BC03-49AB-BD74-76C48CCE88D5}"/>
    <cellStyle name="40% - Accent4 6 4 4 3" xfId="22277" xr:uid="{00000000-0005-0000-0000-00007B440000}"/>
    <cellStyle name="40% - Accent4 6 4 4 3 2" xfId="46109" xr:uid="{787B3824-72B4-48D4-B7D1-4BFD8E62B0E3}"/>
    <cellStyle name="40% - Accent4 6 4 4 4" xfId="30231" xr:uid="{3CB6EC13-7F48-43C3-A22A-DEC23E81B31C}"/>
    <cellStyle name="40% - Accent4 6 4 5" xfId="9898" xr:uid="{00000000-0005-0000-0000-00007C440000}"/>
    <cellStyle name="40% - Accent4 6 4 5 2" xfId="17856" xr:uid="{00000000-0005-0000-0000-00007D440000}"/>
    <cellStyle name="40% - Accent4 6 4 5 2 2" xfId="41696" xr:uid="{4B583BFD-8792-4908-8B15-4708320CB623}"/>
    <cellStyle name="40% - Accent4 6 4 5 3" xfId="25800" xr:uid="{00000000-0005-0000-0000-00007E440000}"/>
    <cellStyle name="40% - Accent4 6 4 5 3 2" xfId="49632" xr:uid="{7CE6D335-FF77-4A29-916C-05D180EAED0C}"/>
    <cellStyle name="40% - Accent4 6 4 5 4" xfId="33755" xr:uid="{DCA46960-35C1-4378-BAB2-57F303BD9DFC}"/>
    <cellStyle name="40% - Accent4 6 4 6" xfId="10794" xr:uid="{00000000-0005-0000-0000-00007F440000}"/>
    <cellStyle name="40% - Accent4 6 4 6 2" xfId="34643" xr:uid="{7F1E2787-B598-4DC5-BAFA-2324DCF3B485}"/>
    <cellStyle name="40% - Accent4 6 4 7" xfId="18749" xr:uid="{00000000-0005-0000-0000-000080440000}"/>
    <cellStyle name="40% - Accent4 6 4 7 2" xfId="42581" xr:uid="{3A6F6349-B75C-4866-A2AB-A5C261FF70E1}"/>
    <cellStyle name="40% - Accent4 6 4 8" xfId="26701" xr:uid="{7AEC7C84-88E9-4CA1-9570-B850FA10E8EB}"/>
    <cellStyle name="40% - Accent4 6 4_Exh G" xfId="3141" xr:uid="{00000000-0005-0000-0000-000081440000}"/>
    <cellStyle name="40% - Accent4 6 5" xfId="1542" xr:uid="{00000000-0005-0000-0000-000082440000}"/>
    <cellStyle name="40% - Accent4 6 5 2" xfId="5069" xr:uid="{00000000-0005-0000-0000-000083440000}"/>
    <cellStyle name="40% - Accent4 6 5 2 2" xfId="8660" xr:uid="{00000000-0005-0000-0000-000084440000}"/>
    <cellStyle name="40% - Accent4 6 5 2 2 2" xfId="16630" xr:uid="{00000000-0005-0000-0000-000085440000}"/>
    <cellStyle name="40% - Accent4 6 5 2 2 2 2" xfId="40472" xr:uid="{8068635C-FE17-4E10-9F87-B61730FDCAC7}"/>
    <cellStyle name="40% - Accent4 6 5 2 2 3" xfId="24576" xr:uid="{00000000-0005-0000-0000-000086440000}"/>
    <cellStyle name="40% - Accent4 6 5 2 2 3 2" xfId="48408" xr:uid="{672E24E6-F559-48D3-B62A-CECFEEC5DD73}"/>
    <cellStyle name="40% - Accent4 6 5 2 2 4" xfId="32531" xr:uid="{37A2E1A4-9FA7-4006-A71D-C46E0B78E8BF}"/>
    <cellStyle name="40% - Accent4 6 5 2 3" xfId="13092" xr:uid="{00000000-0005-0000-0000-000087440000}"/>
    <cellStyle name="40% - Accent4 6 5 2 3 2" xfId="36941" xr:uid="{C5C5285C-A0A3-44ED-BF5B-96B43E808ADB}"/>
    <cellStyle name="40% - Accent4 6 5 2 4" xfId="21047" xr:uid="{00000000-0005-0000-0000-000088440000}"/>
    <cellStyle name="40% - Accent4 6 5 2 4 2" xfId="44879" xr:uid="{AA9F2A50-232C-415A-82BD-C539885E306A}"/>
    <cellStyle name="40% - Accent4 6 5 2 5" xfId="29000" xr:uid="{EE41775E-9E3C-4423-BD06-0245736611C6}"/>
    <cellStyle name="40% - Accent4 6 5 3" xfId="6901" xr:uid="{00000000-0005-0000-0000-000089440000}"/>
    <cellStyle name="40% - Accent4 6 5 3 2" xfId="14872" xr:uid="{00000000-0005-0000-0000-00008A440000}"/>
    <cellStyle name="40% - Accent4 6 5 3 2 2" xfId="38714" xr:uid="{CBD063E1-F903-44DC-A047-21A34D4D6347}"/>
    <cellStyle name="40% - Accent4 6 5 3 3" xfId="22819" xr:uid="{00000000-0005-0000-0000-00008B440000}"/>
    <cellStyle name="40% - Accent4 6 5 3 3 2" xfId="46651" xr:uid="{32EECC12-6F84-4684-862A-ADEDBE5628EC}"/>
    <cellStyle name="40% - Accent4 6 5 3 4" xfId="30773" xr:uid="{C3B4B747-0F23-43C9-BB74-92FE4F226D71}"/>
    <cellStyle name="40% - Accent4 6 5 4" xfId="11336" xr:uid="{00000000-0005-0000-0000-00008C440000}"/>
    <cellStyle name="40% - Accent4 6 5 4 2" xfId="35185" xr:uid="{8102BADF-49DA-4270-91D1-EA045C864ABE}"/>
    <cellStyle name="40% - Accent4 6 5 5" xfId="19291" xr:uid="{00000000-0005-0000-0000-00008D440000}"/>
    <cellStyle name="40% - Accent4 6 5 5 2" xfId="43123" xr:uid="{95C80E9B-5BD2-4753-91AD-F6CC23832B30}"/>
    <cellStyle name="40% - Accent4 6 5 6" xfId="27243" xr:uid="{2B24E22D-5595-4AB3-9FB4-D0272599873A}"/>
    <cellStyle name="40% - Accent4 6 5_Exh G" xfId="3143" xr:uid="{00000000-0005-0000-0000-00008E440000}"/>
    <cellStyle name="40% - Accent4 6 6" xfId="4190" xr:uid="{00000000-0005-0000-0000-00008F440000}"/>
    <cellStyle name="40% - Accent4 6 6 2" xfId="7782" xr:uid="{00000000-0005-0000-0000-000090440000}"/>
    <cellStyle name="40% - Accent4 6 6 2 2" xfId="15752" xr:uid="{00000000-0005-0000-0000-000091440000}"/>
    <cellStyle name="40% - Accent4 6 6 2 2 2" xfId="39594" xr:uid="{6B28AD83-10AF-43CA-95AC-30C1DD189953}"/>
    <cellStyle name="40% - Accent4 6 6 2 3" xfId="23698" xr:uid="{00000000-0005-0000-0000-000092440000}"/>
    <cellStyle name="40% - Accent4 6 6 2 3 2" xfId="47530" xr:uid="{B5590BC1-F74C-4017-B3C6-FCDCE8C5F511}"/>
    <cellStyle name="40% - Accent4 6 6 2 4" xfId="31653" xr:uid="{78D6F4D9-F0F0-41E4-B66D-5A1DC5EA1B40}"/>
    <cellStyle name="40% - Accent4 6 6 3" xfId="12214" xr:uid="{00000000-0005-0000-0000-000093440000}"/>
    <cellStyle name="40% - Accent4 6 6 3 2" xfId="36063" xr:uid="{1F03F50C-7D9F-400F-ACEE-826AE0416436}"/>
    <cellStyle name="40% - Accent4 6 6 4" xfId="20169" xr:uid="{00000000-0005-0000-0000-000094440000}"/>
    <cellStyle name="40% - Accent4 6 6 4 2" xfId="44001" xr:uid="{97285A1E-6DC4-4ACF-BB2E-9785D3DBAAEF}"/>
    <cellStyle name="40% - Accent4 6 6 5" xfId="28122" xr:uid="{C29583EB-48B4-4E4E-8A8C-59267EBA9FC3}"/>
    <cellStyle name="40% - Accent4 6 7" xfId="6010" xr:uid="{00000000-0005-0000-0000-000095440000}"/>
    <cellStyle name="40% - Accent4 6 7 2" xfId="13993" xr:uid="{00000000-0005-0000-0000-000096440000}"/>
    <cellStyle name="40% - Accent4 6 7 2 2" xfId="37836" xr:uid="{03A17957-E599-4AC2-953E-D08912565D99}"/>
    <cellStyle name="40% - Accent4 6 7 3" xfId="21941" xr:uid="{00000000-0005-0000-0000-000097440000}"/>
    <cellStyle name="40% - Accent4 6 7 3 2" xfId="45773" xr:uid="{301C95DA-7FFA-4C33-B8CE-F25360B24A7F}"/>
    <cellStyle name="40% - Accent4 6 7 4" xfId="29895" xr:uid="{A11D6AD1-3446-4AD5-BB5C-946C7EA65F5D}"/>
    <cellStyle name="40% - Accent4 6 8" xfId="9562" xr:uid="{00000000-0005-0000-0000-000098440000}"/>
    <cellStyle name="40% - Accent4 6 8 2" xfId="17520" xr:uid="{00000000-0005-0000-0000-000099440000}"/>
    <cellStyle name="40% - Accent4 6 8 2 2" xfId="41360" xr:uid="{FD17B9FE-88AC-4FA4-802A-AF44BB618BD9}"/>
    <cellStyle name="40% - Accent4 6 8 3" xfId="25464" xr:uid="{00000000-0005-0000-0000-00009A440000}"/>
    <cellStyle name="40% - Accent4 6 8 3 2" xfId="49296" xr:uid="{F2CBAE79-AE65-4C43-AD70-B6F9097CC6A5}"/>
    <cellStyle name="40% - Accent4 6 8 4" xfId="33419" xr:uid="{D16216FB-5703-48AF-B497-DF94442F5D63}"/>
    <cellStyle name="40% - Accent4 6 9" xfId="10458" xr:uid="{00000000-0005-0000-0000-00009B440000}"/>
    <cellStyle name="40% - Accent4 6 9 2" xfId="34307" xr:uid="{E11CE9D1-96BC-4547-AADB-FD0E760E29E1}"/>
    <cellStyle name="40% - Accent4 6_Exh G" xfId="3134" xr:uid="{00000000-0005-0000-0000-00009C440000}"/>
    <cellStyle name="40% - Accent4 7" xfId="520" xr:uid="{00000000-0005-0000-0000-00009D440000}"/>
    <cellStyle name="40% - Accent4 7 10" xfId="18417" xr:uid="{00000000-0005-0000-0000-00009E440000}"/>
    <cellStyle name="40% - Accent4 7 10 2" xfId="42249" xr:uid="{181186F7-E648-46DC-85E0-259B05BEF7F4}"/>
    <cellStyle name="40% - Accent4 7 11" xfId="26369" xr:uid="{10669349-AD5E-46C9-A5CC-ADC3EE0A20E8}"/>
    <cellStyle name="40% - Accent4 7 2" xfId="521" xr:uid="{00000000-0005-0000-0000-00009F440000}"/>
    <cellStyle name="40% - Accent4 7 2 2" xfId="522" xr:uid="{00000000-0005-0000-0000-0000A0440000}"/>
    <cellStyle name="40% - Accent4 7 2 2 2" xfId="1548" xr:uid="{00000000-0005-0000-0000-0000A1440000}"/>
    <cellStyle name="40% - Accent4 7 2 2 2 2" xfId="5075" xr:uid="{00000000-0005-0000-0000-0000A2440000}"/>
    <cellStyle name="40% - Accent4 7 2 2 2 2 2" xfId="8666" xr:uid="{00000000-0005-0000-0000-0000A3440000}"/>
    <cellStyle name="40% - Accent4 7 2 2 2 2 2 2" xfId="16636" xr:uid="{00000000-0005-0000-0000-0000A4440000}"/>
    <cellStyle name="40% - Accent4 7 2 2 2 2 2 2 2" xfId="40478" xr:uid="{78738BF2-1B27-41C9-9628-51F76E746863}"/>
    <cellStyle name="40% - Accent4 7 2 2 2 2 2 3" xfId="24582" xr:uid="{00000000-0005-0000-0000-0000A5440000}"/>
    <cellStyle name="40% - Accent4 7 2 2 2 2 2 3 2" xfId="48414" xr:uid="{C121BF44-1D94-4013-90A1-5385C5D05CD2}"/>
    <cellStyle name="40% - Accent4 7 2 2 2 2 2 4" xfId="32537" xr:uid="{5E83D68C-0E9E-4ED9-930C-666B9873CA75}"/>
    <cellStyle name="40% - Accent4 7 2 2 2 2 3" xfId="13098" xr:uid="{00000000-0005-0000-0000-0000A6440000}"/>
    <cellStyle name="40% - Accent4 7 2 2 2 2 3 2" xfId="36947" xr:uid="{22A243A6-1B64-4017-8622-E5D9C0CB6B16}"/>
    <cellStyle name="40% - Accent4 7 2 2 2 2 4" xfId="21053" xr:uid="{00000000-0005-0000-0000-0000A7440000}"/>
    <cellStyle name="40% - Accent4 7 2 2 2 2 4 2" xfId="44885" xr:uid="{9AEB9F3B-AC97-4977-97D6-EB00EBB97864}"/>
    <cellStyle name="40% - Accent4 7 2 2 2 2 5" xfId="29006" xr:uid="{9006BF6D-FD8D-408B-8D21-F2334F809E80}"/>
    <cellStyle name="40% - Accent4 7 2 2 2 3" xfId="6907" xr:uid="{00000000-0005-0000-0000-0000A8440000}"/>
    <cellStyle name="40% - Accent4 7 2 2 2 3 2" xfId="14878" xr:uid="{00000000-0005-0000-0000-0000A9440000}"/>
    <cellStyle name="40% - Accent4 7 2 2 2 3 2 2" xfId="38720" xr:uid="{8216530F-FAEC-4315-BFEF-653B7F9E202B}"/>
    <cellStyle name="40% - Accent4 7 2 2 2 3 3" xfId="22825" xr:uid="{00000000-0005-0000-0000-0000AA440000}"/>
    <cellStyle name="40% - Accent4 7 2 2 2 3 3 2" xfId="46657" xr:uid="{BCD248E0-E311-4968-B699-269836332230}"/>
    <cellStyle name="40% - Accent4 7 2 2 2 3 4" xfId="30779" xr:uid="{1CD46203-7B3D-440C-A2D1-3C5C067AA87D}"/>
    <cellStyle name="40% - Accent4 7 2 2 2 4" xfId="11342" xr:uid="{00000000-0005-0000-0000-0000AB440000}"/>
    <cellStyle name="40% - Accent4 7 2 2 2 4 2" xfId="35191" xr:uid="{936013C7-19CB-4524-9387-D5E8C39D7824}"/>
    <cellStyle name="40% - Accent4 7 2 2 2 5" xfId="19297" xr:uid="{00000000-0005-0000-0000-0000AC440000}"/>
    <cellStyle name="40% - Accent4 7 2 2 2 5 2" xfId="43129" xr:uid="{9D5609DC-C1C0-4D5A-B23D-FFAFF07FCB5F}"/>
    <cellStyle name="40% - Accent4 7 2 2 2 6" xfId="27249" xr:uid="{C21A1C2A-16B1-4AE2-8FD8-447F3A835581}"/>
    <cellStyle name="40% - Accent4 7 2 2 2_Exh G" xfId="3147" xr:uid="{00000000-0005-0000-0000-0000AD440000}"/>
    <cellStyle name="40% - Accent4 7 2 2 3" xfId="4196" xr:uid="{00000000-0005-0000-0000-0000AE440000}"/>
    <cellStyle name="40% - Accent4 7 2 2 3 2" xfId="7788" xr:uid="{00000000-0005-0000-0000-0000AF440000}"/>
    <cellStyle name="40% - Accent4 7 2 2 3 2 2" xfId="15758" xr:uid="{00000000-0005-0000-0000-0000B0440000}"/>
    <cellStyle name="40% - Accent4 7 2 2 3 2 2 2" xfId="39600" xr:uid="{B7F92FB2-083B-4F6D-9AD7-25EA85D3F56C}"/>
    <cellStyle name="40% - Accent4 7 2 2 3 2 3" xfId="23704" xr:uid="{00000000-0005-0000-0000-0000B1440000}"/>
    <cellStyle name="40% - Accent4 7 2 2 3 2 3 2" xfId="47536" xr:uid="{B185625E-2B99-4FC5-A5BF-6A1AF013D516}"/>
    <cellStyle name="40% - Accent4 7 2 2 3 2 4" xfId="31659" xr:uid="{3ACDF731-E077-426D-908A-2F6072802DFE}"/>
    <cellStyle name="40% - Accent4 7 2 2 3 3" xfId="12220" xr:uid="{00000000-0005-0000-0000-0000B2440000}"/>
    <cellStyle name="40% - Accent4 7 2 2 3 3 2" xfId="36069" xr:uid="{94884705-5578-436A-97C6-EA692FEA54A4}"/>
    <cellStyle name="40% - Accent4 7 2 2 3 4" xfId="20175" xr:uid="{00000000-0005-0000-0000-0000B3440000}"/>
    <cellStyle name="40% - Accent4 7 2 2 3 4 2" xfId="44007" xr:uid="{77A709A9-75FC-4AE6-A69E-C3650902965C}"/>
    <cellStyle name="40% - Accent4 7 2 2 3 5" xfId="28128" xr:uid="{1CD4C898-B9B3-4FFD-8AB3-4EADCC12950B}"/>
    <cellStyle name="40% - Accent4 7 2 2 4" xfId="6016" xr:uid="{00000000-0005-0000-0000-0000B4440000}"/>
    <cellStyle name="40% - Accent4 7 2 2 4 2" xfId="13999" xr:uid="{00000000-0005-0000-0000-0000B5440000}"/>
    <cellStyle name="40% - Accent4 7 2 2 4 2 2" xfId="37842" xr:uid="{ACAE7F40-657A-48AB-A153-752772A82B70}"/>
    <cellStyle name="40% - Accent4 7 2 2 4 3" xfId="21947" xr:uid="{00000000-0005-0000-0000-0000B6440000}"/>
    <cellStyle name="40% - Accent4 7 2 2 4 3 2" xfId="45779" xr:uid="{F69EC1D3-CEC1-4B63-9E2A-07E378AC2A91}"/>
    <cellStyle name="40% - Accent4 7 2 2 4 4" xfId="29901" xr:uid="{7B897C17-BA12-4D1D-9878-2724CC1177FA}"/>
    <cellStyle name="40% - Accent4 7 2 2 5" xfId="9568" xr:uid="{00000000-0005-0000-0000-0000B7440000}"/>
    <cellStyle name="40% - Accent4 7 2 2 5 2" xfId="17526" xr:uid="{00000000-0005-0000-0000-0000B8440000}"/>
    <cellStyle name="40% - Accent4 7 2 2 5 2 2" xfId="41366" xr:uid="{FF894BDF-5689-4F94-BB3A-E9E1C11B5B91}"/>
    <cellStyle name="40% - Accent4 7 2 2 5 3" xfId="25470" xr:uid="{00000000-0005-0000-0000-0000B9440000}"/>
    <cellStyle name="40% - Accent4 7 2 2 5 3 2" xfId="49302" xr:uid="{499E9E72-96C0-43E6-A213-1B9C15CE1A43}"/>
    <cellStyle name="40% - Accent4 7 2 2 5 4" xfId="33425" xr:uid="{515CBBB5-D416-42E0-9244-932D6433A2B9}"/>
    <cellStyle name="40% - Accent4 7 2 2 6" xfId="10464" xr:uid="{00000000-0005-0000-0000-0000BA440000}"/>
    <cellStyle name="40% - Accent4 7 2 2 6 2" xfId="34313" xr:uid="{43F28E8B-A267-457B-8624-1B80FFA53B03}"/>
    <cellStyle name="40% - Accent4 7 2 2 7" xfId="18419" xr:uid="{00000000-0005-0000-0000-0000BB440000}"/>
    <cellStyle name="40% - Accent4 7 2 2 7 2" xfId="42251" xr:uid="{8CB33AC3-DC56-4A52-8810-CC09BE9BB35E}"/>
    <cellStyle name="40% - Accent4 7 2 2 8" xfId="26371" xr:uid="{03963233-A642-4DE7-90A5-41BD9432796C}"/>
    <cellStyle name="40% - Accent4 7 2 2_Exh G" xfId="3146" xr:uid="{00000000-0005-0000-0000-0000BC440000}"/>
    <cellStyle name="40% - Accent4 7 2 3" xfId="1547" xr:uid="{00000000-0005-0000-0000-0000BD440000}"/>
    <cellStyle name="40% - Accent4 7 2 3 2" xfId="5074" xr:uid="{00000000-0005-0000-0000-0000BE440000}"/>
    <cellStyle name="40% - Accent4 7 2 3 2 2" xfId="8665" xr:uid="{00000000-0005-0000-0000-0000BF440000}"/>
    <cellStyle name="40% - Accent4 7 2 3 2 2 2" xfId="16635" xr:uid="{00000000-0005-0000-0000-0000C0440000}"/>
    <cellStyle name="40% - Accent4 7 2 3 2 2 2 2" xfId="40477" xr:uid="{3F32B61C-17D1-4FBF-B497-E735D2AAA629}"/>
    <cellStyle name="40% - Accent4 7 2 3 2 2 3" xfId="24581" xr:uid="{00000000-0005-0000-0000-0000C1440000}"/>
    <cellStyle name="40% - Accent4 7 2 3 2 2 3 2" xfId="48413" xr:uid="{A2C2FB47-D82E-4655-8276-1212EDAAC96B}"/>
    <cellStyle name="40% - Accent4 7 2 3 2 2 4" xfId="32536" xr:uid="{B964622D-072E-446F-BA28-8C3CC116D399}"/>
    <cellStyle name="40% - Accent4 7 2 3 2 3" xfId="13097" xr:uid="{00000000-0005-0000-0000-0000C2440000}"/>
    <cellStyle name="40% - Accent4 7 2 3 2 3 2" xfId="36946" xr:uid="{637E810F-5033-41FA-B3A3-35EE1FAD3606}"/>
    <cellStyle name="40% - Accent4 7 2 3 2 4" xfId="21052" xr:uid="{00000000-0005-0000-0000-0000C3440000}"/>
    <cellStyle name="40% - Accent4 7 2 3 2 4 2" xfId="44884" xr:uid="{1B753AD3-000F-4D63-A395-F2B4F9A37435}"/>
    <cellStyle name="40% - Accent4 7 2 3 2 5" xfId="29005" xr:uid="{72BDFD43-CE64-4AEF-BB84-A5B057840182}"/>
    <cellStyle name="40% - Accent4 7 2 3 3" xfId="6906" xr:uid="{00000000-0005-0000-0000-0000C4440000}"/>
    <cellStyle name="40% - Accent4 7 2 3 3 2" xfId="14877" xr:uid="{00000000-0005-0000-0000-0000C5440000}"/>
    <cellStyle name="40% - Accent4 7 2 3 3 2 2" xfId="38719" xr:uid="{324BECD4-DEC6-41BE-8D75-88B926E96B78}"/>
    <cellStyle name="40% - Accent4 7 2 3 3 3" xfId="22824" xr:uid="{00000000-0005-0000-0000-0000C6440000}"/>
    <cellStyle name="40% - Accent4 7 2 3 3 3 2" xfId="46656" xr:uid="{306E66C2-8EF9-4EB7-8290-DC408CC5D7B9}"/>
    <cellStyle name="40% - Accent4 7 2 3 3 4" xfId="30778" xr:uid="{1E0145CF-E636-42A8-99EA-A8D793FB60EB}"/>
    <cellStyle name="40% - Accent4 7 2 3 4" xfId="11341" xr:uid="{00000000-0005-0000-0000-0000C7440000}"/>
    <cellStyle name="40% - Accent4 7 2 3 4 2" xfId="35190" xr:uid="{14EBA090-8830-429D-A5FF-DFB866E9989B}"/>
    <cellStyle name="40% - Accent4 7 2 3 5" xfId="19296" xr:uid="{00000000-0005-0000-0000-0000C8440000}"/>
    <cellStyle name="40% - Accent4 7 2 3 5 2" xfId="43128" xr:uid="{C9F424DE-D4E4-4218-86F9-C56CF9A7DB01}"/>
    <cellStyle name="40% - Accent4 7 2 3 6" xfId="27248" xr:uid="{81A605D2-0804-4EE7-8218-C8933CDB7B23}"/>
    <cellStyle name="40% - Accent4 7 2 3_Exh G" xfId="3148" xr:uid="{00000000-0005-0000-0000-0000C9440000}"/>
    <cellStyle name="40% - Accent4 7 2 4" xfId="4195" xr:uid="{00000000-0005-0000-0000-0000CA440000}"/>
    <cellStyle name="40% - Accent4 7 2 4 2" xfId="7787" xr:uid="{00000000-0005-0000-0000-0000CB440000}"/>
    <cellStyle name="40% - Accent4 7 2 4 2 2" xfId="15757" xr:uid="{00000000-0005-0000-0000-0000CC440000}"/>
    <cellStyle name="40% - Accent4 7 2 4 2 2 2" xfId="39599" xr:uid="{05F71F83-924C-4E59-9CD0-451025EEB3BD}"/>
    <cellStyle name="40% - Accent4 7 2 4 2 3" xfId="23703" xr:uid="{00000000-0005-0000-0000-0000CD440000}"/>
    <cellStyle name="40% - Accent4 7 2 4 2 3 2" xfId="47535" xr:uid="{630E54EE-AA3D-4030-892E-756D3BA001AA}"/>
    <cellStyle name="40% - Accent4 7 2 4 2 4" xfId="31658" xr:uid="{2A588F2E-5A68-4359-A8F9-530652AAB0E9}"/>
    <cellStyle name="40% - Accent4 7 2 4 3" xfId="12219" xr:uid="{00000000-0005-0000-0000-0000CE440000}"/>
    <cellStyle name="40% - Accent4 7 2 4 3 2" xfId="36068" xr:uid="{8B93EAC8-A90E-4739-8629-3A87B816957E}"/>
    <cellStyle name="40% - Accent4 7 2 4 4" xfId="20174" xr:uid="{00000000-0005-0000-0000-0000CF440000}"/>
    <cellStyle name="40% - Accent4 7 2 4 4 2" xfId="44006" xr:uid="{48818BC7-16F5-4817-B786-D5405526A0DA}"/>
    <cellStyle name="40% - Accent4 7 2 4 5" xfId="28127" xr:uid="{5918F359-B727-47D3-BE99-AAC026941815}"/>
    <cellStyle name="40% - Accent4 7 2 5" xfId="6015" xr:uid="{00000000-0005-0000-0000-0000D0440000}"/>
    <cellStyle name="40% - Accent4 7 2 5 2" xfId="13998" xr:uid="{00000000-0005-0000-0000-0000D1440000}"/>
    <cellStyle name="40% - Accent4 7 2 5 2 2" xfId="37841" xr:uid="{903B78B8-FA4F-401B-ABA3-6A8B42BEF6DB}"/>
    <cellStyle name="40% - Accent4 7 2 5 3" xfId="21946" xr:uid="{00000000-0005-0000-0000-0000D2440000}"/>
    <cellStyle name="40% - Accent4 7 2 5 3 2" xfId="45778" xr:uid="{1CEA2657-DCF9-4E62-AB15-921A336F14F8}"/>
    <cellStyle name="40% - Accent4 7 2 5 4" xfId="29900" xr:uid="{C6D742C7-E6DE-4778-AEF2-6F57CB786A8C}"/>
    <cellStyle name="40% - Accent4 7 2 6" xfId="9567" xr:uid="{00000000-0005-0000-0000-0000D3440000}"/>
    <cellStyle name="40% - Accent4 7 2 6 2" xfId="17525" xr:uid="{00000000-0005-0000-0000-0000D4440000}"/>
    <cellStyle name="40% - Accent4 7 2 6 2 2" xfId="41365" xr:uid="{535BF431-AAFE-45BB-98DA-42CBD86BF9CB}"/>
    <cellStyle name="40% - Accent4 7 2 6 3" xfId="25469" xr:uid="{00000000-0005-0000-0000-0000D5440000}"/>
    <cellStyle name="40% - Accent4 7 2 6 3 2" xfId="49301" xr:uid="{8B7A1552-355B-4086-AF26-69D47CC92E72}"/>
    <cellStyle name="40% - Accent4 7 2 6 4" xfId="33424" xr:uid="{B7A2BC2D-B926-4543-83D4-D486866E4E3A}"/>
    <cellStyle name="40% - Accent4 7 2 7" xfId="10463" xr:uid="{00000000-0005-0000-0000-0000D6440000}"/>
    <cellStyle name="40% - Accent4 7 2 7 2" xfId="34312" xr:uid="{DD88411C-457E-4F01-BB69-F0EB269FB51B}"/>
    <cellStyle name="40% - Accent4 7 2 8" xfId="18418" xr:uid="{00000000-0005-0000-0000-0000D7440000}"/>
    <cellStyle name="40% - Accent4 7 2 8 2" xfId="42250" xr:uid="{7257FBAA-9084-4553-9513-2D0B05CDEA4B}"/>
    <cellStyle name="40% - Accent4 7 2 9" xfId="26370" xr:uid="{E6B4615F-E057-45C9-8077-1A3F5FA756F4}"/>
    <cellStyle name="40% - Accent4 7 2_Exh G" xfId="3145" xr:uid="{00000000-0005-0000-0000-0000D8440000}"/>
    <cellStyle name="40% - Accent4 7 3" xfId="523" xr:uid="{00000000-0005-0000-0000-0000D9440000}"/>
    <cellStyle name="40% - Accent4 7 3 2" xfId="1549" xr:uid="{00000000-0005-0000-0000-0000DA440000}"/>
    <cellStyle name="40% - Accent4 7 3 2 2" xfId="5076" xr:uid="{00000000-0005-0000-0000-0000DB440000}"/>
    <cellStyle name="40% - Accent4 7 3 2 2 2" xfId="8667" xr:uid="{00000000-0005-0000-0000-0000DC440000}"/>
    <cellStyle name="40% - Accent4 7 3 2 2 2 2" xfId="16637" xr:uid="{00000000-0005-0000-0000-0000DD440000}"/>
    <cellStyle name="40% - Accent4 7 3 2 2 2 2 2" xfId="40479" xr:uid="{1F34163A-7370-4A5B-8294-C51698B619DF}"/>
    <cellStyle name="40% - Accent4 7 3 2 2 2 3" xfId="24583" xr:uid="{00000000-0005-0000-0000-0000DE440000}"/>
    <cellStyle name="40% - Accent4 7 3 2 2 2 3 2" xfId="48415" xr:uid="{A7076570-44EA-4FB2-9494-6164B6893591}"/>
    <cellStyle name="40% - Accent4 7 3 2 2 2 4" xfId="32538" xr:uid="{BCA16429-1905-4D71-90E9-86EC02A20A38}"/>
    <cellStyle name="40% - Accent4 7 3 2 2 3" xfId="13099" xr:uid="{00000000-0005-0000-0000-0000DF440000}"/>
    <cellStyle name="40% - Accent4 7 3 2 2 3 2" xfId="36948" xr:uid="{F56B142E-F404-4117-9FFF-B52CB577E45B}"/>
    <cellStyle name="40% - Accent4 7 3 2 2 4" xfId="21054" xr:uid="{00000000-0005-0000-0000-0000E0440000}"/>
    <cellStyle name="40% - Accent4 7 3 2 2 4 2" xfId="44886" xr:uid="{45850ABA-EC3B-427D-BEC9-2C4E77CDF082}"/>
    <cellStyle name="40% - Accent4 7 3 2 2 5" xfId="29007" xr:uid="{A20634D2-4989-4704-95D8-B8D7D418806E}"/>
    <cellStyle name="40% - Accent4 7 3 2 3" xfId="6908" xr:uid="{00000000-0005-0000-0000-0000E1440000}"/>
    <cellStyle name="40% - Accent4 7 3 2 3 2" xfId="14879" xr:uid="{00000000-0005-0000-0000-0000E2440000}"/>
    <cellStyle name="40% - Accent4 7 3 2 3 2 2" xfId="38721" xr:uid="{ACF99A37-19E4-4EEC-A82A-89BD0466D69E}"/>
    <cellStyle name="40% - Accent4 7 3 2 3 3" xfId="22826" xr:uid="{00000000-0005-0000-0000-0000E3440000}"/>
    <cellStyle name="40% - Accent4 7 3 2 3 3 2" xfId="46658" xr:uid="{FEEA1DB9-CA10-4533-88FE-0F7137BB19B3}"/>
    <cellStyle name="40% - Accent4 7 3 2 3 4" xfId="30780" xr:uid="{F57AFD0D-610E-44FA-B16F-EA4A571A8F8E}"/>
    <cellStyle name="40% - Accent4 7 3 2 4" xfId="11343" xr:uid="{00000000-0005-0000-0000-0000E4440000}"/>
    <cellStyle name="40% - Accent4 7 3 2 4 2" xfId="35192" xr:uid="{B775BA84-BB2D-4C28-B3D6-3D9FADB6A910}"/>
    <cellStyle name="40% - Accent4 7 3 2 5" xfId="19298" xr:uid="{00000000-0005-0000-0000-0000E5440000}"/>
    <cellStyle name="40% - Accent4 7 3 2 5 2" xfId="43130" xr:uid="{6A9133DA-34A9-4087-8E76-B60075038A9C}"/>
    <cellStyle name="40% - Accent4 7 3 2 6" xfId="27250" xr:uid="{AFD9FCCA-3930-4290-A66D-05756600E8EF}"/>
    <cellStyle name="40% - Accent4 7 3 2_Exh G" xfId="3150" xr:uid="{00000000-0005-0000-0000-0000E6440000}"/>
    <cellStyle name="40% - Accent4 7 3 3" xfId="4197" xr:uid="{00000000-0005-0000-0000-0000E7440000}"/>
    <cellStyle name="40% - Accent4 7 3 3 2" xfId="7789" xr:uid="{00000000-0005-0000-0000-0000E8440000}"/>
    <cellStyle name="40% - Accent4 7 3 3 2 2" xfId="15759" xr:uid="{00000000-0005-0000-0000-0000E9440000}"/>
    <cellStyle name="40% - Accent4 7 3 3 2 2 2" xfId="39601" xr:uid="{CCEF495C-DB60-478D-98DA-6F537D687C09}"/>
    <cellStyle name="40% - Accent4 7 3 3 2 3" xfId="23705" xr:uid="{00000000-0005-0000-0000-0000EA440000}"/>
    <cellStyle name="40% - Accent4 7 3 3 2 3 2" xfId="47537" xr:uid="{1ACB04E3-8D88-497A-8602-8BB0856449F1}"/>
    <cellStyle name="40% - Accent4 7 3 3 2 4" xfId="31660" xr:uid="{E2E25DBB-571A-4534-9CDD-3574B0C2558C}"/>
    <cellStyle name="40% - Accent4 7 3 3 3" xfId="12221" xr:uid="{00000000-0005-0000-0000-0000EB440000}"/>
    <cellStyle name="40% - Accent4 7 3 3 3 2" xfId="36070" xr:uid="{3C18EE62-A4CC-4BDA-86F7-27CAD9BA774D}"/>
    <cellStyle name="40% - Accent4 7 3 3 4" xfId="20176" xr:uid="{00000000-0005-0000-0000-0000EC440000}"/>
    <cellStyle name="40% - Accent4 7 3 3 4 2" xfId="44008" xr:uid="{BA1E3C00-8CBD-429D-9DAE-0F5AA358A2F1}"/>
    <cellStyle name="40% - Accent4 7 3 3 5" xfId="28129" xr:uid="{5B8481C0-5A76-454F-992F-689D984A1F39}"/>
    <cellStyle name="40% - Accent4 7 3 4" xfId="6017" xr:uid="{00000000-0005-0000-0000-0000ED440000}"/>
    <cellStyle name="40% - Accent4 7 3 4 2" xfId="14000" xr:uid="{00000000-0005-0000-0000-0000EE440000}"/>
    <cellStyle name="40% - Accent4 7 3 4 2 2" xfId="37843" xr:uid="{16C05B18-9655-41BA-95E3-643292A8CC12}"/>
    <cellStyle name="40% - Accent4 7 3 4 3" xfId="21948" xr:uid="{00000000-0005-0000-0000-0000EF440000}"/>
    <cellStyle name="40% - Accent4 7 3 4 3 2" xfId="45780" xr:uid="{F26BC79F-5FFA-4AB0-8221-EE717A5BA7E4}"/>
    <cellStyle name="40% - Accent4 7 3 4 4" xfId="29902" xr:uid="{47F4CA82-A38E-4D62-A7BF-17C08C91890B}"/>
    <cellStyle name="40% - Accent4 7 3 5" xfId="9569" xr:uid="{00000000-0005-0000-0000-0000F0440000}"/>
    <cellStyle name="40% - Accent4 7 3 5 2" xfId="17527" xr:uid="{00000000-0005-0000-0000-0000F1440000}"/>
    <cellStyle name="40% - Accent4 7 3 5 2 2" xfId="41367" xr:uid="{39F115F2-D5D2-4AAA-A822-334319096515}"/>
    <cellStyle name="40% - Accent4 7 3 5 3" xfId="25471" xr:uid="{00000000-0005-0000-0000-0000F2440000}"/>
    <cellStyle name="40% - Accent4 7 3 5 3 2" xfId="49303" xr:uid="{FCB68351-3D45-4E6B-ACAB-BB385A5B7C6A}"/>
    <cellStyle name="40% - Accent4 7 3 5 4" xfId="33426" xr:uid="{CCFCC340-CECC-430F-9384-437DFF95D791}"/>
    <cellStyle name="40% - Accent4 7 3 6" xfId="10465" xr:uid="{00000000-0005-0000-0000-0000F3440000}"/>
    <cellStyle name="40% - Accent4 7 3 6 2" xfId="34314" xr:uid="{F9F0C394-E283-4E8A-B7BD-BB63DA844CB6}"/>
    <cellStyle name="40% - Accent4 7 3 7" xfId="18420" xr:uid="{00000000-0005-0000-0000-0000F4440000}"/>
    <cellStyle name="40% - Accent4 7 3 7 2" xfId="42252" xr:uid="{BDA34652-F32B-4624-810A-269ACA66F893}"/>
    <cellStyle name="40% - Accent4 7 3 8" xfId="26372" xr:uid="{1F1153D6-9119-4821-9B3B-D8E7B552A763}"/>
    <cellStyle name="40% - Accent4 7 3_Exh G" xfId="3149" xr:uid="{00000000-0005-0000-0000-0000F5440000}"/>
    <cellStyle name="40% - Accent4 7 4" xfId="976" xr:uid="{00000000-0005-0000-0000-0000F6440000}"/>
    <cellStyle name="40% - Accent4 7 4 2" xfId="1889" xr:uid="{00000000-0005-0000-0000-0000F7440000}"/>
    <cellStyle name="40% - Accent4 7 4 2 2" xfId="5406" xr:uid="{00000000-0005-0000-0000-0000F8440000}"/>
    <cellStyle name="40% - Accent4 7 4 2 2 2" xfId="8997" xr:uid="{00000000-0005-0000-0000-0000F9440000}"/>
    <cellStyle name="40% - Accent4 7 4 2 2 2 2" xfId="16967" xr:uid="{00000000-0005-0000-0000-0000FA440000}"/>
    <cellStyle name="40% - Accent4 7 4 2 2 2 2 2" xfId="40809" xr:uid="{30E25EF6-A0B1-4E91-8D08-C5B2FA315925}"/>
    <cellStyle name="40% - Accent4 7 4 2 2 2 3" xfId="24913" xr:uid="{00000000-0005-0000-0000-0000FB440000}"/>
    <cellStyle name="40% - Accent4 7 4 2 2 2 3 2" xfId="48745" xr:uid="{9EAA10DA-2CCA-454D-A043-BE1EE48942B0}"/>
    <cellStyle name="40% - Accent4 7 4 2 2 2 4" xfId="32868" xr:uid="{D73B834E-F621-4D81-9850-ED02FC940A17}"/>
    <cellStyle name="40% - Accent4 7 4 2 2 3" xfId="13429" xr:uid="{00000000-0005-0000-0000-0000FC440000}"/>
    <cellStyle name="40% - Accent4 7 4 2 2 3 2" xfId="37278" xr:uid="{A7A37F58-945E-4D83-AC25-94076F1AEDFC}"/>
    <cellStyle name="40% - Accent4 7 4 2 2 4" xfId="21384" xr:uid="{00000000-0005-0000-0000-0000FD440000}"/>
    <cellStyle name="40% - Accent4 7 4 2 2 4 2" xfId="45216" xr:uid="{621163F7-36FD-4446-A96C-BD8EFF6B7CF6}"/>
    <cellStyle name="40% - Accent4 7 4 2 2 5" xfId="29337" xr:uid="{F1FF9D4B-7BA2-4ABC-8F92-831E860FA6F7}"/>
    <cellStyle name="40% - Accent4 7 4 2 3" xfId="7238" xr:uid="{00000000-0005-0000-0000-0000FE440000}"/>
    <cellStyle name="40% - Accent4 7 4 2 3 2" xfId="15209" xr:uid="{00000000-0005-0000-0000-0000FF440000}"/>
    <cellStyle name="40% - Accent4 7 4 2 3 2 2" xfId="39051" xr:uid="{F6A7AC5C-03D8-4573-804D-276FD1FD7152}"/>
    <cellStyle name="40% - Accent4 7 4 2 3 3" xfId="23156" xr:uid="{00000000-0005-0000-0000-000000450000}"/>
    <cellStyle name="40% - Accent4 7 4 2 3 3 2" xfId="46988" xr:uid="{AB391F9E-429E-45C3-8F7B-D8B609357ADD}"/>
    <cellStyle name="40% - Accent4 7 4 2 3 4" xfId="31110" xr:uid="{6ED25A3D-944F-4D8F-A5FC-6487BCBE04AE}"/>
    <cellStyle name="40% - Accent4 7 4 2 4" xfId="11673" xr:uid="{00000000-0005-0000-0000-000001450000}"/>
    <cellStyle name="40% - Accent4 7 4 2 4 2" xfId="35522" xr:uid="{8AE8824D-AE1E-4755-8DD7-C6ED4FA9AA5D}"/>
    <cellStyle name="40% - Accent4 7 4 2 5" xfId="19628" xr:uid="{00000000-0005-0000-0000-000002450000}"/>
    <cellStyle name="40% - Accent4 7 4 2 5 2" xfId="43460" xr:uid="{6825D47B-6BB6-4A85-8D09-DF30D2CB6996}"/>
    <cellStyle name="40% - Accent4 7 4 2 6" xfId="27580" xr:uid="{5DD7DB6D-7AC1-44A1-928C-E3A1D024DE2C}"/>
    <cellStyle name="40% - Accent4 7 4 2_Exh G" xfId="3152" xr:uid="{00000000-0005-0000-0000-000003450000}"/>
    <cellStyle name="40% - Accent4 7 4 3" xfId="4527" xr:uid="{00000000-0005-0000-0000-000004450000}"/>
    <cellStyle name="40% - Accent4 7 4 3 2" xfId="8119" xr:uid="{00000000-0005-0000-0000-000005450000}"/>
    <cellStyle name="40% - Accent4 7 4 3 2 2" xfId="16089" xr:uid="{00000000-0005-0000-0000-000006450000}"/>
    <cellStyle name="40% - Accent4 7 4 3 2 2 2" xfId="39931" xr:uid="{57897011-4DD4-4921-83E0-13748C922595}"/>
    <cellStyle name="40% - Accent4 7 4 3 2 3" xfId="24035" xr:uid="{00000000-0005-0000-0000-000007450000}"/>
    <cellStyle name="40% - Accent4 7 4 3 2 3 2" xfId="47867" xr:uid="{B237659C-FB24-4F90-B653-27314D279D6F}"/>
    <cellStyle name="40% - Accent4 7 4 3 2 4" xfId="31990" xr:uid="{0CBCA2F0-5D6F-446A-AFC6-345AA20AA474}"/>
    <cellStyle name="40% - Accent4 7 4 3 3" xfId="12551" xr:uid="{00000000-0005-0000-0000-000008450000}"/>
    <cellStyle name="40% - Accent4 7 4 3 3 2" xfId="36400" xr:uid="{F9160AF7-C297-4B93-8B2C-B3436B48A478}"/>
    <cellStyle name="40% - Accent4 7 4 3 4" xfId="20506" xr:uid="{00000000-0005-0000-0000-000009450000}"/>
    <cellStyle name="40% - Accent4 7 4 3 4 2" xfId="44338" xr:uid="{DDD78EEF-B2CF-4B0E-9C89-56AF6F3AC198}"/>
    <cellStyle name="40% - Accent4 7 4 3 5" xfId="28459" xr:uid="{1B6EE19F-9CFE-43E6-9803-3942004EF687}"/>
    <cellStyle name="40% - Accent4 7 4 4" xfId="6357" xr:uid="{00000000-0005-0000-0000-00000A450000}"/>
    <cellStyle name="40% - Accent4 7 4 4 2" xfId="14331" xr:uid="{00000000-0005-0000-0000-00000B450000}"/>
    <cellStyle name="40% - Accent4 7 4 4 2 2" xfId="38173" xr:uid="{93BC73D6-CE7A-4DDE-A74F-A2BB7A6F1710}"/>
    <cellStyle name="40% - Accent4 7 4 4 3" xfId="22278" xr:uid="{00000000-0005-0000-0000-00000C450000}"/>
    <cellStyle name="40% - Accent4 7 4 4 3 2" xfId="46110" xr:uid="{F43EDE7E-5390-4413-A4C9-3BB856195153}"/>
    <cellStyle name="40% - Accent4 7 4 4 4" xfId="30232" xr:uid="{E2C84244-1277-40DD-9E7A-F4E90B043C4B}"/>
    <cellStyle name="40% - Accent4 7 4 5" xfId="9899" xr:uid="{00000000-0005-0000-0000-00000D450000}"/>
    <cellStyle name="40% - Accent4 7 4 5 2" xfId="17857" xr:uid="{00000000-0005-0000-0000-00000E450000}"/>
    <cellStyle name="40% - Accent4 7 4 5 2 2" xfId="41697" xr:uid="{FBBE29A1-C9E2-4D23-AE07-C0FB32E6FEDF}"/>
    <cellStyle name="40% - Accent4 7 4 5 3" xfId="25801" xr:uid="{00000000-0005-0000-0000-00000F450000}"/>
    <cellStyle name="40% - Accent4 7 4 5 3 2" xfId="49633" xr:uid="{893A8FC1-6D66-4EC2-9DAE-C3418FC7C5F8}"/>
    <cellStyle name="40% - Accent4 7 4 5 4" xfId="33756" xr:uid="{0C8ABF42-D439-4D14-B74D-200BEFE1FB8E}"/>
    <cellStyle name="40% - Accent4 7 4 6" xfId="10795" xr:uid="{00000000-0005-0000-0000-000010450000}"/>
    <cellStyle name="40% - Accent4 7 4 6 2" xfId="34644" xr:uid="{CE71DFCC-636C-4C01-B422-09509E0CAB47}"/>
    <cellStyle name="40% - Accent4 7 4 7" xfId="18750" xr:uid="{00000000-0005-0000-0000-000011450000}"/>
    <cellStyle name="40% - Accent4 7 4 7 2" xfId="42582" xr:uid="{2F765B7D-01D5-46C6-8BB7-C4FC890A1D0B}"/>
    <cellStyle name="40% - Accent4 7 4 8" xfId="26702" xr:uid="{C4334632-9242-422C-A4B2-C290D4F56A19}"/>
    <cellStyle name="40% - Accent4 7 4_Exh G" xfId="3151" xr:uid="{00000000-0005-0000-0000-000012450000}"/>
    <cellStyle name="40% - Accent4 7 5" xfId="1546" xr:uid="{00000000-0005-0000-0000-000013450000}"/>
    <cellStyle name="40% - Accent4 7 5 2" xfId="5073" xr:uid="{00000000-0005-0000-0000-000014450000}"/>
    <cellStyle name="40% - Accent4 7 5 2 2" xfId="8664" xr:uid="{00000000-0005-0000-0000-000015450000}"/>
    <cellStyle name="40% - Accent4 7 5 2 2 2" xfId="16634" xr:uid="{00000000-0005-0000-0000-000016450000}"/>
    <cellStyle name="40% - Accent4 7 5 2 2 2 2" xfId="40476" xr:uid="{A7EA6E84-B5E9-49F7-B4A9-56DF1979EF56}"/>
    <cellStyle name="40% - Accent4 7 5 2 2 3" xfId="24580" xr:uid="{00000000-0005-0000-0000-000017450000}"/>
    <cellStyle name="40% - Accent4 7 5 2 2 3 2" xfId="48412" xr:uid="{53242AE7-1A0D-49A7-9FA0-876B1FC7E638}"/>
    <cellStyle name="40% - Accent4 7 5 2 2 4" xfId="32535" xr:uid="{88321372-6621-426D-BCE3-13F84E74737F}"/>
    <cellStyle name="40% - Accent4 7 5 2 3" xfId="13096" xr:uid="{00000000-0005-0000-0000-000018450000}"/>
    <cellStyle name="40% - Accent4 7 5 2 3 2" xfId="36945" xr:uid="{77C05630-F43A-496A-9785-3BAACF2785E6}"/>
    <cellStyle name="40% - Accent4 7 5 2 4" xfId="21051" xr:uid="{00000000-0005-0000-0000-000019450000}"/>
    <cellStyle name="40% - Accent4 7 5 2 4 2" xfId="44883" xr:uid="{10840705-489B-49B8-A8F3-63EDE4AF11EA}"/>
    <cellStyle name="40% - Accent4 7 5 2 5" xfId="29004" xr:uid="{E1BB7656-539B-41FD-A621-649D9CC4B03F}"/>
    <cellStyle name="40% - Accent4 7 5 3" xfId="6905" xr:uid="{00000000-0005-0000-0000-00001A450000}"/>
    <cellStyle name="40% - Accent4 7 5 3 2" xfId="14876" xr:uid="{00000000-0005-0000-0000-00001B450000}"/>
    <cellStyle name="40% - Accent4 7 5 3 2 2" xfId="38718" xr:uid="{CD76E7D6-8F08-480A-9F7D-6EED3D0A24E3}"/>
    <cellStyle name="40% - Accent4 7 5 3 3" xfId="22823" xr:uid="{00000000-0005-0000-0000-00001C450000}"/>
    <cellStyle name="40% - Accent4 7 5 3 3 2" xfId="46655" xr:uid="{4ACFFD89-AFE6-4207-8B66-7B690E7519A0}"/>
    <cellStyle name="40% - Accent4 7 5 3 4" xfId="30777" xr:uid="{C3CA6B56-A5C6-48CC-AAC8-A749ACFF0CE8}"/>
    <cellStyle name="40% - Accent4 7 5 4" xfId="11340" xr:uid="{00000000-0005-0000-0000-00001D450000}"/>
    <cellStyle name="40% - Accent4 7 5 4 2" xfId="35189" xr:uid="{6F9BD711-5616-454A-B1EB-C39C90D29610}"/>
    <cellStyle name="40% - Accent4 7 5 5" xfId="19295" xr:uid="{00000000-0005-0000-0000-00001E450000}"/>
    <cellStyle name="40% - Accent4 7 5 5 2" xfId="43127" xr:uid="{8CBD8CA1-509C-455B-9131-2B51456B05E7}"/>
    <cellStyle name="40% - Accent4 7 5 6" xfId="27247" xr:uid="{DEB8A4F2-4B19-4700-A989-FA6AB4A4FFCE}"/>
    <cellStyle name="40% - Accent4 7 5_Exh G" xfId="3153" xr:uid="{00000000-0005-0000-0000-00001F450000}"/>
    <cellStyle name="40% - Accent4 7 6" xfId="4194" xr:uid="{00000000-0005-0000-0000-000020450000}"/>
    <cellStyle name="40% - Accent4 7 6 2" xfId="7786" xr:uid="{00000000-0005-0000-0000-000021450000}"/>
    <cellStyle name="40% - Accent4 7 6 2 2" xfId="15756" xr:uid="{00000000-0005-0000-0000-000022450000}"/>
    <cellStyle name="40% - Accent4 7 6 2 2 2" xfId="39598" xr:uid="{44235C29-CE16-40A6-88AC-E407660902DF}"/>
    <cellStyle name="40% - Accent4 7 6 2 3" xfId="23702" xr:uid="{00000000-0005-0000-0000-000023450000}"/>
    <cellStyle name="40% - Accent4 7 6 2 3 2" xfId="47534" xr:uid="{9E752D64-C301-448C-8587-90129DE25056}"/>
    <cellStyle name="40% - Accent4 7 6 2 4" xfId="31657" xr:uid="{64057A58-9B61-4BBA-922E-C889EAE282C6}"/>
    <cellStyle name="40% - Accent4 7 6 3" xfId="12218" xr:uid="{00000000-0005-0000-0000-000024450000}"/>
    <cellStyle name="40% - Accent4 7 6 3 2" xfId="36067" xr:uid="{3B4CB3BB-5F86-40BF-B590-96C7BF040C32}"/>
    <cellStyle name="40% - Accent4 7 6 4" xfId="20173" xr:uid="{00000000-0005-0000-0000-000025450000}"/>
    <cellStyle name="40% - Accent4 7 6 4 2" xfId="44005" xr:uid="{B6F9A740-8EA7-4FD5-A2F6-CFB094D51302}"/>
    <cellStyle name="40% - Accent4 7 6 5" xfId="28126" xr:uid="{64D9D2C4-A207-41DA-904B-2B05DC770974}"/>
    <cellStyle name="40% - Accent4 7 7" xfId="6014" xr:uid="{00000000-0005-0000-0000-000026450000}"/>
    <cellStyle name="40% - Accent4 7 7 2" xfId="13997" xr:uid="{00000000-0005-0000-0000-000027450000}"/>
    <cellStyle name="40% - Accent4 7 7 2 2" xfId="37840" xr:uid="{484C6968-FC62-479A-925A-1F193FF6A68F}"/>
    <cellStyle name="40% - Accent4 7 7 3" xfId="21945" xr:uid="{00000000-0005-0000-0000-000028450000}"/>
    <cellStyle name="40% - Accent4 7 7 3 2" xfId="45777" xr:uid="{8BFD0CAF-2B08-4A3E-B9A7-F9A3F888F04D}"/>
    <cellStyle name="40% - Accent4 7 7 4" xfId="29899" xr:uid="{42D20EA9-9B18-4618-B460-40F7E34AE74A}"/>
    <cellStyle name="40% - Accent4 7 8" xfId="9566" xr:uid="{00000000-0005-0000-0000-000029450000}"/>
    <cellStyle name="40% - Accent4 7 8 2" xfId="17524" xr:uid="{00000000-0005-0000-0000-00002A450000}"/>
    <cellStyle name="40% - Accent4 7 8 2 2" xfId="41364" xr:uid="{C3ACF85E-41A7-4944-86CA-16D7BE001BB0}"/>
    <cellStyle name="40% - Accent4 7 8 3" xfId="25468" xr:uid="{00000000-0005-0000-0000-00002B450000}"/>
    <cellStyle name="40% - Accent4 7 8 3 2" xfId="49300" xr:uid="{DD484BF3-C2A2-4064-A45B-024DE2CBC62B}"/>
    <cellStyle name="40% - Accent4 7 8 4" xfId="33423" xr:uid="{1D047588-EDD5-4A29-A9C9-BC35FF828E72}"/>
    <cellStyle name="40% - Accent4 7 9" xfId="10462" xr:uid="{00000000-0005-0000-0000-00002C450000}"/>
    <cellStyle name="40% - Accent4 7 9 2" xfId="34311" xr:uid="{BD9AD9C5-764E-4202-9817-B98B744282BE}"/>
    <cellStyle name="40% - Accent4 7_Exh G" xfId="3144" xr:uid="{00000000-0005-0000-0000-00002D450000}"/>
    <cellStyle name="40% - Accent4 8" xfId="524" xr:uid="{00000000-0005-0000-0000-00002E450000}"/>
    <cellStyle name="40% - Accent4 8 10" xfId="18421" xr:uid="{00000000-0005-0000-0000-00002F450000}"/>
    <cellStyle name="40% - Accent4 8 10 2" xfId="42253" xr:uid="{8803EBE9-7491-4789-92FF-F25409032808}"/>
    <cellStyle name="40% - Accent4 8 11" xfId="26373" xr:uid="{A60B7714-AE75-4620-AE51-07611C201507}"/>
    <cellStyle name="40% - Accent4 8 2" xfId="525" xr:uid="{00000000-0005-0000-0000-000030450000}"/>
    <cellStyle name="40% - Accent4 8 2 2" xfId="526" xr:uid="{00000000-0005-0000-0000-000031450000}"/>
    <cellStyle name="40% - Accent4 8 2 2 2" xfId="1552" xr:uid="{00000000-0005-0000-0000-000032450000}"/>
    <cellStyle name="40% - Accent4 8 2 2 2 2" xfId="5079" xr:uid="{00000000-0005-0000-0000-000033450000}"/>
    <cellStyle name="40% - Accent4 8 2 2 2 2 2" xfId="8670" xr:uid="{00000000-0005-0000-0000-000034450000}"/>
    <cellStyle name="40% - Accent4 8 2 2 2 2 2 2" xfId="16640" xr:uid="{00000000-0005-0000-0000-000035450000}"/>
    <cellStyle name="40% - Accent4 8 2 2 2 2 2 2 2" xfId="40482" xr:uid="{4D78317C-D643-4144-A0EA-ABF866485817}"/>
    <cellStyle name="40% - Accent4 8 2 2 2 2 2 3" xfId="24586" xr:uid="{00000000-0005-0000-0000-000036450000}"/>
    <cellStyle name="40% - Accent4 8 2 2 2 2 2 3 2" xfId="48418" xr:uid="{D7FDBEFC-BE20-4E6F-BC2E-7402C82961F7}"/>
    <cellStyle name="40% - Accent4 8 2 2 2 2 2 4" xfId="32541" xr:uid="{D1E97EFD-EC3F-4A81-89A4-5488847D4076}"/>
    <cellStyle name="40% - Accent4 8 2 2 2 2 3" xfId="13102" xr:uid="{00000000-0005-0000-0000-000037450000}"/>
    <cellStyle name="40% - Accent4 8 2 2 2 2 3 2" xfId="36951" xr:uid="{8357202C-ADF5-4051-8463-100C93E12571}"/>
    <cellStyle name="40% - Accent4 8 2 2 2 2 4" xfId="21057" xr:uid="{00000000-0005-0000-0000-000038450000}"/>
    <cellStyle name="40% - Accent4 8 2 2 2 2 4 2" xfId="44889" xr:uid="{5D2C6E07-D0C6-49FB-9C92-2BCA85368BBC}"/>
    <cellStyle name="40% - Accent4 8 2 2 2 2 5" xfId="29010" xr:uid="{5AAD2F1A-06CC-4B1C-B131-6D908F71788D}"/>
    <cellStyle name="40% - Accent4 8 2 2 2 3" xfId="6911" xr:uid="{00000000-0005-0000-0000-000039450000}"/>
    <cellStyle name="40% - Accent4 8 2 2 2 3 2" xfId="14882" xr:uid="{00000000-0005-0000-0000-00003A450000}"/>
    <cellStyle name="40% - Accent4 8 2 2 2 3 2 2" xfId="38724" xr:uid="{0216D527-F387-462E-BDEB-1F6088F9935C}"/>
    <cellStyle name="40% - Accent4 8 2 2 2 3 3" xfId="22829" xr:uid="{00000000-0005-0000-0000-00003B450000}"/>
    <cellStyle name="40% - Accent4 8 2 2 2 3 3 2" xfId="46661" xr:uid="{8C8FAEF4-70A0-4141-93EB-D1B123125257}"/>
    <cellStyle name="40% - Accent4 8 2 2 2 3 4" xfId="30783" xr:uid="{034392ED-B537-45AE-9862-FDAC44442647}"/>
    <cellStyle name="40% - Accent4 8 2 2 2 4" xfId="11346" xr:uid="{00000000-0005-0000-0000-00003C450000}"/>
    <cellStyle name="40% - Accent4 8 2 2 2 4 2" xfId="35195" xr:uid="{96EC0BCF-0AE4-4366-94B0-9CF2068EDBAB}"/>
    <cellStyle name="40% - Accent4 8 2 2 2 5" xfId="19301" xr:uid="{00000000-0005-0000-0000-00003D450000}"/>
    <cellStyle name="40% - Accent4 8 2 2 2 5 2" xfId="43133" xr:uid="{8A673428-B6A0-430B-9928-E0EE4C079F41}"/>
    <cellStyle name="40% - Accent4 8 2 2 2 6" xfId="27253" xr:uid="{0C869BDB-03B5-4D66-9990-747210FD744B}"/>
    <cellStyle name="40% - Accent4 8 2 2 2_Exh G" xfId="3157" xr:uid="{00000000-0005-0000-0000-00003E450000}"/>
    <cellStyle name="40% - Accent4 8 2 2 3" xfId="4200" xr:uid="{00000000-0005-0000-0000-00003F450000}"/>
    <cellStyle name="40% - Accent4 8 2 2 3 2" xfId="7792" xr:uid="{00000000-0005-0000-0000-000040450000}"/>
    <cellStyle name="40% - Accent4 8 2 2 3 2 2" xfId="15762" xr:uid="{00000000-0005-0000-0000-000041450000}"/>
    <cellStyle name="40% - Accent4 8 2 2 3 2 2 2" xfId="39604" xr:uid="{B81AB00A-29B9-40AD-B6EC-D005EBA3D2E6}"/>
    <cellStyle name="40% - Accent4 8 2 2 3 2 3" xfId="23708" xr:uid="{00000000-0005-0000-0000-000042450000}"/>
    <cellStyle name="40% - Accent4 8 2 2 3 2 3 2" xfId="47540" xr:uid="{A6626A31-58EA-4717-BF82-1B46ECC563E1}"/>
    <cellStyle name="40% - Accent4 8 2 2 3 2 4" xfId="31663" xr:uid="{96CB422E-7A79-489F-A3D4-AFC04B024C5B}"/>
    <cellStyle name="40% - Accent4 8 2 2 3 3" xfId="12224" xr:uid="{00000000-0005-0000-0000-000043450000}"/>
    <cellStyle name="40% - Accent4 8 2 2 3 3 2" xfId="36073" xr:uid="{13BAC058-5257-4C84-AD73-D326015E6E47}"/>
    <cellStyle name="40% - Accent4 8 2 2 3 4" xfId="20179" xr:uid="{00000000-0005-0000-0000-000044450000}"/>
    <cellStyle name="40% - Accent4 8 2 2 3 4 2" xfId="44011" xr:uid="{F50AC872-A1D4-4648-9723-6FC5A14FA68E}"/>
    <cellStyle name="40% - Accent4 8 2 2 3 5" xfId="28132" xr:uid="{701EB015-BA10-4046-A388-DAE2561D0CCF}"/>
    <cellStyle name="40% - Accent4 8 2 2 4" xfId="6020" xr:uid="{00000000-0005-0000-0000-000045450000}"/>
    <cellStyle name="40% - Accent4 8 2 2 4 2" xfId="14003" xr:uid="{00000000-0005-0000-0000-000046450000}"/>
    <cellStyle name="40% - Accent4 8 2 2 4 2 2" xfId="37846" xr:uid="{6388F98F-B305-4125-AFA0-2692934EC610}"/>
    <cellStyle name="40% - Accent4 8 2 2 4 3" xfId="21951" xr:uid="{00000000-0005-0000-0000-000047450000}"/>
    <cellStyle name="40% - Accent4 8 2 2 4 3 2" xfId="45783" xr:uid="{27888740-CA7E-4865-97B2-06D3B90F8179}"/>
    <cellStyle name="40% - Accent4 8 2 2 4 4" xfId="29905" xr:uid="{55E08951-9050-4EA5-8793-9DF22FC8133F}"/>
    <cellStyle name="40% - Accent4 8 2 2 5" xfId="9572" xr:uid="{00000000-0005-0000-0000-000048450000}"/>
    <cellStyle name="40% - Accent4 8 2 2 5 2" xfId="17530" xr:uid="{00000000-0005-0000-0000-000049450000}"/>
    <cellStyle name="40% - Accent4 8 2 2 5 2 2" xfId="41370" xr:uid="{9550600E-AF88-4840-A424-BABA5B568A98}"/>
    <cellStyle name="40% - Accent4 8 2 2 5 3" xfId="25474" xr:uid="{00000000-0005-0000-0000-00004A450000}"/>
    <cellStyle name="40% - Accent4 8 2 2 5 3 2" xfId="49306" xr:uid="{F1732DD0-603B-4849-8CB3-510EBFE587F7}"/>
    <cellStyle name="40% - Accent4 8 2 2 5 4" xfId="33429" xr:uid="{FB727978-6D2A-4ADF-8440-F9B4A6EC3972}"/>
    <cellStyle name="40% - Accent4 8 2 2 6" xfId="10468" xr:uid="{00000000-0005-0000-0000-00004B450000}"/>
    <cellStyle name="40% - Accent4 8 2 2 6 2" xfId="34317" xr:uid="{9DBDBF71-7FD1-4680-8A22-8DE537B34267}"/>
    <cellStyle name="40% - Accent4 8 2 2 7" xfId="18423" xr:uid="{00000000-0005-0000-0000-00004C450000}"/>
    <cellStyle name="40% - Accent4 8 2 2 7 2" xfId="42255" xr:uid="{BBD24A1F-4983-4597-82BB-DA72A07CABFD}"/>
    <cellStyle name="40% - Accent4 8 2 2 8" xfId="26375" xr:uid="{BE9353DE-FAE6-4852-B451-76D6EB2F716E}"/>
    <cellStyle name="40% - Accent4 8 2 2_Exh G" xfId="3156" xr:uid="{00000000-0005-0000-0000-00004D450000}"/>
    <cellStyle name="40% - Accent4 8 2 3" xfId="1551" xr:uid="{00000000-0005-0000-0000-00004E450000}"/>
    <cellStyle name="40% - Accent4 8 2 3 2" xfId="5078" xr:uid="{00000000-0005-0000-0000-00004F450000}"/>
    <cellStyle name="40% - Accent4 8 2 3 2 2" xfId="8669" xr:uid="{00000000-0005-0000-0000-000050450000}"/>
    <cellStyle name="40% - Accent4 8 2 3 2 2 2" xfId="16639" xr:uid="{00000000-0005-0000-0000-000051450000}"/>
    <cellStyle name="40% - Accent4 8 2 3 2 2 2 2" xfId="40481" xr:uid="{399012DB-A097-426E-8744-E81968FDFA3A}"/>
    <cellStyle name="40% - Accent4 8 2 3 2 2 3" xfId="24585" xr:uid="{00000000-0005-0000-0000-000052450000}"/>
    <cellStyle name="40% - Accent4 8 2 3 2 2 3 2" xfId="48417" xr:uid="{8F934FC3-8103-4FB5-A028-96517112D793}"/>
    <cellStyle name="40% - Accent4 8 2 3 2 2 4" xfId="32540" xr:uid="{9C4589EF-2166-4731-8031-5FA8B7686797}"/>
    <cellStyle name="40% - Accent4 8 2 3 2 3" xfId="13101" xr:uid="{00000000-0005-0000-0000-000053450000}"/>
    <cellStyle name="40% - Accent4 8 2 3 2 3 2" xfId="36950" xr:uid="{329A1390-AAE0-4AEF-9135-369277307E21}"/>
    <cellStyle name="40% - Accent4 8 2 3 2 4" xfId="21056" xr:uid="{00000000-0005-0000-0000-000054450000}"/>
    <cellStyle name="40% - Accent4 8 2 3 2 4 2" xfId="44888" xr:uid="{DA172A7E-ECDF-4CEF-BC4F-746604229D9F}"/>
    <cellStyle name="40% - Accent4 8 2 3 2 5" xfId="29009" xr:uid="{72F0DB2E-0DB1-4DC7-BB8F-46DAE0AAEB4B}"/>
    <cellStyle name="40% - Accent4 8 2 3 3" xfId="6910" xr:uid="{00000000-0005-0000-0000-000055450000}"/>
    <cellStyle name="40% - Accent4 8 2 3 3 2" xfId="14881" xr:uid="{00000000-0005-0000-0000-000056450000}"/>
    <cellStyle name="40% - Accent4 8 2 3 3 2 2" xfId="38723" xr:uid="{829D2012-0CF2-45FF-952B-D6550F9A9BF6}"/>
    <cellStyle name="40% - Accent4 8 2 3 3 3" xfId="22828" xr:uid="{00000000-0005-0000-0000-000057450000}"/>
    <cellStyle name="40% - Accent4 8 2 3 3 3 2" xfId="46660" xr:uid="{C35D2DC6-7255-4600-BF6B-F1BFB3072320}"/>
    <cellStyle name="40% - Accent4 8 2 3 3 4" xfId="30782" xr:uid="{2B4CD907-0103-4ECB-95A9-870A72B1FDC4}"/>
    <cellStyle name="40% - Accent4 8 2 3 4" xfId="11345" xr:uid="{00000000-0005-0000-0000-000058450000}"/>
    <cellStyle name="40% - Accent4 8 2 3 4 2" xfId="35194" xr:uid="{46F891A6-EE04-409B-8C6F-24883517FF20}"/>
    <cellStyle name="40% - Accent4 8 2 3 5" xfId="19300" xr:uid="{00000000-0005-0000-0000-000059450000}"/>
    <cellStyle name="40% - Accent4 8 2 3 5 2" xfId="43132" xr:uid="{7DF1225E-86B9-4028-A82D-7C432E938F0F}"/>
    <cellStyle name="40% - Accent4 8 2 3 6" xfId="27252" xr:uid="{A1A0F2A3-E4E2-432A-B060-549726544829}"/>
    <cellStyle name="40% - Accent4 8 2 3_Exh G" xfId="3158" xr:uid="{00000000-0005-0000-0000-00005A450000}"/>
    <cellStyle name="40% - Accent4 8 2 4" xfId="4199" xr:uid="{00000000-0005-0000-0000-00005B450000}"/>
    <cellStyle name="40% - Accent4 8 2 4 2" xfId="7791" xr:uid="{00000000-0005-0000-0000-00005C450000}"/>
    <cellStyle name="40% - Accent4 8 2 4 2 2" xfId="15761" xr:uid="{00000000-0005-0000-0000-00005D450000}"/>
    <cellStyle name="40% - Accent4 8 2 4 2 2 2" xfId="39603" xr:uid="{88CF437D-E0A4-42AC-9DA5-3A15C69244AA}"/>
    <cellStyle name="40% - Accent4 8 2 4 2 3" xfId="23707" xr:uid="{00000000-0005-0000-0000-00005E450000}"/>
    <cellStyle name="40% - Accent4 8 2 4 2 3 2" xfId="47539" xr:uid="{9B6E1727-0708-4954-9A62-89DCB09F63D1}"/>
    <cellStyle name="40% - Accent4 8 2 4 2 4" xfId="31662" xr:uid="{C4199A37-1C8C-43CA-A370-131984CD6441}"/>
    <cellStyle name="40% - Accent4 8 2 4 3" xfId="12223" xr:uid="{00000000-0005-0000-0000-00005F450000}"/>
    <cellStyle name="40% - Accent4 8 2 4 3 2" xfId="36072" xr:uid="{4AA5766C-ABDE-4670-ACB9-D84275C541EB}"/>
    <cellStyle name="40% - Accent4 8 2 4 4" xfId="20178" xr:uid="{00000000-0005-0000-0000-000060450000}"/>
    <cellStyle name="40% - Accent4 8 2 4 4 2" xfId="44010" xr:uid="{583CAB19-09E6-4D95-A65A-F9A7D1BD5F35}"/>
    <cellStyle name="40% - Accent4 8 2 4 5" xfId="28131" xr:uid="{18DB7927-E3DC-4125-8E07-2407BD283054}"/>
    <cellStyle name="40% - Accent4 8 2 5" xfId="6019" xr:uid="{00000000-0005-0000-0000-000061450000}"/>
    <cellStyle name="40% - Accent4 8 2 5 2" xfId="14002" xr:uid="{00000000-0005-0000-0000-000062450000}"/>
    <cellStyle name="40% - Accent4 8 2 5 2 2" xfId="37845" xr:uid="{EA74B6A7-0895-4E60-981F-E058A91452B4}"/>
    <cellStyle name="40% - Accent4 8 2 5 3" xfId="21950" xr:uid="{00000000-0005-0000-0000-000063450000}"/>
    <cellStyle name="40% - Accent4 8 2 5 3 2" xfId="45782" xr:uid="{33216E81-C266-4FBC-99A5-3D7D3528F47F}"/>
    <cellStyle name="40% - Accent4 8 2 5 4" xfId="29904" xr:uid="{313AD963-8AD8-48BF-AC93-E9545EEA492C}"/>
    <cellStyle name="40% - Accent4 8 2 6" xfId="9571" xr:uid="{00000000-0005-0000-0000-000064450000}"/>
    <cellStyle name="40% - Accent4 8 2 6 2" xfId="17529" xr:uid="{00000000-0005-0000-0000-000065450000}"/>
    <cellStyle name="40% - Accent4 8 2 6 2 2" xfId="41369" xr:uid="{F1AB66BA-674D-423D-AA3B-1FC7D78021A4}"/>
    <cellStyle name="40% - Accent4 8 2 6 3" xfId="25473" xr:uid="{00000000-0005-0000-0000-000066450000}"/>
    <cellStyle name="40% - Accent4 8 2 6 3 2" xfId="49305" xr:uid="{B83E857F-E98C-4817-95D9-2071449913EB}"/>
    <cellStyle name="40% - Accent4 8 2 6 4" xfId="33428" xr:uid="{AA571A04-63CA-4796-89A1-E8AC73EF7E3E}"/>
    <cellStyle name="40% - Accent4 8 2 7" xfId="10467" xr:uid="{00000000-0005-0000-0000-000067450000}"/>
    <cellStyle name="40% - Accent4 8 2 7 2" xfId="34316" xr:uid="{8B83EC6B-04B9-4D81-8482-556417904E54}"/>
    <cellStyle name="40% - Accent4 8 2 8" xfId="18422" xr:uid="{00000000-0005-0000-0000-000068450000}"/>
    <cellStyle name="40% - Accent4 8 2 8 2" xfId="42254" xr:uid="{796D857C-1C1E-4477-A4D7-6AD8AA77D73D}"/>
    <cellStyle name="40% - Accent4 8 2 9" xfId="26374" xr:uid="{7326000A-2C70-4960-97CF-8B2C65F85286}"/>
    <cellStyle name="40% - Accent4 8 2_Exh G" xfId="3155" xr:uid="{00000000-0005-0000-0000-000069450000}"/>
    <cellStyle name="40% - Accent4 8 3" xfId="527" xr:uid="{00000000-0005-0000-0000-00006A450000}"/>
    <cellStyle name="40% - Accent4 8 3 2" xfId="1553" xr:uid="{00000000-0005-0000-0000-00006B450000}"/>
    <cellStyle name="40% - Accent4 8 3 2 2" xfId="5080" xr:uid="{00000000-0005-0000-0000-00006C450000}"/>
    <cellStyle name="40% - Accent4 8 3 2 2 2" xfId="8671" xr:uid="{00000000-0005-0000-0000-00006D450000}"/>
    <cellStyle name="40% - Accent4 8 3 2 2 2 2" xfId="16641" xr:uid="{00000000-0005-0000-0000-00006E450000}"/>
    <cellStyle name="40% - Accent4 8 3 2 2 2 2 2" xfId="40483" xr:uid="{FBD69633-2C10-4495-8D80-8A0B3DBDFDFD}"/>
    <cellStyle name="40% - Accent4 8 3 2 2 2 3" xfId="24587" xr:uid="{00000000-0005-0000-0000-00006F450000}"/>
    <cellStyle name="40% - Accent4 8 3 2 2 2 3 2" xfId="48419" xr:uid="{95649342-0427-4E28-AE58-D2A9E034FB1B}"/>
    <cellStyle name="40% - Accent4 8 3 2 2 2 4" xfId="32542" xr:uid="{868B0A72-4A81-4900-9520-B615258B81FC}"/>
    <cellStyle name="40% - Accent4 8 3 2 2 3" xfId="13103" xr:uid="{00000000-0005-0000-0000-000070450000}"/>
    <cellStyle name="40% - Accent4 8 3 2 2 3 2" xfId="36952" xr:uid="{C67B5DEF-E348-4A41-8BBE-8F7D3E83DD6A}"/>
    <cellStyle name="40% - Accent4 8 3 2 2 4" xfId="21058" xr:uid="{00000000-0005-0000-0000-000071450000}"/>
    <cellStyle name="40% - Accent4 8 3 2 2 4 2" xfId="44890" xr:uid="{1690399B-B7FA-4FA0-A341-83332F530A59}"/>
    <cellStyle name="40% - Accent4 8 3 2 2 5" xfId="29011" xr:uid="{57D815CB-9446-4F1B-A802-071F7022752D}"/>
    <cellStyle name="40% - Accent4 8 3 2 3" xfId="6912" xr:uid="{00000000-0005-0000-0000-000072450000}"/>
    <cellStyle name="40% - Accent4 8 3 2 3 2" xfId="14883" xr:uid="{00000000-0005-0000-0000-000073450000}"/>
    <cellStyle name="40% - Accent4 8 3 2 3 2 2" xfId="38725" xr:uid="{9B50040F-ADC0-4836-9789-063A5ABD90F5}"/>
    <cellStyle name="40% - Accent4 8 3 2 3 3" xfId="22830" xr:uid="{00000000-0005-0000-0000-000074450000}"/>
    <cellStyle name="40% - Accent4 8 3 2 3 3 2" xfId="46662" xr:uid="{3FB33248-A9EC-4663-B6C0-1E225B2D4FD0}"/>
    <cellStyle name="40% - Accent4 8 3 2 3 4" xfId="30784" xr:uid="{F9071BD6-0949-4336-A270-809824B514BD}"/>
    <cellStyle name="40% - Accent4 8 3 2 4" xfId="11347" xr:uid="{00000000-0005-0000-0000-000075450000}"/>
    <cellStyle name="40% - Accent4 8 3 2 4 2" xfId="35196" xr:uid="{B51E7D07-8C18-42A6-BA86-B8C3446605BB}"/>
    <cellStyle name="40% - Accent4 8 3 2 5" xfId="19302" xr:uid="{00000000-0005-0000-0000-000076450000}"/>
    <cellStyle name="40% - Accent4 8 3 2 5 2" xfId="43134" xr:uid="{86E730A0-6BA5-41D7-A7A9-0BAB8C3FD96A}"/>
    <cellStyle name="40% - Accent4 8 3 2 6" xfId="27254" xr:uid="{092CF5E0-136B-4AA7-8F7D-7DFCB491C82C}"/>
    <cellStyle name="40% - Accent4 8 3 2_Exh G" xfId="3160" xr:uid="{00000000-0005-0000-0000-000077450000}"/>
    <cellStyle name="40% - Accent4 8 3 3" xfId="4201" xr:uid="{00000000-0005-0000-0000-000078450000}"/>
    <cellStyle name="40% - Accent4 8 3 3 2" xfId="7793" xr:uid="{00000000-0005-0000-0000-000079450000}"/>
    <cellStyle name="40% - Accent4 8 3 3 2 2" xfId="15763" xr:uid="{00000000-0005-0000-0000-00007A450000}"/>
    <cellStyle name="40% - Accent4 8 3 3 2 2 2" xfId="39605" xr:uid="{CEB54ED2-42F4-4F52-83D5-7CE50EEADBCB}"/>
    <cellStyle name="40% - Accent4 8 3 3 2 3" xfId="23709" xr:uid="{00000000-0005-0000-0000-00007B450000}"/>
    <cellStyle name="40% - Accent4 8 3 3 2 3 2" xfId="47541" xr:uid="{BD45AAB1-3030-4A7C-B24D-77B12C6E62E1}"/>
    <cellStyle name="40% - Accent4 8 3 3 2 4" xfId="31664" xr:uid="{FDC6ACFC-82F1-4BF4-9B1E-E5BBC79FDE5F}"/>
    <cellStyle name="40% - Accent4 8 3 3 3" xfId="12225" xr:uid="{00000000-0005-0000-0000-00007C450000}"/>
    <cellStyle name="40% - Accent4 8 3 3 3 2" xfId="36074" xr:uid="{8DDC9AB6-543A-466B-BD04-F299477DE516}"/>
    <cellStyle name="40% - Accent4 8 3 3 4" xfId="20180" xr:uid="{00000000-0005-0000-0000-00007D450000}"/>
    <cellStyle name="40% - Accent4 8 3 3 4 2" xfId="44012" xr:uid="{10F396F8-08D2-4E2C-AAF6-EA2A3F465C16}"/>
    <cellStyle name="40% - Accent4 8 3 3 5" xfId="28133" xr:uid="{5161F491-0A22-42FF-AAD9-DCE54661E633}"/>
    <cellStyle name="40% - Accent4 8 3 4" xfId="6021" xr:uid="{00000000-0005-0000-0000-00007E450000}"/>
    <cellStyle name="40% - Accent4 8 3 4 2" xfId="14004" xr:uid="{00000000-0005-0000-0000-00007F450000}"/>
    <cellStyle name="40% - Accent4 8 3 4 2 2" xfId="37847" xr:uid="{4F4E9D0F-88FC-4067-B043-FFC6A6E11DD9}"/>
    <cellStyle name="40% - Accent4 8 3 4 3" xfId="21952" xr:uid="{00000000-0005-0000-0000-000080450000}"/>
    <cellStyle name="40% - Accent4 8 3 4 3 2" xfId="45784" xr:uid="{10506705-B473-4B00-BF15-2D47B05144B2}"/>
    <cellStyle name="40% - Accent4 8 3 4 4" xfId="29906" xr:uid="{38DAA50E-47F7-439E-9F4E-E431312B5E20}"/>
    <cellStyle name="40% - Accent4 8 3 5" xfId="9573" xr:uid="{00000000-0005-0000-0000-000081450000}"/>
    <cellStyle name="40% - Accent4 8 3 5 2" xfId="17531" xr:uid="{00000000-0005-0000-0000-000082450000}"/>
    <cellStyle name="40% - Accent4 8 3 5 2 2" xfId="41371" xr:uid="{A002BB49-949D-455B-814D-C02F879E5899}"/>
    <cellStyle name="40% - Accent4 8 3 5 3" xfId="25475" xr:uid="{00000000-0005-0000-0000-000083450000}"/>
    <cellStyle name="40% - Accent4 8 3 5 3 2" xfId="49307" xr:uid="{852FF7F3-9651-43E7-BAF4-731DDBDD14A6}"/>
    <cellStyle name="40% - Accent4 8 3 5 4" xfId="33430" xr:uid="{A9B5DEF9-7656-4022-80DC-48769DD9DED0}"/>
    <cellStyle name="40% - Accent4 8 3 6" xfId="10469" xr:uid="{00000000-0005-0000-0000-000084450000}"/>
    <cellStyle name="40% - Accent4 8 3 6 2" xfId="34318" xr:uid="{E35AEEF3-57A7-4CE3-B6D7-CAF32C07244F}"/>
    <cellStyle name="40% - Accent4 8 3 7" xfId="18424" xr:uid="{00000000-0005-0000-0000-000085450000}"/>
    <cellStyle name="40% - Accent4 8 3 7 2" xfId="42256" xr:uid="{0A277DDF-5AC8-4342-92AF-4B01AED67FD8}"/>
    <cellStyle name="40% - Accent4 8 3 8" xfId="26376" xr:uid="{17462490-49E1-424E-B5C4-076DDB7B289B}"/>
    <cellStyle name="40% - Accent4 8 3_Exh G" xfId="3159" xr:uid="{00000000-0005-0000-0000-000086450000}"/>
    <cellStyle name="40% - Accent4 8 4" xfId="977" xr:uid="{00000000-0005-0000-0000-000087450000}"/>
    <cellStyle name="40% - Accent4 8 4 2" xfId="1890" xr:uid="{00000000-0005-0000-0000-000088450000}"/>
    <cellStyle name="40% - Accent4 8 4 2 2" xfId="5407" xr:uid="{00000000-0005-0000-0000-000089450000}"/>
    <cellStyle name="40% - Accent4 8 4 2 2 2" xfId="8998" xr:uid="{00000000-0005-0000-0000-00008A450000}"/>
    <cellStyle name="40% - Accent4 8 4 2 2 2 2" xfId="16968" xr:uid="{00000000-0005-0000-0000-00008B450000}"/>
    <cellStyle name="40% - Accent4 8 4 2 2 2 2 2" xfId="40810" xr:uid="{717C31E8-56C2-4BDA-A6B6-10C10638F355}"/>
    <cellStyle name="40% - Accent4 8 4 2 2 2 3" xfId="24914" xr:uid="{00000000-0005-0000-0000-00008C450000}"/>
    <cellStyle name="40% - Accent4 8 4 2 2 2 3 2" xfId="48746" xr:uid="{478037FB-AD5A-4DFF-AF82-B3495010F48A}"/>
    <cellStyle name="40% - Accent4 8 4 2 2 2 4" xfId="32869" xr:uid="{16F42D22-0F60-411D-87F0-02A7775CC6F3}"/>
    <cellStyle name="40% - Accent4 8 4 2 2 3" xfId="13430" xr:uid="{00000000-0005-0000-0000-00008D450000}"/>
    <cellStyle name="40% - Accent4 8 4 2 2 3 2" xfId="37279" xr:uid="{1DBC161B-1599-4F38-AC8A-03C98F77BDC7}"/>
    <cellStyle name="40% - Accent4 8 4 2 2 4" xfId="21385" xr:uid="{00000000-0005-0000-0000-00008E450000}"/>
    <cellStyle name="40% - Accent4 8 4 2 2 4 2" xfId="45217" xr:uid="{4B2C2F58-9044-4AE7-8980-55814E3279AE}"/>
    <cellStyle name="40% - Accent4 8 4 2 2 5" xfId="29338" xr:uid="{B527B74C-F0D5-4F57-81EC-2D8FB50A2224}"/>
    <cellStyle name="40% - Accent4 8 4 2 3" xfId="7239" xr:uid="{00000000-0005-0000-0000-00008F450000}"/>
    <cellStyle name="40% - Accent4 8 4 2 3 2" xfId="15210" xr:uid="{00000000-0005-0000-0000-000090450000}"/>
    <cellStyle name="40% - Accent4 8 4 2 3 2 2" xfId="39052" xr:uid="{4AC0C00E-5E63-4701-8098-012CD119DDDD}"/>
    <cellStyle name="40% - Accent4 8 4 2 3 3" xfId="23157" xr:uid="{00000000-0005-0000-0000-000091450000}"/>
    <cellStyle name="40% - Accent4 8 4 2 3 3 2" xfId="46989" xr:uid="{0DD164EA-9B04-4769-BD07-3464405D83CE}"/>
    <cellStyle name="40% - Accent4 8 4 2 3 4" xfId="31111" xr:uid="{F23AAD85-2AAB-4EA5-B372-75BD0F18D89A}"/>
    <cellStyle name="40% - Accent4 8 4 2 4" xfId="11674" xr:uid="{00000000-0005-0000-0000-000092450000}"/>
    <cellStyle name="40% - Accent4 8 4 2 4 2" xfId="35523" xr:uid="{8537C769-65BC-4D2F-BBF1-2754222D8600}"/>
    <cellStyle name="40% - Accent4 8 4 2 5" xfId="19629" xr:uid="{00000000-0005-0000-0000-000093450000}"/>
    <cellStyle name="40% - Accent4 8 4 2 5 2" xfId="43461" xr:uid="{3F7A2DE1-03C6-4A99-8E42-9AD9C06115E4}"/>
    <cellStyle name="40% - Accent4 8 4 2 6" xfId="27581" xr:uid="{1D8CC4AF-95CF-443A-8BC8-E4BCE95ECF95}"/>
    <cellStyle name="40% - Accent4 8 4 2_Exh G" xfId="3162" xr:uid="{00000000-0005-0000-0000-000094450000}"/>
    <cellStyle name="40% - Accent4 8 4 3" xfId="4528" xr:uid="{00000000-0005-0000-0000-000095450000}"/>
    <cellStyle name="40% - Accent4 8 4 3 2" xfId="8120" xr:uid="{00000000-0005-0000-0000-000096450000}"/>
    <cellStyle name="40% - Accent4 8 4 3 2 2" xfId="16090" xr:uid="{00000000-0005-0000-0000-000097450000}"/>
    <cellStyle name="40% - Accent4 8 4 3 2 2 2" xfId="39932" xr:uid="{3AE964E8-2C59-4C82-8B43-601E086D82BB}"/>
    <cellStyle name="40% - Accent4 8 4 3 2 3" xfId="24036" xr:uid="{00000000-0005-0000-0000-000098450000}"/>
    <cellStyle name="40% - Accent4 8 4 3 2 3 2" xfId="47868" xr:uid="{4DB4C03B-1E1B-4617-8136-C02D971EC6A7}"/>
    <cellStyle name="40% - Accent4 8 4 3 2 4" xfId="31991" xr:uid="{3CF140E9-0615-4179-924A-16AB2C7265A4}"/>
    <cellStyle name="40% - Accent4 8 4 3 3" xfId="12552" xr:uid="{00000000-0005-0000-0000-000099450000}"/>
    <cellStyle name="40% - Accent4 8 4 3 3 2" xfId="36401" xr:uid="{5DB9A37C-A8D8-4A70-B0DC-57DCE843C990}"/>
    <cellStyle name="40% - Accent4 8 4 3 4" xfId="20507" xr:uid="{00000000-0005-0000-0000-00009A450000}"/>
    <cellStyle name="40% - Accent4 8 4 3 4 2" xfId="44339" xr:uid="{71D29605-2E73-4844-8F09-D9C08F226AAE}"/>
    <cellStyle name="40% - Accent4 8 4 3 5" xfId="28460" xr:uid="{87F8708E-3A8D-4DCD-A34F-A3FF40D96169}"/>
    <cellStyle name="40% - Accent4 8 4 4" xfId="6358" xr:uid="{00000000-0005-0000-0000-00009B450000}"/>
    <cellStyle name="40% - Accent4 8 4 4 2" xfId="14332" xr:uid="{00000000-0005-0000-0000-00009C450000}"/>
    <cellStyle name="40% - Accent4 8 4 4 2 2" xfId="38174" xr:uid="{12184297-C4CD-4CF7-94A3-E29863D8A886}"/>
    <cellStyle name="40% - Accent4 8 4 4 3" xfId="22279" xr:uid="{00000000-0005-0000-0000-00009D450000}"/>
    <cellStyle name="40% - Accent4 8 4 4 3 2" xfId="46111" xr:uid="{D1354448-F2F9-4404-82FA-A64EFA6EAF9F}"/>
    <cellStyle name="40% - Accent4 8 4 4 4" xfId="30233" xr:uid="{0471B6B9-C9E1-4F5D-B349-21E85429D15D}"/>
    <cellStyle name="40% - Accent4 8 4 5" xfId="9900" xr:uid="{00000000-0005-0000-0000-00009E450000}"/>
    <cellStyle name="40% - Accent4 8 4 5 2" xfId="17858" xr:uid="{00000000-0005-0000-0000-00009F450000}"/>
    <cellStyle name="40% - Accent4 8 4 5 2 2" xfId="41698" xr:uid="{0A563557-A0D5-45D4-A95B-98094EC13E99}"/>
    <cellStyle name="40% - Accent4 8 4 5 3" xfId="25802" xr:uid="{00000000-0005-0000-0000-0000A0450000}"/>
    <cellStyle name="40% - Accent4 8 4 5 3 2" xfId="49634" xr:uid="{1DF0B3A2-1B14-4E35-9D6F-6C2E2A1DA8D5}"/>
    <cellStyle name="40% - Accent4 8 4 5 4" xfId="33757" xr:uid="{49DAAB0E-258C-4972-A78B-41A6C404CA9C}"/>
    <cellStyle name="40% - Accent4 8 4 6" xfId="10796" xr:uid="{00000000-0005-0000-0000-0000A1450000}"/>
    <cellStyle name="40% - Accent4 8 4 6 2" xfId="34645" xr:uid="{6DDD8FF0-0226-49C3-8290-C7F4CEEE8CA3}"/>
    <cellStyle name="40% - Accent4 8 4 7" xfId="18751" xr:uid="{00000000-0005-0000-0000-0000A2450000}"/>
    <cellStyle name="40% - Accent4 8 4 7 2" xfId="42583" xr:uid="{73AD43FA-C832-450E-972B-93B34192D2CE}"/>
    <cellStyle name="40% - Accent4 8 4 8" xfId="26703" xr:uid="{CCB9DFF0-4A98-4A8F-A3CA-E89094D93AAA}"/>
    <cellStyle name="40% - Accent4 8 4_Exh G" xfId="3161" xr:uid="{00000000-0005-0000-0000-0000A3450000}"/>
    <cellStyle name="40% - Accent4 8 5" xfId="1550" xr:uid="{00000000-0005-0000-0000-0000A4450000}"/>
    <cellStyle name="40% - Accent4 8 5 2" xfId="5077" xr:uid="{00000000-0005-0000-0000-0000A5450000}"/>
    <cellStyle name="40% - Accent4 8 5 2 2" xfId="8668" xr:uid="{00000000-0005-0000-0000-0000A6450000}"/>
    <cellStyle name="40% - Accent4 8 5 2 2 2" xfId="16638" xr:uid="{00000000-0005-0000-0000-0000A7450000}"/>
    <cellStyle name="40% - Accent4 8 5 2 2 2 2" xfId="40480" xr:uid="{A1B8E0C8-8CC5-43B4-9069-B45DCF13C5A1}"/>
    <cellStyle name="40% - Accent4 8 5 2 2 3" xfId="24584" xr:uid="{00000000-0005-0000-0000-0000A8450000}"/>
    <cellStyle name="40% - Accent4 8 5 2 2 3 2" xfId="48416" xr:uid="{3463EAAF-E29D-4517-AD74-E316184BF2B0}"/>
    <cellStyle name="40% - Accent4 8 5 2 2 4" xfId="32539" xr:uid="{8360C986-F3E3-4EFD-8E59-60B60CF50BD4}"/>
    <cellStyle name="40% - Accent4 8 5 2 3" xfId="13100" xr:uid="{00000000-0005-0000-0000-0000A9450000}"/>
    <cellStyle name="40% - Accent4 8 5 2 3 2" xfId="36949" xr:uid="{686A9B9A-4B3A-4B6B-A90B-7F8164F64009}"/>
    <cellStyle name="40% - Accent4 8 5 2 4" xfId="21055" xr:uid="{00000000-0005-0000-0000-0000AA450000}"/>
    <cellStyle name="40% - Accent4 8 5 2 4 2" xfId="44887" xr:uid="{7B1EFDCE-0DB0-46D8-BC8A-4F523DCCE1B3}"/>
    <cellStyle name="40% - Accent4 8 5 2 5" xfId="29008" xr:uid="{DE134D48-DCA3-43D4-B7AB-373DE87A07B2}"/>
    <cellStyle name="40% - Accent4 8 5 3" xfId="6909" xr:uid="{00000000-0005-0000-0000-0000AB450000}"/>
    <cellStyle name="40% - Accent4 8 5 3 2" xfId="14880" xr:uid="{00000000-0005-0000-0000-0000AC450000}"/>
    <cellStyle name="40% - Accent4 8 5 3 2 2" xfId="38722" xr:uid="{1E0EECB8-4C40-4CE8-BFE6-6DF92B5A7D7F}"/>
    <cellStyle name="40% - Accent4 8 5 3 3" xfId="22827" xr:uid="{00000000-0005-0000-0000-0000AD450000}"/>
    <cellStyle name="40% - Accent4 8 5 3 3 2" xfId="46659" xr:uid="{72CC70BF-2D38-418B-8201-140C2AE2FAAF}"/>
    <cellStyle name="40% - Accent4 8 5 3 4" xfId="30781" xr:uid="{C83D2A2B-653E-4689-BC00-2E48D80B3A05}"/>
    <cellStyle name="40% - Accent4 8 5 4" xfId="11344" xr:uid="{00000000-0005-0000-0000-0000AE450000}"/>
    <cellStyle name="40% - Accent4 8 5 4 2" xfId="35193" xr:uid="{436FDCAD-BB36-466B-BACA-0ECB13961DE7}"/>
    <cellStyle name="40% - Accent4 8 5 5" xfId="19299" xr:uid="{00000000-0005-0000-0000-0000AF450000}"/>
    <cellStyle name="40% - Accent4 8 5 5 2" xfId="43131" xr:uid="{603C77B6-DC2E-4258-9376-66CB9A175A29}"/>
    <cellStyle name="40% - Accent4 8 5 6" xfId="27251" xr:uid="{F70A87E6-2CAB-47DA-AC36-EF687F3F6D3D}"/>
    <cellStyle name="40% - Accent4 8 5_Exh G" xfId="3163" xr:uid="{00000000-0005-0000-0000-0000B0450000}"/>
    <cellStyle name="40% - Accent4 8 6" xfId="4198" xr:uid="{00000000-0005-0000-0000-0000B1450000}"/>
    <cellStyle name="40% - Accent4 8 6 2" xfId="7790" xr:uid="{00000000-0005-0000-0000-0000B2450000}"/>
    <cellStyle name="40% - Accent4 8 6 2 2" xfId="15760" xr:uid="{00000000-0005-0000-0000-0000B3450000}"/>
    <cellStyle name="40% - Accent4 8 6 2 2 2" xfId="39602" xr:uid="{312D6232-C1CA-4489-A180-22B549BECFE8}"/>
    <cellStyle name="40% - Accent4 8 6 2 3" xfId="23706" xr:uid="{00000000-0005-0000-0000-0000B4450000}"/>
    <cellStyle name="40% - Accent4 8 6 2 3 2" xfId="47538" xr:uid="{3A805146-F215-4DC1-842D-FF01F43C0230}"/>
    <cellStyle name="40% - Accent4 8 6 2 4" xfId="31661" xr:uid="{422D4F9A-7301-4B46-8039-2DBE4C7FA040}"/>
    <cellStyle name="40% - Accent4 8 6 3" xfId="12222" xr:uid="{00000000-0005-0000-0000-0000B5450000}"/>
    <cellStyle name="40% - Accent4 8 6 3 2" xfId="36071" xr:uid="{C3CDF426-5DBE-4075-AC3D-63D4B28A3A54}"/>
    <cellStyle name="40% - Accent4 8 6 4" xfId="20177" xr:uid="{00000000-0005-0000-0000-0000B6450000}"/>
    <cellStyle name="40% - Accent4 8 6 4 2" xfId="44009" xr:uid="{43B86B56-AFFF-4F07-A00D-898C6FCAB479}"/>
    <cellStyle name="40% - Accent4 8 6 5" xfId="28130" xr:uid="{D867B786-3D88-41EB-AEA7-C5B005B0830E}"/>
    <cellStyle name="40% - Accent4 8 7" xfId="6018" xr:uid="{00000000-0005-0000-0000-0000B7450000}"/>
    <cellStyle name="40% - Accent4 8 7 2" xfId="14001" xr:uid="{00000000-0005-0000-0000-0000B8450000}"/>
    <cellStyle name="40% - Accent4 8 7 2 2" xfId="37844" xr:uid="{B5530241-9564-4ECE-B2F3-E6FC82E62733}"/>
    <cellStyle name="40% - Accent4 8 7 3" xfId="21949" xr:uid="{00000000-0005-0000-0000-0000B9450000}"/>
    <cellStyle name="40% - Accent4 8 7 3 2" xfId="45781" xr:uid="{C6D96F88-1CA3-4D41-816E-63CE7E6AD5D8}"/>
    <cellStyle name="40% - Accent4 8 7 4" xfId="29903" xr:uid="{EADB8E71-3D98-4C51-80DD-FABDFF776313}"/>
    <cellStyle name="40% - Accent4 8 8" xfId="9570" xr:uid="{00000000-0005-0000-0000-0000BA450000}"/>
    <cellStyle name="40% - Accent4 8 8 2" xfId="17528" xr:uid="{00000000-0005-0000-0000-0000BB450000}"/>
    <cellStyle name="40% - Accent4 8 8 2 2" xfId="41368" xr:uid="{9462839D-8033-4B69-9C8B-9C14DA0C3757}"/>
    <cellStyle name="40% - Accent4 8 8 3" xfId="25472" xr:uid="{00000000-0005-0000-0000-0000BC450000}"/>
    <cellStyle name="40% - Accent4 8 8 3 2" xfId="49304" xr:uid="{C12869DE-B763-48CE-9DB3-3A41A3E6E104}"/>
    <cellStyle name="40% - Accent4 8 8 4" xfId="33427" xr:uid="{CEB03480-1497-469B-963A-E6E29B893B24}"/>
    <cellStyle name="40% - Accent4 8 9" xfId="10466" xr:uid="{00000000-0005-0000-0000-0000BD450000}"/>
    <cellStyle name="40% - Accent4 8 9 2" xfId="34315" xr:uid="{EDBB1430-1C79-4D12-B18E-9293A1B57366}"/>
    <cellStyle name="40% - Accent4 8_Exh G" xfId="3154" xr:uid="{00000000-0005-0000-0000-0000BE450000}"/>
    <cellStyle name="40% - Accent4 9" xfId="528" xr:uid="{00000000-0005-0000-0000-0000BF450000}"/>
    <cellStyle name="40% - Accent4 9 10" xfId="18425" xr:uid="{00000000-0005-0000-0000-0000C0450000}"/>
    <cellStyle name="40% - Accent4 9 10 2" xfId="42257" xr:uid="{F9ACD835-D801-4C53-87B9-F08240D108D1}"/>
    <cellStyle name="40% - Accent4 9 11" xfId="26377" xr:uid="{A16D65C6-DFDF-40AA-8DB8-CE9284A2FCAC}"/>
    <cellStyle name="40% - Accent4 9 2" xfId="529" xr:uid="{00000000-0005-0000-0000-0000C1450000}"/>
    <cellStyle name="40% - Accent4 9 2 2" xfId="530" xr:uid="{00000000-0005-0000-0000-0000C2450000}"/>
    <cellStyle name="40% - Accent4 9 2 2 2" xfId="1556" xr:uid="{00000000-0005-0000-0000-0000C3450000}"/>
    <cellStyle name="40% - Accent4 9 2 2 2 2" xfId="5083" xr:uid="{00000000-0005-0000-0000-0000C4450000}"/>
    <cellStyle name="40% - Accent4 9 2 2 2 2 2" xfId="8674" xr:uid="{00000000-0005-0000-0000-0000C5450000}"/>
    <cellStyle name="40% - Accent4 9 2 2 2 2 2 2" xfId="16644" xr:uid="{00000000-0005-0000-0000-0000C6450000}"/>
    <cellStyle name="40% - Accent4 9 2 2 2 2 2 2 2" xfId="40486" xr:uid="{F3DC5868-1C23-42B6-9682-ED69D4D10B13}"/>
    <cellStyle name="40% - Accent4 9 2 2 2 2 2 3" xfId="24590" xr:uid="{00000000-0005-0000-0000-0000C7450000}"/>
    <cellStyle name="40% - Accent4 9 2 2 2 2 2 3 2" xfId="48422" xr:uid="{52057548-0C53-4B87-A3E3-9ECA5E5628A7}"/>
    <cellStyle name="40% - Accent4 9 2 2 2 2 2 4" xfId="32545" xr:uid="{1364FCB9-C5F7-426B-B206-9F38AA33C240}"/>
    <cellStyle name="40% - Accent4 9 2 2 2 2 3" xfId="13106" xr:uid="{00000000-0005-0000-0000-0000C8450000}"/>
    <cellStyle name="40% - Accent4 9 2 2 2 2 3 2" xfId="36955" xr:uid="{7E515DAF-CEDE-45FD-BDC3-91F0CC768528}"/>
    <cellStyle name="40% - Accent4 9 2 2 2 2 4" xfId="21061" xr:uid="{00000000-0005-0000-0000-0000C9450000}"/>
    <cellStyle name="40% - Accent4 9 2 2 2 2 4 2" xfId="44893" xr:uid="{03149A34-15B5-46BF-A313-4CE2B6444D07}"/>
    <cellStyle name="40% - Accent4 9 2 2 2 2 5" xfId="29014" xr:uid="{32A0C035-C4AA-48B9-8DAB-04EDAB8E622E}"/>
    <cellStyle name="40% - Accent4 9 2 2 2 3" xfId="6915" xr:uid="{00000000-0005-0000-0000-0000CA450000}"/>
    <cellStyle name="40% - Accent4 9 2 2 2 3 2" xfId="14886" xr:uid="{00000000-0005-0000-0000-0000CB450000}"/>
    <cellStyle name="40% - Accent4 9 2 2 2 3 2 2" xfId="38728" xr:uid="{51A118D4-4173-43FC-97AA-83AD2D128BB1}"/>
    <cellStyle name="40% - Accent4 9 2 2 2 3 3" xfId="22833" xr:uid="{00000000-0005-0000-0000-0000CC450000}"/>
    <cellStyle name="40% - Accent4 9 2 2 2 3 3 2" xfId="46665" xr:uid="{3EB6F56B-D8EB-410D-A681-996D52942B52}"/>
    <cellStyle name="40% - Accent4 9 2 2 2 3 4" xfId="30787" xr:uid="{4D27049E-179E-4F6E-A9EC-FD5CE457FCD4}"/>
    <cellStyle name="40% - Accent4 9 2 2 2 4" xfId="11350" xr:uid="{00000000-0005-0000-0000-0000CD450000}"/>
    <cellStyle name="40% - Accent4 9 2 2 2 4 2" xfId="35199" xr:uid="{686BD776-C2AF-4E01-95B2-D95868CFC264}"/>
    <cellStyle name="40% - Accent4 9 2 2 2 5" xfId="19305" xr:uid="{00000000-0005-0000-0000-0000CE450000}"/>
    <cellStyle name="40% - Accent4 9 2 2 2 5 2" xfId="43137" xr:uid="{9D2D9A84-39D1-4F0F-859F-3BB631554739}"/>
    <cellStyle name="40% - Accent4 9 2 2 2 6" xfId="27257" xr:uid="{A459E301-9D59-406D-ADB0-664DE46B415C}"/>
    <cellStyle name="40% - Accent4 9 2 2 2_Exh G" xfId="3167" xr:uid="{00000000-0005-0000-0000-0000CF450000}"/>
    <cellStyle name="40% - Accent4 9 2 2 3" xfId="4204" xr:uid="{00000000-0005-0000-0000-0000D0450000}"/>
    <cellStyle name="40% - Accent4 9 2 2 3 2" xfId="7796" xr:uid="{00000000-0005-0000-0000-0000D1450000}"/>
    <cellStyle name="40% - Accent4 9 2 2 3 2 2" xfId="15766" xr:uid="{00000000-0005-0000-0000-0000D2450000}"/>
    <cellStyle name="40% - Accent4 9 2 2 3 2 2 2" xfId="39608" xr:uid="{6B25C532-23F5-4DA4-BF84-A2CEB10F19C5}"/>
    <cellStyle name="40% - Accent4 9 2 2 3 2 3" xfId="23712" xr:uid="{00000000-0005-0000-0000-0000D3450000}"/>
    <cellStyle name="40% - Accent4 9 2 2 3 2 3 2" xfId="47544" xr:uid="{E50F7716-BF59-4155-B724-9E23E8853293}"/>
    <cellStyle name="40% - Accent4 9 2 2 3 2 4" xfId="31667" xr:uid="{68857DD4-63CC-4A57-B4E9-FD02DC8DBF07}"/>
    <cellStyle name="40% - Accent4 9 2 2 3 3" xfId="12228" xr:uid="{00000000-0005-0000-0000-0000D4450000}"/>
    <cellStyle name="40% - Accent4 9 2 2 3 3 2" xfId="36077" xr:uid="{C4566F31-EE48-4F16-8D70-7B9087052BBE}"/>
    <cellStyle name="40% - Accent4 9 2 2 3 4" xfId="20183" xr:uid="{00000000-0005-0000-0000-0000D5450000}"/>
    <cellStyle name="40% - Accent4 9 2 2 3 4 2" xfId="44015" xr:uid="{DAFDE464-F1D1-4392-98E1-BF42128C0B83}"/>
    <cellStyle name="40% - Accent4 9 2 2 3 5" xfId="28136" xr:uid="{7728DDE6-4467-47A7-BB78-8126880B66DA}"/>
    <cellStyle name="40% - Accent4 9 2 2 4" xfId="6024" xr:uid="{00000000-0005-0000-0000-0000D6450000}"/>
    <cellStyle name="40% - Accent4 9 2 2 4 2" xfId="14007" xr:uid="{00000000-0005-0000-0000-0000D7450000}"/>
    <cellStyle name="40% - Accent4 9 2 2 4 2 2" xfId="37850" xr:uid="{EB1B98A8-4F4F-480B-A801-551A5782762C}"/>
    <cellStyle name="40% - Accent4 9 2 2 4 3" xfId="21955" xr:uid="{00000000-0005-0000-0000-0000D8450000}"/>
    <cellStyle name="40% - Accent4 9 2 2 4 3 2" xfId="45787" xr:uid="{391EEBF4-B1F3-430E-B788-CF311F304DEA}"/>
    <cellStyle name="40% - Accent4 9 2 2 4 4" xfId="29909" xr:uid="{ED86455C-EAE4-4E42-9881-7031E74C1CBC}"/>
    <cellStyle name="40% - Accent4 9 2 2 5" xfId="9576" xr:uid="{00000000-0005-0000-0000-0000D9450000}"/>
    <cellStyle name="40% - Accent4 9 2 2 5 2" xfId="17534" xr:uid="{00000000-0005-0000-0000-0000DA450000}"/>
    <cellStyle name="40% - Accent4 9 2 2 5 2 2" xfId="41374" xr:uid="{AE2B174A-1528-4AA2-A6A8-417BBA36A2D9}"/>
    <cellStyle name="40% - Accent4 9 2 2 5 3" xfId="25478" xr:uid="{00000000-0005-0000-0000-0000DB450000}"/>
    <cellStyle name="40% - Accent4 9 2 2 5 3 2" xfId="49310" xr:uid="{BECC102F-9B34-4184-957F-18586887D3FA}"/>
    <cellStyle name="40% - Accent4 9 2 2 5 4" xfId="33433" xr:uid="{6E195903-3C59-4B93-A7FD-B4F6E9791AB5}"/>
    <cellStyle name="40% - Accent4 9 2 2 6" xfId="10472" xr:uid="{00000000-0005-0000-0000-0000DC450000}"/>
    <cellStyle name="40% - Accent4 9 2 2 6 2" xfId="34321" xr:uid="{B69A2EB7-1812-496F-AC42-6ADBBEFFA713}"/>
    <cellStyle name="40% - Accent4 9 2 2 7" xfId="18427" xr:uid="{00000000-0005-0000-0000-0000DD450000}"/>
    <cellStyle name="40% - Accent4 9 2 2 7 2" xfId="42259" xr:uid="{A5F23778-3DA0-4FFE-8A83-FB80EF596FFF}"/>
    <cellStyle name="40% - Accent4 9 2 2 8" xfId="26379" xr:uid="{205551B2-8674-4AAB-9B7A-CD7FCABBC13B}"/>
    <cellStyle name="40% - Accent4 9 2 2_Exh G" xfId="3166" xr:uid="{00000000-0005-0000-0000-0000DE450000}"/>
    <cellStyle name="40% - Accent4 9 2 3" xfId="1555" xr:uid="{00000000-0005-0000-0000-0000DF450000}"/>
    <cellStyle name="40% - Accent4 9 2 3 2" xfId="5082" xr:uid="{00000000-0005-0000-0000-0000E0450000}"/>
    <cellStyle name="40% - Accent4 9 2 3 2 2" xfId="8673" xr:uid="{00000000-0005-0000-0000-0000E1450000}"/>
    <cellStyle name="40% - Accent4 9 2 3 2 2 2" xfId="16643" xr:uid="{00000000-0005-0000-0000-0000E2450000}"/>
    <cellStyle name="40% - Accent4 9 2 3 2 2 2 2" xfId="40485" xr:uid="{A49AD422-00EE-478C-A68C-E296C11A90E6}"/>
    <cellStyle name="40% - Accent4 9 2 3 2 2 3" xfId="24589" xr:uid="{00000000-0005-0000-0000-0000E3450000}"/>
    <cellStyle name="40% - Accent4 9 2 3 2 2 3 2" xfId="48421" xr:uid="{8A54A110-DE04-4D5C-A9EA-6F261BABA999}"/>
    <cellStyle name="40% - Accent4 9 2 3 2 2 4" xfId="32544" xr:uid="{977B4B48-C20C-418C-BE92-0FA68C5A1289}"/>
    <cellStyle name="40% - Accent4 9 2 3 2 3" xfId="13105" xr:uid="{00000000-0005-0000-0000-0000E4450000}"/>
    <cellStyle name="40% - Accent4 9 2 3 2 3 2" xfId="36954" xr:uid="{A0854B80-B779-463D-9DC5-0E630C4578DC}"/>
    <cellStyle name="40% - Accent4 9 2 3 2 4" xfId="21060" xr:uid="{00000000-0005-0000-0000-0000E5450000}"/>
    <cellStyle name="40% - Accent4 9 2 3 2 4 2" xfId="44892" xr:uid="{A1A56C77-9205-4496-9A1A-3127469602ED}"/>
    <cellStyle name="40% - Accent4 9 2 3 2 5" xfId="29013" xr:uid="{7F84FB0C-4F9D-4284-85A1-DEF84A50A853}"/>
    <cellStyle name="40% - Accent4 9 2 3 3" xfId="6914" xr:uid="{00000000-0005-0000-0000-0000E6450000}"/>
    <cellStyle name="40% - Accent4 9 2 3 3 2" xfId="14885" xr:uid="{00000000-0005-0000-0000-0000E7450000}"/>
    <cellStyle name="40% - Accent4 9 2 3 3 2 2" xfId="38727" xr:uid="{908829F0-DD82-44BE-9C6C-1A4E80EE612F}"/>
    <cellStyle name="40% - Accent4 9 2 3 3 3" xfId="22832" xr:uid="{00000000-0005-0000-0000-0000E8450000}"/>
    <cellStyle name="40% - Accent4 9 2 3 3 3 2" xfId="46664" xr:uid="{4877084F-7078-40A0-A0F2-6748439BB995}"/>
    <cellStyle name="40% - Accent4 9 2 3 3 4" xfId="30786" xr:uid="{6BCE5470-8855-4413-9596-934E771F5CC1}"/>
    <cellStyle name="40% - Accent4 9 2 3 4" xfId="11349" xr:uid="{00000000-0005-0000-0000-0000E9450000}"/>
    <cellStyle name="40% - Accent4 9 2 3 4 2" xfId="35198" xr:uid="{ED5B5398-5364-4540-8BFE-5337FED02C16}"/>
    <cellStyle name="40% - Accent4 9 2 3 5" xfId="19304" xr:uid="{00000000-0005-0000-0000-0000EA450000}"/>
    <cellStyle name="40% - Accent4 9 2 3 5 2" xfId="43136" xr:uid="{DDE14DB2-2FA1-46CF-A4BD-B894EDFE6B81}"/>
    <cellStyle name="40% - Accent4 9 2 3 6" xfId="27256" xr:uid="{9C78C028-D751-425B-81CE-2D13704CC7B7}"/>
    <cellStyle name="40% - Accent4 9 2 3_Exh G" xfId="3168" xr:uid="{00000000-0005-0000-0000-0000EB450000}"/>
    <cellStyle name="40% - Accent4 9 2 4" xfId="4203" xr:uid="{00000000-0005-0000-0000-0000EC450000}"/>
    <cellStyle name="40% - Accent4 9 2 4 2" xfId="7795" xr:uid="{00000000-0005-0000-0000-0000ED450000}"/>
    <cellStyle name="40% - Accent4 9 2 4 2 2" xfId="15765" xr:uid="{00000000-0005-0000-0000-0000EE450000}"/>
    <cellStyle name="40% - Accent4 9 2 4 2 2 2" xfId="39607" xr:uid="{7A27B800-8F7C-4E2B-A8F0-8A808825038B}"/>
    <cellStyle name="40% - Accent4 9 2 4 2 3" xfId="23711" xr:uid="{00000000-0005-0000-0000-0000EF450000}"/>
    <cellStyle name="40% - Accent4 9 2 4 2 3 2" xfId="47543" xr:uid="{CC43ACAA-4F62-4CA4-8E63-55530E320B56}"/>
    <cellStyle name="40% - Accent4 9 2 4 2 4" xfId="31666" xr:uid="{511E5712-C39B-4870-9FF6-F35F4651419E}"/>
    <cellStyle name="40% - Accent4 9 2 4 3" xfId="12227" xr:uid="{00000000-0005-0000-0000-0000F0450000}"/>
    <cellStyle name="40% - Accent4 9 2 4 3 2" xfId="36076" xr:uid="{1EE9D85B-924D-435A-A4BE-CDBFFC2C4610}"/>
    <cellStyle name="40% - Accent4 9 2 4 4" xfId="20182" xr:uid="{00000000-0005-0000-0000-0000F1450000}"/>
    <cellStyle name="40% - Accent4 9 2 4 4 2" xfId="44014" xr:uid="{C8CB06CE-3B1F-4FB9-8244-CCB377231304}"/>
    <cellStyle name="40% - Accent4 9 2 4 5" xfId="28135" xr:uid="{7EAF76C0-1F7F-4EF3-B90B-F4C047D35A19}"/>
    <cellStyle name="40% - Accent4 9 2 5" xfId="6023" xr:uid="{00000000-0005-0000-0000-0000F2450000}"/>
    <cellStyle name="40% - Accent4 9 2 5 2" xfId="14006" xr:uid="{00000000-0005-0000-0000-0000F3450000}"/>
    <cellStyle name="40% - Accent4 9 2 5 2 2" xfId="37849" xr:uid="{95F68D56-A4A0-459E-B0B7-DE38B6908D34}"/>
    <cellStyle name="40% - Accent4 9 2 5 3" xfId="21954" xr:uid="{00000000-0005-0000-0000-0000F4450000}"/>
    <cellStyle name="40% - Accent4 9 2 5 3 2" xfId="45786" xr:uid="{5B97E927-4635-41E8-B803-6F9303FF4193}"/>
    <cellStyle name="40% - Accent4 9 2 5 4" xfId="29908" xr:uid="{256331E3-BB61-4E1A-A963-F3D40C7DFD3C}"/>
    <cellStyle name="40% - Accent4 9 2 6" xfId="9575" xr:uid="{00000000-0005-0000-0000-0000F5450000}"/>
    <cellStyle name="40% - Accent4 9 2 6 2" xfId="17533" xr:uid="{00000000-0005-0000-0000-0000F6450000}"/>
    <cellStyle name="40% - Accent4 9 2 6 2 2" xfId="41373" xr:uid="{DCEDD45B-6F05-4F6B-B486-483765B7FD24}"/>
    <cellStyle name="40% - Accent4 9 2 6 3" xfId="25477" xr:uid="{00000000-0005-0000-0000-0000F7450000}"/>
    <cellStyle name="40% - Accent4 9 2 6 3 2" xfId="49309" xr:uid="{AE6986C2-41DE-4DC0-9E87-F04DCBB3FD7A}"/>
    <cellStyle name="40% - Accent4 9 2 6 4" xfId="33432" xr:uid="{4C95A074-5CE8-4683-8CCF-DE3901133EBD}"/>
    <cellStyle name="40% - Accent4 9 2 7" xfId="10471" xr:uid="{00000000-0005-0000-0000-0000F8450000}"/>
    <cellStyle name="40% - Accent4 9 2 7 2" xfId="34320" xr:uid="{00D14DF5-FEDB-466C-BCF5-1B778578BCC7}"/>
    <cellStyle name="40% - Accent4 9 2 8" xfId="18426" xr:uid="{00000000-0005-0000-0000-0000F9450000}"/>
    <cellStyle name="40% - Accent4 9 2 8 2" xfId="42258" xr:uid="{24AFB4DD-AC10-431F-BB5D-9F3AB254B093}"/>
    <cellStyle name="40% - Accent4 9 2 9" xfId="26378" xr:uid="{55D12E52-096E-46A7-9C0A-5E31A5FADFBA}"/>
    <cellStyle name="40% - Accent4 9 2_Exh G" xfId="3165" xr:uid="{00000000-0005-0000-0000-0000FA450000}"/>
    <cellStyle name="40% - Accent4 9 3" xfId="531" xr:uid="{00000000-0005-0000-0000-0000FB450000}"/>
    <cellStyle name="40% - Accent4 9 3 2" xfId="1557" xr:uid="{00000000-0005-0000-0000-0000FC450000}"/>
    <cellStyle name="40% - Accent4 9 3 2 2" xfId="5084" xr:uid="{00000000-0005-0000-0000-0000FD450000}"/>
    <cellStyle name="40% - Accent4 9 3 2 2 2" xfId="8675" xr:uid="{00000000-0005-0000-0000-0000FE450000}"/>
    <cellStyle name="40% - Accent4 9 3 2 2 2 2" xfId="16645" xr:uid="{00000000-0005-0000-0000-0000FF450000}"/>
    <cellStyle name="40% - Accent4 9 3 2 2 2 2 2" xfId="40487" xr:uid="{F6E4C7D8-2CBB-4D33-9FEF-2B7404F177AC}"/>
    <cellStyle name="40% - Accent4 9 3 2 2 2 3" xfId="24591" xr:uid="{00000000-0005-0000-0000-000000460000}"/>
    <cellStyle name="40% - Accent4 9 3 2 2 2 3 2" xfId="48423" xr:uid="{863C73CB-E910-4E3B-8D10-E0F65C278726}"/>
    <cellStyle name="40% - Accent4 9 3 2 2 2 4" xfId="32546" xr:uid="{4A93B51B-CB82-474D-95E9-FE1FB5BDC67D}"/>
    <cellStyle name="40% - Accent4 9 3 2 2 3" xfId="13107" xr:uid="{00000000-0005-0000-0000-000001460000}"/>
    <cellStyle name="40% - Accent4 9 3 2 2 3 2" xfId="36956" xr:uid="{BE7A8458-C342-4EB6-94FC-779891703E6A}"/>
    <cellStyle name="40% - Accent4 9 3 2 2 4" xfId="21062" xr:uid="{00000000-0005-0000-0000-000002460000}"/>
    <cellStyle name="40% - Accent4 9 3 2 2 4 2" xfId="44894" xr:uid="{6E588575-2405-4962-BF5C-F4AA972F596E}"/>
    <cellStyle name="40% - Accent4 9 3 2 2 5" xfId="29015" xr:uid="{477D7B3C-0944-425C-85F3-144CBF6A4904}"/>
    <cellStyle name="40% - Accent4 9 3 2 3" xfId="6916" xr:uid="{00000000-0005-0000-0000-000003460000}"/>
    <cellStyle name="40% - Accent4 9 3 2 3 2" xfId="14887" xr:uid="{00000000-0005-0000-0000-000004460000}"/>
    <cellStyle name="40% - Accent4 9 3 2 3 2 2" xfId="38729" xr:uid="{5CE99865-F603-47F5-9F04-0BBFDF457E1F}"/>
    <cellStyle name="40% - Accent4 9 3 2 3 3" xfId="22834" xr:uid="{00000000-0005-0000-0000-000005460000}"/>
    <cellStyle name="40% - Accent4 9 3 2 3 3 2" xfId="46666" xr:uid="{1901E70E-4C49-4F54-A3C5-1B202527A810}"/>
    <cellStyle name="40% - Accent4 9 3 2 3 4" xfId="30788" xr:uid="{7B38994B-0706-4170-AD24-157D3BC2D2EB}"/>
    <cellStyle name="40% - Accent4 9 3 2 4" xfId="11351" xr:uid="{00000000-0005-0000-0000-000006460000}"/>
    <cellStyle name="40% - Accent4 9 3 2 4 2" xfId="35200" xr:uid="{DAD9C4FD-F23F-44A1-A904-F7E8B462D76B}"/>
    <cellStyle name="40% - Accent4 9 3 2 5" xfId="19306" xr:uid="{00000000-0005-0000-0000-000007460000}"/>
    <cellStyle name="40% - Accent4 9 3 2 5 2" xfId="43138" xr:uid="{38C33DC3-0D46-4036-81A7-D231FFB43D20}"/>
    <cellStyle name="40% - Accent4 9 3 2 6" xfId="27258" xr:uid="{4E343AC9-0ACC-48DE-A4C8-75B23663D857}"/>
    <cellStyle name="40% - Accent4 9 3 2_Exh G" xfId="3170" xr:uid="{00000000-0005-0000-0000-000008460000}"/>
    <cellStyle name="40% - Accent4 9 3 3" xfId="4205" xr:uid="{00000000-0005-0000-0000-000009460000}"/>
    <cellStyle name="40% - Accent4 9 3 3 2" xfId="7797" xr:uid="{00000000-0005-0000-0000-00000A460000}"/>
    <cellStyle name="40% - Accent4 9 3 3 2 2" xfId="15767" xr:uid="{00000000-0005-0000-0000-00000B460000}"/>
    <cellStyle name="40% - Accent4 9 3 3 2 2 2" xfId="39609" xr:uid="{CEFBEC0F-D27F-44D3-8438-E560D7BE948C}"/>
    <cellStyle name="40% - Accent4 9 3 3 2 3" xfId="23713" xr:uid="{00000000-0005-0000-0000-00000C460000}"/>
    <cellStyle name="40% - Accent4 9 3 3 2 3 2" xfId="47545" xr:uid="{4C37F22F-A508-4904-B4CB-6AA25844B7F3}"/>
    <cellStyle name="40% - Accent4 9 3 3 2 4" xfId="31668" xr:uid="{2DE8BC41-605C-4C51-910C-34A46536A8C8}"/>
    <cellStyle name="40% - Accent4 9 3 3 3" xfId="12229" xr:uid="{00000000-0005-0000-0000-00000D460000}"/>
    <cellStyle name="40% - Accent4 9 3 3 3 2" xfId="36078" xr:uid="{40C1D963-23C8-4C13-B5DD-36864A11450E}"/>
    <cellStyle name="40% - Accent4 9 3 3 4" xfId="20184" xr:uid="{00000000-0005-0000-0000-00000E460000}"/>
    <cellStyle name="40% - Accent4 9 3 3 4 2" xfId="44016" xr:uid="{0E3946AD-65D3-4672-8108-E16EC935FC39}"/>
    <cellStyle name="40% - Accent4 9 3 3 5" xfId="28137" xr:uid="{2A0D454D-2E66-4137-A644-8A644D55F203}"/>
    <cellStyle name="40% - Accent4 9 3 4" xfId="6025" xr:uid="{00000000-0005-0000-0000-00000F460000}"/>
    <cellStyle name="40% - Accent4 9 3 4 2" xfId="14008" xr:uid="{00000000-0005-0000-0000-000010460000}"/>
    <cellStyle name="40% - Accent4 9 3 4 2 2" xfId="37851" xr:uid="{39EDEAB2-4EE3-4A27-B80D-F8B111262EC0}"/>
    <cellStyle name="40% - Accent4 9 3 4 3" xfId="21956" xr:uid="{00000000-0005-0000-0000-000011460000}"/>
    <cellStyle name="40% - Accent4 9 3 4 3 2" xfId="45788" xr:uid="{368BCEE7-96AB-4012-B095-F07E15CA1846}"/>
    <cellStyle name="40% - Accent4 9 3 4 4" xfId="29910" xr:uid="{76DAF6B3-9478-4B51-8523-8123B19C4A8D}"/>
    <cellStyle name="40% - Accent4 9 3 5" xfId="9577" xr:uid="{00000000-0005-0000-0000-000012460000}"/>
    <cellStyle name="40% - Accent4 9 3 5 2" xfId="17535" xr:uid="{00000000-0005-0000-0000-000013460000}"/>
    <cellStyle name="40% - Accent4 9 3 5 2 2" xfId="41375" xr:uid="{40558A74-8AA2-497D-AF60-5062F1161762}"/>
    <cellStyle name="40% - Accent4 9 3 5 3" xfId="25479" xr:uid="{00000000-0005-0000-0000-000014460000}"/>
    <cellStyle name="40% - Accent4 9 3 5 3 2" xfId="49311" xr:uid="{B9F39794-189F-4214-B509-6B7B7E8F4EBD}"/>
    <cellStyle name="40% - Accent4 9 3 5 4" xfId="33434" xr:uid="{30A4F888-7C78-4D75-819E-F030D6737B99}"/>
    <cellStyle name="40% - Accent4 9 3 6" xfId="10473" xr:uid="{00000000-0005-0000-0000-000015460000}"/>
    <cellStyle name="40% - Accent4 9 3 6 2" xfId="34322" xr:uid="{41EA65EB-6715-4AB1-8C86-E4D85596E042}"/>
    <cellStyle name="40% - Accent4 9 3 7" xfId="18428" xr:uid="{00000000-0005-0000-0000-000016460000}"/>
    <cellStyle name="40% - Accent4 9 3 7 2" xfId="42260" xr:uid="{66B7F4B1-481C-4D45-95F1-55D7B9E1096F}"/>
    <cellStyle name="40% - Accent4 9 3 8" xfId="26380" xr:uid="{B4F57FD9-0E3E-4A09-A52E-3C6571B06F8E}"/>
    <cellStyle name="40% - Accent4 9 3_Exh G" xfId="3169" xr:uid="{00000000-0005-0000-0000-000017460000}"/>
    <cellStyle name="40% - Accent4 9 4" xfId="978" xr:uid="{00000000-0005-0000-0000-000018460000}"/>
    <cellStyle name="40% - Accent4 9 4 2" xfId="1891" xr:uid="{00000000-0005-0000-0000-000019460000}"/>
    <cellStyle name="40% - Accent4 9 4 2 2" xfId="5408" xr:uid="{00000000-0005-0000-0000-00001A460000}"/>
    <cellStyle name="40% - Accent4 9 4 2 2 2" xfId="8999" xr:uid="{00000000-0005-0000-0000-00001B460000}"/>
    <cellStyle name="40% - Accent4 9 4 2 2 2 2" xfId="16969" xr:uid="{00000000-0005-0000-0000-00001C460000}"/>
    <cellStyle name="40% - Accent4 9 4 2 2 2 2 2" xfId="40811" xr:uid="{F81B094A-70C0-408E-8CD1-E04FE93121AF}"/>
    <cellStyle name="40% - Accent4 9 4 2 2 2 3" xfId="24915" xr:uid="{00000000-0005-0000-0000-00001D460000}"/>
    <cellStyle name="40% - Accent4 9 4 2 2 2 3 2" xfId="48747" xr:uid="{51261670-318B-4150-9446-0A44DCBC96AB}"/>
    <cellStyle name="40% - Accent4 9 4 2 2 2 4" xfId="32870" xr:uid="{498E7726-EA7A-431E-8873-624E7B660C23}"/>
    <cellStyle name="40% - Accent4 9 4 2 2 3" xfId="13431" xr:uid="{00000000-0005-0000-0000-00001E460000}"/>
    <cellStyle name="40% - Accent4 9 4 2 2 3 2" xfId="37280" xr:uid="{96F42CF8-05BD-4B39-8C11-32B933866BC2}"/>
    <cellStyle name="40% - Accent4 9 4 2 2 4" xfId="21386" xr:uid="{00000000-0005-0000-0000-00001F460000}"/>
    <cellStyle name="40% - Accent4 9 4 2 2 4 2" xfId="45218" xr:uid="{511C3B9A-8CE4-468D-A684-6DB1FA9C7E97}"/>
    <cellStyle name="40% - Accent4 9 4 2 2 5" xfId="29339" xr:uid="{269409D8-BB32-485C-BE1C-32B75A49E04F}"/>
    <cellStyle name="40% - Accent4 9 4 2 3" xfId="7240" xr:uid="{00000000-0005-0000-0000-000020460000}"/>
    <cellStyle name="40% - Accent4 9 4 2 3 2" xfId="15211" xr:uid="{00000000-0005-0000-0000-000021460000}"/>
    <cellStyle name="40% - Accent4 9 4 2 3 2 2" xfId="39053" xr:uid="{31D35961-80B7-4B59-865F-292728A9C336}"/>
    <cellStyle name="40% - Accent4 9 4 2 3 3" xfId="23158" xr:uid="{00000000-0005-0000-0000-000022460000}"/>
    <cellStyle name="40% - Accent4 9 4 2 3 3 2" xfId="46990" xr:uid="{A98414D3-D47F-4679-A2C5-FFC4B9959BD4}"/>
    <cellStyle name="40% - Accent4 9 4 2 3 4" xfId="31112" xr:uid="{3958832A-DBA6-43AC-BDCB-9359A4C72518}"/>
    <cellStyle name="40% - Accent4 9 4 2 4" xfId="11675" xr:uid="{00000000-0005-0000-0000-000023460000}"/>
    <cellStyle name="40% - Accent4 9 4 2 4 2" xfId="35524" xr:uid="{DF75770D-2E1C-48ED-B251-45FE34BB0292}"/>
    <cellStyle name="40% - Accent4 9 4 2 5" xfId="19630" xr:uid="{00000000-0005-0000-0000-000024460000}"/>
    <cellStyle name="40% - Accent4 9 4 2 5 2" xfId="43462" xr:uid="{7C0CC221-4A37-42BE-A8D2-4FC822465B79}"/>
    <cellStyle name="40% - Accent4 9 4 2 6" xfId="27582" xr:uid="{69EBCF3A-9BCA-46D8-9012-FB88B07D5D98}"/>
    <cellStyle name="40% - Accent4 9 4 2_Exh G" xfId="3172" xr:uid="{00000000-0005-0000-0000-000025460000}"/>
    <cellStyle name="40% - Accent4 9 4 3" xfId="4529" xr:uid="{00000000-0005-0000-0000-000026460000}"/>
    <cellStyle name="40% - Accent4 9 4 3 2" xfId="8121" xr:uid="{00000000-0005-0000-0000-000027460000}"/>
    <cellStyle name="40% - Accent4 9 4 3 2 2" xfId="16091" xr:uid="{00000000-0005-0000-0000-000028460000}"/>
    <cellStyle name="40% - Accent4 9 4 3 2 2 2" xfId="39933" xr:uid="{414EB6E4-7C42-48D2-B811-87E6CE1CF8ED}"/>
    <cellStyle name="40% - Accent4 9 4 3 2 3" xfId="24037" xr:uid="{00000000-0005-0000-0000-000029460000}"/>
    <cellStyle name="40% - Accent4 9 4 3 2 3 2" xfId="47869" xr:uid="{3A12DC10-6AC7-45DE-876A-5A32421415BF}"/>
    <cellStyle name="40% - Accent4 9 4 3 2 4" xfId="31992" xr:uid="{CCDFB54F-D3E7-4B27-BBD5-54A2E6CFFA97}"/>
    <cellStyle name="40% - Accent4 9 4 3 3" xfId="12553" xr:uid="{00000000-0005-0000-0000-00002A460000}"/>
    <cellStyle name="40% - Accent4 9 4 3 3 2" xfId="36402" xr:uid="{C9918D3A-F789-4E98-B69A-0FBC4EA6A9BF}"/>
    <cellStyle name="40% - Accent4 9 4 3 4" xfId="20508" xr:uid="{00000000-0005-0000-0000-00002B460000}"/>
    <cellStyle name="40% - Accent4 9 4 3 4 2" xfId="44340" xr:uid="{209B5AB2-C186-4C15-840C-B86D77089BF9}"/>
    <cellStyle name="40% - Accent4 9 4 3 5" xfId="28461" xr:uid="{A5C09C57-1655-49EF-9A0E-FC60373F89C6}"/>
    <cellStyle name="40% - Accent4 9 4 4" xfId="6359" xr:uid="{00000000-0005-0000-0000-00002C460000}"/>
    <cellStyle name="40% - Accent4 9 4 4 2" xfId="14333" xr:uid="{00000000-0005-0000-0000-00002D460000}"/>
    <cellStyle name="40% - Accent4 9 4 4 2 2" xfId="38175" xr:uid="{223A9117-62A0-46D5-9D0F-751C7DDA89C7}"/>
    <cellStyle name="40% - Accent4 9 4 4 3" xfId="22280" xr:uid="{00000000-0005-0000-0000-00002E460000}"/>
    <cellStyle name="40% - Accent4 9 4 4 3 2" xfId="46112" xr:uid="{0625CD5A-47FD-44AB-9EB2-B799544354C8}"/>
    <cellStyle name="40% - Accent4 9 4 4 4" xfId="30234" xr:uid="{CB3924FE-18BD-4CE3-A54D-D4F00E1D618F}"/>
    <cellStyle name="40% - Accent4 9 4 5" xfId="9901" xr:uid="{00000000-0005-0000-0000-00002F460000}"/>
    <cellStyle name="40% - Accent4 9 4 5 2" xfId="17859" xr:uid="{00000000-0005-0000-0000-000030460000}"/>
    <cellStyle name="40% - Accent4 9 4 5 2 2" xfId="41699" xr:uid="{DD16FFCA-E63D-4525-9536-3F8A1B8D10F5}"/>
    <cellStyle name="40% - Accent4 9 4 5 3" xfId="25803" xr:uid="{00000000-0005-0000-0000-000031460000}"/>
    <cellStyle name="40% - Accent4 9 4 5 3 2" xfId="49635" xr:uid="{7C4FFC26-064F-4497-9F6D-9DBE59643D56}"/>
    <cellStyle name="40% - Accent4 9 4 5 4" xfId="33758" xr:uid="{639A7245-AA5E-4765-BB9D-076B6FE61C5D}"/>
    <cellStyle name="40% - Accent4 9 4 6" xfId="10797" xr:uid="{00000000-0005-0000-0000-000032460000}"/>
    <cellStyle name="40% - Accent4 9 4 6 2" xfId="34646" xr:uid="{1A0D6687-95DB-4AA5-9DEA-C57CFE01B107}"/>
    <cellStyle name="40% - Accent4 9 4 7" xfId="18752" xr:uid="{00000000-0005-0000-0000-000033460000}"/>
    <cellStyle name="40% - Accent4 9 4 7 2" xfId="42584" xr:uid="{D39A76B0-8916-458B-BA3E-32C5D9762B75}"/>
    <cellStyle name="40% - Accent4 9 4 8" xfId="26704" xr:uid="{A84994A0-C489-4E3B-9F04-0D203F350F85}"/>
    <cellStyle name="40% - Accent4 9 4_Exh G" xfId="3171" xr:uid="{00000000-0005-0000-0000-000034460000}"/>
    <cellStyle name="40% - Accent4 9 5" xfId="1554" xr:uid="{00000000-0005-0000-0000-000035460000}"/>
    <cellStyle name="40% - Accent4 9 5 2" xfId="5081" xr:uid="{00000000-0005-0000-0000-000036460000}"/>
    <cellStyle name="40% - Accent4 9 5 2 2" xfId="8672" xr:uid="{00000000-0005-0000-0000-000037460000}"/>
    <cellStyle name="40% - Accent4 9 5 2 2 2" xfId="16642" xr:uid="{00000000-0005-0000-0000-000038460000}"/>
    <cellStyle name="40% - Accent4 9 5 2 2 2 2" xfId="40484" xr:uid="{52BB24A3-B974-4B75-8C7D-C5D47EC2F9ED}"/>
    <cellStyle name="40% - Accent4 9 5 2 2 3" xfId="24588" xr:uid="{00000000-0005-0000-0000-000039460000}"/>
    <cellStyle name="40% - Accent4 9 5 2 2 3 2" xfId="48420" xr:uid="{93A2858F-1EEB-4A35-9B57-CDD6B5456170}"/>
    <cellStyle name="40% - Accent4 9 5 2 2 4" xfId="32543" xr:uid="{3BF8DF36-8B1C-47D3-84EB-EA44BFF99163}"/>
    <cellStyle name="40% - Accent4 9 5 2 3" xfId="13104" xr:uid="{00000000-0005-0000-0000-00003A460000}"/>
    <cellStyle name="40% - Accent4 9 5 2 3 2" xfId="36953" xr:uid="{77AC53C1-D322-467A-91C6-70E8FA806471}"/>
    <cellStyle name="40% - Accent4 9 5 2 4" xfId="21059" xr:uid="{00000000-0005-0000-0000-00003B460000}"/>
    <cellStyle name="40% - Accent4 9 5 2 4 2" xfId="44891" xr:uid="{31FC8647-11F3-4CE2-A682-3C9DCE441B88}"/>
    <cellStyle name="40% - Accent4 9 5 2 5" xfId="29012" xr:uid="{B2BB409C-095C-48B9-AE80-AF7164EFEEC9}"/>
    <cellStyle name="40% - Accent4 9 5 3" xfId="6913" xr:uid="{00000000-0005-0000-0000-00003C460000}"/>
    <cellStyle name="40% - Accent4 9 5 3 2" xfId="14884" xr:uid="{00000000-0005-0000-0000-00003D460000}"/>
    <cellStyle name="40% - Accent4 9 5 3 2 2" xfId="38726" xr:uid="{0149FB87-530C-40D3-9A9F-5EA6E308AEB9}"/>
    <cellStyle name="40% - Accent4 9 5 3 3" xfId="22831" xr:uid="{00000000-0005-0000-0000-00003E460000}"/>
    <cellStyle name="40% - Accent4 9 5 3 3 2" xfId="46663" xr:uid="{B11B660D-E09A-4A99-B998-FEDCD110C2F8}"/>
    <cellStyle name="40% - Accent4 9 5 3 4" xfId="30785" xr:uid="{255613A0-7271-46D5-A266-81095E8152B8}"/>
    <cellStyle name="40% - Accent4 9 5 4" xfId="11348" xr:uid="{00000000-0005-0000-0000-00003F460000}"/>
    <cellStyle name="40% - Accent4 9 5 4 2" xfId="35197" xr:uid="{D5EA5B03-3246-43E4-8D47-FBB04846CF55}"/>
    <cellStyle name="40% - Accent4 9 5 5" xfId="19303" xr:uid="{00000000-0005-0000-0000-000040460000}"/>
    <cellStyle name="40% - Accent4 9 5 5 2" xfId="43135" xr:uid="{C5F31A89-899C-4058-8FD5-E8D044028165}"/>
    <cellStyle name="40% - Accent4 9 5 6" xfId="27255" xr:uid="{11022CE6-E959-44EF-8161-041FACBBE109}"/>
    <cellStyle name="40% - Accent4 9 5_Exh G" xfId="3173" xr:uid="{00000000-0005-0000-0000-000041460000}"/>
    <cellStyle name="40% - Accent4 9 6" xfId="4202" xr:uid="{00000000-0005-0000-0000-000042460000}"/>
    <cellStyle name="40% - Accent4 9 6 2" xfId="7794" xr:uid="{00000000-0005-0000-0000-000043460000}"/>
    <cellStyle name="40% - Accent4 9 6 2 2" xfId="15764" xr:uid="{00000000-0005-0000-0000-000044460000}"/>
    <cellStyle name="40% - Accent4 9 6 2 2 2" xfId="39606" xr:uid="{CC919A9E-1C0A-4B1C-BF44-54966C82564D}"/>
    <cellStyle name="40% - Accent4 9 6 2 3" xfId="23710" xr:uid="{00000000-0005-0000-0000-000045460000}"/>
    <cellStyle name="40% - Accent4 9 6 2 3 2" xfId="47542" xr:uid="{45ED0D18-8C1B-4E6C-8E1B-C63BAD19D1A0}"/>
    <cellStyle name="40% - Accent4 9 6 2 4" xfId="31665" xr:uid="{BE292ADE-9E94-4B0C-9236-E3A9E0D0F949}"/>
    <cellStyle name="40% - Accent4 9 6 3" xfId="12226" xr:uid="{00000000-0005-0000-0000-000046460000}"/>
    <cellStyle name="40% - Accent4 9 6 3 2" xfId="36075" xr:uid="{62FA1F96-C0E7-4765-B06E-F0A979A871EE}"/>
    <cellStyle name="40% - Accent4 9 6 4" xfId="20181" xr:uid="{00000000-0005-0000-0000-000047460000}"/>
    <cellStyle name="40% - Accent4 9 6 4 2" xfId="44013" xr:uid="{194F3556-24EE-46D3-A73C-EB6375303C3D}"/>
    <cellStyle name="40% - Accent4 9 6 5" xfId="28134" xr:uid="{CEDD5FB6-5F41-4BF4-964E-B64FB21F4F9D}"/>
    <cellStyle name="40% - Accent4 9 7" xfId="6022" xr:uid="{00000000-0005-0000-0000-000048460000}"/>
    <cellStyle name="40% - Accent4 9 7 2" xfId="14005" xr:uid="{00000000-0005-0000-0000-000049460000}"/>
    <cellStyle name="40% - Accent4 9 7 2 2" xfId="37848" xr:uid="{888F3AD7-7E9E-4BAC-AA52-371274A3B331}"/>
    <cellStyle name="40% - Accent4 9 7 3" xfId="21953" xr:uid="{00000000-0005-0000-0000-00004A460000}"/>
    <cellStyle name="40% - Accent4 9 7 3 2" xfId="45785" xr:uid="{51AC3365-1F57-4159-8DE0-83077351E805}"/>
    <cellStyle name="40% - Accent4 9 7 4" xfId="29907" xr:uid="{0E6F5862-ACBC-4AEB-9B90-629FEA8A9B53}"/>
    <cellStyle name="40% - Accent4 9 8" xfId="9574" xr:uid="{00000000-0005-0000-0000-00004B460000}"/>
    <cellStyle name="40% - Accent4 9 8 2" xfId="17532" xr:uid="{00000000-0005-0000-0000-00004C460000}"/>
    <cellStyle name="40% - Accent4 9 8 2 2" xfId="41372" xr:uid="{436FFC10-9E6D-4E45-9A22-F50FF86B4799}"/>
    <cellStyle name="40% - Accent4 9 8 3" xfId="25476" xr:uid="{00000000-0005-0000-0000-00004D460000}"/>
    <cellStyle name="40% - Accent4 9 8 3 2" xfId="49308" xr:uid="{07755CC3-872D-4CB8-9AF9-9B811D326683}"/>
    <cellStyle name="40% - Accent4 9 8 4" xfId="33431" xr:uid="{7B23DCC4-74BC-4651-9BF5-823E15048983}"/>
    <cellStyle name="40% - Accent4 9 9" xfId="10470" xr:uid="{00000000-0005-0000-0000-00004E460000}"/>
    <cellStyle name="40% - Accent4 9 9 2" xfId="34319" xr:uid="{9E6F37D5-133C-46E1-9926-52BC327410BD}"/>
    <cellStyle name="40% - Accent4 9_Exh G" xfId="3164" xr:uid="{00000000-0005-0000-0000-00004F460000}"/>
    <cellStyle name="40% - Accent5" xfId="49694" builtinId="47" customBuiltin="1"/>
    <cellStyle name="40% - Accent5 10" xfId="532" xr:uid="{00000000-0005-0000-0000-000050460000}"/>
    <cellStyle name="40% - Accent5 10 10" xfId="18429" xr:uid="{00000000-0005-0000-0000-000051460000}"/>
    <cellStyle name="40% - Accent5 10 10 2" xfId="42261" xr:uid="{BA838A2C-3A47-45FC-8E91-6A49EA69538C}"/>
    <cellStyle name="40% - Accent5 10 11" xfId="26381" xr:uid="{73FE6463-66FE-4152-9FD2-4A24BBAE8FD7}"/>
    <cellStyle name="40% - Accent5 10 2" xfId="533" xr:uid="{00000000-0005-0000-0000-000052460000}"/>
    <cellStyle name="40% - Accent5 10 2 2" xfId="534" xr:uid="{00000000-0005-0000-0000-000053460000}"/>
    <cellStyle name="40% - Accent5 10 2 2 2" xfId="1560" xr:uid="{00000000-0005-0000-0000-000054460000}"/>
    <cellStyle name="40% - Accent5 10 2 2 2 2" xfId="5087" xr:uid="{00000000-0005-0000-0000-000055460000}"/>
    <cellStyle name="40% - Accent5 10 2 2 2 2 2" xfId="8678" xr:uid="{00000000-0005-0000-0000-000056460000}"/>
    <cellStyle name="40% - Accent5 10 2 2 2 2 2 2" xfId="16648" xr:uid="{00000000-0005-0000-0000-000057460000}"/>
    <cellStyle name="40% - Accent5 10 2 2 2 2 2 2 2" xfId="40490" xr:uid="{2B5B945D-FEA2-4271-AF05-3C3FD823E52E}"/>
    <cellStyle name="40% - Accent5 10 2 2 2 2 2 3" xfId="24594" xr:uid="{00000000-0005-0000-0000-000058460000}"/>
    <cellStyle name="40% - Accent5 10 2 2 2 2 2 3 2" xfId="48426" xr:uid="{3C360ACF-92DE-4804-BBB2-8FA898E22783}"/>
    <cellStyle name="40% - Accent5 10 2 2 2 2 2 4" xfId="32549" xr:uid="{D06E4815-4457-4580-B4FA-45F2219D7B8D}"/>
    <cellStyle name="40% - Accent5 10 2 2 2 2 3" xfId="13110" xr:uid="{00000000-0005-0000-0000-000059460000}"/>
    <cellStyle name="40% - Accent5 10 2 2 2 2 3 2" xfId="36959" xr:uid="{A70F78BE-516E-442F-8DC3-4CDC51572ADD}"/>
    <cellStyle name="40% - Accent5 10 2 2 2 2 4" xfId="21065" xr:uid="{00000000-0005-0000-0000-00005A460000}"/>
    <cellStyle name="40% - Accent5 10 2 2 2 2 4 2" xfId="44897" xr:uid="{11A941E8-63F1-4F2B-8D9C-1EA6CD44CA23}"/>
    <cellStyle name="40% - Accent5 10 2 2 2 2 5" xfId="29018" xr:uid="{EB11D66F-4B29-48EF-AC9E-F680A853C9C8}"/>
    <cellStyle name="40% - Accent5 10 2 2 2 3" xfId="6919" xr:uid="{00000000-0005-0000-0000-00005B460000}"/>
    <cellStyle name="40% - Accent5 10 2 2 2 3 2" xfId="14890" xr:uid="{00000000-0005-0000-0000-00005C460000}"/>
    <cellStyle name="40% - Accent5 10 2 2 2 3 2 2" xfId="38732" xr:uid="{14030607-2415-442F-9F11-F97B19B1D306}"/>
    <cellStyle name="40% - Accent5 10 2 2 2 3 3" xfId="22837" xr:uid="{00000000-0005-0000-0000-00005D460000}"/>
    <cellStyle name="40% - Accent5 10 2 2 2 3 3 2" xfId="46669" xr:uid="{DE941C70-2761-456E-94E3-5617190E2DF3}"/>
    <cellStyle name="40% - Accent5 10 2 2 2 3 4" xfId="30791" xr:uid="{9D24A180-E443-41F5-9619-74A96E1C42A2}"/>
    <cellStyle name="40% - Accent5 10 2 2 2 4" xfId="11354" xr:uid="{00000000-0005-0000-0000-00005E460000}"/>
    <cellStyle name="40% - Accent5 10 2 2 2 4 2" xfId="35203" xr:uid="{C279D018-2D61-43F9-8AA8-DC216CDBEB8E}"/>
    <cellStyle name="40% - Accent5 10 2 2 2 5" xfId="19309" xr:uid="{00000000-0005-0000-0000-00005F460000}"/>
    <cellStyle name="40% - Accent5 10 2 2 2 5 2" xfId="43141" xr:uid="{D9F225BB-C2C5-49F5-98F2-C2C87093CA9B}"/>
    <cellStyle name="40% - Accent5 10 2 2 2 6" xfId="27261" xr:uid="{9B426F5A-F36C-4994-AC2B-A28A796880E8}"/>
    <cellStyle name="40% - Accent5 10 2 2 2_Exh G" xfId="3177" xr:uid="{00000000-0005-0000-0000-000060460000}"/>
    <cellStyle name="40% - Accent5 10 2 2 3" xfId="4208" xr:uid="{00000000-0005-0000-0000-000061460000}"/>
    <cellStyle name="40% - Accent5 10 2 2 3 2" xfId="7800" xr:uid="{00000000-0005-0000-0000-000062460000}"/>
    <cellStyle name="40% - Accent5 10 2 2 3 2 2" xfId="15770" xr:uid="{00000000-0005-0000-0000-000063460000}"/>
    <cellStyle name="40% - Accent5 10 2 2 3 2 2 2" xfId="39612" xr:uid="{E5B86D96-D93A-4CA8-AE1D-4106634D39F8}"/>
    <cellStyle name="40% - Accent5 10 2 2 3 2 3" xfId="23716" xr:uid="{00000000-0005-0000-0000-000064460000}"/>
    <cellStyle name="40% - Accent5 10 2 2 3 2 3 2" xfId="47548" xr:uid="{02B699E1-738F-4B46-BE17-AD6630F9470D}"/>
    <cellStyle name="40% - Accent5 10 2 2 3 2 4" xfId="31671" xr:uid="{A2B108D4-2C0D-496D-9316-E46C22A5D667}"/>
    <cellStyle name="40% - Accent5 10 2 2 3 3" xfId="12232" xr:uid="{00000000-0005-0000-0000-000065460000}"/>
    <cellStyle name="40% - Accent5 10 2 2 3 3 2" xfId="36081" xr:uid="{CD7B06D8-EB80-43AD-BB13-00081F6BE2D8}"/>
    <cellStyle name="40% - Accent5 10 2 2 3 4" xfId="20187" xr:uid="{00000000-0005-0000-0000-000066460000}"/>
    <cellStyle name="40% - Accent5 10 2 2 3 4 2" xfId="44019" xr:uid="{09BCD9B9-4CCF-4865-85CE-D65A3FD58576}"/>
    <cellStyle name="40% - Accent5 10 2 2 3 5" xfId="28140" xr:uid="{C87D8B93-BB0D-458C-99D6-E83FC021E72E}"/>
    <cellStyle name="40% - Accent5 10 2 2 4" xfId="6028" xr:uid="{00000000-0005-0000-0000-000067460000}"/>
    <cellStyle name="40% - Accent5 10 2 2 4 2" xfId="14011" xr:uid="{00000000-0005-0000-0000-000068460000}"/>
    <cellStyle name="40% - Accent5 10 2 2 4 2 2" xfId="37854" xr:uid="{2B5B717D-2E10-49FF-B706-26DD1566CA4C}"/>
    <cellStyle name="40% - Accent5 10 2 2 4 3" xfId="21959" xr:uid="{00000000-0005-0000-0000-000069460000}"/>
    <cellStyle name="40% - Accent5 10 2 2 4 3 2" xfId="45791" xr:uid="{9BE3C27A-DAA2-42AE-A31B-3AA4D194B651}"/>
    <cellStyle name="40% - Accent5 10 2 2 4 4" xfId="29913" xr:uid="{C021681E-C251-4170-B622-2C0C0F29EC7D}"/>
    <cellStyle name="40% - Accent5 10 2 2 5" xfId="9580" xr:uid="{00000000-0005-0000-0000-00006A460000}"/>
    <cellStyle name="40% - Accent5 10 2 2 5 2" xfId="17538" xr:uid="{00000000-0005-0000-0000-00006B460000}"/>
    <cellStyle name="40% - Accent5 10 2 2 5 2 2" xfId="41378" xr:uid="{25246432-D4BF-4526-9FE7-1E0646D31FC1}"/>
    <cellStyle name="40% - Accent5 10 2 2 5 3" xfId="25482" xr:uid="{00000000-0005-0000-0000-00006C460000}"/>
    <cellStyle name="40% - Accent5 10 2 2 5 3 2" xfId="49314" xr:uid="{218DED90-ADC5-4E82-B1E2-DB589A0A0289}"/>
    <cellStyle name="40% - Accent5 10 2 2 5 4" xfId="33437" xr:uid="{3352E44C-2B2D-42A0-9D5E-4AA703721BE6}"/>
    <cellStyle name="40% - Accent5 10 2 2 6" xfId="10476" xr:uid="{00000000-0005-0000-0000-00006D460000}"/>
    <cellStyle name="40% - Accent5 10 2 2 6 2" xfId="34325" xr:uid="{8FD1C79F-7942-4268-94C3-E0B7B5A21981}"/>
    <cellStyle name="40% - Accent5 10 2 2 7" xfId="18431" xr:uid="{00000000-0005-0000-0000-00006E460000}"/>
    <cellStyle name="40% - Accent5 10 2 2 7 2" xfId="42263" xr:uid="{0780C1B1-6D64-40A8-A46A-72B9E6285B83}"/>
    <cellStyle name="40% - Accent5 10 2 2 8" xfId="26383" xr:uid="{D84CAC2A-32A2-4470-965A-8AF115911B8E}"/>
    <cellStyle name="40% - Accent5 10 2 2_Exh G" xfId="3176" xr:uid="{00000000-0005-0000-0000-00006F460000}"/>
    <cellStyle name="40% - Accent5 10 2 3" xfId="1559" xr:uid="{00000000-0005-0000-0000-000070460000}"/>
    <cellStyle name="40% - Accent5 10 2 3 2" xfId="5086" xr:uid="{00000000-0005-0000-0000-000071460000}"/>
    <cellStyle name="40% - Accent5 10 2 3 2 2" xfId="8677" xr:uid="{00000000-0005-0000-0000-000072460000}"/>
    <cellStyle name="40% - Accent5 10 2 3 2 2 2" xfId="16647" xr:uid="{00000000-0005-0000-0000-000073460000}"/>
    <cellStyle name="40% - Accent5 10 2 3 2 2 2 2" xfId="40489" xr:uid="{9339E809-AD63-45EF-895C-BD7CDBBEA3A0}"/>
    <cellStyle name="40% - Accent5 10 2 3 2 2 3" xfId="24593" xr:uid="{00000000-0005-0000-0000-000074460000}"/>
    <cellStyle name="40% - Accent5 10 2 3 2 2 3 2" xfId="48425" xr:uid="{2DE2AD5F-0EA5-41A3-A978-4C8616025F47}"/>
    <cellStyle name="40% - Accent5 10 2 3 2 2 4" xfId="32548" xr:uid="{09891999-69DB-47A1-95EF-735621D56383}"/>
    <cellStyle name="40% - Accent5 10 2 3 2 3" xfId="13109" xr:uid="{00000000-0005-0000-0000-000075460000}"/>
    <cellStyle name="40% - Accent5 10 2 3 2 3 2" xfId="36958" xr:uid="{D34DFB48-A558-47B2-B2E5-E327459E99B0}"/>
    <cellStyle name="40% - Accent5 10 2 3 2 4" xfId="21064" xr:uid="{00000000-0005-0000-0000-000076460000}"/>
    <cellStyle name="40% - Accent5 10 2 3 2 4 2" xfId="44896" xr:uid="{2AC6A5D2-813A-4F6D-B726-83123AE787EF}"/>
    <cellStyle name="40% - Accent5 10 2 3 2 5" xfId="29017" xr:uid="{52F1263E-F4A6-475D-9EE5-1375FFC83263}"/>
    <cellStyle name="40% - Accent5 10 2 3 3" xfId="6918" xr:uid="{00000000-0005-0000-0000-000077460000}"/>
    <cellStyle name="40% - Accent5 10 2 3 3 2" xfId="14889" xr:uid="{00000000-0005-0000-0000-000078460000}"/>
    <cellStyle name="40% - Accent5 10 2 3 3 2 2" xfId="38731" xr:uid="{BAA072FF-9F1F-47F4-9094-FD9114C6FB33}"/>
    <cellStyle name="40% - Accent5 10 2 3 3 3" xfId="22836" xr:uid="{00000000-0005-0000-0000-000079460000}"/>
    <cellStyle name="40% - Accent5 10 2 3 3 3 2" xfId="46668" xr:uid="{565292EB-7E61-411C-AD86-D0ECCE99A9BE}"/>
    <cellStyle name="40% - Accent5 10 2 3 3 4" xfId="30790" xr:uid="{90ED16CA-5C58-4DB2-8359-898B65F0EFCA}"/>
    <cellStyle name="40% - Accent5 10 2 3 4" xfId="11353" xr:uid="{00000000-0005-0000-0000-00007A460000}"/>
    <cellStyle name="40% - Accent5 10 2 3 4 2" xfId="35202" xr:uid="{B2AB67C0-430D-4945-9798-B0B2FD177DC2}"/>
    <cellStyle name="40% - Accent5 10 2 3 5" xfId="19308" xr:uid="{00000000-0005-0000-0000-00007B460000}"/>
    <cellStyle name="40% - Accent5 10 2 3 5 2" xfId="43140" xr:uid="{8844FCFA-D8FD-4D58-A871-0A0880C3A494}"/>
    <cellStyle name="40% - Accent5 10 2 3 6" xfId="27260" xr:uid="{834EC497-4C61-47E8-98A2-9252D40A7527}"/>
    <cellStyle name="40% - Accent5 10 2 3_Exh G" xfId="3178" xr:uid="{00000000-0005-0000-0000-00007C460000}"/>
    <cellStyle name="40% - Accent5 10 2 4" xfId="4207" xr:uid="{00000000-0005-0000-0000-00007D460000}"/>
    <cellStyle name="40% - Accent5 10 2 4 2" xfId="7799" xr:uid="{00000000-0005-0000-0000-00007E460000}"/>
    <cellStyle name="40% - Accent5 10 2 4 2 2" xfId="15769" xr:uid="{00000000-0005-0000-0000-00007F460000}"/>
    <cellStyle name="40% - Accent5 10 2 4 2 2 2" xfId="39611" xr:uid="{1D2235C8-7FEE-4764-8E84-66C6E5A1F60E}"/>
    <cellStyle name="40% - Accent5 10 2 4 2 3" xfId="23715" xr:uid="{00000000-0005-0000-0000-000080460000}"/>
    <cellStyle name="40% - Accent5 10 2 4 2 3 2" xfId="47547" xr:uid="{AFEA1545-4886-4129-94C9-2CFAE8DA4196}"/>
    <cellStyle name="40% - Accent5 10 2 4 2 4" xfId="31670" xr:uid="{D7F3B4AC-53E2-4E15-9A5B-5D5BBF2FD5D2}"/>
    <cellStyle name="40% - Accent5 10 2 4 3" xfId="12231" xr:uid="{00000000-0005-0000-0000-000081460000}"/>
    <cellStyle name="40% - Accent5 10 2 4 3 2" xfId="36080" xr:uid="{6FD98329-BD3F-4FFB-8EE8-B83C5DD6EFC5}"/>
    <cellStyle name="40% - Accent5 10 2 4 4" xfId="20186" xr:uid="{00000000-0005-0000-0000-000082460000}"/>
    <cellStyle name="40% - Accent5 10 2 4 4 2" xfId="44018" xr:uid="{1BCECD69-F670-4F8A-9FC8-70325866AF11}"/>
    <cellStyle name="40% - Accent5 10 2 4 5" xfId="28139" xr:uid="{BC305112-D90C-489C-97BD-9ECA78B26042}"/>
    <cellStyle name="40% - Accent5 10 2 5" xfId="6027" xr:uid="{00000000-0005-0000-0000-000083460000}"/>
    <cellStyle name="40% - Accent5 10 2 5 2" xfId="14010" xr:uid="{00000000-0005-0000-0000-000084460000}"/>
    <cellStyle name="40% - Accent5 10 2 5 2 2" xfId="37853" xr:uid="{C338F710-DFC3-4BCA-8368-9EABE2C8BBE3}"/>
    <cellStyle name="40% - Accent5 10 2 5 3" xfId="21958" xr:uid="{00000000-0005-0000-0000-000085460000}"/>
    <cellStyle name="40% - Accent5 10 2 5 3 2" xfId="45790" xr:uid="{A7FD4110-292F-4757-8793-861949B1911C}"/>
    <cellStyle name="40% - Accent5 10 2 5 4" xfId="29912" xr:uid="{D57A0726-6C06-4681-A335-7F9171E8594A}"/>
    <cellStyle name="40% - Accent5 10 2 6" xfId="9579" xr:uid="{00000000-0005-0000-0000-000086460000}"/>
    <cellStyle name="40% - Accent5 10 2 6 2" xfId="17537" xr:uid="{00000000-0005-0000-0000-000087460000}"/>
    <cellStyle name="40% - Accent5 10 2 6 2 2" xfId="41377" xr:uid="{B4ACC24A-43E2-477E-AD14-CD08BE63D643}"/>
    <cellStyle name="40% - Accent5 10 2 6 3" xfId="25481" xr:uid="{00000000-0005-0000-0000-000088460000}"/>
    <cellStyle name="40% - Accent5 10 2 6 3 2" xfId="49313" xr:uid="{A23ED8BA-D4FE-4605-B61B-D330AD5311FA}"/>
    <cellStyle name="40% - Accent5 10 2 6 4" xfId="33436" xr:uid="{CE0294F0-5934-4170-A522-86FE90D353A6}"/>
    <cellStyle name="40% - Accent5 10 2 7" xfId="10475" xr:uid="{00000000-0005-0000-0000-000089460000}"/>
    <cellStyle name="40% - Accent5 10 2 7 2" xfId="34324" xr:uid="{5E0EE47C-CE96-433E-84F0-A01427813F48}"/>
    <cellStyle name="40% - Accent5 10 2 8" xfId="18430" xr:uid="{00000000-0005-0000-0000-00008A460000}"/>
    <cellStyle name="40% - Accent5 10 2 8 2" xfId="42262" xr:uid="{99AA2FF6-E2BF-4B7C-B2C9-D5B3006E3E39}"/>
    <cellStyle name="40% - Accent5 10 2 9" xfId="26382" xr:uid="{69188F28-5D65-4B37-A2A3-E09ED6B92AF8}"/>
    <cellStyle name="40% - Accent5 10 2_Exh G" xfId="3175" xr:uid="{00000000-0005-0000-0000-00008B460000}"/>
    <cellStyle name="40% - Accent5 10 3" xfId="535" xr:uid="{00000000-0005-0000-0000-00008C460000}"/>
    <cellStyle name="40% - Accent5 10 3 2" xfId="1561" xr:uid="{00000000-0005-0000-0000-00008D460000}"/>
    <cellStyle name="40% - Accent5 10 3 2 2" xfId="5088" xr:uid="{00000000-0005-0000-0000-00008E460000}"/>
    <cellStyle name="40% - Accent5 10 3 2 2 2" xfId="8679" xr:uid="{00000000-0005-0000-0000-00008F460000}"/>
    <cellStyle name="40% - Accent5 10 3 2 2 2 2" xfId="16649" xr:uid="{00000000-0005-0000-0000-000090460000}"/>
    <cellStyle name="40% - Accent5 10 3 2 2 2 2 2" xfId="40491" xr:uid="{EF3492DE-3B22-4944-B1CA-B814984DF19D}"/>
    <cellStyle name="40% - Accent5 10 3 2 2 2 3" xfId="24595" xr:uid="{00000000-0005-0000-0000-000091460000}"/>
    <cellStyle name="40% - Accent5 10 3 2 2 2 3 2" xfId="48427" xr:uid="{0EA950FE-FC2D-4122-B077-E14F20E0B2D9}"/>
    <cellStyle name="40% - Accent5 10 3 2 2 2 4" xfId="32550" xr:uid="{1E148BE1-CCAB-43F1-AAC7-2AC75A7CE7B0}"/>
    <cellStyle name="40% - Accent5 10 3 2 2 3" xfId="13111" xr:uid="{00000000-0005-0000-0000-000092460000}"/>
    <cellStyle name="40% - Accent5 10 3 2 2 3 2" xfId="36960" xr:uid="{B6EEF9C6-E881-4CB6-A892-B1ED5AFBBBCE}"/>
    <cellStyle name="40% - Accent5 10 3 2 2 4" xfId="21066" xr:uid="{00000000-0005-0000-0000-000093460000}"/>
    <cellStyle name="40% - Accent5 10 3 2 2 4 2" xfId="44898" xr:uid="{1A9842AF-F26D-4170-8175-B77D0C18913E}"/>
    <cellStyle name="40% - Accent5 10 3 2 2 5" xfId="29019" xr:uid="{6ED64B40-529F-4933-93AA-9748C37A7632}"/>
    <cellStyle name="40% - Accent5 10 3 2 3" xfId="6920" xr:uid="{00000000-0005-0000-0000-000094460000}"/>
    <cellStyle name="40% - Accent5 10 3 2 3 2" xfId="14891" xr:uid="{00000000-0005-0000-0000-000095460000}"/>
    <cellStyle name="40% - Accent5 10 3 2 3 2 2" xfId="38733" xr:uid="{F049826F-DBAC-46FD-96CD-F75972AA564A}"/>
    <cellStyle name="40% - Accent5 10 3 2 3 3" xfId="22838" xr:uid="{00000000-0005-0000-0000-000096460000}"/>
    <cellStyle name="40% - Accent5 10 3 2 3 3 2" xfId="46670" xr:uid="{54E908C8-7D2C-4A63-BF81-900D697CEF17}"/>
    <cellStyle name="40% - Accent5 10 3 2 3 4" xfId="30792" xr:uid="{4DE98BC5-EF48-46B1-BB39-7B3992386A3B}"/>
    <cellStyle name="40% - Accent5 10 3 2 4" xfId="11355" xr:uid="{00000000-0005-0000-0000-000097460000}"/>
    <cellStyle name="40% - Accent5 10 3 2 4 2" xfId="35204" xr:uid="{33658157-A43B-4C42-B9BE-F54BDA2D9CA6}"/>
    <cellStyle name="40% - Accent5 10 3 2 5" xfId="19310" xr:uid="{00000000-0005-0000-0000-000098460000}"/>
    <cellStyle name="40% - Accent5 10 3 2 5 2" xfId="43142" xr:uid="{7C5F9323-2F47-4D2B-AB8A-6A9FD1A2CACB}"/>
    <cellStyle name="40% - Accent5 10 3 2 6" xfId="27262" xr:uid="{11CF74C3-6BBD-4CC1-89EE-B246250505F6}"/>
    <cellStyle name="40% - Accent5 10 3 2_Exh G" xfId="3180" xr:uid="{00000000-0005-0000-0000-000099460000}"/>
    <cellStyle name="40% - Accent5 10 3 3" xfId="4209" xr:uid="{00000000-0005-0000-0000-00009A460000}"/>
    <cellStyle name="40% - Accent5 10 3 3 2" xfId="7801" xr:uid="{00000000-0005-0000-0000-00009B460000}"/>
    <cellStyle name="40% - Accent5 10 3 3 2 2" xfId="15771" xr:uid="{00000000-0005-0000-0000-00009C460000}"/>
    <cellStyle name="40% - Accent5 10 3 3 2 2 2" xfId="39613" xr:uid="{7F2B577C-2FC5-4C8C-A20C-1CF2495D485B}"/>
    <cellStyle name="40% - Accent5 10 3 3 2 3" xfId="23717" xr:uid="{00000000-0005-0000-0000-00009D460000}"/>
    <cellStyle name="40% - Accent5 10 3 3 2 3 2" xfId="47549" xr:uid="{E597007B-B62C-445F-8FD6-20B9C0CFCAD6}"/>
    <cellStyle name="40% - Accent5 10 3 3 2 4" xfId="31672" xr:uid="{224F9587-2AF8-4055-BDA4-26F514BE3703}"/>
    <cellStyle name="40% - Accent5 10 3 3 3" xfId="12233" xr:uid="{00000000-0005-0000-0000-00009E460000}"/>
    <cellStyle name="40% - Accent5 10 3 3 3 2" xfId="36082" xr:uid="{9F560C71-739C-414A-8946-E4A4D33968CC}"/>
    <cellStyle name="40% - Accent5 10 3 3 4" xfId="20188" xr:uid="{00000000-0005-0000-0000-00009F460000}"/>
    <cellStyle name="40% - Accent5 10 3 3 4 2" xfId="44020" xr:uid="{C3006F5C-7CA3-4D38-B390-E0ABCFE500D3}"/>
    <cellStyle name="40% - Accent5 10 3 3 5" xfId="28141" xr:uid="{072A9843-8F2F-424B-AB78-2717DDB48E7B}"/>
    <cellStyle name="40% - Accent5 10 3 4" xfId="6029" xr:uid="{00000000-0005-0000-0000-0000A0460000}"/>
    <cellStyle name="40% - Accent5 10 3 4 2" xfId="14012" xr:uid="{00000000-0005-0000-0000-0000A1460000}"/>
    <cellStyle name="40% - Accent5 10 3 4 2 2" xfId="37855" xr:uid="{AAD08CB7-0BEB-49BA-828B-2D6A567DB5AA}"/>
    <cellStyle name="40% - Accent5 10 3 4 3" xfId="21960" xr:uid="{00000000-0005-0000-0000-0000A2460000}"/>
    <cellStyle name="40% - Accent5 10 3 4 3 2" xfId="45792" xr:uid="{4C07C249-DE65-497D-8DED-409979596251}"/>
    <cellStyle name="40% - Accent5 10 3 4 4" xfId="29914" xr:uid="{CF9E6994-2EFB-4309-8BA4-CE49D7165896}"/>
    <cellStyle name="40% - Accent5 10 3 5" xfId="9581" xr:uid="{00000000-0005-0000-0000-0000A3460000}"/>
    <cellStyle name="40% - Accent5 10 3 5 2" xfId="17539" xr:uid="{00000000-0005-0000-0000-0000A4460000}"/>
    <cellStyle name="40% - Accent5 10 3 5 2 2" xfId="41379" xr:uid="{50232A1A-C5CE-40F0-9050-6B1FB73475C9}"/>
    <cellStyle name="40% - Accent5 10 3 5 3" xfId="25483" xr:uid="{00000000-0005-0000-0000-0000A5460000}"/>
    <cellStyle name="40% - Accent5 10 3 5 3 2" xfId="49315" xr:uid="{6915C1F4-F563-42EA-B64D-54CE6E718713}"/>
    <cellStyle name="40% - Accent5 10 3 5 4" xfId="33438" xr:uid="{0E916411-CF80-49BA-848F-74A79BB59315}"/>
    <cellStyle name="40% - Accent5 10 3 6" xfId="10477" xr:uid="{00000000-0005-0000-0000-0000A6460000}"/>
    <cellStyle name="40% - Accent5 10 3 6 2" xfId="34326" xr:uid="{E107B0AC-EFBB-48EF-8231-7819F50F305E}"/>
    <cellStyle name="40% - Accent5 10 3 7" xfId="18432" xr:uid="{00000000-0005-0000-0000-0000A7460000}"/>
    <cellStyle name="40% - Accent5 10 3 7 2" xfId="42264" xr:uid="{115A5D1C-75E5-4BA2-A438-9A2FAF6EC537}"/>
    <cellStyle name="40% - Accent5 10 3 8" xfId="26384" xr:uid="{87F37DDF-A042-4B70-8660-EBF117CF7BD6}"/>
    <cellStyle name="40% - Accent5 10 3_Exh G" xfId="3179" xr:uid="{00000000-0005-0000-0000-0000A8460000}"/>
    <cellStyle name="40% - Accent5 10 4" xfId="979" xr:uid="{00000000-0005-0000-0000-0000A9460000}"/>
    <cellStyle name="40% - Accent5 10 5" xfId="1558" xr:uid="{00000000-0005-0000-0000-0000AA460000}"/>
    <cellStyle name="40% - Accent5 10 5 2" xfId="5085" xr:uid="{00000000-0005-0000-0000-0000AB460000}"/>
    <cellStyle name="40% - Accent5 10 5 2 2" xfId="8676" xr:uid="{00000000-0005-0000-0000-0000AC460000}"/>
    <cellStyle name="40% - Accent5 10 5 2 2 2" xfId="16646" xr:uid="{00000000-0005-0000-0000-0000AD460000}"/>
    <cellStyle name="40% - Accent5 10 5 2 2 2 2" xfId="40488" xr:uid="{8965E675-5737-491B-8B5E-6633F2F40D2F}"/>
    <cellStyle name="40% - Accent5 10 5 2 2 3" xfId="24592" xr:uid="{00000000-0005-0000-0000-0000AE460000}"/>
    <cellStyle name="40% - Accent5 10 5 2 2 3 2" xfId="48424" xr:uid="{FCCCA224-7842-463D-895C-6BA08194F7A4}"/>
    <cellStyle name="40% - Accent5 10 5 2 2 4" xfId="32547" xr:uid="{54F3D839-6C14-4FD4-84BC-AAF40A88F2EA}"/>
    <cellStyle name="40% - Accent5 10 5 2 3" xfId="13108" xr:uid="{00000000-0005-0000-0000-0000AF460000}"/>
    <cellStyle name="40% - Accent5 10 5 2 3 2" xfId="36957" xr:uid="{F29F429C-EDB3-4DC1-A63B-48CA34CFB3DA}"/>
    <cellStyle name="40% - Accent5 10 5 2 4" xfId="21063" xr:uid="{00000000-0005-0000-0000-0000B0460000}"/>
    <cellStyle name="40% - Accent5 10 5 2 4 2" xfId="44895" xr:uid="{A8DD2A40-C222-45A0-B25D-9ABC2A79E946}"/>
    <cellStyle name="40% - Accent5 10 5 2 5" xfId="29016" xr:uid="{806F582C-14B5-4C23-B397-11BEA6C5B29A}"/>
    <cellStyle name="40% - Accent5 10 5 3" xfId="6917" xr:uid="{00000000-0005-0000-0000-0000B1460000}"/>
    <cellStyle name="40% - Accent5 10 5 3 2" xfId="14888" xr:uid="{00000000-0005-0000-0000-0000B2460000}"/>
    <cellStyle name="40% - Accent5 10 5 3 2 2" xfId="38730" xr:uid="{DF16DDDD-143E-421C-A19B-FB0A6E867583}"/>
    <cellStyle name="40% - Accent5 10 5 3 3" xfId="22835" xr:uid="{00000000-0005-0000-0000-0000B3460000}"/>
    <cellStyle name="40% - Accent5 10 5 3 3 2" xfId="46667" xr:uid="{E730B923-9EF1-49D9-8BB0-61CAD7CDFBBC}"/>
    <cellStyle name="40% - Accent5 10 5 3 4" xfId="30789" xr:uid="{F69B21A4-E215-4826-98D8-1706FC3DB5D0}"/>
    <cellStyle name="40% - Accent5 10 5 4" xfId="11352" xr:uid="{00000000-0005-0000-0000-0000B4460000}"/>
    <cellStyle name="40% - Accent5 10 5 4 2" xfId="35201" xr:uid="{5EA02C89-7107-4250-9C14-EEB1C503559D}"/>
    <cellStyle name="40% - Accent5 10 5 5" xfId="19307" xr:uid="{00000000-0005-0000-0000-0000B5460000}"/>
    <cellStyle name="40% - Accent5 10 5 5 2" xfId="43139" xr:uid="{D8043410-E94D-407B-90B1-1B075EAF18E7}"/>
    <cellStyle name="40% - Accent5 10 5 6" xfId="27259" xr:uid="{370A09A1-1D7A-4511-8112-5A3267C493D8}"/>
    <cellStyle name="40% - Accent5 10 5_Exh G" xfId="3181" xr:uid="{00000000-0005-0000-0000-0000B6460000}"/>
    <cellStyle name="40% - Accent5 10 6" xfId="4206" xr:uid="{00000000-0005-0000-0000-0000B7460000}"/>
    <cellStyle name="40% - Accent5 10 6 2" xfId="7798" xr:uid="{00000000-0005-0000-0000-0000B8460000}"/>
    <cellStyle name="40% - Accent5 10 6 2 2" xfId="15768" xr:uid="{00000000-0005-0000-0000-0000B9460000}"/>
    <cellStyle name="40% - Accent5 10 6 2 2 2" xfId="39610" xr:uid="{F0611331-89FB-4D0B-BA6C-909FD7E7FA26}"/>
    <cellStyle name="40% - Accent5 10 6 2 3" xfId="23714" xr:uid="{00000000-0005-0000-0000-0000BA460000}"/>
    <cellStyle name="40% - Accent5 10 6 2 3 2" xfId="47546" xr:uid="{501E14EE-E67B-4BC8-A884-28A8F1D94BAB}"/>
    <cellStyle name="40% - Accent5 10 6 2 4" xfId="31669" xr:uid="{86E5002C-4339-4E80-A8ED-18C365C312E1}"/>
    <cellStyle name="40% - Accent5 10 6 3" xfId="12230" xr:uid="{00000000-0005-0000-0000-0000BB460000}"/>
    <cellStyle name="40% - Accent5 10 6 3 2" xfId="36079" xr:uid="{059518C5-798B-49A1-AA06-4A3576DCD9C1}"/>
    <cellStyle name="40% - Accent5 10 6 4" xfId="20185" xr:uid="{00000000-0005-0000-0000-0000BC460000}"/>
    <cellStyle name="40% - Accent5 10 6 4 2" xfId="44017" xr:uid="{69773F4C-5618-4F0E-905D-FD4C8F17109D}"/>
    <cellStyle name="40% - Accent5 10 6 5" xfId="28138" xr:uid="{6B9F65A9-70E7-453C-AA6F-9551352FAD1E}"/>
    <cellStyle name="40% - Accent5 10 7" xfId="6026" xr:uid="{00000000-0005-0000-0000-0000BD460000}"/>
    <cellStyle name="40% - Accent5 10 7 2" xfId="14009" xr:uid="{00000000-0005-0000-0000-0000BE460000}"/>
    <cellStyle name="40% - Accent5 10 7 2 2" xfId="37852" xr:uid="{7BD1709C-5B24-40FA-B15F-E40870C84250}"/>
    <cellStyle name="40% - Accent5 10 7 3" xfId="21957" xr:uid="{00000000-0005-0000-0000-0000BF460000}"/>
    <cellStyle name="40% - Accent5 10 7 3 2" xfId="45789" xr:uid="{7D8B9CAB-E9BF-4F0D-AD99-AB76B4F6B7B3}"/>
    <cellStyle name="40% - Accent5 10 7 4" xfId="29911" xr:uid="{C75B79A4-9753-4E86-830C-D49BA8FDF4B2}"/>
    <cellStyle name="40% - Accent5 10 8" xfId="9578" xr:uid="{00000000-0005-0000-0000-0000C0460000}"/>
    <cellStyle name="40% - Accent5 10 8 2" xfId="17536" xr:uid="{00000000-0005-0000-0000-0000C1460000}"/>
    <cellStyle name="40% - Accent5 10 8 2 2" xfId="41376" xr:uid="{C5365C85-39E5-4EDD-A383-1059369D4506}"/>
    <cellStyle name="40% - Accent5 10 8 3" xfId="25480" xr:uid="{00000000-0005-0000-0000-0000C2460000}"/>
    <cellStyle name="40% - Accent5 10 8 3 2" xfId="49312" xr:uid="{14A9E215-D527-42EF-8D3B-80067AD16A61}"/>
    <cellStyle name="40% - Accent5 10 8 4" xfId="33435" xr:uid="{4D443645-C5A6-4FE6-BA53-F0DE3397AF13}"/>
    <cellStyle name="40% - Accent5 10 9" xfId="10474" xr:uid="{00000000-0005-0000-0000-0000C3460000}"/>
    <cellStyle name="40% - Accent5 10 9 2" xfId="34323" xr:uid="{46CF48D4-1599-400B-B815-75F45E31A9F1}"/>
    <cellStyle name="40% - Accent5 10_Exh G" xfId="3174" xr:uid="{00000000-0005-0000-0000-0000C4460000}"/>
    <cellStyle name="40% - Accent5 11" xfId="536" xr:uid="{00000000-0005-0000-0000-0000C5460000}"/>
    <cellStyle name="40% - Accent5 11 10" xfId="26385" xr:uid="{DF0395CA-27A9-4744-87FA-66BD3374EE84}"/>
    <cellStyle name="40% - Accent5 11 2" xfId="537" xr:uid="{00000000-0005-0000-0000-0000C6460000}"/>
    <cellStyle name="40% - Accent5 11 2 2" xfId="538" xr:uid="{00000000-0005-0000-0000-0000C7460000}"/>
    <cellStyle name="40% - Accent5 11 2 2 2" xfId="1564" xr:uid="{00000000-0005-0000-0000-0000C8460000}"/>
    <cellStyle name="40% - Accent5 11 2 2 2 2" xfId="5091" xr:uid="{00000000-0005-0000-0000-0000C9460000}"/>
    <cellStyle name="40% - Accent5 11 2 2 2 2 2" xfId="8682" xr:uid="{00000000-0005-0000-0000-0000CA460000}"/>
    <cellStyle name="40% - Accent5 11 2 2 2 2 2 2" xfId="16652" xr:uid="{00000000-0005-0000-0000-0000CB460000}"/>
    <cellStyle name="40% - Accent5 11 2 2 2 2 2 2 2" xfId="40494" xr:uid="{87D70DD4-CF8E-4CD1-BC29-67747864FC32}"/>
    <cellStyle name="40% - Accent5 11 2 2 2 2 2 3" xfId="24598" xr:uid="{00000000-0005-0000-0000-0000CC460000}"/>
    <cellStyle name="40% - Accent5 11 2 2 2 2 2 3 2" xfId="48430" xr:uid="{B3EEF002-F345-480E-AA12-2F4A109D12D8}"/>
    <cellStyle name="40% - Accent5 11 2 2 2 2 2 4" xfId="32553" xr:uid="{62932B58-9BC0-4E9A-8E2C-33F4DF4D412D}"/>
    <cellStyle name="40% - Accent5 11 2 2 2 2 3" xfId="13114" xr:uid="{00000000-0005-0000-0000-0000CD460000}"/>
    <cellStyle name="40% - Accent5 11 2 2 2 2 3 2" xfId="36963" xr:uid="{C084B9E3-8613-4396-837F-932EB443619C}"/>
    <cellStyle name="40% - Accent5 11 2 2 2 2 4" xfId="21069" xr:uid="{00000000-0005-0000-0000-0000CE460000}"/>
    <cellStyle name="40% - Accent5 11 2 2 2 2 4 2" xfId="44901" xr:uid="{C1CE1B98-1E4C-413E-AAFB-02AAF9547038}"/>
    <cellStyle name="40% - Accent5 11 2 2 2 2 5" xfId="29022" xr:uid="{94C7EAE2-32B5-4658-A1C5-F807EDDBBE4B}"/>
    <cellStyle name="40% - Accent5 11 2 2 2 3" xfId="6923" xr:uid="{00000000-0005-0000-0000-0000CF460000}"/>
    <cellStyle name="40% - Accent5 11 2 2 2 3 2" xfId="14894" xr:uid="{00000000-0005-0000-0000-0000D0460000}"/>
    <cellStyle name="40% - Accent5 11 2 2 2 3 2 2" xfId="38736" xr:uid="{D492234A-9D6C-4EE8-9B62-0345E292A516}"/>
    <cellStyle name="40% - Accent5 11 2 2 2 3 3" xfId="22841" xr:uid="{00000000-0005-0000-0000-0000D1460000}"/>
    <cellStyle name="40% - Accent5 11 2 2 2 3 3 2" xfId="46673" xr:uid="{5E516FDE-C89F-46A3-8B63-7BECCC5CEE20}"/>
    <cellStyle name="40% - Accent5 11 2 2 2 3 4" xfId="30795" xr:uid="{DC032245-38DE-45CA-8430-C7CEF9395633}"/>
    <cellStyle name="40% - Accent5 11 2 2 2 4" xfId="11358" xr:uid="{00000000-0005-0000-0000-0000D2460000}"/>
    <cellStyle name="40% - Accent5 11 2 2 2 4 2" xfId="35207" xr:uid="{A612D27F-60C6-4FEE-B366-2FCA83FF6814}"/>
    <cellStyle name="40% - Accent5 11 2 2 2 5" xfId="19313" xr:uid="{00000000-0005-0000-0000-0000D3460000}"/>
    <cellStyle name="40% - Accent5 11 2 2 2 5 2" xfId="43145" xr:uid="{6F411D75-924C-4235-A3E9-753B065BC727}"/>
    <cellStyle name="40% - Accent5 11 2 2 2 6" xfId="27265" xr:uid="{F2195153-21B2-4AC2-A8C0-9403462D1880}"/>
    <cellStyle name="40% - Accent5 11 2 2 2_Exh G" xfId="3185" xr:uid="{00000000-0005-0000-0000-0000D4460000}"/>
    <cellStyle name="40% - Accent5 11 2 2 3" xfId="4212" xr:uid="{00000000-0005-0000-0000-0000D5460000}"/>
    <cellStyle name="40% - Accent5 11 2 2 3 2" xfId="7804" xr:uid="{00000000-0005-0000-0000-0000D6460000}"/>
    <cellStyle name="40% - Accent5 11 2 2 3 2 2" xfId="15774" xr:uid="{00000000-0005-0000-0000-0000D7460000}"/>
    <cellStyle name="40% - Accent5 11 2 2 3 2 2 2" xfId="39616" xr:uid="{CDCA0FAB-F840-4379-A344-2332AE102C6B}"/>
    <cellStyle name="40% - Accent5 11 2 2 3 2 3" xfId="23720" xr:uid="{00000000-0005-0000-0000-0000D8460000}"/>
    <cellStyle name="40% - Accent5 11 2 2 3 2 3 2" xfId="47552" xr:uid="{9DD1DF54-C7C3-48E6-8404-36C227256ED8}"/>
    <cellStyle name="40% - Accent5 11 2 2 3 2 4" xfId="31675" xr:uid="{30BC121C-91D2-4422-A45A-A6FE8EB2438A}"/>
    <cellStyle name="40% - Accent5 11 2 2 3 3" xfId="12236" xr:uid="{00000000-0005-0000-0000-0000D9460000}"/>
    <cellStyle name="40% - Accent5 11 2 2 3 3 2" xfId="36085" xr:uid="{B9FAE286-30D0-4C91-96A3-94F2D71D2BB2}"/>
    <cellStyle name="40% - Accent5 11 2 2 3 4" xfId="20191" xr:uid="{00000000-0005-0000-0000-0000DA460000}"/>
    <cellStyle name="40% - Accent5 11 2 2 3 4 2" xfId="44023" xr:uid="{C38890E0-0CD1-4291-9886-57C19CD8F2F3}"/>
    <cellStyle name="40% - Accent5 11 2 2 3 5" xfId="28144" xr:uid="{67CB94F2-E27E-49F7-95C3-5CC40C2AEBC2}"/>
    <cellStyle name="40% - Accent5 11 2 2 4" xfId="6032" xr:uid="{00000000-0005-0000-0000-0000DB460000}"/>
    <cellStyle name="40% - Accent5 11 2 2 4 2" xfId="14015" xr:uid="{00000000-0005-0000-0000-0000DC460000}"/>
    <cellStyle name="40% - Accent5 11 2 2 4 2 2" xfId="37858" xr:uid="{7CAE8FC4-5323-45F7-900C-66CAFAF3B233}"/>
    <cellStyle name="40% - Accent5 11 2 2 4 3" xfId="21963" xr:uid="{00000000-0005-0000-0000-0000DD460000}"/>
    <cellStyle name="40% - Accent5 11 2 2 4 3 2" xfId="45795" xr:uid="{AE5EF0BF-7745-4219-BB68-C0648A1DE3CF}"/>
    <cellStyle name="40% - Accent5 11 2 2 4 4" xfId="29917" xr:uid="{2EE6D550-EBCB-4D54-9718-E503DB38F805}"/>
    <cellStyle name="40% - Accent5 11 2 2 5" xfId="9584" xr:uid="{00000000-0005-0000-0000-0000DE460000}"/>
    <cellStyle name="40% - Accent5 11 2 2 5 2" xfId="17542" xr:uid="{00000000-0005-0000-0000-0000DF460000}"/>
    <cellStyle name="40% - Accent5 11 2 2 5 2 2" xfId="41382" xr:uid="{4380FAB0-878C-421B-9929-2DCADA7B6DAD}"/>
    <cellStyle name="40% - Accent5 11 2 2 5 3" xfId="25486" xr:uid="{00000000-0005-0000-0000-0000E0460000}"/>
    <cellStyle name="40% - Accent5 11 2 2 5 3 2" xfId="49318" xr:uid="{0B766BED-4C8E-44A9-864A-377FA340C4B7}"/>
    <cellStyle name="40% - Accent5 11 2 2 5 4" xfId="33441" xr:uid="{503DBFCD-2B9D-4A2C-A88E-F6E983CE992C}"/>
    <cellStyle name="40% - Accent5 11 2 2 6" xfId="10480" xr:uid="{00000000-0005-0000-0000-0000E1460000}"/>
    <cellStyle name="40% - Accent5 11 2 2 6 2" xfId="34329" xr:uid="{FEFCB2AD-2174-4D58-B889-2C3B39244DAB}"/>
    <cellStyle name="40% - Accent5 11 2 2 7" xfId="18435" xr:uid="{00000000-0005-0000-0000-0000E2460000}"/>
    <cellStyle name="40% - Accent5 11 2 2 7 2" xfId="42267" xr:uid="{3E2C0B87-C366-4C61-B32A-FDBD12FEE886}"/>
    <cellStyle name="40% - Accent5 11 2 2 8" xfId="26387" xr:uid="{8155BA91-47F9-487E-A66A-08551E0EE97A}"/>
    <cellStyle name="40% - Accent5 11 2 2_Exh G" xfId="3184" xr:uid="{00000000-0005-0000-0000-0000E3460000}"/>
    <cellStyle name="40% - Accent5 11 2 3" xfId="1563" xr:uid="{00000000-0005-0000-0000-0000E4460000}"/>
    <cellStyle name="40% - Accent5 11 2 3 2" xfId="5090" xr:uid="{00000000-0005-0000-0000-0000E5460000}"/>
    <cellStyle name="40% - Accent5 11 2 3 2 2" xfId="8681" xr:uid="{00000000-0005-0000-0000-0000E6460000}"/>
    <cellStyle name="40% - Accent5 11 2 3 2 2 2" xfId="16651" xr:uid="{00000000-0005-0000-0000-0000E7460000}"/>
    <cellStyle name="40% - Accent5 11 2 3 2 2 2 2" xfId="40493" xr:uid="{5F122AFC-4CDA-4FE9-9E85-2D51BF765BA5}"/>
    <cellStyle name="40% - Accent5 11 2 3 2 2 3" xfId="24597" xr:uid="{00000000-0005-0000-0000-0000E8460000}"/>
    <cellStyle name="40% - Accent5 11 2 3 2 2 3 2" xfId="48429" xr:uid="{C027FDA2-6255-473E-92CC-1A45F960BF2C}"/>
    <cellStyle name="40% - Accent5 11 2 3 2 2 4" xfId="32552" xr:uid="{B3933FDE-31A6-4BA0-BAAD-57E9E74875E0}"/>
    <cellStyle name="40% - Accent5 11 2 3 2 3" xfId="13113" xr:uid="{00000000-0005-0000-0000-0000E9460000}"/>
    <cellStyle name="40% - Accent5 11 2 3 2 3 2" xfId="36962" xr:uid="{02D0E5FD-21E5-46F3-B58B-46D077950F7F}"/>
    <cellStyle name="40% - Accent5 11 2 3 2 4" xfId="21068" xr:uid="{00000000-0005-0000-0000-0000EA460000}"/>
    <cellStyle name="40% - Accent5 11 2 3 2 4 2" xfId="44900" xr:uid="{566DDE19-3828-4D17-8F86-09177B56A556}"/>
    <cellStyle name="40% - Accent5 11 2 3 2 5" xfId="29021" xr:uid="{17175C61-3416-43CB-8EB4-A7F73B38FCD4}"/>
    <cellStyle name="40% - Accent5 11 2 3 3" xfId="6922" xr:uid="{00000000-0005-0000-0000-0000EB460000}"/>
    <cellStyle name="40% - Accent5 11 2 3 3 2" xfId="14893" xr:uid="{00000000-0005-0000-0000-0000EC460000}"/>
    <cellStyle name="40% - Accent5 11 2 3 3 2 2" xfId="38735" xr:uid="{323A1E43-A662-4D6B-8875-E3F6388F9798}"/>
    <cellStyle name="40% - Accent5 11 2 3 3 3" xfId="22840" xr:uid="{00000000-0005-0000-0000-0000ED460000}"/>
    <cellStyle name="40% - Accent5 11 2 3 3 3 2" xfId="46672" xr:uid="{D08816BE-CAEB-4A6C-B56F-35AF69B9615F}"/>
    <cellStyle name="40% - Accent5 11 2 3 3 4" xfId="30794" xr:uid="{CAB80A9F-4EEC-46DD-BB77-801B09CD4F5E}"/>
    <cellStyle name="40% - Accent5 11 2 3 4" xfId="11357" xr:uid="{00000000-0005-0000-0000-0000EE460000}"/>
    <cellStyle name="40% - Accent5 11 2 3 4 2" xfId="35206" xr:uid="{76552331-98D7-4DFD-BD65-90098247E955}"/>
    <cellStyle name="40% - Accent5 11 2 3 5" xfId="19312" xr:uid="{00000000-0005-0000-0000-0000EF460000}"/>
    <cellStyle name="40% - Accent5 11 2 3 5 2" xfId="43144" xr:uid="{E678FE18-22CD-400B-8F2E-9F37CFC68260}"/>
    <cellStyle name="40% - Accent5 11 2 3 6" xfId="27264" xr:uid="{8CC546D6-C8AE-468C-900E-0484E55B959E}"/>
    <cellStyle name="40% - Accent5 11 2 3_Exh G" xfId="3186" xr:uid="{00000000-0005-0000-0000-0000F0460000}"/>
    <cellStyle name="40% - Accent5 11 2 4" xfId="4211" xr:uid="{00000000-0005-0000-0000-0000F1460000}"/>
    <cellStyle name="40% - Accent5 11 2 4 2" xfId="7803" xr:uid="{00000000-0005-0000-0000-0000F2460000}"/>
    <cellStyle name="40% - Accent5 11 2 4 2 2" xfId="15773" xr:uid="{00000000-0005-0000-0000-0000F3460000}"/>
    <cellStyle name="40% - Accent5 11 2 4 2 2 2" xfId="39615" xr:uid="{B4883671-DFA5-44DC-9890-8E198245C2AA}"/>
    <cellStyle name="40% - Accent5 11 2 4 2 3" xfId="23719" xr:uid="{00000000-0005-0000-0000-0000F4460000}"/>
    <cellStyle name="40% - Accent5 11 2 4 2 3 2" xfId="47551" xr:uid="{2FE12DA0-7F13-4BCD-AB2B-B0A3378686D5}"/>
    <cellStyle name="40% - Accent5 11 2 4 2 4" xfId="31674" xr:uid="{FAE8357F-C612-4745-B91F-9A686F9247D2}"/>
    <cellStyle name="40% - Accent5 11 2 4 3" xfId="12235" xr:uid="{00000000-0005-0000-0000-0000F5460000}"/>
    <cellStyle name="40% - Accent5 11 2 4 3 2" xfId="36084" xr:uid="{A4650AFA-B32E-4C88-B9D2-CEDD983F1282}"/>
    <cellStyle name="40% - Accent5 11 2 4 4" xfId="20190" xr:uid="{00000000-0005-0000-0000-0000F6460000}"/>
    <cellStyle name="40% - Accent5 11 2 4 4 2" xfId="44022" xr:uid="{1E6F66BB-E112-4810-9950-B512FCF2D968}"/>
    <cellStyle name="40% - Accent5 11 2 4 5" xfId="28143" xr:uid="{6A0C8578-A5FB-452B-AEFF-5A7A819504D6}"/>
    <cellStyle name="40% - Accent5 11 2 5" xfId="6031" xr:uid="{00000000-0005-0000-0000-0000F7460000}"/>
    <cellStyle name="40% - Accent5 11 2 5 2" xfId="14014" xr:uid="{00000000-0005-0000-0000-0000F8460000}"/>
    <cellStyle name="40% - Accent5 11 2 5 2 2" xfId="37857" xr:uid="{AA8A4B1F-21BF-4648-9AC9-70C9090AFC17}"/>
    <cellStyle name="40% - Accent5 11 2 5 3" xfId="21962" xr:uid="{00000000-0005-0000-0000-0000F9460000}"/>
    <cellStyle name="40% - Accent5 11 2 5 3 2" xfId="45794" xr:uid="{FA0DC221-21FB-4EA6-8041-1A3696A2D33D}"/>
    <cellStyle name="40% - Accent5 11 2 5 4" xfId="29916" xr:uid="{AD9DB1B1-514E-4E3A-B395-5B6E3DE9672A}"/>
    <cellStyle name="40% - Accent5 11 2 6" xfId="9583" xr:uid="{00000000-0005-0000-0000-0000FA460000}"/>
    <cellStyle name="40% - Accent5 11 2 6 2" xfId="17541" xr:uid="{00000000-0005-0000-0000-0000FB460000}"/>
    <cellStyle name="40% - Accent5 11 2 6 2 2" xfId="41381" xr:uid="{570377AE-8226-40EC-9515-1C4020699C68}"/>
    <cellStyle name="40% - Accent5 11 2 6 3" xfId="25485" xr:uid="{00000000-0005-0000-0000-0000FC460000}"/>
    <cellStyle name="40% - Accent5 11 2 6 3 2" xfId="49317" xr:uid="{DE49C795-817B-4A20-9DFA-A2BC69A5FDAB}"/>
    <cellStyle name="40% - Accent5 11 2 6 4" xfId="33440" xr:uid="{156011E4-8E41-4598-8EDC-6F1D61CCCF94}"/>
    <cellStyle name="40% - Accent5 11 2 7" xfId="10479" xr:uid="{00000000-0005-0000-0000-0000FD460000}"/>
    <cellStyle name="40% - Accent5 11 2 7 2" xfId="34328" xr:uid="{B75B79CE-0548-4827-B6E0-414CD8BD627C}"/>
    <cellStyle name="40% - Accent5 11 2 8" xfId="18434" xr:uid="{00000000-0005-0000-0000-0000FE460000}"/>
    <cellStyle name="40% - Accent5 11 2 8 2" xfId="42266" xr:uid="{8E81B319-04CB-4404-8282-58A5875F9E12}"/>
    <cellStyle name="40% - Accent5 11 2 9" xfId="26386" xr:uid="{DAC74C23-8153-49DA-A27E-485380919981}"/>
    <cellStyle name="40% - Accent5 11 2_Exh G" xfId="3183" xr:uid="{00000000-0005-0000-0000-0000FF460000}"/>
    <cellStyle name="40% - Accent5 11 3" xfId="539" xr:uid="{00000000-0005-0000-0000-000000470000}"/>
    <cellStyle name="40% - Accent5 11 3 2" xfId="1565" xr:uid="{00000000-0005-0000-0000-000001470000}"/>
    <cellStyle name="40% - Accent5 11 3 2 2" xfId="5092" xr:uid="{00000000-0005-0000-0000-000002470000}"/>
    <cellStyle name="40% - Accent5 11 3 2 2 2" xfId="8683" xr:uid="{00000000-0005-0000-0000-000003470000}"/>
    <cellStyle name="40% - Accent5 11 3 2 2 2 2" xfId="16653" xr:uid="{00000000-0005-0000-0000-000004470000}"/>
    <cellStyle name="40% - Accent5 11 3 2 2 2 2 2" xfId="40495" xr:uid="{FDEDE2AA-D4AD-41CB-80E9-6DF03ECEB170}"/>
    <cellStyle name="40% - Accent5 11 3 2 2 2 3" xfId="24599" xr:uid="{00000000-0005-0000-0000-000005470000}"/>
    <cellStyle name="40% - Accent5 11 3 2 2 2 3 2" xfId="48431" xr:uid="{C5770127-66C6-4AAC-9AF1-917F585C2139}"/>
    <cellStyle name="40% - Accent5 11 3 2 2 2 4" xfId="32554" xr:uid="{34BCFAD0-4DA7-40B4-8B5B-891065B9AF0F}"/>
    <cellStyle name="40% - Accent5 11 3 2 2 3" xfId="13115" xr:uid="{00000000-0005-0000-0000-000006470000}"/>
    <cellStyle name="40% - Accent5 11 3 2 2 3 2" xfId="36964" xr:uid="{1145F904-EAEE-407E-B2BC-4619DFCC83F3}"/>
    <cellStyle name="40% - Accent5 11 3 2 2 4" xfId="21070" xr:uid="{00000000-0005-0000-0000-000007470000}"/>
    <cellStyle name="40% - Accent5 11 3 2 2 4 2" xfId="44902" xr:uid="{5FFB294B-2028-491C-B3FF-F36178B2F569}"/>
    <cellStyle name="40% - Accent5 11 3 2 2 5" xfId="29023" xr:uid="{76DEDFA0-ECCE-4DB7-BF15-7E689C24D9E0}"/>
    <cellStyle name="40% - Accent5 11 3 2 3" xfId="6924" xr:uid="{00000000-0005-0000-0000-000008470000}"/>
    <cellStyle name="40% - Accent5 11 3 2 3 2" xfId="14895" xr:uid="{00000000-0005-0000-0000-000009470000}"/>
    <cellStyle name="40% - Accent5 11 3 2 3 2 2" xfId="38737" xr:uid="{B0C88987-3C30-499F-9370-2550E2536A63}"/>
    <cellStyle name="40% - Accent5 11 3 2 3 3" xfId="22842" xr:uid="{00000000-0005-0000-0000-00000A470000}"/>
    <cellStyle name="40% - Accent5 11 3 2 3 3 2" xfId="46674" xr:uid="{F2BEA498-A5FA-43E1-8F01-4F41D0785FBF}"/>
    <cellStyle name="40% - Accent5 11 3 2 3 4" xfId="30796" xr:uid="{4CA4FED5-AE92-4872-B455-6F43D81E8024}"/>
    <cellStyle name="40% - Accent5 11 3 2 4" xfId="11359" xr:uid="{00000000-0005-0000-0000-00000B470000}"/>
    <cellStyle name="40% - Accent5 11 3 2 4 2" xfId="35208" xr:uid="{833F77DA-1F4A-4276-A41C-F58D10FF7161}"/>
    <cellStyle name="40% - Accent5 11 3 2 5" xfId="19314" xr:uid="{00000000-0005-0000-0000-00000C470000}"/>
    <cellStyle name="40% - Accent5 11 3 2 5 2" xfId="43146" xr:uid="{5F2B6E82-F2D6-4B73-9C35-79882D9C2E5D}"/>
    <cellStyle name="40% - Accent5 11 3 2 6" xfId="27266" xr:uid="{3CC240E7-D9C6-4135-9C5C-A3FD28DF9C37}"/>
    <cellStyle name="40% - Accent5 11 3 2_Exh G" xfId="3188" xr:uid="{00000000-0005-0000-0000-00000D470000}"/>
    <cellStyle name="40% - Accent5 11 3 3" xfId="4213" xr:uid="{00000000-0005-0000-0000-00000E470000}"/>
    <cellStyle name="40% - Accent5 11 3 3 2" xfId="7805" xr:uid="{00000000-0005-0000-0000-00000F470000}"/>
    <cellStyle name="40% - Accent5 11 3 3 2 2" xfId="15775" xr:uid="{00000000-0005-0000-0000-000010470000}"/>
    <cellStyle name="40% - Accent5 11 3 3 2 2 2" xfId="39617" xr:uid="{3741CAA8-B161-4472-B915-2BC0E3928ED9}"/>
    <cellStyle name="40% - Accent5 11 3 3 2 3" xfId="23721" xr:uid="{00000000-0005-0000-0000-000011470000}"/>
    <cellStyle name="40% - Accent5 11 3 3 2 3 2" xfId="47553" xr:uid="{31E7207F-B9AB-4EDC-85A1-99DBAD5F913F}"/>
    <cellStyle name="40% - Accent5 11 3 3 2 4" xfId="31676" xr:uid="{E867CDCD-7E1E-4B6E-9C12-F3ED3BE73BEB}"/>
    <cellStyle name="40% - Accent5 11 3 3 3" xfId="12237" xr:uid="{00000000-0005-0000-0000-000012470000}"/>
    <cellStyle name="40% - Accent5 11 3 3 3 2" xfId="36086" xr:uid="{1B479749-DA7E-4473-AEC5-7022B43787A3}"/>
    <cellStyle name="40% - Accent5 11 3 3 4" xfId="20192" xr:uid="{00000000-0005-0000-0000-000013470000}"/>
    <cellStyle name="40% - Accent5 11 3 3 4 2" xfId="44024" xr:uid="{64606208-17EA-4015-A10E-2A59673BFDFC}"/>
    <cellStyle name="40% - Accent5 11 3 3 5" xfId="28145" xr:uid="{C85C0EF6-5208-4E07-9EF1-ED3FEB67DB66}"/>
    <cellStyle name="40% - Accent5 11 3 4" xfId="6033" xr:uid="{00000000-0005-0000-0000-000014470000}"/>
    <cellStyle name="40% - Accent5 11 3 4 2" xfId="14016" xr:uid="{00000000-0005-0000-0000-000015470000}"/>
    <cellStyle name="40% - Accent5 11 3 4 2 2" xfId="37859" xr:uid="{88393049-0F45-4D58-AB9E-4E50EFD4259F}"/>
    <cellStyle name="40% - Accent5 11 3 4 3" xfId="21964" xr:uid="{00000000-0005-0000-0000-000016470000}"/>
    <cellStyle name="40% - Accent5 11 3 4 3 2" xfId="45796" xr:uid="{AEE2259A-3995-4F26-A843-29093D4EF273}"/>
    <cellStyle name="40% - Accent5 11 3 4 4" xfId="29918" xr:uid="{1A1B2956-C148-4B0A-8667-4FCA3DF586CD}"/>
    <cellStyle name="40% - Accent5 11 3 5" xfId="9585" xr:uid="{00000000-0005-0000-0000-000017470000}"/>
    <cellStyle name="40% - Accent5 11 3 5 2" xfId="17543" xr:uid="{00000000-0005-0000-0000-000018470000}"/>
    <cellStyle name="40% - Accent5 11 3 5 2 2" xfId="41383" xr:uid="{9B87F03D-CA61-45EA-AC3F-5FFFEC39CE1C}"/>
    <cellStyle name="40% - Accent5 11 3 5 3" xfId="25487" xr:uid="{00000000-0005-0000-0000-000019470000}"/>
    <cellStyle name="40% - Accent5 11 3 5 3 2" xfId="49319" xr:uid="{98F270F3-CA36-4B27-A5D2-B3FFC2B77C52}"/>
    <cellStyle name="40% - Accent5 11 3 5 4" xfId="33442" xr:uid="{182D263A-1D9E-49AC-A446-201D34971779}"/>
    <cellStyle name="40% - Accent5 11 3 6" xfId="10481" xr:uid="{00000000-0005-0000-0000-00001A470000}"/>
    <cellStyle name="40% - Accent5 11 3 6 2" xfId="34330" xr:uid="{6B25B131-5281-428C-85F1-4C333711A2F9}"/>
    <cellStyle name="40% - Accent5 11 3 7" xfId="18436" xr:uid="{00000000-0005-0000-0000-00001B470000}"/>
    <cellStyle name="40% - Accent5 11 3 7 2" xfId="42268" xr:uid="{F391BCFF-240C-4887-8381-531D464DCEE9}"/>
    <cellStyle name="40% - Accent5 11 3 8" xfId="26388" xr:uid="{DCAB1E6A-55D3-464D-9C9B-161DEE7C3AF2}"/>
    <cellStyle name="40% - Accent5 11 3_Exh G" xfId="3187" xr:uid="{00000000-0005-0000-0000-00001C470000}"/>
    <cellStyle name="40% - Accent5 11 4" xfId="1562" xr:uid="{00000000-0005-0000-0000-00001D470000}"/>
    <cellStyle name="40% - Accent5 11 4 2" xfId="5089" xr:uid="{00000000-0005-0000-0000-00001E470000}"/>
    <cellStyle name="40% - Accent5 11 4 2 2" xfId="8680" xr:uid="{00000000-0005-0000-0000-00001F470000}"/>
    <cellStyle name="40% - Accent5 11 4 2 2 2" xfId="16650" xr:uid="{00000000-0005-0000-0000-000020470000}"/>
    <cellStyle name="40% - Accent5 11 4 2 2 2 2" xfId="40492" xr:uid="{58390E9A-5942-4A7B-ADC0-083C8A2E0E46}"/>
    <cellStyle name="40% - Accent5 11 4 2 2 3" xfId="24596" xr:uid="{00000000-0005-0000-0000-000021470000}"/>
    <cellStyle name="40% - Accent5 11 4 2 2 3 2" xfId="48428" xr:uid="{E581EC22-A9D6-48AF-BBEC-A299B7369A4E}"/>
    <cellStyle name="40% - Accent5 11 4 2 2 4" xfId="32551" xr:uid="{141E827A-9793-4787-9C07-200B01B2CD85}"/>
    <cellStyle name="40% - Accent5 11 4 2 3" xfId="13112" xr:uid="{00000000-0005-0000-0000-000022470000}"/>
    <cellStyle name="40% - Accent5 11 4 2 3 2" xfId="36961" xr:uid="{8E516D7D-B4AD-440F-9380-BF6EDBE030F6}"/>
    <cellStyle name="40% - Accent5 11 4 2 4" xfId="21067" xr:uid="{00000000-0005-0000-0000-000023470000}"/>
    <cellStyle name="40% - Accent5 11 4 2 4 2" xfId="44899" xr:uid="{6419478D-BC65-4BC1-B130-BD67E04986CC}"/>
    <cellStyle name="40% - Accent5 11 4 2 5" xfId="29020" xr:uid="{71071C57-E21E-4F0B-9A90-BB7F262CF748}"/>
    <cellStyle name="40% - Accent5 11 4 3" xfId="6921" xr:uid="{00000000-0005-0000-0000-000024470000}"/>
    <cellStyle name="40% - Accent5 11 4 3 2" xfId="14892" xr:uid="{00000000-0005-0000-0000-000025470000}"/>
    <cellStyle name="40% - Accent5 11 4 3 2 2" xfId="38734" xr:uid="{A4FB17E1-AE54-440D-9EEB-A40D6C1D44E7}"/>
    <cellStyle name="40% - Accent5 11 4 3 3" xfId="22839" xr:uid="{00000000-0005-0000-0000-000026470000}"/>
    <cellStyle name="40% - Accent5 11 4 3 3 2" xfId="46671" xr:uid="{14656D5A-B63B-450F-B248-CED1CC770172}"/>
    <cellStyle name="40% - Accent5 11 4 3 4" xfId="30793" xr:uid="{5BD25B87-5891-48A6-8299-D661F3647ED1}"/>
    <cellStyle name="40% - Accent5 11 4 4" xfId="11356" xr:uid="{00000000-0005-0000-0000-000027470000}"/>
    <cellStyle name="40% - Accent5 11 4 4 2" xfId="35205" xr:uid="{BFF585BC-A8E1-4E66-9E0D-8895BA888D08}"/>
    <cellStyle name="40% - Accent5 11 4 5" xfId="19311" xr:uid="{00000000-0005-0000-0000-000028470000}"/>
    <cellStyle name="40% - Accent5 11 4 5 2" xfId="43143" xr:uid="{2645EC8A-F274-4688-B964-2F3534F240C6}"/>
    <cellStyle name="40% - Accent5 11 4 6" xfId="27263" xr:uid="{55C3812B-4011-44D3-BC1B-3D4988B6AC45}"/>
    <cellStyle name="40% - Accent5 11 4_Exh G" xfId="3189" xr:uid="{00000000-0005-0000-0000-000029470000}"/>
    <cellStyle name="40% - Accent5 11 5" xfId="4210" xr:uid="{00000000-0005-0000-0000-00002A470000}"/>
    <cellStyle name="40% - Accent5 11 5 2" xfId="7802" xr:uid="{00000000-0005-0000-0000-00002B470000}"/>
    <cellStyle name="40% - Accent5 11 5 2 2" xfId="15772" xr:uid="{00000000-0005-0000-0000-00002C470000}"/>
    <cellStyle name="40% - Accent5 11 5 2 2 2" xfId="39614" xr:uid="{ADD26833-6BD5-43B0-86DA-30337FB713EF}"/>
    <cellStyle name="40% - Accent5 11 5 2 3" xfId="23718" xr:uid="{00000000-0005-0000-0000-00002D470000}"/>
    <cellStyle name="40% - Accent5 11 5 2 3 2" xfId="47550" xr:uid="{C8F485E7-7496-495E-BE79-0A89D0B91FFC}"/>
    <cellStyle name="40% - Accent5 11 5 2 4" xfId="31673" xr:uid="{7C767A0A-80A7-48CA-B913-C2B55257FD46}"/>
    <cellStyle name="40% - Accent5 11 5 3" xfId="12234" xr:uid="{00000000-0005-0000-0000-00002E470000}"/>
    <cellStyle name="40% - Accent5 11 5 3 2" xfId="36083" xr:uid="{0704F48C-3AAA-4F5E-8725-A7F7BC81305C}"/>
    <cellStyle name="40% - Accent5 11 5 4" xfId="20189" xr:uid="{00000000-0005-0000-0000-00002F470000}"/>
    <cellStyle name="40% - Accent5 11 5 4 2" xfId="44021" xr:uid="{B2757285-5FD0-455D-9709-3E870E59905C}"/>
    <cellStyle name="40% - Accent5 11 5 5" xfId="28142" xr:uid="{E429FDB7-7695-4040-89F4-D530414AE2F4}"/>
    <cellStyle name="40% - Accent5 11 6" xfId="6030" xr:uid="{00000000-0005-0000-0000-000030470000}"/>
    <cellStyle name="40% - Accent5 11 6 2" xfId="14013" xr:uid="{00000000-0005-0000-0000-000031470000}"/>
    <cellStyle name="40% - Accent5 11 6 2 2" xfId="37856" xr:uid="{CCEF83AF-B3D9-4865-A74F-860A027FE37A}"/>
    <cellStyle name="40% - Accent5 11 6 3" xfId="21961" xr:uid="{00000000-0005-0000-0000-000032470000}"/>
    <cellStyle name="40% - Accent5 11 6 3 2" xfId="45793" xr:uid="{3A65C9E2-E9A5-4DC4-9CD3-49F2FE5AFDBA}"/>
    <cellStyle name="40% - Accent5 11 6 4" xfId="29915" xr:uid="{8ED1A469-8EFA-486A-AD47-FD218263A4CD}"/>
    <cellStyle name="40% - Accent5 11 7" xfId="9582" xr:uid="{00000000-0005-0000-0000-000033470000}"/>
    <cellStyle name="40% - Accent5 11 7 2" xfId="17540" xr:uid="{00000000-0005-0000-0000-000034470000}"/>
    <cellStyle name="40% - Accent5 11 7 2 2" xfId="41380" xr:uid="{26D3DDBF-9396-424D-B0D0-CEDB3A94D859}"/>
    <cellStyle name="40% - Accent5 11 7 3" xfId="25484" xr:uid="{00000000-0005-0000-0000-000035470000}"/>
    <cellStyle name="40% - Accent5 11 7 3 2" xfId="49316" xr:uid="{6449B5B6-A968-4DBE-9555-AAFA24CD21DC}"/>
    <cellStyle name="40% - Accent5 11 7 4" xfId="33439" xr:uid="{47EC1EA6-CDC7-4DC6-916C-402B8E62614C}"/>
    <cellStyle name="40% - Accent5 11 8" xfId="10478" xr:uid="{00000000-0005-0000-0000-000036470000}"/>
    <cellStyle name="40% - Accent5 11 8 2" xfId="34327" xr:uid="{717EDED1-D6CA-4B6E-B310-00723BE4FCB4}"/>
    <cellStyle name="40% - Accent5 11 9" xfId="18433" xr:uid="{00000000-0005-0000-0000-000037470000}"/>
    <cellStyle name="40% - Accent5 11 9 2" xfId="42265" xr:uid="{FB7F5788-7C00-4029-AE29-5BE4D6AA981D}"/>
    <cellStyle name="40% - Accent5 11_Exh G" xfId="3182" xr:uid="{00000000-0005-0000-0000-000038470000}"/>
    <cellStyle name="40% - Accent5 12" xfId="540" xr:uid="{00000000-0005-0000-0000-000039470000}"/>
    <cellStyle name="40% - Accent5 12 10" xfId="26389" xr:uid="{336F495B-B830-4FA4-BA9D-DDFF4B2DBB29}"/>
    <cellStyle name="40% - Accent5 12 2" xfId="541" xr:uid="{00000000-0005-0000-0000-00003A470000}"/>
    <cellStyle name="40% - Accent5 12 2 2" xfId="542" xr:uid="{00000000-0005-0000-0000-00003B470000}"/>
    <cellStyle name="40% - Accent5 12 2 2 2" xfId="1568" xr:uid="{00000000-0005-0000-0000-00003C470000}"/>
    <cellStyle name="40% - Accent5 12 2 2 2 2" xfId="5095" xr:uid="{00000000-0005-0000-0000-00003D470000}"/>
    <cellStyle name="40% - Accent5 12 2 2 2 2 2" xfId="8686" xr:uid="{00000000-0005-0000-0000-00003E470000}"/>
    <cellStyle name="40% - Accent5 12 2 2 2 2 2 2" xfId="16656" xr:uid="{00000000-0005-0000-0000-00003F470000}"/>
    <cellStyle name="40% - Accent5 12 2 2 2 2 2 2 2" xfId="40498" xr:uid="{D51D16A8-68EB-48D4-A346-D7178E12973B}"/>
    <cellStyle name="40% - Accent5 12 2 2 2 2 2 3" xfId="24602" xr:uid="{00000000-0005-0000-0000-000040470000}"/>
    <cellStyle name="40% - Accent5 12 2 2 2 2 2 3 2" xfId="48434" xr:uid="{B84EEB26-BD8F-4159-89DB-9C865976D8C4}"/>
    <cellStyle name="40% - Accent5 12 2 2 2 2 2 4" xfId="32557" xr:uid="{ABE2E986-4CF0-410C-9C00-399DEE78C4E3}"/>
    <cellStyle name="40% - Accent5 12 2 2 2 2 3" xfId="13118" xr:uid="{00000000-0005-0000-0000-000041470000}"/>
    <cellStyle name="40% - Accent5 12 2 2 2 2 3 2" xfId="36967" xr:uid="{502BB000-B953-4B5A-98B9-CA997198FB91}"/>
    <cellStyle name="40% - Accent5 12 2 2 2 2 4" xfId="21073" xr:uid="{00000000-0005-0000-0000-000042470000}"/>
    <cellStyle name="40% - Accent5 12 2 2 2 2 4 2" xfId="44905" xr:uid="{F6275A40-801A-49FB-A60A-4DE0E21216D7}"/>
    <cellStyle name="40% - Accent5 12 2 2 2 2 5" xfId="29026" xr:uid="{500A0C2F-45BA-4B45-96AC-C37377066D79}"/>
    <cellStyle name="40% - Accent5 12 2 2 2 3" xfId="6927" xr:uid="{00000000-0005-0000-0000-000043470000}"/>
    <cellStyle name="40% - Accent5 12 2 2 2 3 2" xfId="14898" xr:uid="{00000000-0005-0000-0000-000044470000}"/>
    <cellStyle name="40% - Accent5 12 2 2 2 3 2 2" xfId="38740" xr:uid="{8A853357-77DA-435C-875D-344858D58A91}"/>
    <cellStyle name="40% - Accent5 12 2 2 2 3 3" xfId="22845" xr:uid="{00000000-0005-0000-0000-000045470000}"/>
    <cellStyle name="40% - Accent5 12 2 2 2 3 3 2" xfId="46677" xr:uid="{67AE4E57-0DE7-4105-9075-A16703A01879}"/>
    <cellStyle name="40% - Accent5 12 2 2 2 3 4" xfId="30799" xr:uid="{2E0FBCE2-FC53-4169-838A-B742D19F3732}"/>
    <cellStyle name="40% - Accent5 12 2 2 2 4" xfId="11362" xr:uid="{00000000-0005-0000-0000-000046470000}"/>
    <cellStyle name="40% - Accent5 12 2 2 2 4 2" xfId="35211" xr:uid="{92C1671C-100B-4DBE-9A7D-87CC7AA9EEB5}"/>
    <cellStyle name="40% - Accent5 12 2 2 2 5" xfId="19317" xr:uid="{00000000-0005-0000-0000-000047470000}"/>
    <cellStyle name="40% - Accent5 12 2 2 2 5 2" xfId="43149" xr:uid="{CB8C5966-6C54-45F7-8D35-608C0A82FDA9}"/>
    <cellStyle name="40% - Accent5 12 2 2 2 6" xfId="27269" xr:uid="{0A045DE5-EC0E-4105-BA02-8DC1F507AE50}"/>
    <cellStyle name="40% - Accent5 12 2 2 2_Exh G" xfId="3193" xr:uid="{00000000-0005-0000-0000-000048470000}"/>
    <cellStyle name="40% - Accent5 12 2 2 3" xfId="4216" xr:uid="{00000000-0005-0000-0000-000049470000}"/>
    <cellStyle name="40% - Accent5 12 2 2 3 2" xfId="7808" xr:uid="{00000000-0005-0000-0000-00004A470000}"/>
    <cellStyle name="40% - Accent5 12 2 2 3 2 2" xfId="15778" xr:uid="{00000000-0005-0000-0000-00004B470000}"/>
    <cellStyle name="40% - Accent5 12 2 2 3 2 2 2" xfId="39620" xr:uid="{0B6BE0EB-B0CA-4FA5-9AC0-CC7B30C4F824}"/>
    <cellStyle name="40% - Accent5 12 2 2 3 2 3" xfId="23724" xr:uid="{00000000-0005-0000-0000-00004C470000}"/>
    <cellStyle name="40% - Accent5 12 2 2 3 2 3 2" xfId="47556" xr:uid="{F8207240-6FCF-4CDB-BDAD-90E9477522FA}"/>
    <cellStyle name="40% - Accent5 12 2 2 3 2 4" xfId="31679" xr:uid="{69EF7EC1-0FE3-408C-8601-62A1FF8B8B95}"/>
    <cellStyle name="40% - Accent5 12 2 2 3 3" xfId="12240" xr:uid="{00000000-0005-0000-0000-00004D470000}"/>
    <cellStyle name="40% - Accent5 12 2 2 3 3 2" xfId="36089" xr:uid="{468AC5DE-F1EC-452A-BD4B-8B0ED06AF32C}"/>
    <cellStyle name="40% - Accent5 12 2 2 3 4" xfId="20195" xr:uid="{00000000-0005-0000-0000-00004E470000}"/>
    <cellStyle name="40% - Accent5 12 2 2 3 4 2" xfId="44027" xr:uid="{A42C8F9E-3228-421B-A1D4-CBAC8CA0EEC5}"/>
    <cellStyle name="40% - Accent5 12 2 2 3 5" xfId="28148" xr:uid="{5D60BC7F-B87E-4E82-9985-18C49FC71181}"/>
    <cellStyle name="40% - Accent5 12 2 2 4" xfId="6036" xr:uid="{00000000-0005-0000-0000-00004F470000}"/>
    <cellStyle name="40% - Accent5 12 2 2 4 2" xfId="14019" xr:uid="{00000000-0005-0000-0000-000050470000}"/>
    <cellStyle name="40% - Accent5 12 2 2 4 2 2" xfId="37862" xr:uid="{97E41C51-7C0E-4273-99E4-8541473A6331}"/>
    <cellStyle name="40% - Accent5 12 2 2 4 3" xfId="21967" xr:uid="{00000000-0005-0000-0000-000051470000}"/>
    <cellStyle name="40% - Accent5 12 2 2 4 3 2" xfId="45799" xr:uid="{D258CBA0-B1A6-42DF-B8D6-75D012348572}"/>
    <cellStyle name="40% - Accent5 12 2 2 4 4" xfId="29921" xr:uid="{DCD8D722-19CD-420A-9D3E-4F65792B864E}"/>
    <cellStyle name="40% - Accent5 12 2 2 5" xfId="9588" xr:uid="{00000000-0005-0000-0000-000052470000}"/>
    <cellStyle name="40% - Accent5 12 2 2 5 2" xfId="17546" xr:uid="{00000000-0005-0000-0000-000053470000}"/>
    <cellStyle name="40% - Accent5 12 2 2 5 2 2" xfId="41386" xr:uid="{85A2E381-F3D1-4557-A136-0B27FF1192DB}"/>
    <cellStyle name="40% - Accent5 12 2 2 5 3" xfId="25490" xr:uid="{00000000-0005-0000-0000-000054470000}"/>
    <cellStyle name="40% - Accent5 12 2 2 5 3 2" xfId="49322" xr:uid="{573DE9CF-17CC-411E-AE54-F4ADF8F751BD}"/>
    <cellStyle name="40% - Accent5 12 2 2 5 4" xfId="33445" xr:uid="{E6934644-DBD2-4D11-BC0B-86EF6C3C14DC}"/>
    <cellStyle name="40% - Accent5 12 2 2 6" xfId="10484" xr:uid="{00000000-0005-0000-0000-000055470000}"/>
    <cellStyle name="40% - Accent5 12 2 2 6 2" xfId="34333" xr:uid="{D7A6B891-3B9C-489A-9AC0-066C9A3815AC}"/>
    <cellStyle name="40% - Accent5 12 2 2 7" xfId="18439" xr:uid="{00000000-0005-0000-0000-000056470000}"/>
    <cellStyle name="40% - Accent5 12 2 2 7 2" xfId="42271" xr:uid="{7A0A7C1E-B8A3-4F96-AAB3-374038E5E30B}"/>
    <cellStyle name="40% - Accent5 12 2 2 8" xfId="26391" xr:uid="{C6EF4915-4228-4ACB-81DC-43A28BC40654}"/>
    <cellStyle name="40% - Accent5 12 2 2_Exh G" xfId="3192" xr:uid="{00000000-0005-0000-0000-000057470000}"/>
    <cellStyle name="40% - Accent5 12 2 3" xfId="1567" xr:uid="{00000000-0005-0000-0000-000058470000}"/>
    <cellStyle name="40% - Accent5 12 2 3 2" xfId="5094" xr:uid="{00000000-0005-0000-0000-000059470000}"/>
    <cellStyle name="40% - Accent5 12 2 3 2 2" xfId="8685" xr:uid="{00000000-0005-0000-0000-00005A470000}"/>
    <cellStyle name="40% - Accent5 12 2 3 2 2 2" xfId="16655" xr:uid="{00000000-0005-0000-0000-00005B470000}"/>
    <cellStyle name="40% - Accent5 12 2 3 2 2 2 2" xfId="40497" xr:uid="{0792DDF0-55B0-4F24-BD65-2902B1F82015}"/>
    <cellStyle name="40% - Accent5 12 2 3 2 2 3" xfId="24601" xr:uid="{00000000-0005-0000-0000-00005C470000}"/>
    <cellStyle name="40% - Accent5 12 2 3 2 2 3 2" xfId="48433" xr:uid="{4FAC2F7D-D396-4DB6-90BF-5A624C6DF763}"/>
    <cellStyle name="40% - Accent5 12 2 3 2 2 4" xfId="32556" xr:uid="{BA44A926-5DB6-472F-8246-0792F7048603}"/>
    <cellStyle name="40% - Accent5 12 2 3 2 3" xfId="13117" xr:uid="{00000000-0005-0000-0000-00005D470000}"/>
    <cellStyle name="40% - Accent5 12 2 3 2 3 2" xfId="36966" xr:uid="{9214EE4A-2D18-47BC-A082-306B631A5200}"/>
    <cellStyle name="40% - Accent5 12 2 3 2 4" xfId="21072" xr:uid="{00000000-0005-0000-0000-00005E470000}"/>
    <cellStyle name="40% - Accent5 12 2 3 2 4 2" xfId="44904" xr:uid="{F3F3E5D2-0CAD-42BF-B992-18BAE31DEA59}"/>
    <cellStyle name="40% - Accent5 12 2 3 2 5" xfId="29025" xr:uid="{953170EB-C500-492F-A5C7-7845207D203C}"/>
    <cellStyle name="40% - Accent5 12 2 3 3" xfId="6926" xr:uid="{00000000-0005-0000-0000-00005F470000}"/>
    <cellStyle name="40% - Accent5 12 2 3 3 2" xfId="14897" xr:uid="{00000000-0005-0000-0000-000060470000}"/>
    <cellStyle name="40% - Accent5 12 2 3 3 2 2" xfId="38739" xr:uid="{69099C34-549F-4735-B2C3-5A414B90567E}"/>
    <cellStyle name="40% - Accent5 12 2 3 3 3" xfId="22844" xr:uid="{00000000-0005-0000-0000-000061470000}"/>
    <cellStyle name="40% - Accent5 12 2 3 3 3 2" xfId="46676" xr:uid="{F75323A5-BCCD-46FA-9E86-DC73D6C4CB7E}"/>
    <cellStyle name="40% - Accent5 12 2 3 3 4" xfId="30798" xr:uid="{DED38CD4-E1B0-4FA5-9A52-4CA2692DC31E}"/>
    <cellStyle name="40% - Accent5 12 2 3 4" xfId="11361" xr:uid="{00000000-0005-0000-0000-000062470000}"/>
    <cellStyle name="40% - Accent5 12 2 3 4 2" xfId="35210" xr:uid="{10C93015-B7CE-4FC0-9829-8E1B0829A80A}"/>
    <cellStyle name="40% - Accent5 12 2 3 5" xfId="19316" xr:uid="{00000000-0005-0000-0000-000063470000}"/>
    <cellStyle name="40% - Accent5 12 2 3 5 2" xfId="43148" xr:uid="{ECDE2AEF-CF46-4C2E-81BC-CC0683E1B72A}"/>
    <cellStyle name="40% - Accent5 12 2 3 6" xfId="27268" xr:uid="{43AC6519-F919-4B3D-BDF1-9ED37A9D0C26}"/>
    <cellStyle name="40% - Accent5 12 2 3_Exh G" xfId="3194" xr:uid="{00000000-0005-0000-0000-000064470000}"/>
    <cellStyle name="40% - Accent5 12 2 4" xfId="4215" xr:uid="{00000000-0005-0000-0000-000065470000}"/>
    <cellStyle name="40% - Accent5 12 2 4 2" xfId="7807" xr:uid="{00000000-0005-0000-0000-000066470000}"/>
    <cellStyle name="40% - Accent5 12 2 4 2 2" xfId="15777" xr:uid="{00000000-0005-0000-0000-000067470000}"/>
    <cellStyle name="40% - Accent5 12 2 4 2 2 2" xfId="39619" xr:uid="{BF0A633C-76DA-427D-9F0A-C9903DD1A1A7}"/>
    <cellStyle name="40% - Accent5 12 2 4 2 3" xfId="23723" xr:uid="{00000000-0005-0000-0000-000068470000}"/>
    <cellStyle name="40% - Accent5 12 2 4 2 3 2" xfId="47555" xr:uid="{B65540F5-D654-401D-9FE9-A6C143C57576}"/>
    <cellStyle name="40% - Accent5 12 2 4 2 4" xfId="31678" xr:uid="{E6D70ECE-742A-40C9-9A09-96AA4A4148D2}"/>
    <cellStyle name="40% - Accent5 12 2 4 3" xfId="12239" xr:uid="{00000000-0005-0000-0000-000069470000}"/>
    <cellStyle name="40% - Accent5 12 2 4 3 2" xfId="36088" xr:uid="{C6BFBF13-3107-4282-BD9E-75C9EF27CB0D}"/>
    <cellStyle name="40% - Accent5 12 2 4 4" xfId="20194" xr:uid="{00000000-0005-0000-0000-00006A470000}"/>
    <cellStyle name="40% - Accent5 12 2 4 4 2" xfId="44026" xr:uid="{0E5F032D-6FD7-4B27-B94E-4606679ECED1}"/>
    <cellStyle name="40% - Accent5 12 2 4 5" xfId="28147" xr:uid="{D090F501-335C-4DF8-8EE6-BB8254577B56}"/>
    <cellStyle name="40% - Accent5 12 2 5" xfId="6035" xr:uid="{00000000-0005-0000-0000-00006B470000}"/>
    <cellStyle name="40% - Accent5 12 2 5 2" xfId="14018" xr:uid="{00000000-0005-0000-0000-00006C470000}"/>
    <cellStyle name="40% - Accent5 12 2 5 2 2" xfId="37861" xr:uid="{E6582BC2-0E9F-49A4-A3EC-FD8BA510158F}"/>
    <cellStyle name="40% - Accent5 12 2 5 3" xfId="21966" xr:uid="{00000000-0005-0000-0000-00006D470000}"/>
    <cellStyle name="40% - Accent5 12 2 5 3 2" xfId="45798" xr:uid="{3ABDE116-D41B-4935-A0BE-05E12E76D2A7}"/>
    <cellStyle name="40% - Accent5 12 2 5 4" xfId="29920" xr:uid="{D76E45EE-CBD8-4CC0-91B1-BBF47FC96F36}"/>
    <cellStyle name="40% - Accent5 12 2 6" xfId="9587" xr:uid="{00000000-0005-0000-0000-00006E470000}"/>
    <cellStyle name="40% - Accent5 12 2 6 2" xfId="17545" xr:uid="{00000000-0005-0000-0000-00006F470000}"/>
    <cellStyle name="40% - Accent5 12 2 6 2 2" xfId="41385" xr:uid="{6D3B59AF-0E89-4B6A-8120-3C30F040D334}"/>
    <cellStyle name="40% - Accent5 12 2 6 3" xfId="25489" xr:uid="{00000000-0005-0000-0000-000070470000}"/>
    <cellStyle name="40% - Accent5 12 2 6 3 2" xfId="49321" xr:uid="{4A87D718-962E-429E-84E9-144CE80BCB27}"/>
    <cellStyle name="40% - Accent5 12 2 6 4" xfId="33444" xr:uid="{424AF4FF-A234-402A-AA22-731C1D7C8E3A}"/>
    <cellStyle name="40% - Accent5 12 2 7" xfId="10483" xr:uid="{00000000-0005-0000-0000-000071470000}"/>
    <cellStyle name="40% - Accent5 12 2 7 2" xfId="34332" xr:uid="{315B3C34-37B2-485B-BD9C-24CE2A9EC38B}"/>
    <cellStyle name="40% - Accent5 12 2 8" xfId="18438" xr:uid="{00000000-0005-0000-0000-000072470000}"/>
    <cellStyle name="40% - Accent5 12 2 8 2" xfId="42270" xr:uid="{9C00E763-19D7-47BE-8BBB-52E0277FC1F6}"/>
    <cellStyle name="40% - Accent5 12 2 9" xfId="26390" xr:uid="{BB0BDDF1-65D8-482C-864B-0C981D86AFEE}"/>
    <cellStyle name="40% - Accent5 12 2_Exh G" xfId="3191" xr:uid="{00000000-0005-0000-0000-000073470000}"/>
    <cellStyle name="40% - Accent5 12 3" xfId="543" xr:uid="{00000000-0005-0000-0000-000074470000}"/>
    <cellStyle name="40% - Accent5 12 3 2" xfId="1569" xr:uid="{00000000-0005-0000-0000-000075470000}"/>
    <cellStyle name="40% - Accent5 12 3 2 2" xfId="5096" xr:uid="{00000000-0005-0000-0000-000076470000}"/>
    <cellStyle name="40% - Accent5 12 3 2 2 2" xfId="8687" xr:uid="{00000000-0005-0000-0000-000077470000}"/>
    <cellStyle name="40% - Accent5 12 3 2 2 2 2" xfId="16657" xr:uid="{00000000-0005-0000-0000-000078470000}"/>
    <cellStyle name="40% - Accent5 12 3 2 2 2 2 2" xfId="40499" xr:uid="{0EA3D574-CE89-42AA-9E1F-4EDE4745D1D3}"/>
    <cellStyle name="40% - Accent5 12 3 2 2 2 3" xfId="24603" xr:uid="{00000000-0005-0000-0000-000079470000}"/>
    <cellStyle name="40% - Accent5 12 3 2 2 2 3 2" xfId="48435" xr:uid="{0E3E7F5F-B280-473C-93D4-46DD0432FE84}"/>
    <cellStyle name="40% - Accent5 12 3 2 2 2 4" xfId="32558" xr:uid="{A3A77F75-563F-49D0-B370-7AA53A7F8C81}"/>
    <cellStyle name="40% - Accent5 12 3 2 2 3" xfId="13119" xr:uid="{00000000-0005-0000-0000-00007A470000}"/>
    <cellStyle name="40% - Accent5 12 3 2 2 3 2" xfId="36968" xr:uid="{6E47F1A6-0B3A-4D93-B148-9A93991FACF9}"/>
    <cellStyle name="40% - Accent5 12 3 2 2 4" xfId="21074" xr:uid="{00000000-0005-0000-0000-00007B470000}"/>
    <cellStyle name="40% - Accent5 12 3 2 2 4 2" xfId="44906" xr:uid="{8B23A816-FBC2-4472-8F73-7EAE240AFBAF}"/>
    <cellStyle name="40% - Accent5 12 3 2 2 5" xfId="29027" xr:uid="{19E705A6-A352-4FC0-88AE-443FB45F4841}"/>
    <cellStyle name="40% - Accent5 12 3 2 3" xfId="6928" xr:uid="{00000000-0005-0000-0000-00007C470000}"/>
    <cellStyle name="40% - Accent5 12 3 2 3 2" xfId="14899" xr:uid="{00000000-0005-0000-0000-00007D470000}"/>
    <cellStyle name="40% - Accent5 12 3 2 3 2 2" xfId="38741" xr:uid="{C8A0A92A-598F-42E4-BF7D-9C7DE3B260D5}"/>
    <cellStyle name="40% - Accent5 12 3 2 3 3" xfId="22846" xr:uid="{00000000-0005-0000-0000-00007E470000}"/>
    <cellStyle name="40% - Accent5 12 3 2 3 3 2" xfId="46678" xr:uid="{A431C93C-9BAC-43D5-A020-8524F77CB851}"/>
    <cellStyle name="40% - Accent5 12 3 2 3 4" xfId="30800" xr:uid="{6B7A844B-259C-4026-84C4-DECAC554DB3E}"/>
    <cellStyle name="40% - Accent5 12 3 2 4" xfId="11363" xr:uid="{00000000-0005-0000-0000-00007F470000}"/>
    <cellStyle name="40% - Accent5 12 3 2 4 2" xfId="35212" xr:uid="{F679B4B3-9095-4962-9FDF-6C82231CD66E}"/>
    <cellStyle name="40% - Accent5 12 3 2 5" xfId="19318" xr:uid="{00000000-0005-0000-0000-000080470000}"/>
    <cellStyle name="40% - Accent5 12 3 2 5 2" xfId="43150" xr:uid="{04543A9A-F238-4DFB-B0B3-312052385D14}"/>
    <cellStyle name="40% - Accent5 12 3 2 6" xfId="27270" xr:uid="{4C10A618-4F66-4A28-A3FA-03C3C00DA598}"/>
    <cellStyle name="40% - Accent5 12 3 2_Exh G" xfId="3196" xr:uid="{00000000-0005-0000-0000-000081470000}"/>
    <cellStyle name="40% - Accent5 12 3 3" xfId="4217" xr:uid="{00000000-0005-0000-0000-000082470000}"/>
    <cellStyle name="40% - Accent5 12 3 3 2" xfId="7809" xr:uid="{00000000-0005-0000-0000-000083470000}"/>
    <cellStyle name="40% - Accent5 12 3 3 2 2" xfId="15779" xr:uid="{00000000-0005-0000-0000-000084470000}"/>
    <cellStyle name="40% - Accent5 12 3 3 2 2 2" xfId="39621" xr:uid="{1D8181FB-6361-4F78-8F63-35B4849DF9F4}"/>
    <cellStyle name="40% - Accent5 12 3 3 2 3" xfId="23725" xr:uid="{00000000-0005-0000-0000-000085470000}"/>
    <cellStyle name="40% - Accent5 12 3 3 2 3 2" xfId="47557" xr:uid="{E41B5C8E-4742-4722-8C7D-A8A4B72B0E7D}"/>
    <cellStyle name="40% - Accent5 12 3 3 2 4" xfId="31680" xr:uid="{7AAA5E02-6BA5-48BF-A291-5392066584AE}"/>
    <cellStyle name="40% - Accent5 12 3 3 3" xfId="12241" xr:uid="{00000000-0005-0000-0000-000086470000}"/>
    <cellStyle name="40% - Accent5 12 3 3 3 2" xfId="36090" xr:uid="{66BE07DC-D9E6-4710-A6AD-CED0986CBE21}"/>
    <cellStyle name="40% - Accent5 12 3 3 4" xfId="20196" xr:uid="{00000000-0005-0000-0000-000087470000}"/>
    <cellStyle name="40% - Accent5 12 3 3 4 2" xfId="44028" xr:uid="{068F7D37-5A53-436A-896A-09813C8E156A}"/>
    <cellStyle name="40% - Accent5 12 3 3 5" xfId="28149" xr:uid="{EDD4B5D5-3509-43CB-B860-A898364D7696}"/>
    <cellStyle name="40% - Accent5 12 3 4" xfId="6037" xr:uid="{00000000-0005-0000-0000-000088470000}"/>
    <cellStyle name="40% - Accent5 12 3 4 2" xfId="14020" xr:uid="{00000000-0005-0000-0000-000089470000}"/>
    <cellStyle name="40% - Accent5 12 3 4 2 2" xfId="37863" xr:uid="{AF273667-4EB3-4CDC-956D-BA3803663794}"/>
    <cellStyle name="40% - Accent5 12 3 4 3" xfId="21968" xr:uid="{00000000-0005-0000-0000-00008A470000}"/>
    <cellStyle name="40% - Accent5 12 3 4 3 2" xfId="45800" xr:uid="{0E8CEBA6-A290-4E3F-B546-1E9900E8BC31}"/>
    <cellStyle name="40% - Accent5 12 3 4 4" xfId="29922" xr:uid="{F26AEAFA-0814-407E-9562-1BFA72FF0474}"/>
    <cellStyle name="40% - Accent5 12 3 5" xfId="9589" xr:uid="{00000000-0005-0000-0000-00008B470000}"/>
    <cellStyle name="40% - Accent5 12 3 5 2" xfId="17547" xr:uid="{00000000-0005-0000-0000-00008C470000}"/>
    <cellStyle name="40% - Accent5 12 3 5 2 2" xfId="41387" xr:uid="{54232B7B-FDEB-4877-A234-679DCD473239}"/>
    <cellStyle name="40% - Accent5 12 3 5 3" xfId="25491" xr:uid="{00000000-0005-0000-0000-00008D470000}"/>
    <cellStyle name="40% - Accent5 12 3 5 3 2" xfId="49323" xr:uid="{62F8C9D0-7EBC-4CF3-9421-E6EFD62A1557}"/>
    <cellStyle name="40% - Accent5 12 3 5 4" xfId="33446" xr:uid="{F18C3CB2-A22B-44A1-8187-8D73C1A760FA}"/>
    <cellStyle name="40% - Accent5 12 3 6" xfId="10485" xr:uid="{00000000-0005-0000-0000-00008E470000}"/>
    <cellStyle name="40% - Accent5 12 3 6 2" xfId="34334" xr:uid="{50D86A82-46FC-4C3E-8227-F12DADB9F73B}"/>
    <cellStyle name="40% - Accent5 12 3 7" xfId="18440" xr:uid="{00000000-0005-0000-0000-00008F470000}"/>
    <cellStyle name="40% - Accent5 12 3 7 2" xfId="42272" xr:uid="{66B7871A-29FA-441F-92CD-8723D09B3F7D}"/>
    <cellStyle name="40% - Accent5 12 3 8" xfId="26392" xr:uid="{CAAA6FA9-90B3-466F-8BBD-A70D2DE99B01}"/>
    <cellStyle name="40% - Accent5 12 3_Exh G" xfId="3195" xr:uid="{00000000-0005-0000-0000-000090470000}"/>
    <cellStyle name="40% - Accent5 12 4" xfId="1566" xr:uid="{00000000-0005-0000-0000-000091470000}"/>
    <cellStyle name="40% - Accent5 12 4 2" xfId="5093" xr:uid="{00000000-0005-0000-0000-000092470000}"/>
    <cellStyle name="40% - Accent5 12 4 2 2" xfId="8684" xr:uid="{00000000-0005-0000-0000-000093470000}"/>
    <cellStyle name="40% - Accent5 12 4 2 2 2" xfId="16654" xr:uid="{00000000-0005-0000-0000-000094470000}"/>
    <cellStyle name="40% - Accent5 12 4 2 2 2 2" xfId="40496" xr:uid="{43EB4B10-6615-4B29-A8AD-B1501BDDA3F4}"/>
    <cellStyle name="40% - Accent5 12 4 2 2 3" xfId="24600" xr:uid="{00000000-0005-0000-0000-000095470000}"/>
    <cellStyle name="40% - Accent5 12 4 2 2 3 2" xfId="48432" xr:uid="{5570FDEF-BE17-4662-B12B-81435FA694CD}"/>
    <cellStyle name="40% - Accent5 12 4 2 2 4" xfId="32555" xr:uid="{123E9076-8BD1-4302-8874-E1C847E1366D}"/>
    <cellStyle name="40% - Accent5 12 4 2 3" xfId="13116" xr:uid="{00000000-0005-0000-0000-000096470000}"/>
    <cellStyle name="40% - Accent5 12 4 2 3 2" xfId="36965" xr:uid="{E3B753DA-DF11-4AB9-BAB2-1FEA73E5D447}"/>
    <cellStyle name="40% - Accent5 12 4 2 4" xfId="21071" xr:uid="{00000000-0005-0000-0000-000097470000}"/>
    <cellStyle name="40% - Accent5 12 4 2 4 2" xfId="44903" xr:uid="{15C49184-5D19-4441-8967-43B9DD662562}"/>
    <cellStyle name="40% - Accent5 12 4 2 5" xfId="29024" xr:uid="{AF805FA0-82FA-4BA6-AF5C-E8E00C766666}"/>
    <cellStyle name="40% - Accent5 12 4 3" xfId="6925" xr:uid="{00000000-0005-0000-0000-000098470000}"/>
    <cellStyle name="40% - Accent5 12 4 3 2" xfId="14896" xr:uid="{00000000-0005-0000-0000-000099470000}"/>
    <cellStyle name="40% - Accent5 12 4 3 2 2" xfId="38738" xr:uid="{FDA672E6-A245-4844-9E05-71553DBF7D6E}"/>
    <cellStyle name="40% - Accent5 12 4 3 3" xfId="22843" xr:uid="{00000000-0005-0000-0000-00009A470000}"/>
    <cellStyle name="40% - Accent5 12 4 3 3 2" xfId="46675" xr:uid="{83A29DAE-B116-4917-8E42-D1AAEA513B32}"/>
    <cellStyle name="40% - Accent5 12 4 3 4" xfId="30797" xr:uid="{63019CA6-086E-4582-84B2-B2BA9D63D9E2}"/>
    <cellStyle name="40% - Accent5 12 4 4" xfId="11360" xr:uid="{00000000-0005-0000-0000-00009B470000}"/>
    <cellStyle name="40% - Accent5 12 4 4 2" xfId="35209" xr:uid="{E93D12BF-5150-4729-BC66-BBF9DE566F2B}"/>
    <cellStyle name="40% - Accent5 12 4 5" xfId="19315" xr:uid="{00000000-0005-0000-0000-00009C470000}"/>
    <cellStyle name="40% - Accent5 12 4 5 2" xfId="43147" xr:uid="{E6C52364-ACEA-4AC2-9552-D795EFC4FE4E}"/>
    <cellStyle name="40% - Accent5 12 4 6" xfId="27267" xr:uid="{44A25FE6-FBFC-45FD-B0C8-C73B53FF9AE0}"/>
    <cellStyle name="40% - Accent5 12 4_Exh G" xfId="3197" xr:uid="{00000000-0005-0000-0000-00009D470000}"/>
    <cellStyle name="40% - Accent5 12 5" xfId="4214" xr:uid="{00000000-0005-0000-0000-00009E470000}"/>
    <cellStyle name="40% - Accent5 12 5 2" xfId="7806" xr:uid="{00000000-0005-0000-0000-00009F470000}"/>
    <cellStyle name="40% - Accent5 12 5 2 2" xfId="15776" xr:uid="{00000000-0005-0000-0000-0000A0470000}"/>
    <cellStyle name="40% - Accent5 12 5 2 2 2" xfId="39618" xr:uid="{C0620690-1B84-4E16-9034-2B2127059F98}"/>
    <cellStyle name="40% - Accent5 12 5 2 3" xfId="23722" xr:uid="{00000000-0005-0000-0000-0000A1470000}"/>
    <cellStyle name="40% - Accent5 12 5 2 3 2" xfId="47554" xr:uid="{E80EFABE-2502-48E5-9E09-E52E098468A8}"/>
    <cellStyle name="40% - Accent5 12 5 2 4" xfId="31677" xr:uid="{FDF800AF-3EF8-4182-A948-C7696B3D9321}"/>
    <cellStyle name="40% - Accent5 12 5 3" xfId="12238" xr:uid="{00000000-0005-0000-0000-0000A2470000}"/>
    <cellStyle name="40% - Accent5 12 5 3 2" xfId="36087" xr:uid="{1575D0D9-9395-4DBB-A178-1D46E4957F79}"/>
    <cellStyle name="40% - Accent5 12 5 4" xfId="20193" xr:uid="{00000000-0005-0000-0000-0000A3470000}"/>
    <cellStyle name="40% - Accent5 12 5 4 2" xfId="44025" xr:uid="{071CC15F-DA8B-4B48-9489-58E12F1EF830}"/>
    <cellStyle name="40% - Accent5 12 5 5" xfId="28146" xr:uid="{0851DB4A-FF5E-4B81-B609-86518CC87D24}"/>
    <cellStyle name="40% - Accent5 12 6" xfId="6034" xr:uid="{00000000-0005-0000-0000-0000A4470000}"/>
    <cellStyle name="40% - Accent5 12 6 2" xfId="14017" xr:uid="{00000000-0005-0000-0000-0000A5470000}"/>
    <cellStyle name="40% - Accent5 12 6 2 2" xfId="37860" xr:uid="{817CA95F-BA25-43F4-9FD3-ED7A880F2562}"/>
    <cellStyle name="40% - Accent5 12 6 3" xfId="21965" xr:uid="{00000000-0005-0000-0000-0000A6470000}"/>
    <cellStyle name="40% - Accent5 12 6 3 2" xfId="45797" xr:uid="{FBC757FA-121C-4D9D-BE66-E6DF28E6397C}"/>
    <cellStyle name="40% - Accent5 12 6 4" xfId="29919" xr:uid="{57342FE7-93A6-4BBA-96A4-5E596EC7D513}"/>
    <cellStyle name="40% - Accent5 12 7" xfId="9586" xr:uid="{00000000-0005-0000-0000-0000A7470000}"/>
    <cellStyle name="40% - Accent5 12 7 2" xfId="17544" xr:uid="{00000000-0005-0000-0000-0000A8470000}"/>
    <cellStyle name="40% - Accent5 12 7 2 2" xfId="41384" xr:uid="{8CE20386-1087-42C1-AECD-28F78149D916}"/>
    <cellStyle name="40% - Accent5 12 7 3" xfId="25488" xr:uid="{00000000-0005-0000-0000-0000A9470000}"/>
    <cellStyle name="40% - Accent5 12 7 3 2" xfId="49320" xr:uid="{8186C7DD-E8FC-48C6-B5AF-6B0B1A764939}"/>
    <cellStyle name="40% - Accent5 12 7 4" xfId="33443" xr:uid="{44CF69A7-E870-4A60-BD3A-AABB83332537}"/>
    <cellStyle name="40% - Accent5 12 8" xfId="10482" xr:uid="{00000000-0005-0000-0000-0000AA470000}"/>
    <cellStyle name="40% - Accent5 12 8 2" xfId="34331" xr:uid="{F707B20E-D59F-4DBA-9EEB-50D5C76CC917}"/>
    <cellStyle name="40% - Accent5 12 9" xfId="18437" xr:uid="{00000000-0005-0000-0000-0000AB470000}"/>
    <cellStyle name="40% - Accent5 12 9 2" xfId="42269" xr:uid="{781823E9-23B2-4B70-ADE7-FC7FC3FC32E1}"/>
    <cellStyle name="40% - Accent5 12_Exh G" xfId="3190" xr:uid="{00000000-0005-0000-0000-0000AC470000}"/>
    <cellStyle name="40% - Accent5 13" xfId="544" xr:uid="{00000000-0005-0000-0000-0000AD470000}"/>
    <cellStyle name="40% - Accent5 13 10" xfId="26393" xr:uid="{BFB301D9-84D3-49E2-AA84-A89CFB907F53}"/>
    <cellStyle name="40% - Accent5 13 2" xfId="545" xr:uid="{00000000-0005-0000-0000-0000AE470000}"/>
    <cellStyle name="40% - Accent5 13 2 2" xfId="546" xr:uid="{00000000-0005-0000-0000-0000AF470000}"/>
    <cellStyle name="40% - Accent5 13 2 2 2" xfId="1572" xr:uid="{00000000-0005-0000-0000-0000B0470000}"/>
    <cellStyle name="40% - Accent5 13 2 2 2 2" xfId="5099" xr:uid="{00000000-0005-0000-0000-0000B1470000}"/>
    <cellStyle name="40% - Accent5 13 2 2 2 2 2" xfId="8690" xr:uid="{00000000-0005-0000-0000-0000B2470000}"/>
    <cellStyle name="40% - Accent5 13 2 2 2 2 2 2" xfId="16660" xr:uid="{00000000-0005-0000-0000-0000B3470000}"/>
    <cellStyle name="40% - Accent5 13 2 2 2 2 2 2 2" xfId="40502" xr:uid="{ADD99BE3-4417-4558-BF14-3C69B12CFA0C}"/>
    <cellStyle name="40% - Accent5 13 2 2 2 2 2 3" xfId="24606" xr:uid="{00000000-0005-0000-0000-0000B4470000}"/>
    <cellStyle name="40% - Accent5 13 2 2 2 2 2 3 2" xfId="48438" xr:uid="{06ED0A8B-DBF2-468C-AF42-5EFA471104DA}"/>
    <cellStyle name="40% - Accent5 13 2 2 2 2 2 4" xfId="32561" xr:uid="{8CEF3F59-55B6-4BF3-BD03-ABC9CAC0E524}"/>
    <cellStyle name="40% - Accent5 13 2 2 2 2 3" xfId="13122" xr:uid="{00000000-0005-0000-0000-0000B5470000}"/>
    <cellStyle name="40% - Accent5 13 2 2 2 2 3 2" xfId="36971" xr:uid="{486EFBD5-D674-4079-A87D-2E5020EE72F4}"/>
    <cellStyle name="40% - Accent5 13 2 2 2 2 4" xfId="21077" xr:uid="{00000000-0005-0000-0000-0000B6470000}"/>
    <cellStyle name="40% - Accent5 13 2 2 2 2 4 2" xfId="44909" xr:uid="{BCFFEDB4-B936-46C1-AE1A-86701D1B3ADF}"/>
    <cellStyle name="40% - Accent5 13 2 2 2 2 5" xfId="29030" xr:uid="{A0DC2768-17F4-4B5A-848C-C56A53A30F97}"/>
    <cellStyle name="40% - Accent5 13 2 2 2 3" xfId="6931" xr:uid="{00000000-0005-0000-0000-0000B7470000}"/>
    <cellStyle name="40% - Accent5 13 2 2 2 3 2" xfId="14902" xr:uid="{00000000-0005-0000-0000-0000B8470000}"/>
    <cellStyle name="40% - Accent5 13 2 2 2 3 2 2" xfId="38744" xr:uid="{6F09708C-BC92-4045-9C3A-39F064AAAEE9}"/>
    <cellStyle name="40% - Accent5 13 2 2 2 3 3" xfId="22849" xr:uid="{00000000-0005-0000-0000-0000B9470000}"/>
    <cellStyle name="40% - Accent5 13 2 2 2 3 3 2" xfId="46681" xr:uid="{C603E46C-C56F-4639-BF83-35F0BAEECDA5}"/>
    <cellStyle name="40% - Accent5 13 2 2 2 3 4" xfId="30803" xr:uid="{90DA003A-F8B2-4E11-AF47-ABEEE0D9317A}"/>
    <cellStyle name="40% - Accent5 13 2 2 2 4" xfId="11366" xr:uid="{00000000-0005-0000-0000-0000BA470000}"/>
    <cellStyle name="40% - Accent5 13 2 2 2 4 2" xfId="35215" xr:uid="{5F4C4FE9-60D7-4A39-A644-20812BFB013D}"/>
    <cellStyle name="40% - Accent5 13 2 2 2 5" xfId="19321" xr:uid="{00000000-0005-0000-0000-0000BB470000}"/>
    <cellStyle name="40% - Accent5 13 2 2 2 5 2" xfId="43153" xr:uid="{FF028250-AEC2-41A7-AA36-7D447EAA1372}"/>
    <cellStyle name="40% - Accent5 13 2 2 2 6" xfId="27273" xr:uid="{B187467A-EF16-4D6E-B7BA-72048B9F8252}"/>
    <cellStyle name="40% - Accent5 13 2 2 2_Exh G" xfId="3201" xr:uid="{00000000-0005-0000-0000-0000BC470000}"/>
    <cellStyle name="40% - Accent5 13 2 2 3" xfId="4220" xr:uid="{00000000-0005-0000-0000-0000BD470000}"/>
    <cellStyle name="40% - Accent5 13 2 2 3 2" xfId="7812" xr:uid="{00000000-0005-0000-0000-0000BE470000}"/>
    <cellStyle name="40% - Accent5 13 2 2 3 2 2" xfId="15782" xr:uid="{00000000-0005-0000-0000-0000BF470000}"/>
    <cellStyle name="40% - Accent5 13 2 2 3 2 2 2" xfId="39624" xr:uid="{2961AF7C-DF08-44C6-BFDB-1EC9C1909EB9}"/>
    <cellStyle name="40% - Accent5 13 2 2 3 2 3" xfId="23728" xr:uid="{00000000-0005-0000-0000-0000C0470000}"/>
    <cellStyle name="40% - Accent5 13 2 2 3 2 3 2" xfId="47560" xr:uid="{656475EF-B078-4F10-A58B-3C6AF88C2B69}"/>
    <cellStyle name="40% - Accent5 13 2 2 3 2 4" xfId="31683" xr:uid="{C025F7FC-C4B1-497E-95D7-8E7312ED8005}"/>
    <cellStyle name="40% - Accent5 13 2 2 3 3" xfId="12244" xr:uid="{00000000-0005-0000-0000-0000C1470000}"/>
    <cellStyle name="40% - Accent5 13 2 2 3 3 2" xfId="36093" xr:uid="{352B227D-7B44-4E6B-B3B8-52CDA1118DD6}"/>
    <cellStyle name="40% - Accent5 13 2 2 3 4" xfId="20199" xr:uid="{00000000-0005-0000-0000-0000C2470000}"/>
    <cellStyle name="40% - Accent5 13 2 2 3 4 2" xfId="44031" xr:uid="{C64DAFA0-C849-40A1-A939-82772CCF0019}"/>
    <cellStyle name="40% - Accent5 13 2 2 3 5" xfId="28152" xr:uid="{19B2F137-324C-41B4-884C-EFE4377932EF}"/>
    <cellStyle name="40% - Accent5 13 2 2 4" xfId="6040" xr:uid="{00000000-0005-0000-0000-0000C3470000}"/>
    <cellStyle name="40% - Accent5 13 2 2 4 2" xfId="14023" xr:uid="{00000000-0005-0000-0000-0000C4470000}"/>
    <cellStyle name="40% - Accent5 13 2 2 4 2 2" xfId="37866" xr:uid="{D7902EC4-8930-4047-83EB-204769C45F81}"/>
    <cellStyle name="40% - Accent5 13 2 2 4 3" xfId="21971" xr:uid="{00000000-0005-0000-0000-0000C5470000}"/>
    <cellStyle name="40% - Accent5 13 2 2 4 3 2" xfId="45803" xr:uid="{0F01B63D-1D86-4081-A61D-D8E472367AB5}"/>
    <cellStyle name="40% - Accent5 13 2 2 4 4" xfId="29925" xr:uid="{4A3A4C49-510F-47A0-8A07-B4D2A5FD7250}"/>
    <cellStyle name="40% - Accent5 13 2 2 5" xfId="9592" xr:uid="{00000000-0005-0000-0000-0000C6470000}"/>
    <cellStyle name="40% - Accent5 13 2 2 5 2" xfId="17550" xr:uid="{00000000-0005-0000-0000-0000C7470000}"/>
    <cellStyle name="40% - Accent5 13 2 2 5 2 2" xfId="41390" xr:uid="{5621A833-15F4-4B3D-8A23-B056BF50A8F5}"/>
    <cellStyle name="40% - Accent5 13 2 2 5 3" xfId="25494" xr:uid="{00000000-0005-0000-0000-0000C8470000}"/>
    <cellStyle name="40% - Accent5 13 2 2 5 3 2" xfId="49326" xr:uid="{5FE13412-2CD3-4E83-A852-17F72496A0AC}"/>
    <cellStyle name="40% - Accent5 13 2 2 5 4" xfId="33449" xr:uid="{D3BF3740-6E51-4255-8E3E-4BC38D89472D}"/>
    <cellStyle name="40% - Accent5 13 2 2 6" xfId="10488" xr:uid="{00000000-0005-0000-0000-0000C9470000}"/>
    <cellStyle name="40% - Accent5 13 2 2 6 2" xfId="34337" xr:uid="{598B8187-1FE7-4A87-A3B6-3FCEFAA600FD}"/>
    <cellStyle name="40% - Accent5 13 2 2 7" xfId="18443" xr:uid="{00000000-0005-0000-0000-0000CA470000}"/>
    <cellStyle name="40% - Accent5 13 2 2 7 2" xfId="42275" xr:uid="{D6617115-EBCF-44D8-9314-BF32A0FBCB29}"/>
    <cellStyle name="40% - Accent5 13 2 2 8" xfId="26395" xr:uid="{548F97CB-13D7-4F3B-A7BE-CE3296C80AF3}"/>
    <cellStyle name="40% - Accent5 13 2 2_Exh G" xfId="3200" xr:uid="{00000000-0005-0000-0000-0000CB470000}"/>
    <cellStyle name="40% - Accent5 13 2 3" xfId="1571" xr:uid="{00000000-0005-0000-0000-0000CC470000}"/>
    <cellStyle name="40% - Accent5 13 2 3 2" xfId="5098" xr:uid="{00000000-0005-0000-0000-0000CD470000}"/>
    <cellStyle name="40% - Accent5 13 2 3 2 2" xfId="8689" xr:uid="{00000000-0005-0000-0000-0000CE470000}"/>
    <cellStyle name="40% - Accent5 13 2 3 2 2 2" xfId="16659" xr:uid="{00000000-0005-0000-0000-0000CF470000}"/>
    <cellStyle name="40% - Accent5 13 2 3 2 2 2 2" xfId="40501" xr:uid="{D11BB89F-B79A-4496-AAF4-FA950DE53675}"/>
    <cellStyle name="40% - Accent5 13 2 3 2 2 3" xfId="24605" xr:uid="{00000000-0005-0000-0000-0000D0470000}"/>
    <cellStyle name="40% - Accent5 13 2 3 2 2 3 2" xfId="48437" xr:uid="{EFB148E1-ACCB-4C7D-A7A4-39A5C5F54231}"/>
    <cellStyle name="40% - Accent5 13 2 3 2 2 4" xfId="32560" xr:uid="{C939BB9E-8706-40F1-938E-0FB881A8DAF7}"/>
    <cellStyle name="40% - Accent5 13 2 3 2 3" xfId="13121" xr:uid="{00000000-0005-0000-0000-0000D1470000}"/>
    <cellStyle name="40% - Accent5 13 2 3 2 3 2" xfId="36970" xr:uid="{1D8A46C4-53F6-435F-BD2B-945E813BE6DE}"/>
    <cellStyle name="40% - Accent5 13 2 3 2 4" xfId="21076" xr:uid="{00000000-0005-0000-0000-0000D2470000}"/>
    <cellStyle name="40% - Accent5 13 2 3 2 4 2" xfId="44908" xr:uid="{2E145F5F-A099-4859-931E-D9E273C6659E}"/>
    <cellStyle name="40% - Accent5 13 2 3 2 5" xfId="29029" xr:uid="{15438D8A-9786-40D5-8FF2-DD6E133B45D2}"/>
    <cellStyle name="40% - Accent5 13 2 3 3" xfId="6930" xr:uid="{00000000-0005-0000-0000-0000D3470000}"/>
    <cellStyle name="40% - Accent5 13 2 3 3 2" xfId="14901" xr:uid="{00000000-0005-0000-0000-0000D4470000}"/>
    <cellStyle name="40% - Accent5 13 2 3 3 2 2" xfId="38743" xr:uid="{9D41F908-6334-4FC7-98E6-9FA02B95E22A}"/>
    <cellStyle name="40% - Accent5 13 2 3 3 3" xfId="22848" xr:uid="{00000000-0005-0000-0000-0000D5470000}"/>
    <cellStyle name="40% - Accent5 13 2 3 3 3 2" xfId="46680" xr:uid="{4A85D395-1EDC-40A3-A180-5D1BB28060F8}"/>
    <cellStyle name="40% - Accent5 13 2 3 3 4" xfId="30802" xr:uid="{1165B577-B527-4A42-9982-D3727AC333A4}"/>
    <cellStyle name="40% - Accent5 13 2 3 4" xfId="11365" xr:uid="{00000000-0005-0000-0000-0000D6470000}"/>
    <cellStyle name="40% - Accent5 13 2 3 4 2" xfId="35214" xr:uid="{5368B034-111D-4EEF-A751-1C5BEACD0BF8}"/>
    <cellStyle name="40% - Accent5 13 2 3 5" xfId="19320" xr:uid="{00000000-0005-0000-0000-0000D7470000}"/>
    <cellStyle name="40% - Accent5 13 2 3 5 2" xfId="43152" xr:uid="{78F11AB5-EFCD-4FB2-88BC-3522C2B29641}"/>
    <cellStyle name="40% - Accent5 13 2 3 6" xfId="27272" xr:uid="{1AB7B175-5585-4011-BB3F-209C22BB0D0E}"/>
    <cellStyle name="40% - Accent5 13 2 3_Exh G" xfId="3202" xr:uid="{00000000-0005-0000-0000-0000D8470000}"/>
    <cellStyle name="40% - Accent5 13 2 4" xfId="4219" xr:uid="{00000000-0005-0000-0000-0000D9470000}"/>
    <cellStyle name="40% - Accent5 13 2 4 2" xfId="7811" xr:uid="{00000000-0005-0000-0000-0000DA470000}"/>
    <cellStyle name="40% - Accent5 13 2 4 2 2" xfId="15781" xr:uid="{00000000-0005-0000-0000-0000DB470000}"/>
    <cellStyle name="40% - Accent5 13 2 4 2 2 2" xfId="39623" xr:uid="{3DF3C94D-D70C-4ADD-9EAE-EA80A41E7EF6}"/>
    <cellStyle name="40% - Accent5 13 2 4 2 3" xfId="23727" xr:uid="{00000000-0005-0000-0000-0000DC470000}"/>
    <cellStyle name="40% - Accent5 13 2 4 2 3 2" xfId="47559" xr:uid="{CB18DCB1-E1CF-4B24-8F64-9296357B5868}"/>
    <cellStyle name="40% - Accent5 13 2 4 2 4" xfId="31682" xr:uid="{B06901F6-74E7-4198-8E3E-E2B2BE74273B}"/>
    <cellStyle name="40% - Accent5 13 2 4 3" xfId="12243" xr:uid="{00000000-0005-0000-0000-0000DD470000}"/>
    <cellStyle name="40% - Accent5 13 2 4 3 2" xfId="36092" xr:uid="{F7E53F64-FB34-45E3-8CFE-BFDBF24F2ABA}"/>
    <cellStyle name="40% - Accent5 13 2 4 4" xfId="20198" xr:uid="{00000000-0005-0000-0000-0000DE470000}"/>
    <cellStyle name="40% - Accent5 13 2 4 4 2" xfId="44030" xr:uid="{7B841145-33D6-476D-ACA5-AF85CC213532}"/>
    <cellStyle name="40% - Accent5 13 2 4 5" xfId="28151" xr:uid="{9DA3E369-7B99-46EE-9D8E-5908ABF57F56}"/>
    <cellStyle name="40% - Accent5 13 2 5" xfId="6039" xr:uid="{00000000-0005-0000-0000-0000DF470000}"/>
    <cellStyle name="40% - Accent5 13 2 5 2" xfId="14022" xr:uid="{00000000-0005-0000-0000-0000E0470000}"/>
    <cellStyle name="40% - Accent5 13 2 5 2 2" xfId="37865" xr:uid="{06080BC1-3529-4A87-90E8-28AAD4C9958D}"/>
    <cellStyle name="40% - Accent5 13 2 5 3" xfId="21970" xr:uid="{00000000-0005-0000-0000-0000E1470000}"/>
    <cellStyle name="40% - Accent5 13 2 5 3 2" xfId="45802" xr:uid="{7279CFB6-FB6B-4C63-9C31-A9E7BAD6B9D0}"/>
    <cellStyle name="40% - Accent5 13 2 5 4" xfId="29924" xr:uid="{085E9E05-1659-4FFA-94A7-347F89A7D304}"/>
    <cellStyle name="40% - Accent5 13 2 6" xfId="9591" xr:uid="{00000000-0005-0000-0000-0000E2470000}"/>
    <cellStyle name="40% - Accent5 13 2 6 2" xfId="17549" xr:uid="{00000000-0005-0000-0000-0000E3470000}"/>
    <cellStyle name="40% - Accent5 13 2 6 2 2" xfId="41389" xr:uid="{6EC8A234-8CAC-4592-B14C-343D15C1A58A}"/>
    <cellStyle name="40% - Accent5 13 2 6 3" xfId="25493" xr:uid="{00000000-0005-0000-0000-0000E4470000}"/>
    <cellStyle name="40% - Accent5 13 2 6 3 2" xfId="49325" xr:uid="{F66568D8-2016-4925-9A87-232D21E7C7D4}"/>
    <cellStyle name="40% - Accent5 13 2 6 4" xfId="33448" xr:uid="{254B46CC-098A-4893-B032-903897FB8B06}"/>
    <cellStyle name="40% - Accent5 13 2 7" xfId="10487" xr:uid="{00000000-0005-0000-0000-0000E5470000}"/>
    <cellStyle name="40% - Accent5 13 2 7 2" xfId="34336" xr:uid="{3F7DB59C-BE81-4723-B0FF-9B1C12453892}"/>
    <cellStyle name="40% - Accent5 13 2 8" xfId="18442" xr:uid="{00000000-0005-0000-0000-0000E6470000}"/>
    <cellStyle name="40% - Accent5 13 2 8 2" xfId="42274" xr:uid="{F7DCA92E-103F-45DF-9157-E89E99A70C3C}"/>
    <cellStyle name="40% - Accent5 13 2 9" xfId="26394" xr:uid="{B7EAC5AE-15BE-4127-B9DC-537891DA2852}"/>
    <cellStyle name="40% - Accent5 13 2_Exh G" xfId="3199" xr:uid="{00000000-0005-0000-0000-0000E7470000}"/>
    <cellStyle name="40% - Accent5 13 3" xfId="547" xr:uid="{00000000-0005-0000-0000-0000E8470000}"/>
    <cellStyle name="40% - Accent5 13 3 2" xfId="1573" xr:uid="{00000000-0005-0000-0000-0000E9470000}"/>
    <cellStyle name="40% - Accent5 13 3 2 2" xfId="5100" xr:uid="{00000000-0005-0000-0000-0000EA470000}"/>
    <cellStyle name="40% - Accent5 13 3 2 2 2" xfId="8691" xr:uid="{00000000-0005-0000-0000-0000EB470000}"/>
    <cellStyle name="40% - Accent5 13 3 2 2 2 2" xfId="16661" xr:uid="{00000000-0005-0000-0000-0000EC470000}"/>
    <cellStyle name="40% - Accent5 13 3 2 2 2 2 2" xfId="40503" xr:uid="{E33F46B7-B20C-442F-8AE1-83AA6B5A7372}"/>
    <cellStyle name="40% - Accent5 13 3 2 2 2 3" xfId="24607" xr:uid="{00000000-0005-0000-0000-0000ED470000}"/>
    <cellStyle name="40% - Accent5 13 3 2 2 2 3 2" xfId="48439" xr:uid="{0E6BCEF9-A5D3-499D-87D6-43F6EDB486C3}"/>
    <cellStyle name="40% - Accent5 13 3 2 2 2 4" xfId="32562" xr:uid="{FDACDFF1-F128-4B2F-8EFD-FE01E477591E}"/>
    <cellStyle name="40% - Accent5 13 3 2 2 3" xfId="13123" xr:uid="{00000000-0005-0000-0000-0000EE470000}"/>
    <cellStyle name="40% - Accent5 13 3 2 2 3 2" xfId="36972" xr:uid="{87AC4B9D-4315-4C23-B14C-BE7A6453DCF4}"/>
    <cellStyle name="40% - Accent5 13 3 2 2 4" xfId="21078" xr:uid="{00000000-0005-0000-0000-0000EF470000}"/>
    <cellStyle name="40% - Accent5 13 3 2 2 4 2" xfId="44910" xr:uid="{6D184E13-7C15-459E-9C84-65FBDAEE9208}"/>
    <cellStyle name="40% - Accent5 13 3 2 2 5" xfId="29031" xr:uid="{6BD4D913-8378-4298-B7E4-D3883A3E4B9D}"/>
    <cellStyle name="40% - Accent5 13 3 2 3" xfId="6932" xr:uid="{00000000-0005-0000-0000-0000F0470000}"/>
    <cellStyle name="40% - Accent5 13 3 2 3 2" xfId="14903" xr:uid="{00000000-0005-0000-0000-0000F1470000}"/>
    <cellStyle name="40% - Accent5 13 3 2 3 2 2" xfId="38745" xr:uid="{C7CC1FE3-F08E-4AF9-AF35-A27D0564B065}"/>
    <cellStyle name="40% - Accent5 13 3 2 3 3" xfId="22850" xr:uid="{00000000-0005-0000-0000-0000F2470000}"/>
    <cellStyle name="40% - Accent5 13 3 2 3 3 2" xfId="46682" xr:uid="{88E72F4B-A692-4895-B2C0-2F16108A0ED8}"/>
    <cellStyle name="40% - Accent5 13 3 2 3 4" xfId="30804" xr:uid="{C45C040C-EBC6-4D4C-B3ED-B97645E3B548}"/>
    <cellStyle name="40% - Accent5 13 3 2 4" xfId="11367" xr:uid="{00000000-0005-0000-0000-0000F3470000}"/>
    <cellStyle name="40% - Accent5 13 3 2 4 2" xfId="35216" xr:uid="{1E519BC6-5221-4A1A-B493-B3A1F681E561}"/>
    <cellStyle name="40% - Accent5 13 3 2 5" xfId="19322" xr:uid="{00000000-0005-0000-0000-0000F4470000}"/>
    <cellStyle name="40% - Accent5 13 3 2 5 2" xfId="43154" xr:uid="{8827940A-EF11-48F6-9A3B-831D5F62DB8B}"/>
    <cellStyle name="40% - Accent5 13 3 2 6" xfId="27274" xr:uid="{16CC7AD7-4C1C-4960-980E-F89D458ABE5B}"/>
    <cellStyle name="40% - Accent5 13 3 2_Exh G" xfId="3204" xr:uid="{00000000-0005-0000-0000-0000F5470000}"/>
    <cellStyle name="40% - Accent5 13 3 3" xfId="4221" xr:uid="{00000000-0005-0000-0000-0000F6470000}"/>
    <cellStyle name="40% - Accent5 13 3 3 2" xfId="7813" xr:uid="{00000000-0005-0000-0000-0000F7470000}"/>
    <cellStyle name="40% - Accent5 13 3 3 2 2" xfId="15783" xr:uid="{00000000-0005-0000-0000-0000F8470000}"/>
    <cellStyle name="40% - Accent5 13 3 3 2 2 2" xfId="39625" xr:uid="{12A07E43-D683-4617-9979-CB2E16F07D69}"/>
    <cellStyle name="40% - Accent5 13 3 3 2 3" xfId="23729" xr:uid="{00000000-0005-0000-0000-0000F9470000}"/>
    <cellStyle name="40% - Accent5 13 3 3 2 3 2" xfId="47561" xr:uid="{CE7C1DD7-788F-4CC5-90C7-550AA04BAB3C}"/>
    <cellStyle name="40% - Accent5 13 3 3 2 4" xfId="31684" xr:uid="{755C46B8-7FED-41C9-BC5F-7EAAE35FF261}"/>
    <cellStyle name="40% - Accent5 13 3 3 3" xfId="12245" xr:uid="{00000000-0005-0000-0000-0000FA470000}"/>
    <cellStyle name="40% - Accent5 13 3 3 3 2" xfId="36094" xr:uid="{F0309F37-FC9F-4FA9-BC52-7EE8E309CAD9}"/>
    <cellStyle name="40% - Accent5 13 3 3 4" xfId="20200" xr:uid="{00000000-0005-0000-0000-0000FB470000}"/>
    <cellStyle name="40% - Accent5 13 3 3 4 2" xfId="44032" xr:uid="{FDC16BD7-D62E-45FF-B1C0-66F6A2331CC6}"/>
    <cellStyle name="40% - Accent5 13 3 3 5" xfId="28153" xr:uid="{510BBAA8-C01B-4799-8B05-D3A17141481C}"/>
    <cellStyle name="40% - Accent5 13 3 4" xfId="6041" xr:uid="{00000000-0005-0000-0000-0000FC470000}"/>
    <cellStyle name="40% - Accent5 13 3 4 2" xfId="14024" xr:uid="{00000000-0005-0000-0000-0000FD470000}"/>
    <cellStyle name="40% - Accent5 13 3 4 2 2" xfId="37867" xr:uid="{C58DB04D-0DD6-4AC1-BFCF-21B250F529A3}"/>
    <cellStyle name="40% - Accent5 13 3 4 3" xfId="21972" xr:uid="{00000000-0005-0000-0000-0000FE470000}"/>
    <cellStyle name="40% - Accent5 13 3 4 3 2" xfId="45804" xr:uid="{E501C25C-771E-4540-8FE2-B8FEB6BF28EB}"/>
    <cellStyle name="40% - Accent5 13 3 4 4" xfId="29926" xr:uid="{2C00396C-6888-46A2-BD13-CBBFBCF58F9B}"/>
    <cellStyle name="40% - Accent5 13 3 5" xfId="9593" xr:uid="{00000000-0005-0000-0000-0000FF470000}"/>
    <cellStyle name="40% - Accent5 13 3 5 2" xfId="17551" xr:uid="{00000000-0005-0000-0000-000000480000}"/>
    <cellStyle name="40% - Accent5 13 3 5 2 2" xfId="41391" xr:uid="{A7B0B5AD-F666-4415-B469-B008F65550B7}"/>
    <cellStyle name="40% - Accent5 13 3 5 3" xfId="25495" xr:uid="{00000000-0005-0000-0000-000001480000}"/>
    <cellStyle name="40% - Accent5 13 3 5 3 2" xfId="49327" xr:uid="{0C2CFA7E-61BD-4AFA-9EF2-3551083455DB}"/>
    <cellStyle name="40% - Accent5 13 3 5 4" xfId="33450" xr:uid="{EA00F89A-3925-4CE7-84CC-542132AA7311}"/>
    <cellStyle name="40% - Accent5 13 3 6" xfId="10489" xr:uid="{00000000-0005-0000-0000-000002480000}"/>
    <cellStyle name="40% - Accent5 13 3 6 2" xfId="34338" xr:uid="{8C04ED57-BD05-4A34-B7EB-154715C27E81}"/>
    <cellStyle name="40% - Accent5 13 3 7" xfId="18444" xr:uid="{00000000-0005-0000-0000-000003480000}"/>
    <cellStyle name="40% - Accent5 13 3 7 2" xfId="42276" xr:uid="{68ADCD49-ED40-498F-BFDD-E9619CFDA3CF}"/>
    <cellStyle name="40% - Accent5 13 3 8" xfId="26396" xr:uid="{5F74B6ED-9755-40F1-8C59-2E1F45D93D1C}"/>
    <cellStyle name="40% - Accent5 13 3_Exh G" xfId="3203" xr:uid="{00000000-0005-0000-0000-000004480000}"/>
    <cellStyle name="40% - Accent5 13 4" xfId="1570" xr:uid="{00000000-0005-0000-0000-000005480000}"/>
    <cellStyle name="40% - Accent5 13 4 2" xfId="5097" xr:uid="{00000000-0005-0000-0000-000006480000}"/>
    <cellStyle name="40% - Accent5 13 4 2 2" xfId="8688" xr:uid="{00000000-0005-0000-0000-000007480000}"/>
    <cellStyle name="40% - Accent5 13 4 2 2 2" xfId="16658" xr:uid="{00000000-0005-0000-0000-000008480000}"/>
    <cellStyle name="40% - Accent5 13 4 2 2 2 2" xfId="40500" xr:uid="{6026485B-11D8-4260-812D-D950AF43F160}"/>
    <cellStyle name="40% - Accent5 13 4 2 2 3" xfId="24604" xr:uid="{00000000-0005-0000-0000-000009480000}"/>
    <cellStyle name="40% - Accent5 13 4 2 2 3 2" xfId="48436" xr:uid="{0D346858-43A5-4DB2-A08B-B35B7F496FEF}"/>
    <cellStyle name="40% - Accent5 13 4 2 2 4" xfId="32559" xr:uid="{381CF093-EC99-43FE-AAEF-4450EDDF3FCF}"/>
    <cellStyle name="40% - Accent5 13 4 2 3" xfId="13120" xr:uid="{00000000-0005-0000-0000-00000A480000}"/>
    <cellStyle name="40% - Accent5 13 4 2 3 2" xfId="36969" xr:uid="{B0D43B69-E60F-4BC6-92DF-6F7C505B6A47}"/>
    <cellStyle name="40% - Accent5 13 4 2 4" xfId="21075" xr:uid="{00000000-0005-0000-0000-00000B480000}"/>
    <cellStyle name="40% - Accent5 13 4 2 4 2" xfId="44907" xr:uid="{77A31E92-3872-4177-A2A3-1836D1043D93}"/>
    <cellStyle name="40% - Accent5 13 4 2 5" xfId="29028" xr:uid="{599EEA5B-FC48-46B9-9F4D-80271469FFCB}"/>
    <cellStyle name="40% - Accent5 13 4 3" xfId="6929" xr:uid="{00000000-0005-0000-0000-00000C480000}"/>
    <cellStyle name="40% - Accent5 13 4 3 2" xfId="14900" xr:uid="{00000000-0005-0000-0000-00000D480000}"/>
    <cellStyle name="40% - Accent5 13 4 3 2 2" xfId="38742" xr:uid="{EA628DBD-0D6D-417E-A536-5F88A8496FA0}"/>
    <cellStyle name="40% - Accent5 13 4 3 3" xfId="22847" xr:uid="{00000000-0005-0000-0000-00000E480000}"/>
    <cellStyle name="40% - Accent5 13 4 3 3 2" xfId="46679" xr:uid="{5A85FFF4-B580-46CE-AC82-979AF678E672}"/>
    <cellStyle name="40% - Accent5 13 4 3 4" xfId="30801" xr:uid="{532EE7FE-AC52-4184-8E01-1D81B9BEDEFB}"/>
    <cellStyle name="40% - Accent5 13 4 4" xfId="11364" xr:uid="{00000000-0005-0000-0000-00000F480000}"/>
    <cellStyle name="40% - Accent5 13 4 4 2" xfId="35213" xr:uid="{8657837F-F041-4D39-8461-E3DC4768D88E}"/>
    <cellStyle name="40% - Accent5 13 4 5" xfId="19319" xr:uid="{00000000-0005-0000-0000-000010480000}"/>
    <cellStyle name="40% - Accent5 13 4 5 2" xfId="43151" xr:uid="{6AFFD67B-DB67-4A66-B0C3-907124CB4723}"/>
    <cellStyle name="40% - Accent5 13 4 6" xfId="27271" xr:uid="{0D97A5A7-4B63-44DA-860E-2739D48FAE26}"/>
    <cellStyle name="40% - Accent5 13 4_Exh G" xfId="3205" xr:uid="{00000000-0005-0000-0000-000011480000}"/>
    <cellStyle name="40% - Accent5 13 5" xfId="4218" xr:uid="{00000000-0005-0000-0000-000012480000}"/>
    <cellStyle name="40% - Accent5 13 5 2" xfId="7810" xr:uid="{00000000-0005-0000-0000-000013480000}"/>
    <cellStyle name="40% - Accent5 13 5 2 2" xfId="15780" xr:uid="{00000000-0005-0000-0000-000014480000}"/>
    <cellStyle name="40% - Accent5 13 5 2 2 2" xfId="39622" xr:uid="{2F0EB797-71C4-472D-B3EB-9E607ECAB22F}"/>
    <cellStyle name="40% - Accent5 13 5 2 3" xfId="23726" xr:uid="{00000000-0005-0000-0000-000015480000}"/>
    <cellStyle name="40% - Accent5 13 5 2 3 2" xfId="47558" xr:uid="{9ECDF7B1-5AFC-4D52-8A53-5EB9C02AF5DC}"/>
    <cellStyle name="40% - Accent5 13 5 2 4" xfId="31681" xr:uid="{795F9026-2E26-40D7-AF90-EDD0B149F57B}"/>
    <cellStyle name="40% - Accent5 13 5 3" xfId="12242" xr:uid="{00000000-0005-0000-0000-000016480000}"/>
    <cellStyle name="40% - Accent5 13 5 3 2" xfId="36091" xr:uid="{BD107BCF-78EB-4A9C-855E-4B6965849B86}"/>
    <cellStyle name="40% - Accent5 13 5 4" xfId="20197" xr:uid="{00000000-0005-0000-0000-000017480000}"/>
    <cellStyle name="40% - Accent5 13 5 4 2" xfId="44029" xr:uid="{9D0D3D16-E100-437B-8EA2-CB59DD372DBA}"/>
    <cellStyle name="40% - Accent5 13 5 5" xfId="28150" xr:uid="{B9CCC364-0687-40A5-8237-185A7F9E5154}"/>
    <cellStyle name="40% - Accent5 13 6" xfId="6038" xr:uid="{00000000-0005-0000-0000-000018480000}"/>
    <cellStyle name="40% - Accent5 13 6 2" xfId="14021" xr:uid="{00000000-0005-0000-0000-000019480000}"/>
    <cellStyle name="40% - Accent5 13 6 2 2" xfId="37864" xr:uid="{507465C1-4B05-4DC6-A3AA-9983DC9309ED}"/>
    <cellStyle name="40% - Accent5 13 6 3" xfId="21969" xr:uid="{00000000-0005-0000-0000-00001A480000}"/>
    <cellStyle name="40% - Accent5 13 6 3 2" xfId="45801" xr:uid="{6FD98AF1-1140-45BD-908E-C4990F34756C}"/>
    <cellStyle name="40% - Accent5 13 6 4" xfId="29923" xr:uid="{84D79516-36DD-461D-9B48-7096C2E163DF}"/>
    <cellStyle name="40% - Accent5 13 7" xfId="9590" xr:uid="{00000000-0005-0000-0000-00001B480000}"/>
    <cellStyle name="40% - Accent5 13 7 2" xfId="17548" xr:uid="{00000000-0005-0000-0000-00001C480000}"/>
    <cellStyle name="40% - Accent5 13 7 2 2" xfId="41388" xr:uid="{9A6967E7-DC0F-47E9-A251-4432B997DA21}"/>
    <cellStyle name="40% - Accent5 13 7 3" xfId="25492" xr:uid="{00000000-0005-0000-0000-00001D480000}"/>
    <cellStyle name="40% - Accent5 13 7 3 2" xfId="49324" xr:uid="{3D90CEC4-618B-4BB4-9A13-438AA28A5D7E}"/>
    <cellStyle name="40% - Accent5 13 7 4" xfId="33447" xr:uid="{2EE329E5-9D49-4C5F-839D-46C9AC3DEAB8}"/>
    <cellStyle name="40% - Accent5 13 8" xfId="10486" xr:uid="{00000000-0005-0000-0000-00001E480000}"/>
    <cellStyle name="40% - Accent5 13 8 2" xfId="34335" xr:uid="{9A174B23-B4A5-4FB8-B59E-5B7CE3B66A6D}"/>
    <cellStyle name="40% - Accent5 13 9" xfId="18441" xr:uid="{00000000-0005-0000-0000-00001F480000}"/>
    <cellStyle name="40% - Accent5 13 9 2" xfId="42273" xr:uid="{54937CD3-2720-417F-BB62-6955966C69A6}"/>
    <cellStyle name="40% - Accent5 13_Exh G" xfId="3198" xr:uid="{00000000-0005-0000-0000-000020480000}"/>
    <cellStyle name="40% - Accent5 14" xfId="548" xr:uid="{00000000-0005-0000-0000-000021480000}"/>
    <cellStyle name="40% - Accent5 14 2" xfId="549" xr:uid="{00000000-0005-0000-0000-000022480000}"/>
    <cellStyle name="40% - Accent5 14 2 2" xfId="1575" xr:uid="{00000000-0005-0000-0000-000023480000}"/>
    <cellStyle name="40% - Accent5 14 2 2 2" xfId="5102" xr:uid="{00000000-0005-0000-0000-000024480000}"/>
    <cellStyle name="40% - Accent5 14 2 2 2 2" xfId="8693" xr:uid="{00000000-0005-0000-0000-000025480000}"/>
    <cellStyle name="40% - Accent5 14 2 2 2 2 2" xfId="16663" xr:uid="{00000000-0005-0000-0000-000026480000}"/>
    <cellStyle name="40% - Accent5 14 2 2 2 2 2 2" xfId="40505" xr:uid="{A87DA275-A6FD-477D-AA34-663F87A82386}"/>
    <cellStyle name="40% - Accent5 14 2 2 2 2 3" xfId="24609" xr:uid="{00000000-0005-0000-0000-000027480000}"/>
    <cellStyle name="40% - Accent5 14 2 2 2 2 3 2" xfId="48441" xr:uid="{86FF2831-04C1-491B-8579-E592E921A987}"/>
    <cellStyle name="40% - Accent5 14 2 2 2 2 4" xfId="32564" xr:uid="{B4624719-D5AE-495A-91E8-64D22B73AF10}"/>
    <cellStyle name="40% - Accent5 14 2 2 2 3" xfId="13125" xr:uid="{00000000-0005-0000-0000-000028480000}"/>
    <cellStyle name="40% - Accent5 14 2 2 2 3 2" xfId="36974" xr:uid="{24EA8D00-284C-4419-9FA5-9BB268D091F9}"/>
    <cellStyle name="40% - Accent5 14 2 2 2 4" xfId="21080" xr:uid="{00000000-0005-0000-0000-000029480000}"/>
    <cellStyle name="40% - Accent5 14 2 2 2 4 2" xfId="44912" xr:uid="{023EAF22-065C-45FA-A99E-EFEEF4A10E8E}"/>
    <cellStyle name="40% - Accent5 14 2 2 2 5" xfId="29033" xr:uid="{7CFEB8A0-3BBC-482A-AFB0-0CCE69476C79}"/>
    <cellStyle name="40% - Accent5 14 2 2 3" xfId="6934" xr:uid="{00000000-0005-0000-0000-00002A480000}"/>
    <cellStyle name="40% - Accent5 14 2 2 3 2" xfId="14905" xr:uid="{00000000-0005-0000-0000-00002B480000}"/>
    <cellStyle name="40% - Accent5 14 2 2 3 2 2" xfId="38747" xr:uid="{27CFACA1-9FA2-4E4F-85A0-0483161E1510}"/>
    <cellStyle name="40% - Accent5 14 2 2 3 3" xfId="22852" xr:uid="{00000000-0005-0000-0000-00002C480000}"/>
    <cellStyle name="40% - Accent5 14 2 2 3 3 2" xfId="46684" xr:uid="{1C9EA9AC-624E-46E5-BFC2-3F27B4F12718}"/>
    <cellStyle name="40% - Accent5 14 2 2 3 4" xfId="30806" xr:uid="{2BFC518A-506C-4471-98A2-C812551A99A9}"/>
    <cellStyle name="40% - Accent5 14 2 2 4" xfId="11369" xr:uid="{00000000-0005-0000-0000-00002D480000}"/>
    <cellStyle name="40% - Accent5 14 2 2 4 2" xfId="35218" xr:uid="{EE96FC44-908D-4051-B42E-BF26061DAB7B}"/>
    <cellStyle name="40% - Accent5 14 2 2 5" xfId="19324" xr:uid="{00000000-0005-0000-0000-00002E480000}"/>
    <cellStyle name="40% - Accent5 14 2 2 5 2" xfId="43156" xr:uid="{FBA24AE3-AB93-4502-B336-6ECFA87092F7}"/>
    <cellStyle name="40% - Accent5 14 2 2 6" xfId="27276" xr:uid="{B90FA1E4-9250-4342-8454-51BF83E5F4AA}"/>
    <cellStyle name="40% - Accent5 14 2 2_Exh G" xfId="3208" xr:uid="{00000000-0005-0000-0000-00002F480000}"/>
    <cellStyle name="40% - Accent5 14 2 3" xfId="4223" xr:uid="{00000000-0005-0000-0000-000030480000}"/>
    <cellStyle name="40% - Accent5 14 2 3 2" xfId="7815" xr:uid="{00000000-0005-0000-0000-000031480000}"/>
    <cellStyle name="40% - Accent5 14 2 3 2 2" xfId="15785" xr:uid="{00000000-0005-0000-0000-000032480000}"/>
    <cellStyle name="40% - Accent5 14 2 3 2 2 2" xfId="39627" xr:uid="{FD995432-4496-40D0-9177-85C0AEE114F4}"/>
    <cellStyle name="40% - Accent5 14 2 3 2 3" xfId="23731" xr:uid="{00000000-0005-0000-0000-000033480000}"/>
    <cellStyle name="40% - Accent5 14 2 3 2 3 2" xfId="47563" xr:uid="{615A4F72-A0CC-4190-80E2-C21F643289A3}"/>
    <cellStyle name="40% - Accent5 14 2 3 2 4" xfId="31686" xr:uid="{F9866643-7F58-43E4-B312-304E18D426C0}"/>
    <cellStyle name="40% - Accent5 14 2 3 3" xfId="12247" xr:uid="{00000000-0005-0000-0000-000034480000}"/>
    <cellStyle name="40% - Accent5 14 2 3 3 2" xfId="36096" xr:uid="{F40A3C03-0584-42F9-8A3A-9532A00C1F9E}"/>
    <cellStyle name="40% - Accent5 14 2 3 4" xfId="20202" xr:uid="{00000000-0005-0000-0000-000035480000}"/>
    <cellStyle name="40% - Accent5 14 2 3 4 2" xfId="44034" xr:uid="{05DC8586-A7A2-4263-8578-B4C7BD013ACE}"/>
    <cellStyle name="40% - Accent5 14 2 3 5" xfId="28155" xr:uid="{4AC21D15-F104-45B6-A153-640C02637F2D}"/>
    <cellStyle name="40% - Accent5 14 2 4" xfId="6043" xr:uid="{00000000-0005-0000-0000-000036480000}"/>
    <cellStyle name="40% - Accent5 14 2 4 2" xfId="14026" xr:uid="{00000000-0005-0000-0000-000037480000}"/>
    <cellStyle name="40% - Accent5 14 2 4 2 2" xfId="37869" xr:uid="{F9FA3D82-071B-4566-A5E7-EAE4AD6784CE}"/>
    <cellStyle name="40% - Accent5 14 2 4 3" xfId="21974" xr:uid="{00000000-0005-0000-0000-000038480000}"/>
    <cellStyle name="40% - Accent5 14 2 4 3 2" xfId="45806" xr:uid="{6E4BF537-6A6A-4559-B199-093F4D70E937}"/>
    <cellStyle name="40% - Accent5 14 2 4 4" xfId="29928" xr:uid="{D6E7F337-33FA-40CD-8483-A6325B859C6D}"/>
    <cellStyle name="40% - Accent5 14 2 5" xfId="9595" xr:uid="{00000000-0005-0000-0000-000039480000}"/>
    <cellStyle name="40% - Accent5 14 2 5 2" xfId="17553" xr:uid="{00000000-0005-0000-0000-00003A480000}"/>
    <cellStyle name="40% - Accent5 14 2 5 2 2" xfId="41393" xr:uid="{85CF1D77-AAE2-4EC6-ACE1-B3D5FCCF701D}"/>
    <cellStyle name="40% - Accent5 14 2 5 3" xfId="25497" xr:uid="{00000000-0005-0000-0000-00003B480000}"/>
    <cellStyle name="40% - Accent5 14 2 5 3 2" xfId="49329" xr:uid="{785B3C0F-D037-4713-8C60-4110BF1C12C3}"/>
    <cellStyle name="40% - Accent5 14 2 5 4" xfId="33452" xr:uid="{EE70ACF3-F9C4-489A-B2BA-3CA6D0878059}"/>
    <cellStyle name="40% - Accent5 14 2 6" xfId="10491" xr:uid="{00000000-0005-0000-0000-00003C480000}"/>
    <cellStyle name="40% - Accent5 14 2 6 2" xfId="34340" xr:uid="{5D97B6F2-C263-4ED5-AF26-5777CFA08C4E}"/>
    <cellStyle name="40% - Accent5 14 2 7" xfId="18446" xr:uid="{00000000-0005-0000-0000-00003D480000}"/>
    <cellStyle name="40% - Accent5 14 2 7 2" xfId="42278" xr:uid="{6368DA63-EFBD-4DB3-987F-D5B113DC0665}"/>
    <cellStyle name="40% - Accent5 14 2 8" xfId="26398" xr:uid="{7EDF2FC4-AFC9-4E87-AC98-90869DC3BAB2}"/>
    <cellStyle name="40% - Accent5 14 2_Exh G" xfId="3207" xr:uid="{00000000-0005-0000-0000-00003E480000}"/>
    <cellStyle name="40% - Accent5 14 3" xfId="1574" xr:uid="{00000000-0005-0000-0000-00003F480000}"/>
    <cellStyle name="40% - Accent5 14 3 2" xfId="5101" xr:uid="{00000000-0005-0000-0000-000040480000}"/>
    <cellStyle name="40% - Accent5 14 3 2 2" xfId="8692" xr:uid="{00000000-0005-0000-0000-000041480000}"/>
    <cellStyle name="40% - Accent5 14 3 2 2 2" xfId="16662" xr:uid="{00000000-0005-0000-0000-000042480000}"/>
    <cellStyle name="40% - Accent5 14 3 2 2 2 2" xfId="40504" xr:uid="{750095DA-3982-45E8-93D8-B454BD4290FF}"/>
    <cellStyle name="40% - Accent5 14 3 2 2 3" xfId="24608" xr:uid="{00000000-0005-0000-0000-000043480000}"/>
    <cellStyle name="40% - Accent5 14 3 2 2 3 2" xfId="48440" xr:uid="{FEF20280-883E-4942-B8FF-3D6D8D0A4DE3}"/>
    <cellStyle name="40% - Accent5 14 3 2 2 4" xfId="32563" xr:uid="{07CDACED-87C1-4696-BBE0-E6C405763BFA}"/>
    <cellStyle name="40% - Accent5 14 3 2 3" xfId="13124" xr:uid="{00000000-0005-0000-0000-000044480000}"/>
    <cellStyle name="40% - Accent5 14 3 2 3 2" xfId="36973" xr:uid="{4CCEAA05-DF26-418C-9FBC-F5D546F84BD1}"/>
    <cellStyle name="40% - Accent5 14 3 2 4" xfId="21079" xr:uid="{00000000-0005-0000-0000-000045480000}"/>
    <cellStyle name="40% - Accent5 14 3 2 4 2" xfId="44911" xr:uid="{19406633-C36F-4178-B1E6-2398F7E0EC01}"/>
    <cellStyle name="40% - Accent5 14 3 2 5" xfId="29032" xr:uid="{BD896F32-D481-4756-A234-615325C20067}"/>
    <cellStyle name="40% - Accent5 14 3 3" xfId="6933" xr:uid="{00000000-0005-0000-0000-000046480000}"/>
    <cellStyle name="40% - Accent5 14 3 3 2" xfId="14904" xr:uid="{00000000-0005-0000-0000-000047480000}"/>
    <cellStyle name="40% - Accent5 14 3 3 2 2" xfId="38746" xr:uid="{94A74396-FDB7-473E-89E9-03BF121F87CA}"/>
    <cellStyle name="40% - Accent5 14 3 3 3" xfId="22851" xr:uid="{00000000-0005-0000-0000-000048480000}"/>
    <cellStyle name="40% - Accent5 14 3 3 3 2" xfId="46683" xr:uid="{86D10B7E-A105-491C-9C87-688F677DBADA}"/>
    <cellStyle name="40% - Accent5 14 3 3 4" xfId="30805" xr:uid="{7FF8EA9D-F132-4D50-B07F-AD901800B79C}"/>
    <cellStyle name="40% - Accent5 14 3 4" xfId="11368" xr:uid="{00000000-0005-0000-0000-000049480000}"/>
    <cellStyle name="40% - Accent5 14 3 4 2" xfId="35217" xr:uid="{6EF648C2-D6FC-488C-BE3F-C779E187B160}"/>
    <cellStyle name="40% - Accent5 14 3 5" xfId="19323" xr:uid="{00000000-0005-0000-0000-00004A480000}"/>
    <cellStyle name="40% - Accent5 14 3 5 2" xfId="43155" xr:uid="{71FB03BA-7C7F-4A37-9EEF-4C385458F6C5}"/>
    <cellStyle name="40% - Accent5 14 3 6" xfId="27275" xr:uid="{C84D9CA0-F656-419C-8C57-BFC682313BD4}"/>
    <cellStyle name="40% - Accent5 14 3_Exh G" xfId="3209" xr:uid="{00000000-0005-0000-0000-00004B480000}"/>
    <cellStyle name="40% - Accent5 14 4" xfId="4222" xr:uid="{00000000-0005-0000-0000-00004C480000}"/>
    <cellStyle name="40% - Accent5 14 4 2" xfId="7814" xr:uid="{00000000-0005-0000-0000-00004D480000}"/>
    <cellStyle name="40% - Accent5 14 4 2 2" xfId="15784" xr:uid="{00000000-0005-0000-0000-00004E480000}"/>
    <cellStyle name="40% - Accent5 14 4 2 2 2" xfId="39626" xr:uid="{3DD39047-C37E-4FB9-8C23-E94F5515CA3E}"/>
    <cellStyle name="40% - Accent5 14 4 2 3" xfId="23730" xr:uid="{00000000-0005-0000-0000-00004F480000}"/>
    <cellStyle name="40% - Accent5 14 4 2 3 2" xfId="47562" xr:uid="{4D074174-2CBD-4783-A8C3-796BA4C93A34}"/>
    <cellStyle name="40% - Accent5 14 4 2 4" xfId="31685" xr:uid="{ED8F8004-8940-4A9A-8FE7-2CC0C5D3FB57}"/>
    <cellStyle name="40% - Accent5 14 4 3" xfId="12246" xr:uid="{00000000-0005-0000-0000-000050480000}"/>
    <cellStyle name="40% - Accent5 14 4 3 2" xfId="36095" xr:uid="{796C0E3A-0F30-462D-A9C9-BA19049FBE1D}"/>
    <cellStyle name="40% - Accent5 14 4 4" xfId="20201" xr:uid="{00000000-0005-0000-0000-000051480000}"/>
    <cellStyle name="40% - Accent5 14 4 4 2" xfId="44033" xr:uid="{85825F04-6F21-4E5D-9684-F9AD307EF14F}"/>
    <cellStyle name="40% - Accent5 14 4 5" xfId="28154" xr:uid="{E6D96C1F-FB9D-4FE4-9672-76301D705F6D}"/>
    <cellStyle name="40% - Accent5 14 5" xfId="6042" xr:uid="{00000000-0005-0000-0000-000052480000}"/>
    <cellStyle name="40% - Accent5 14 5 2" xfId="14025" xr:uid="{00000000-0005-0000-0000-000053480000}"/>
    <cellStyle name="40% - Accent5 14 5 2 2" xfId="37868" xr:uid="{D2C80E67-EC5B-4AF9-8180-6B6E125E960F}"/>
    <cellStyle name="40% - Accent5 14 5 3" xfId="21973" xr:uid="{00000000-0005-0000-0000-000054480000}"/>
    <cellStyle name="40% - Accent5 14 5 3 2" xfId="45805" xr:uid="{FF7E6320-4DE0-4358-8F76-86241937CEE4}"/>
    <cellStyle name="40% - Accent5 14 5 4" xfId="29927" xr:uid="{AE0785BA-AB09-43E8-B6EC-DEF97DD8F99F}"/>
    <cellStyle name="40% - Accent5 14 6" xfId="9594" xr:uid="{00000000-0005-0000-0000-000055480000}"/>
    <cellStyle name="40% - Accent5 14 6 2" xfId="17552" xr:uid="{00000000-0005-0000-0000-000056480000}"/>
    <cellStyle name="40% - Accent5 14 6 2 2" xfId="41392" xr:uid="{2822B855-01D6-4989-AF95-D9E9840F5D3B}"/>
    <cellStyle name="40% - Accent5 14 6 3" xfId="25496" xr:uid="{00000000-0005-0000-0000-000057480000}"/>
    <cellStyle name="40% - Accent5 14 6 3 2" xfId="49328" xr:uid="{5C6E1640-6CCE-4B64-81C1-2DD64F77FEDE}"/>
    <cellStyle name="40% - Accent5 14 6 4" xfId="33451" xr:uid="{3AC2138F-84A3-46E0-8340-B30448D473FD}"/>
    <cellStyle name="40% - Accent5 14 7" xfId="10490" xr:uid="{00000000-0005-0000-0000-000058480000}"/>
    <cellStyle name="40% - Accent5 14 7 2" xfId="34339" xr:uid="{B497E19D-7455-4419-AA92-B4B603197FB4}"/>
    <cellStyle name="40% - Accent5 14 8" xfId="18445" xr:uid="{00000000-0005-0000-0000-000059480000}"/>
    <cellStyle name="40% - Accent5 14 8 2" xfId="42277" xr:uid="{6AF802AF-1134-4E26-A0BB-E14CAA31328F}"/>
    <cellStyle name="40% - Accent5 14 9" xfId="26397" xr:uid="{D097E555-9A22-4B54-9571-174349FA46B4}"/>
    <cellStyle name="40% - Accent5 14_Exh G" xfId="3206" xr:uid="{00000000-0005-0000-0000-00005A480000}"/>
    <cellStyle name="40% - Accent5 15" xfId="550" xr:uid="{00000000-0005-0000-0000-00005B480000}"/>
    <cellStyle name="40% - Accent5 15 2" xfId="1576" xr:uid="{00000000-0005-0000-0000-00005C480000}"/>
    <cellStyle name="40% - Accent5 15 2 2" xfId="5103" xr:uid="{00000000-0005-0000-0000-00005D480000}"/>
    <cellStyle name="40% - Accent5 15 2 2 2" xfId="8694" xr:uid="{00000000-0005-0000-0000-00005E480000}"/>
    <cellStyle name="40% - Accent5 15 2 2 2 2" xfId="16664" xr:uid="{00000000-0005-0000-0000-00005F480000}"/>
    <cellStyle name="40% - Accent5 15 2 2 2 2 2" xfId="40506" xr:uid="{45B59297-50D7-49A9-82CA-CCA8BF1AAB22}"/>
    <cellStyle name="40% - Accent5 15 2 2 2 3" xfId="24610" xr:uid="{00000000-0005-0000-0000-000060480000}"/>
    <cellStyle name="40% - Accent5 15 2 2 2 3 2" xfId="48442" xr:uid="{AEC0F3B4-C6A3-4CB3-B499-C1DB4FAF5587}"/>
    <cellStyle name="40% - Accent5 15 2 2 2 4" xfId="32565" xr:uid="{D539FB9B-31D6-4641-954D-23435643E371}"/>
    <cellStyle name="40% - Accent5 15 2 2 3" xfId="13126" xr:uid="{00000000-0005-0000-0000-000061480000}"/>
    <cellStyle name="40% - Accent5 15 2 2 3 2" xfId="36975" xr:uid="{90C5664B-9C71-4FB3-8E00-08CB2D4CAB0F}"/>
    <cellStyle name="40% - Accent5 15 2 2 4" xfId="21081" xr:uid="{00000000-0005-0000-0000-000062480000}"/>
    <cellStyle name="40% - Accent5 15 2 2 4 2" xfId="44913" xr:uid="{AE150F2F-CE5B-4EF7-8BB7-58EA72BB1B2F}"/>
    <cellStyle name="40% - Accent5 15 2 2 5" xfId="29034" xr:uid="{C2B562DF-609A-4C46-AAC3-01A1D09A03AF}"/>
    <cellStyle name="40% - Accent5 15 2 3" xfId="6935" xr:uid="{00000000-0005-0000-0000-000063480000}"/>
    <cellStyle name="40% - Accent5 15 2 3 2" xfId="14906" xr:uid="{00000000-0005-0000-0000-000064480000}"/>
    <cellStyle name="40% - Accent5 15 2 3 2 2" xfId="38748" xr:uid="{6898D225-6453-48CC-9200-998C21204D52}"/>
    <cellStyle name="40% - Accent5 15 2 3 3" xfId="22853" xr:uid="{00000000-0005-0000-0000-000065480000}"/>
    <cellStyle name="40% - Accent5 15 2 3 3 2" xfId="46685" xr:uid="{162B9526-02DD-4573-B5DB-5C038F9A72A3}"/>
    <cellStyle name="40% - Accent5 15 2 3 4" xfId="30807" xr:uid="{7C90351E-44DF-49B6-B85E-DA50FFB8AA5A}"/>
    <cellStyle name="40% - Accent5 15 2 4" xfId="11370" xr:uid="{00000000-0005-0000-0000-000066480000}"/>
    <cellStyle name="40% - Accent5 15 2 4 2" xfId="35219" xr:uid="{D5607D04-167B-4A28-952B-ADE83B353874}"/>
    <cellStyle name="40% - Accent5 15 2 5" xfId="19325" xr:uid="{00000000-0005-0000-0000-000067480000}"/>
    <cellStyle name="40% - Accent5 15 2 5 2" xfId="43157" xr:uid="{9051E1E1-C070-46B1-9B20-02B8EB952050}"/>
    <cellStyle name="40% - Accent5 15 2 6" xfId="27277" xr:uid="{C294F8EF-D74A-4156-8822-E3A534A22A47}"/>
    <cellStyle name="40% - Accent5 15 2_Exh G" xfId="3211" xr:uid="{00000000-0005-0000-0000-000068480000}"/>
    <cellStyle name="40% - Accent5 15 3" xfId="4224" xr:uid="{00000000-0005-0000-0000-000069480000}"/>
    <cellStyle name="40% - Accent5 15 3 2" xfId="7816" xr:uid="{00000000-0005-0000-0000-00006A480000}"/>
    <cellStyle name="40% - Accent5 15 3 2 2" xfId="15786" xr:uid="{00000000-0005-0000-0000-00006B480000}"/>
    <cellStyle name="40% - Accent5 15 3 2 2 2" xfId="39628" xr:uid="{DC9CAE94-BE60-4BA1-AEAC-B891D63A237B}"/>
    <cellStyle name="40% - Accent5 15 3 2 3" xfId="23732" xr:uid="{00000000-0005-0000-0000-00006C480000}"/>
    <cellStyle name="40% - Accent5 15 3 2 3 2" xfId="47564" xr:uid="{8544B9FB-4A24-4788-B1D1-24689E0E1A59}"/>
    <cellStyle name="40% - Accent5 15 3 2 4" xfId="31687" xr:uid="{95D5525A-D4D5-4330-B10A-15446A041285}"/>
    <cellStyle name="40% - Accent5 15 3 3" xfId="12248" xr:uid="{00000000-0005-0000-0000-00006D480000}"/>
    <cellStyle name="40% - Accent5 15 3 3 2" xfId="36097" xr:uid="{5FF12F6D-5E52-47AE-9382-59AF093887F9}"/>
    <cellStyle name="40% - Accent5 15 3 4" xfId="20203" xr:uid="{00000000-0005-0000-0000-00006E480000}"/>
    <cellStyle name="40% - Accent5 15 3 4 2" xfId="44035" xr:uid="{B6183ECA-0A96-4397-9EB6-90CBF1375F7B}"/>
    <cellStyle name="40% - Accent5 15 3 5" xfId="28156" xr:uid="{B4E9B403-4BBC-4261-B951-090A88B71CE9}"/>
    <cellStyle name="40% - Accent5 15 4" xfId="6044" xr:uid="{00000000-0005-0000-0000-00006F480000}"/>
    <cellStyle name="40% - Accent5 15 4 2" xfId="14027" xr:uid="{00000000-0005-0000-0000-000070480000}"/>
    <cellStyle name="40% - Accent5 15 4 2 2" xfId="37870" xr:uid="{7FAE242B-1844-4972-B83B-43DCC4130ED9}"/>
    <cellStyle name="40% - Accent5 15 4 3" xfId="21975" xr:uid="{00000000-0005-0000-0000-000071480000}"/>
    <cellStyle name="40% - Accent5 15 4 3 2" xfId="45807" xr:uid="{73407971-4BBB-4EB9-AB5E-D283C3052321}"/>
    <cellStyle name="40% - Accent5 15 4 4" xfId="29929" xr:uid="{8808C4DA-A7FA-40DE-BD3C-10CB5D7D7E40}"/>
    <cellStyle name="40% - Accent5 15 5" xfId="9596" xr:uid="{00000000-0005-0000-0000-000072480000}"/>
    <cellStyle name="40% - Accent5 15 5 2" xfId="17554" xr:uid="{00000000-0005-0000-0000-000073480000}"/>
    <cellStyle name="40% - Accent5 15 5 2 2" xfId="41394" xr:uid="{18555CDD-3FF3-44A4-8372-FE5D914F4C5D}"/>
    <cellStyle name="40% - Accent5 15 5 3" xfId="25498" xr:uid="{00000000-0005-0000-0000-000074480000}"/>
    <cellStyle name="40% - Accent5 15 5 3 2" xfId="49330" xr:uid="{3EC61B75-FF6F-49F8-B00C-02060EE78D27}"/>
    <cellStyle name="40% - Accent5 15 5 4" xfId="33453" xr:uid="{CCF733DD-0ACC-4F1B-984F-F6C053CBD867}"/>
    <cellStyle name="40% - Accent5 15 6" xfId="10492" xr:uid="{00000000-0005-0000-0000-000075480000}"/>
    <cellStyle name="40% - Accent5 15 6 2" xfId="34341" xr:uid="{87F4ACC6-8A1C-4B7A-9770-4C49172EC9D3}"/>
    <cellStyle name="40% - Accent5 15 7" xfId="18447" xr:uid="{00000000-0005-0000-0000-000076480000}"/>
    <cellStyle name="40% - Accent5 15 7 2" xfId="42279" xr:uid="{64BECFFA-2B19-4B2B-AA3F-BF9023471057}"/>
    <cellStyle name="40% - Accent5 15 8" xfId="26399" xr:uid="{561C6C99-A82F-4A5B-8B13-DA1C554A364C}"/>
    <cellStyle name="40% - Accent5 15_Exh G" xfId="3210" xr:uid="{00000000-0005-0000-0000-000077480000}"/>
    <cellStyle name="40% - Accent5 16" xfId="850" xr:uid="{00000000-0005-0000-0000-000078480000}"/>
    <cellStyle name="40% - Accent5 16 2" xfId="1785" xr:uid="{00000000-0005-0000-0000-000079480000}"/>
    <cellStyle name="40% - Accent5 16 2 2" xfId="5305" xr:uid="{00000000-0005-0000-0000-00007A480000}"/>
    <cellStyle name="40% - Accent5 16 2 2 2" xfId="8896" xr:uid="{00000000-0005-0000-0000-00007B480000}"/>
    <cellStyle name="40% - Accent5 16 2 2 2 2" xfId="16866" xr:uid="{00000000-0005-0000-0000-00007C480000}"/>
    <cellStyle name="40% - Accent5 16 2 2 2 2 2" xfId="40708" xr:uid="{3A543201-E7B4-4AE1-AE09-B5572860F3B0}"/>
    <cellStyle name="40% - Accent5 16 2 2 2 3" xfId="24812" xr:uid="{00000000-0005-0000-0000-00007D480000}"/>
    <cellStyle name="40% - Accent5 16 2 2 2 3 2" xfId="48644" xr:uid="{B4BCD252-2B0E-4CEB-B8B6-9077BF7BE679}"/>
    <cellStyle name="40% - Accent5 16 2 2 2 4" xfId="32767" xr:uid="{6B70DB41-1BED-4BC3-BF82-76F3A247BAC9}"/>
    <cellStyle name="40% - Accent5 16 2 2 3" xfId="13328" xr:uid="{00000000-0005-0000-0000-00007E480000}"/>
    <cellStyle name="40% - Accent5 16 2 2 3 2" xfId="37177" xr:uid="{1DFF1A0B-0799-4D1A-A724-A830305DC6AA}"/>
    <cellStyle name="40% - Accent5 16 2 2 4" xfId="21283" xr:uid="{00000000-0005-0000-0000-00007F480000}"/>
    <cellStyle name="40% - Accent5 16 2 2 4 2" xfId="45115" xr:uid="{E2A0ED0C-BD0F-4BDC-BBB8-D1F7AD9BDA60}"/>
    <cellStyle name="40% - Accent5 16 2 2 5" xfId="29236" xr:uid="{9B21965A-0C7F-4F06-A33E-FB59FEA53644}"/>
    <cellStyle name="40% - Accent5 16 2 3" xfId="7137" xr:uid="{00000000-0005-0000-0000-000080480000}"/>
    <cellStyle name="40% - Accent5 16 2 3 2" xfId="15108" xr:uid="{00000000-0005-0000-0000-000081480000}"/>
    <cellStyle name="40% - Accent5 16 2 3 2 2" xfId="38950" xr:uid="{ED2F3203-EE32-41A1-8AFD-47C37014143B}"/>
    <cellStyle name="40% - Accent5 16 2 3 3" xfId="23055" xr:uid="{00000000-0005-0000-0000-000082480000}"/>
    <cellStyle name="40% - Accent5 16 2 3 3 2" xfId="46887" xr:uid="{483A81ED-277D-4EA1-A4FF-F00528E28D98}"/>
    <cellStyle name="40% - Accent5 16 2 3 4" xfId="31009" xr:uid="{D7009866-6D46-48B5-B7E0-335B856AAD64}"/>
    <cellStyle name="40% - Accent5 16 2 4" xfId="11572" xr:uid="{00000000-0005-0000-0000-000083480000}"/>
    <cellStyle name="40% - Accent5 16 2 4 2" xfId="35421" xr:uid="{947A51BC-71E0-4F90-B0B2-F6A389B42130}"/>
    <cellStyle name="40% - Accent5 16 2 5" xfId="19527" xr:uid="{00000000-0005-0000-0000-000084480000}"/>
    <cellStyle name="40% - Accent5 16 2 5 2" xfId="43359" xr:uid="{E8CADE72-9093-49CD-B862-27D4995105D0}"/>
    <cellStyle name="40% - Accent5 16 2 6" xfId="27479" xr:uid="{B75A51DF-84A0-4ED0-A0D3-253305B3572E}"/>
    <cellStyle name="40% - Accent5 16 2_Exh G" xfId="3213" xr:uid="{00000000-0005-0000-0000-000085480000}"/>
    <cellStyle name="40% - Accent5 16 3" xfId="4426" xr:uid="{00000000-0005-0000-0000-000086480000}"/>
    <cellStyle name="40% - Accent5 16 3 2" xfId="8018" xr:uid="{00000000-0005-0000-0000-000087480000}"/>
    <cellStyle name="40% - Accent5 16 3 2 2" xfId="15988" xr:uid="{00000000-0005-0000-0000-000088480000}"/>
    <cellStyle name="40% - Accent5 16 3 2 2 2" xfId="39830" xr:uid="{3222F8A7-7AB6-436A-B03B-233AE6C94E24}"/>
    <cellStyle name="40% - Accent5 16 3 2 3" xfId="23934" xr:uid="{00000000-0005-0000-0000-000089480000}"/>
    <cellStyle name="40% - Accent5 16 3 2 3 2" xfId="47766" xr:uid="{4E79650E-66BD-45F1-8376-5E23643AA111}"/>
    <cellStyle name="40% - Accent5 16 3 2 4" xfId="31889" xr:uid="{5A38635D-8A6E-4865-967E-E040F1415591}"/>
    <cellStyle name="40% - Accent5 16 3 3" xfId="12450" xr:uid="{00000000-0005-0000-0000-00008A480000}"/>
    <cellStyle name="40% - Accent5 16 3 3 2" xfId="36299" xr:uid="{BA18D0F4-90D0-409E-A4AF-D757AAB7BC95}"/>
    <cellStyle name="40% - Accent5 16 3 4" xfId="20405" xr:uid="{00000000-0005-0000-0000-00008B480000}"/>
    <cellStyle name="40% - Accent5 16 3 4 2" xfId="44237" xr:uid="{CF79851B-7D17-450E-B126-3CF6EC5D33C7}"/>
    <cellStyle name="40% - Accent5 16 3 5" xfId="28358" xr:uid="{4CCDD801-6BD0-453B-AEEF-EF58EF04E06C}"/>
    <cellStyle name="40% - Accent5 16 4" xfId="6256" xr:uid="{00000000-0005-0000-0000-00008C480000}"/>
    <cellStyle name="40% - Accent5 16 4 2" xfId="14230" xr:uid="{00000000-0005-0000-0000-00008D480000}"/>
    <cellStyle name="40% - Accent5 16 4 2 2" xfId="38072" xr:uid="{97C306EE-9BBF-47FF-9391-9BDE4F7371E9}"/>
    <cellStyle name="40% - Accent5 16 4 3" xfId="22177" xr:uid="{00000000-0005-0000-0000-00008E480000}"/>
    <cellStyle name="40% - Accent5 16 4 3 2" xfId="46009" xr:uid="{CC20F582-241D-42BC-8DA8-ACD6603483DB}"/>
    <cellStyle name="40% - Accent5 16 4 4" xfId="30131" xr:uid="{2E3B2E84-88CE-44EF-ACC9-5866309190C6}"/>
    <cellStyle name="40% - Accent5 16 5" xfId="9798" xr:uid="{00000000-0005-0000-0000-00008F480000}"/>
    <cellStyle name="40% - Accent5 16 5 2" xfId="17756" xr:uid="{00000000-0005-0000-0000-000090480000}"/>
    <cellStyle name="40% - Accent5 16 5 2 2" xfId="41596" xr:uid="{91F412A6-2C4A-45C5-B413-8CD43D495674}"/>
    <cellStyle name="40% - Accent5 16 5 3" xfId="25700" xr:uid="{00000000-0005-0000-0000-000091480000}"/>
    <cellStyle name="40% - Accent5 16 5 3 2" xfId="49532" xr:uid="{026C7D0F-08F0-4B01-BEB6-E13148599EC1}"/>
    <cellStyle name="40% - Accent5 16 5 4" xfId="33655" xr:uid="{5F67E43C-662E-4ABB-B343-6FB4A2045AEF}"/>
    <cellStyle name="40% - Accent5 16 6" xfId="10694" xr:uid="{00000000-0005-0000-0000-000092480000}"/>
    <cellStyle name="40% - Accent5 16 6 2" xfId="34543" xr:uid="{0CFA5871-4D49-43E0-B1A8-42F7F4690494}"/>
    <cellStyle name="40% - Accent5 16 7" xfId="18649" xr:uid="{00000000-0005-0000-0000-000093480000}"/>
    <cellStyle name="40% - Accent5 16 7 2" xfId="42481" xr:uid="{52124083-5C3A-4B56-A428-391342AAB3C4}"/>
    <cellStyle name="40% - Accent5 16 8" xfId="26601" xr:uid="{C0536E24-EAAB-43C4-A594-DD9AABCDB339}"/>
    <cellStyle name="40% - Accent5 16_Exh G" xfId="3212" xr:uid="{00000000-0005-0000-0000-000094480000}"/>
    <cellStyle name="40% - Accent5 17" xfId="49792" xr:uid="{99DE8CAF-EB84-4B39-9AD5-47FE7C321F29}"/>
    <cellStyle name="40% - Accent5 18" xfId="49832" xr:uid="{F0528C20-3D50-4CFD-BB33-9F9A31D42B53}"/>
    <cellStyle name="40% - Accent5 2" xfId="551" xr:uid="{00000000-0005-0000-0000-000095480000}"/>
    <cellStyle name="40% - Accent5 2 10" xfId="18448" xr:uid="{00000000-0005-0000-0000-000096480000}"/>
    <cellStyle name="40% - Accent5 2 10 2" xfId="42280" xr:uid="{A34EA5A1-7CE8-4D57-9EBD-D1E967452D74}"/>
    <cellStyle name="40% - Accent5 2 11" xfId="26400" xr:uid="{396EDF36-962F-4777-B011-EF85C564C412}"/>
    <cellStyle name="40% - Accent5 2 12" xfId="49777" xr:uid="{3FC80A06-80CE-4E62-B198-8C88D52433E7}"/>
    <cellStyle name="40% - Accent5 2 13" xfId="49805" xr:uid="{349A4023-ABC3-430F-A2CF-620CC5436BCF}"/>
    <cellStyle name="40% - Accent5 2 14" xfId="49846" xr:uid="{AE82E4A0-B55D-41CD-9AAA-C7A0B76BACFE}"/>
    <cellStyle name="40% - Accent5 2 2" xfId="552" xr:uid="{00000000-0005-0000-0000-000097480000}"/>
    <cellStyle name="40% - Accent5 2 2 10" xfId="26401" xr:uid="{3588C593-35E6-43F0-AF21-20A253CC32D6}"/>
    <cellStyle name="40% - Accent5 2 2 2" xfId="553" xr:uid="{00000000-0005-0000-0000-000098480000}"/>
    <cellStyle name="40% - Accent5 2 2 2 2" xfId="1579" xr:uid="{00000000-0005-0000-0000-000099480000}"/>
    <cellStyle name="40% - Accent5 2 2 2 2 2" xfId="5106" xr:uid="{00000000-0005-0000-0000-00009A480000}"/>
    <cellStyle name="40% - Accent5 2 2 2 2 2 2" xfId="8697" xr:uid="{00000000-0005-0000-0000-00009B480000}"/>
    <cellStyle name="40% - Accent5 2 2 2 2 2 2 2" xfId="16667" xr:uid="{00000000-0005-0000-0000-00009C480000}"/>
    <cellStyle name="40% - Accent5 2 2 2 2 2 2 2 2" xfId="40509" xr:uid="{9C3DD8D3-0286-4EEC-B3DD-3E8213EDB12B}"/>
    <cellStyle name="40% - Accent5 2 2 2 2 2 2 3" xfId="24613" xr:uid="{00000000-0005-0000-0000-00009D480000}"/>
    <cellStyle name="40% - Accent5 2 2 2 2 2 2 3 2" xfId="48445" xr:uid="{D68BF65E-8655-488B-BA9B-CD7B093FC145}"/>
    <cellStyle name="40% - Accent5 2 2 2 2 2 2 4" xfId="32568" xr:uid="{6938FEEB-4861-4936-BEC7-A970C8C709BA}"/>
    <cellStyle name="40% - Accent5 2 2 2 2 2 3" xfId="13129" xr:uid="{00000000-0005-0000-0000-00009E480000}"/>
    <cellStyle name="40% - Accent5 2 2 2 2 2 3 2" xfId="36978" xr:uid="{A8C71695-0E3A-40FD-B6E5-AA2BE0285466}"/>
    <cellStyle name="40% - Accent5 2 2 2 2 2 4" xfId="21084" xr:uid="{00000000-0005-0000-0000-00009F480000}"/>
    <cellStyle name="40% - Accent5 2 2 2 2 2 4 2" xfId="44916" xr:uid="{A1B62697-58D4-4EA8-BC93-0269F4E3447C}"/>
    <cellStyle name="40% - Accent5 2 2 2 2 2 5" xfId="29037" xr:uid="{57A92F44-7991-40D6-8707-8F671BA18E9B}"/>
    <cellStyle name="40% - Accent5 2 2 2 2 3" xfId="6938" xr:uid="{00000000-0005-0000-0000-0000A0480000}"/>
    <cellStyle name="40% - Accent5 2 2 2 2 3 2" xfId="14909" xr:uid="{00000000-0005-0000-0000-0000A1480000}"/>
    <cellStyle name="40% - Accent5 2 2 2 2 3 2 2" xfId="38751" xr:uid="{AB915F0C-8E35-4F6C-A71D-58DD0438FADE}"/>
    <cellStyle name="40% - Accent5 2 2 2 2 3 3" xfId="22856" xr:uid="{00000000-0005-0000-0000-0000A2480000}"/>
    <cellStyle name="40% - Accent5 2 2 2 2 3 3 2" xfId="46688" xr:uid="{CF91C743-A9EA-4D1B-B7F8-CADF39B608C7}"/>
    <cellStyle name="40% - Accent5 2 2 2 2 3 4" xfId="30810" xr:uid="{2C531F78-0720-4A99-BD0F-A225510050AD}"/>
    <cellStyle name="40% - Accent5 2 2 2 2 4" xfId="11373" xr:uid="{00000000-0005-0000-0000-0000A3480000}"/>
    <cellStyle name="40% - Accent5 2 2 2 2 4 2" xfId="35222" xr:uid="{1E07348E-35B3-4A3B-8A3C-71FD835ECC45}"/>
    <cellStyle name="40% - Accent5 2 2 2 2 5" xfId="19328" xr:uid="{00000000-0005-0000-0000-0000A4480000}"/>
    <cellStyle name="40% - Accent5 2 2 2 2 5 2" xfId="43160" xr:uid="{12A0B604-CAB7-45B5-968E-3D4A8B664EFE}"/>
    <cellStyle name="40% - Accent5 2 2 2 2 6" xfId="27280" xr:uid="{E772B36C-8A9A-4D11-8CDA-3FA289BE2699}"/>
    <cellStyle name="40% - Accent5 2 2 2 2_Exh G" xfId="3217" xr:uid="{00000000-0005-0000-0000-0000A5480000}"/>
    <cellStyle name="40% - Accent5 2 2 2 3" xfId="4227" xr:uid="{00000000-0005-0000-0000-0000A6480000}"/>
    <cellStyle name="40% - Accent5 2 2 2 3 2" xfId="7819" xr:uid="{00000000-0005-0000-0000-0000A7480000}"/>
    <cellStyle name="40% - Accent5 2 2 2 3 2 2" xfId="15789" xr:uid="{00000000-0005-0000-0000-0000A8480000}"/>
    <cellStyle name="40% - Accent5 2 2 2 3 2 2 2" xfId="39631" xr:uid="{76AD2368-A125-49AA-8ABA-E75CD65514A5}"/>
    <cellStyle name="40% - Accent5 2 2 2 3 2 3" xfId="23735" xr:uid="{00000000-0005-0000-0000-0000A9480000}"/>
    <cellStyle name="40% - Accent5 2 2 2 3 2 3 2" xfId="47567" xr:uid="{DE4E5EB2-F67D-4742-A412-4175054E4B59}"/>
    <cellStyle name="40% - Accent5 2 2 2 3 2 4" xfId="31690" xr:uid="{011ACB49-798F-454A-8FA2-728DDE8AFA52}"/>
    <cellStyle name="40% - Accent5 2 2 2 3 3" xfId="12251" xr:uid="{00000000-0005-0000-0000-0000AA480000}"/>
    <cellStyle name="40% - Accent5 2 2 2 3 3 2" xfId="36100" xr:uid="{D8D4B208-40E5-4D51-9552-1210D0604EFA}"/>
    <cellStyle name="40% - Accent5 2 2 2 3 4" xfId="20206" xr:uid="{00000000-0005-0000-0000-0000AB480000}"/>
    <cellStyle name="40% - Accent5 2 2 2 3 4 2" xfId="44038" xr:uid="{4380C50E-A548-4191-B337-3BBD9BF9D72E}"/>
    <cellStyle name="40% - Accent5 2 2 2 3 5" xfId="28159" xr:uid="{E6E834E0-A3BB-467B-B1CD-158989B82DC2}"/>
    <cellStyle name="40% - Accent5 2 2 2 4" xfId="6047" xr:uid="{00000000-0005-0000-0000-0000AC480000}"/>
    <cellStyle name="40% - Accent5 2 2 2 4 2" xfId="14030" xr:uid="{00000000-0005-0000-0000-0000AD480000}"/>
    <cellStyle name="40% - Accent5 2 2 2 4 2 2" xfId="37873" xr:uid="{A268CAF4-BDBA-4000-B8D5-97B2DECC8579}"/>
    <cellStyle name="40% - Accent5 2 2 2 4 3" xfId="21978" xr:uid="{00000000-0005-0000-0000-0000AE480000}"/>
    <cellStyle name="40% - Accent5 2 2 2 4 3 2" xfId="45810" xr:uid="{17C9C45F-41B9-431F-AFDA-3D963C848621}"/>
    <cellStyle name="40% - Accent5 2 2 2 4 4" xfId="29932" xr:uid="{A9020FEE-9594-4C8A-A585-65867E9336DF}"/>
    <cellStyle name="40% - Accent5 2 2 2 5" xfId="9599" xr:uid="{00000000-0005-0000-0000-0000AF480000}"/>
    <cellStyle name="40% - Accent5 2 2 2 5 2" xfId="17557" xr:uid="{00000000-0005-0000-0000-0000B0480000}"/>
    <cellStyle name="40% - Accent5 2 2 2 5 2 2" xfId="41397" xr:uid="{E12FB27B-A397-4EA5-B960-6132F2396A40}"/>
    <cellStyle name="40% - Accent5 2 2 2 5 3" xfId="25501" xr:uid="{00000000-0005-0000-0000-0000B1480000}"/>
    <cellStyle name="40% - Accent5 2 2 2 5 3 2" xfId="49333" xr:uid="{026BA472-28CA-41B4-B720-E426439ED774}"/>
    <cellStyle name="40% - Accent5 2 2 2 5 4" xfId="33456" xr:uid="{56833549-F6E5-45D2-90B7-615AF506BB13}"/>
    <cellStyle name="40% - Accent5 2 2 2 6" xfId="10495" xr:uid="{00000000-0005-0000-0000-0000B2480000}"/>
    <cellStyle name="40% - Accent5 2 2 2 6 2" xfId="34344" xr:uid="{A2AEAAA2-C3BF-4EA1-A934-7C036EF175B4}"/>
    <cellStyle name="40% - Accent5 2 2 2 7" xfId="18450" xr:uid="{00000000-0005-0000-0000-0000B3480000}"/>
    <cellStyle name="40% - Accent5 2 2 2 7 2" xfId="42282" xr:uid="{CCD185D2-5D4F-4B2D-8E20-C52927D05608}"/>
    <cellStyle name="40% - Accent5 2 2 2 8" xfId="26402" xr:uid="{B904C3B7-66A5-4A60-A8FC-1378ABDCD16D}"/>
    <cellStyle name="40% - Accent5 2 2 2_Exh G" xfId="3216" xr:uid="{00000000-0005-0000-0000-0000B4480000}"/>
    <cellStyle name="40% - Accent5 2 2 3" xfId="981" xr:uid="{00000000-0005-0000-0000-0000B5480000}"/>
    <cellStyle name="40% - Accent5 2 2 3 2" xfId="1893" xr:uid="{00000000-0005-0000-0000-0000B6480000}"/>
    <cellStyle name="40% - Accent5 2 2 3 2 2" xfId="5410" xr:uid="{00000000-0005-0000-0000-0000B7480000}"/>
    <cellStyle name="40% - Accent5 2 2 3 2 2 2" xfId="9001" xr:uid="{00000000-0005-0000-0000-0000B8480000}"/>
    <cellStyle name="40% - Accent5 2 2 3 2 2 2 2" xfId="16971" xr:uid="{00000000-0005-0000-0000-0000B9480000}"/>
    <cellStyle name="40% - Accent5 2 2 3 2 2 2 2 2" xfId="40813" xr:uid="{DBB28B72-81AD-4D61-B9EE-3F65F3B6B3B1}"/>
    <cellStyle name="40% - Accent5 2 2 3 2 2 2 3" xfId="24917" xr:uid="{00000000-0005-0000-0000-0000BA480000}"/>
    <cellStyle name="40% - Accent5 2 2 3 2 2 2 3 2" xfId="48749" xr:uid="{322297E3-E1B3-4952-AEB8-F1985461739A}"/>
    <cellStyle name="40% - Accent5 2 2 3 2 2 2 4" xfId="32872" xr:uid="{46499BC7-8968-47E1-90EC-A38048BF7404}"/>
    <cellStyle name="40% - Accent5 2 2 3 2 2 3" xfId="13433" xr:uid="{00000000-0005-0000-0000-0000BB480000}"/>
    <cellStyle name="40% - Accent5 2 2 3 2 2 3 2" xfId="37282" xr:uid="{39DD4591-A161-46BD-83A9-F5D2FA99343C}"/>
    <cellStyle name="40% - Accent5 2 2 3 2 2 4" xfId="21388" xr:uid="{00000000-0005-0000-0000-0000BC480000}"/>
    <cellStyle name="40% - Accent5 2 2 3 2 2 4 2" xfId="45220" xr:uid="{A0D8E1B9-D02F-4137-B218-BCA1113EE08E}"/>
    <cellStyle name="40% - Accent5 2 2 3 2 2 5" xfId="29341" xr:uid="{156BC1A4-765E-4AA9-AE87-00368E29F34A}"/>
    <cellStyle name="40% - Accent5 2 2 3 2 3" xfId="7242" xr:uid="{00000000-0005-0000-0000-0000BD480000}"/>
    <cellStyle name="40% - Accent5 2 2 3 2 3 2" xfId="15213" xr:uid="{00000000-0005-0000-0000-0000BE480000}"/>
    <cellStyle name="40% - Accent5 2 2 3 2 3 2 2" xfId="39055" xr:uid="{01E36FD4-B13B-487C-900C-45397C42104A}"/>
    <cellStyle name="40% - Accent5 2 2 3 2 3 3" xfId="23160" xr:uid="{00000000-0005-0000-0000-0000BF480000}"/>
    <cellStyle name="40% - Accent5 2 2 3 2 3 3 2" xfId="46992" xr:uid="{58C511D1-C204-47A1-8A1A-0248D8B8EC7A}"/>
    <cellStyle name="40% - Accent5 2 2 3 2 3 4" xfId="31114" xr:uid="{B8F3C77E-0E70-4E53-AEF5-A6420FB6DAF1}"/>
    <cellStyle name="40% - Accent5 2 2 3 2 4" xfId="11677" xr:uid="{00000000-0005-0000-0000-0000C0480000}"/>
    <cellStyle name="40% - Accent5 2 2 3 2 4 2" xfId="35526" xr:uid="{D176C7D1-C2F1-4F08-BBB7-9C3CFC725060}"/>
    <cellStyle name="40% - Accent5 2 2 3 2 5" xfId="19632" xr:uid="{00000000-0005-0000-0000-0000C1480000}"/>
    <cellStyle name="40% - Accent5 2 2 3 2 5 2" xfId="43464" xr:uid="{629CFFD8-FA40-4660-A0F1-CD139B9B1509}"/>
    <cellStyle name="40% - Accent5 2 2 3 2 6" xfId="27584" xr:uid="{0902A8A4-B12C-48DA-B5E8-2C30A757E03B}"/>
    <cellStyle name="40% - Accent5 2 2 3 2_Exh G" xfId="3219" xr:uid="{00000000-0005-0000-0000-0000C2480000}"/>
    <cellStyle name="40% - Accent5 2 2 3 3" xfId="4531" xr:uid="{00000000-0005-0000-0000-0000C3480000}"/>
    <cellStyle name="40% - Accent5 2 2 3 3 2" xfId="8123" xr:uid="{00000000-0005-0000-0000-0000C4480000}"/>
    <cellStyle name="40% - Accent5 2 2 3 3 2 2" xfId="16093" xr:uid="{00000000-0005-0000-0000-0000C5480000}"/>
    <cellStyle name="40% - Accent5 2 2 3 3 2 2 2" xfId="39935" xr:uid="{EE099D0A-90E9-4F14-9812-A0817DBAC1C3}"/>
    <cellStyle name="40% - Accent5 2 2 3 3 2 3" xfId="24039" xr:uid="{00000000-0005-0000-0000-0000C6480000}"/>
    <cellStyle name="40% - Accent5 2 2 3 3 2 3 2" xfId="47871" xr:uid="{ECB6F151-1678-4071-B97E-726DA09A370F}"/>
    <cellStyle name="40% - Accent5 2 2 3 3 2 4" xfId="31994" xr:uid="{296A20F6-2FAB-452B-9E05-C767A1CF13E2}"/>
    <cellStyle name="40% - Accent5 2 2 3 3 3" xfId="12555" xr:uid="{00000000-0005-0000-0000-0000C7480000}"/>
    <cellStyle name="40% - Accent5 2 2 3 3 3 2" xfId="36404" xr:uid="{CAEB651B-3885-46BD-B368-FA0E5638907E}"/>
    <cellStyle name="40% - Accent5 2 2 3 3 4" xfId="20510" xr:uid="{00000000-0005-0000-0000-0000C8480000}"/>
    <cellStyle name="40% - Accent5 2 2 3 3 4 2" xfId="44342" xr:uid="{10BFC67F-1EF4-4F27-AFFC-B240B1D4A45C}"/>
    <cellStyle name="40% - Accent5 2 2 3 3 5" xfId="28463" xr:uid="{0E872EAF-DFB6-4CA0-B909-921C76F7CDB8}"/>
    <cellStyle name="40% - Accent5 2 2 3 4" xfId="6361" xr:uid="{00000000-0005-0000-0000-0000C9480000}"/>
    <cellStyle name="40% - Accent5 2 2 3 4 2" xfId="14335" xr:uid="{00000000-0005-0000-0000-0000CA480000}"/>
    <cellStyle name="40% - Accent5 2 2 3 4 2 2" xfId="38177" xr:uid="{3A05DD94-6D40-4E53-864D-FA74ED518B9A}"/>
    <cellStyle name="40% - Accent5 2 2 3 4 3" xfId="22282" xr:uid="{00000000-0005-0000-0000-0000CB480000}"/>
    <cellStyle name="40% - Accent5 2 2 3 4 3 2" xfId="46114" xr:uid="{3CC98061-761C-4FAE-B94F-2423AADB3B44}"/>
    <cellStyle name="40% - Accent5 2 2 3 4 4" xfId="30236" xr:uid="{628F9254-6E35-4608-8FBB-360A8F894FB1}"/>
    <cellStyle name="40% - Accent5 2 2 3 5" xfId="9903" xr:uid="{00000000-0005-0000-0000-0000CC480000}"/>
    <cellStyle name="40% - Accent5 2 2 3 5 2" xfId="17861" xr:uid="{00000000-0005-0000-0000-0000CD480000}"/>
    <cellStyle name="40% - Accent5 2 2 3 5 2 2" xfId="41701" xr:uid="{F87A266E-0F37-452B-BA41-6BB13AE77241}"/>
    <cellStyle name="40% - Accent5 2 2 3 5 3" xfId="25805" xr:uid="{00000000-0005-0000-0000-0000CE480000}"/>
    <cellStyle name="40% - Accent5 2 2 3 5 3 2" xfId="49637" xr:uid="{AAD086C0-F0F5-44C1-B3A8-365B8B68A1DD}"/>
    <cellStyle name="40% - Accent5 2 2 3 5 4" xfId="33760" xr:uid="{507EDED8-8BC4-47B4-B6A0-919C780A6CCD}"/>
    <cellStyle name="40% - Accent5 2 2 3 6" xfId="10799" xr:uid="{00000000-0005-0000-0000-0000CF480000}"/>
    <cellStyle name="40% - Accent5 2 2 3 6 2" xfId="34648" xr:uid="{FC503E6E-83FC-481A-A249-ADFDA098647C}"/>
    <cellStyle name="40% - Accent5 2 2 3 7" xfId="18754" xr:uid="{00000000-0005-0000-0000-0000D0480000}"/>
    <cellStyle name="40% - Accent5 2 2 3 7 2" xfId="42586" xr:uid="{0CD448B3-8AB3-481A-8989-68B7CFC59DBA}"/>
    <cellStyle name="40% - Accent5 2 2 3 8" xfId="26706" xr:uid="{AA260A63-0977-4E12-965B-E08806DBE3A6}"/>
    <cellStyle name="40% - Accent5 2 2 3_Exh G" xfId="3218" xr:uid="{00000000-0005-0000-0000-0000D1480000}"/>
    <cellStyle name="40% - Accent5 2 2 4" xfId="1578" xr:uid="{00000000-0005-0000-0000-0000D2480000}"/>
    <cellStyle name="40% - Accent5 2 2 4 2" xfId="5105" xr:uid="{00000000-0005-0000-0000-0000D3480000}"/>
    <cellStyle name="40% - Accent5 2 2 4 2 2" xfId="8696" xr:uid="{00000000-0005-0000-0000-0000D4480000}"/>
    <cellStyle name="40% - Accent5 2 2 4 2 2 2" xfId="16666" xr:uid="{00000000-0005-0000-0000-0000D5480000}"/>
    <cellStyle name="40% - Accent5 2 2 4 2 2 2 2" xfId="40508" xr:uid="{F75550CF-B7E4-4B7D-B2A2-B35CA19D1C8D}"/>
    <cellStyle name="40% - Accent5 2 2 4 2 2 3" xfId="24612" xr:uid="{00000000-0005-0000-0000-0000D6480000}"/>
    <cellStyle name="40% - Accent5 2 2 4 2 2 3 2" xfId="48444" xr:uid="{0ED22470-6836-4EB4-AC63-2AEEE5970006}"/>
    <cellStyle name="40% - Accent5 2 2 4 2 2 4" xfId="32567" xr:uid="{FE5C75A0-2E65-4D06-8ECF-087789F30D97}"/>
    <cellStyle name="40% - Accent5 2 2 4 2 3" xfId="13128" xr:uid="{00000000-0005-0000-0000-0000D7480000}"/>
    <cellStyle name="40% - Accent5 2 2 4 2 3 2" xfId="36977" xr:uid="{8097C01A-89F3-4D95-9319-7416AD3EE564}"/>
    <cellStyle name="40% - Accent5 2 2 4 2 4" xfId="21083" xr:uid="{00000000-0005-0000-0000-0000D8480000}"/>
    <cellStyle name="40% - Accent5 2 2 4 2 4 2" xfId="44915" xr:uid="{D14519F6-E3DA-4EB6-8814-9ACD7FFF64C8}"/>
    <cellStyle name="40% - Accent5 2 2 4 2 5" xfId="29036" xr:uid="{D504A5D4-E813-4397-88A3-593A68EEAE8B}"/>
    <cellStyle name="40% - Accent5 2 2 4 3" xfId="6937" xr:uid="{00000000-0005-0000-0000-0000D9480000}"/>
    <cellStyle name="40% - Accent5 2 2 4 3 2" xfId="14908" xr:uid="{00000000-0005-0000-0000-0000DA480000}"/>
    <cellStyle name="40% - Accent5 2 2 4 3 2 2" xfId="38750" xr:uid="{149FE942-4760-49ED-B7B5-103202838926}"/>
    <cellStyle name="40% - Accent5 2 2 4 3 3" xfId="22855" xr:uid="{00000000-0005-0000-0000-0000DB480000}"/>
    <cellStyle name="40% - Accent5 2 2 4 3 3 2" xfId="46687" xr:uid="{5946E843-B60E-4FCC-A8BE-2E5998AE3023}"/>
    <cellStyle name="40% - Accent5 2 2 4 3 4" xfId="30809" xr:uid="{2E782D9D-6879-4D0D-BCBD-C85791DB0176}"/>
    <cellStyle name="40% - Accent5 2 2 4 4" xfId="11372" xr:uid="{00000000-0005-0000-0000-0000DC480000}"/>
    <cellStyle name="40% - Accent5 2 2 4 4 2" xfId="35221" xr:uid="{A7B25BF7-4D4D-4547-B627-BC7193D1192E}"/>
    <cellStyle name="40% - Accent5 2 2 4 5" xfId="19327" xr:uid="{00000000-0005-0000-0000-0000DD480000}"/>
    <cellStyle name="40% - Accent5 2 2 4 5 2" xfId="43159" xr:uid="{DAFA34F0-EC07-4B8D-917F-7B8E2DDFDD8A}"/>
    <cellStyle name="40% - Accent5 2 2 4 6" xfId="27279" xr:uid="{322222B1-5109-429E-9750-0E420523A6C6}"/>
    <cellStyle name="40% - Accent5 2 2 4_Exh G" xfId="3220" xr:uid="{00000000-0005-0000-0000-0000DE480000}"/>
    <cellStyle name="40% - Accent5 2 2 5" xfId="4226" xr:uid="{00000000-0005-0000-0000-0000DF480000}"/>
    <cellStyle name="40% - Accent5 2 2 5 2" xfId="7818" xr:uid="{00000000-0005-0000-0000-0000E0480000}"/>
    <cellStyle name="40% - Accent5 2 2 5 2 2" xfId="15788" xr:uid="{00000000-0005-0000-0000-0000E1480000}"/>
    <cellStyle name="40% - Accent5 2 2 5 2 2 2" xfId="39630" xr:uid="{15378BF8-AAA5-4BA8-9D49-3F1AFA163710}"/>
    <cellStyle name="40% - Accent5 2 2 5 2 3" xfId="23734" xr:uid="{00000000-0005-0000-0000-0000E2480000}"/>
    <cellStyle name="40% - Accent5 2 2 5 2 3 2" xfId="47566" xr:uid="{3EB191A9-5463-4B1B-B1EC-6D3AA74D2A5E}"/>
    <cellStyle name="40% - Accent5 2 2 5 2 4" xfId="31689" xr:uid="{D87BDA7F-8466-4896-AF40-B7F96781FEAD}"/>
    <cellStyle name="40% - Accent5 2 2 5 3" xfId="12250" xr:uid="{00000000-0005-0000-0000-0000E3480000}"/>
    <cellStyle name="40% - Accent5 2 2 5 3 2" xfId="36099" xr:uid="{1F094A9E-7381-469B-BDAD-497867D4A6B4}"/>
    <cellStyle name="40% - Accent5 2 2 5 4" xfId="20205" xr:uid="{00000000-0005-0000-0000-0000E4480000}"/>
    <cellStyle name="40% - Accent5 2 2 5 4 2" xfId="44037" xr:uid="{E0F945ED-91E6-4617-A383-57F52DD3A71D}"/>
    <cellStyle name="40% - Accent5 2 2 5 5" xfId="28158" xr:uid="{614BDB01-7B36-4179-8F70-8D5B4F815F2F}"/>
    <cellStyle name="40% - Accent5 2 2 6" xfId="6046" xr:uid="{00000000-0005-0000-0000-0000E5480000}"/>
    <cellStyle name="40% - Accent5 2 2 6 2" xfId="14029" xr:uid="{00000000-0005-0000-0000-0000E6480000}"/>
    <cellStyle name="40% - Accent5 2 2 6 2 2" xfId="37872" xr:uid="{E94310C8-2DF8-4AC9-B4D7-99E2D5B3EE0F}"/>
    <cellStyle name="40% - Accent5 2 2 6 3" xfId="21977" xr:uid="{00000000-0005-0000-0000-0000E7480000}"/>
    <cellStyle name="40% - Accent5 2 2 6 3 2" xfId="45809" xr:uid="{355AF243-B774-4D95-98E4-8C42DA2D5845}"/>
    <cellStyle name="40% - Accent5 2 2 6 4" xfId="29931" xr:uid="{A5606489-1E17-447F-84C1-DE6F6F2288B6}"/>
    <cellStyle name="40% - Accent5 2 2 7" xfId="9598" xr:uid="{00000000-0005-0000-0000-0000E8480000}"/>
    <cellStyle name="40% - Accent5 2 2 7 2" xfId="17556" xr:uid="{00000000-0005-0000-0000-0000E9480000}"/>
    <cellStyle name="40% - Accent5 2 2 7 2 2" xfId="41396" xr:uid="{6332A41A-C0AA-431C-8313-6DD41F159596}"/>
    <cellStyle name="40% - Accent5 2 2 7 3" xfId="25500" xr:uid="{00000000-0005-0000-0000-0000EA480000}"/>
    <cellStyle name="40% - Accent5 2 2 7 3 2" xfId="49332" xr:uid="{8215D33E-DD6F-46DF-AE66-D43B30BF4ED4}"/>
    <cellStyle name="40% - Accent5 2 2 7 4" xfId="33455" xr:uid="{4FBBDD16-C195-440C-9F14-B268F7CAFAB5}"/>
    <cellStyle name="40% - Accent5 2 2 8" xfId="10494" xr:uid="{00000000-0005-0000-0000-0000EB480000}"/>
    <cellStyle name="40% - Accent5 2 2 8 2" xfId="34343" xr:uid="{2F82AD8E-0554-488A-B76F-A04D726BEBCC}"/>
    <cellStyle name="40% - Accent5 2 2 9" xfId="18449" xr:uid="{00000000-0005-0000-0000-0000EC480000}"/>
    <cellStyle name="40% - Accent5 2 2 9 2" xfId="42281" xr:uid="{0E348BB0-8EDB-46C7-8D9A-D950C7A9138E}"/>
    <cellStyle name="40% - Accent5 2 2_Exh G" xfId="3215" xr:uid="{00000000-0005-0000-0000-0000ED480000}"/>
    <cellStyle name="40% - Accent5 2 3" xfId="554" xr:uid="{00000000-0005-0000-0000-0000EE480000}"/>
    <cellStyle name="40% - Accent5 2 3 2" xfId="1580" xr:uid="{00000000-0005-0000-0000-0000EF480000}"/>
    <cellStyle name="40% - Accent5 2 3 2 2" xfId="5107" xr:uid="{00000000-0005-0000-0000-0000F0480000}"/>
    <cellStyle name="40% - Accent5 2 3 2 2 2" xfId="8698" xr:uid="{00000000-0005-0000-0000-0000F1480000}"/>
    <cellStyle name="40% - Accent5 2 3 2 2 2 2" xfId="16668" xr:uid="{00000000-0005-0000-0000-0000F2480000}"/>
    <cellStyle name="40% - Accent5 2 3 2 2 2 2 2" xfId="40510" xr:uid="{7BC58B71-ED89-4358-9C09-D06F8EAECE78}"/>
    <cellStyle name="40% - Accent5 2 3 2 2 2 3" xfId="24614" xr:uid="{00000000-0005-0000-0000-0000F3480000}"/>
    <cellStyle name="40% - Accent5 2 3 2 2 2 3 2" xfId="48446" xr:uid="{BD9955B6-D1FB-4185-87AE-196E519E9D47}"/>
    <cellStyle name="40% - Accent5 2 3 2 2 2 4" xfId="32569" xr:uid="{D850DA75-4AE1-48A9-B19C-036A40B2E442}"/>
    <cellStyle name="40% - Accent5 2 3 2 2 3" xfId="13130" xr:uid="{00000000-0005-0000-0000-0000F4480000}"/>
    <cellStyle name="40% - Accent5 2 3 2 2 3 2" xfId="36979" xr:uid="{8C3B32B8-723D-4E5D-B14F-E647A799451C}"/>
    <cellStyle name="40% - Accent5 2 3 2 2 4" xfId="21085" xr:uid="{00000000-0005-0000-0000-0000F5480000}"/>
    <cellStyle name="40% - Accent5 2 3 2 2 4 2" xfId="44917" xr:uid="{C82CA078-5EAE-440C-B8C5-B4934A1F3722}"/>
    <cellStyle name="40% - Accent5 2 3 2 2 5" xfId="29038" xr:uid="{C36FF37F-893A-45A5-9F3F-173840570ED4}"/>
    <cellStyle name="40% - Accent5 2 3 2 3" xfId="6939" xr:uid="{00000000-0005-0000-0000-0000F6480000}"/>
    <cellStyle name="40% - Accent5 2 3 2 3 2" xfId="14910" xr:uid="{00000000-0005-0000-0000-0000F7480000}"/>
    <cellStyle name="40% - Accent5 2 3 2 3 2 2" xfId="38752" xr:uid="{DCBCD38D-EB88-411B-95C6-A53885947C23}"/>
    <cellStyle name="40% - Accent5 2 3 2 3 3" xfId="22857" xr:uid="{00000000-0005-0000-0000-0000F8480000}"/>
    <cellStyle name="40% - Accent5 2 3 2 3 3 2" xfId="46689" xr:uid="{F355AD8E-DFCD-4F85-B231-125C6BC0B89F}"/>
    <cellStyle name="40% - Accent5 2 3 2 3 4" xfId="30811" xr:uid="{4A49A045-FC4A-43CE-B09E-B0CED0C3B54E}"/>
    <cellStyle name="40% - Accent5 2 3 2 4" xfId="11374" xr:uid="{00000000-0005-0000-0000-0000F9480000}"/>
    <cellStyle name="40% - Accent5 2 3 2 4 2" xfId="35223" xr:uid="{6DF3EFF6-3BC1-4195-A472-9718AC747E6D}"/>
    <cellStyle name="40% - Accent5 2 3 2 5" xfId="19329" xr:uid="{00000000-0005-0000-0000-0000FA480000}"/>
    <cellStyle name="40% - Accent5 2 3 2 5 2" xfId="43161" xr:uid="{47E8BBB5-E213-404B-8690-905890B39232}"/>
    <cellStyle name="40% - Accent5 2 3 2 6" xfId="27281" xr:uid="{558038B2-875C-41F5-9C69-D2262DB0EFD6}"/>
    <cellStyle name="40% - Accent5 2 3 2_Exh G" xfId="3222" xr:uid="{00000000-0005-0000-0000-0000FB480000}"/>
    <cellStyle name="40% - Accent5 2 3 3" xfId="4228" xr:uid="{00000000-0005-0000-0000-0000FC480000}"/>
    <cellStyle name="40% - Accent5 2 3 3 2" xfId="7820" xr:uid="{00000000-0005-0000-0000-0000FD480000}"/>
    <cellStyle name="40% - Accent5 2 3 3 2 2" xfId="15790" xr:uid="{00000000-0005-0000-0000-0000FE480000}"/>
    <cellStyle name="40% - Accent5 2 3 3 2 2 2" xfId="39632" xr:uid="{40B0F49C-C5B9-468C-B277-4D2B7454AF7F}"/>
    <cellStyle name="40% - Accent5 2 3 3 2 3" xfId="23736" xr:uid="{00000000-0005-0000-0000-0000FF480000}"/>
    <cellStyle name="40% - Accent5 2 3 3 2 3 2" xfId="47568" xr:uid="{ECCD6E83-5C28-400E-9587-391EDF228189}"/>
    <cellStyle name="40% - Accent5 2 3 3 2 4" xfId="31691" xr:uid="{F83C0F0D-A290-49B1-9734-8DCF4C1A9209}"/>
    <cellStyle name="40% - Accent5 2 3 3 3" xfId="12252" xr:uid="{00000000-0005-0000-0000-000000490000}"/>
    <cellStyle name="40% - Accent5 2 3 3 3 2" xfId="36101" xr:uid="{2A26661B-2A4D-4AB9-9A05-DECBB048C976}"/>
    <cellStyle name="40% - Accent5 2 3 3 4" xfId="20207" xr:uid="{00000000-0005-0000-0000-000001490000}"/>
    <cellStyle name="40% - Accent5 2 3 3 4 2" xfId="44039" xr:uid="{0158AB31-7F83-4FDB-8B99-66A56F38AB2F}"/>
    <cellStyle name="40% - Accent5 2 3 3 5" xfId="28160" xr:uid="{63EF5C4A-4112-4F56-B763-672BD399FE00}"/>
    <cellStyle name="40% - Accent5 2 3 4" xfId="6048" xr:uid="{00000000-0005-0000-0000-000002490000}"/>
    <cellStyle name="40% - Accent5 2 3 4 2" xfId="14031" xr:uid="{00000000-0005-0000-0000-000003490000}"/>
    <cellStyle name="40% - Accent5 2 3 4 2 2" xfId="37874" xr:uid="{B30CDE2E-4185-4F54-859D-D13941DD67B9}"/>
    <cellStyle name="40% - Accent5 2 3 4 3" xfId="21979" xr:uid="{00000000-0005-0000-0000-000004490000}"/>
    <cellStyle name="40% - Accent5 2 3 4 3 2" xfId="45811" xr:uid="{01AE56E4-4AD1-4029-A6D5-8384603A694E}"/>
    <cellStyle name="40% - Accent5 2 3 4 4" xfId="29933" xr:uid="{799EF060-8825-4EDA-942D-2F3637EB155A}"/>
    <cellStyle name="40% - Accent5 2 3 5" xfId="9600" xr:uid="{00000000-0005-0000-0000-000005490000}"/>
    <cellStyle name="40% - Accent5 2 3 5 2" xfId="17558" xr:uid="{00000000-0005-0000-0000-000006490000}"/>
    <cellStyle name="40% - Accent5 2 3 5 2 2" xfId="41398" xr:uid="{CC1635FD-7F91-4EAD-A6F4-2256F23D01C1}"/>
    <cellStyle name="40% - Accent5 2 3 5 3" xfId="25502" xr:uid="{00000000-0005-0000-0000-000007490000}"/>
    <cellStyle name="40% - Accent5 2 3 5 3 2" xfId="49334" xr:uid="{3B7C3908-0A7D-48DA-BD30-3A2885CFD144}"/>
    <cellStyle name="40% - Accent5 2 3 5 4" xfId="33457" xr:uid="{99396D01-DC92-4386-A68C-4510C8384DAB}"/>
    <cellStyle name="40% - Accent5 2 3 6" xfId="10496" xr:uid="{00000000-0005-0000-0000-000008490000}"/>
    <cellStyle name="40% - Accent5 2 3 6 2" xfId="34345" xr:uid="{BF4495B0-3135-457A-903C-EB4E1F901C72}"/>
    <cellStyle name="40% - Accent5 2 3 7" xfId="18451" xr:uid="{00000000-0005-0000-0000-000009490000}"/>
    <cellStyle name="40% - Accent5 2 3 7 2" xfId="42283" xr:uid="{25E88827-3D3E-4448-B179-6D42D60D0444}"/>
    <cellStyle name="40% - Accent5 2 3 8" xfId="26403" xr:uid="{1B6E437F-D441-4CA9-9855-76876B11BE1C}"/>
    <cellStyle name="40% - Accent5 2 3_Exh G" xfId="3221" xr:uid="{00000000-0005-0000-0000-00000A490000}"/>
    <cellStyle name="40% - Accent5 2 4" xfId="980" xr:uid="{00000000-0005-0000-0000-00000B490000}"/>
    <cellStyle name="40% - Accent5 2 4 2" xfId="1892" xr:uid="{00000000-0005-0000-0000-00000C490000}"/>
    <cellStyle name="40% - Accent5 2 4 2 2" xfId="5409" xr:uid="{00000000-0005-0000-0000-00000D490000}"/>
    <cellStyle name="40% - Accent5 2 4 2 2 2" xfId="9000" xr:uid="{00000000-0005-0000-0000-00000E490000}"/>
    <cellStyle name="40% - Accent5 2 4 2 2 2 2" xfId="16970" xr:uid="{00000000-0005-0000-0000-00000F490000}"/>
    <cellStyle name="40% - Accent5 2 4 2 2 2 2 2" xfId="40812" xr:uid="{88998099-052F-421B-A5B9-8E85235CA788}"/>
    <cellStyle name="40% - Accent5 2 4 2 2 2 3" xfId="24916" xr:uid="{00000000-0005-0000-0000-000010490000}"/>
    <cellStyle name="40% - Accent5 2 4 2 2 2 3 2" xfId="48748" xr:uid="{58FB272E-8FE5-4FD8-87F7-05D6133882C1}"/>
    <cellStyle name="40% - Accent5 2 4 2 2 2 4" xfId="32871" xr:uid="{CF85C60D-BAB0-407F-947E-779737C71E0D}"/>
    <cellStyle name="40% - Accent5 2 4 2 2 3" xfId="13432" xr:uid="{00000000-0005-0000-0000-000011490000}"/>
    <cellStyle name="40% - Accent5 2 4 2 2 3 2" xfId="37281" xr:uid="{F3FA8FAB-0CBB-4A69-91D5-D9CCACC4E54E}"/>
    <cellStyle name="40% - Accent5 2 4 2 2 4" xfId="21387" xr:uid="{00000000-0005-0000-0000-000012490000}"/>
    <cellStyle name="40% - Accent5 2 4 2 2 4 2" xfId="45219" xr:uid="{7B4F4CD0-6479-44E1-B392-9DCDCF680CFC}"/>
    <cellStyle name="40% - Accent5 2 4 2 2 5" xfId="29340" xr:uid="{E5986C95-F182-45D2-9D99-7A2859A758CF}"/>
    <cellStyle name="40% - Accent5 2 4 2 3" xfId="7241" xr:uid="{00000000-0005-0000-0000-000013490000}"/>
    <cellStyle name="40% - Accent5 2 4 2 3 2" xfId="15212" xr:uid="{00000000-0005-0000-0000-000014490000}"/>
    <cellStyle name="40% - Accent5 2 4 2 3 2 2" xfId="39054" xr:uid="{8A0BA720-8B5A-49A5-90D7-B191C93B509B}"/>
    <cellStyle name="40% - Accent5 2 4 2 3 3" xfId="23159" xr:uid="{00000000-0005-0000-0000-000015490000}"/>
    <cellStyle name="40% - Accent5 2 4 2 3 3 2" xfId="46991" xr:uid="{DC4FC618-442A-4646-8D95-C30CDF3D6531}"/>
    <cellStyle name="40% - Accent5 2 4 2 3 4" xfId="31113" xr:uid="{49FC9F4F-2F71-4B54-A55E-0E180D85A00A}"/>
    <cellStyle name="40% - Accent5 2 4 2 4" xfId="11676" xr:uid="{00000000-0005-0000-0000-000016490000}"/>
    <cellStyle name="40% - Accent5 2 4 2 4 2" xfId="35525" xr:uid="{5C82CFE5-9949-4C2E-970A-E21614A375C4}"/>
    <cellStyle name="40% - Accent5 2 4 2 5" xfId="19631" xr:uid="{00000000-0005-0000-0000-000017490000}"/>
    <cellStyle name="40% - Accent5 2 4 2 5 2" xfId="43463" xr:uid="{193BEBB5-6D6E-4FEF-9FD8-49B8DCE0CA99}"/>
    <cellStyle name="40% - Accent5 2 4 2 6" xfId="27583" xr:uid="{CC71EE76-3BD1-4EDB-A469-E5940BCAC2A2}"/>
    <cellStyle name="40% - Accent5 2 4 2_Exh G" xfId="3224" xr:uid="{00000000-0005-0000-0000-000018490000}"/>
    <cellStyle name="40% - Accent5 2 4 3" xfId="4530" xr:uid="{00000000-0005-0000-0000-000019490000}"/>
    <cellStyle name="40% - Accent5 2 4 3 2" xfId="8122" xr:uid="{00000000-0005-0000-0000-00001A490000}"/>
    <cellStyle name="40% - Accent5 2 4 3 2 2" xfId="16092" xr:uid="{00000000-0005-0000-0000-00001B490000}"/>
    <cellStyle name="40% - Accent5 2 4 3 2 2 2" xfId="39934" xr:uid="{0D25B6DA-D02A-4E0F-8985-267A2AB68AB4}"/>
    <cellStyle name="40% - Accent5 2 4 3 2 3" xfId="24038" xr:uid="{00000000-0005-0000-0000-00001C490000}"/>
    <cellStyle name="40% - Accent5 2 4 3 2 3 2" xfId="47870" xr:uid="{32ECD3DE-D224-4E96-AB48-35D372A3ED02}"/>
    <cellStyle name="40% - Accent5 2 4 3 2 4" xfId="31993" xr:uid="{9F420423-127C-455E-BBEA-9277AA0757D1}"/>
    <cellStyle name="40% - Accent5 2 4 3 3" xfId="12554" xr:uid="{00000000-0005-0000-0000-00001D490000}"/>
    <cellStyle name="40% - Accent5 2 4 3 3 2" xfId="36403" xr:uid="{77D79312-F0FC-4257-991C-C3C8AB1C893C}"/>
    <cellStyle name="40% - Accent5 2 4 3 4" xfId="20509" xr:uid="{00000000-0005-0000-0000-00001E490000}"/>
    <cellStyle name="40% - Accent5 2 4 3 4 2" xfId="44341" xr:uid="{1AE9A81E-EB2A-4DCD-B0EC-E4B8B3D6E2C1}"/>
    <cellStyle name="40% - Accent5 2 4 3 5" xfId="28462" xr:uid="{BA7747C2-FD1C-420B-8257-D00C278F6CAD}"/>
    <cellStyle name="40% - Accent5 2 4 4" xfId="6360" xr:uid="{00000000-0005-0000-0000-00001F490000}"/>
    <cellStyle name="40% - Accent5 2 4 4 2" xfId="14334" xr:uid="{00000000-0005-0000-0000-000020490000}"/>
    <cellStyle name="40% - Accent5 2 4 4 2 2" xfId="38176" xr:uid="{17A49A63-C75B-4E4E-9CD7-2A9570E3413F}"/>
    <cellStyle name="40% - Accent5 2 4 4 3" xfId="22281" xr:uid="{00000000-0005-0000-0000-000021490000}"/>
    <cellStyle name="40% - Accent5 2 4 4 3 2" xfId="46113" xr:uid="{A6C19DA7-D475-4BA3-96EB-D47A8EA34440}"/>
    <cellStyle name="40% - Accent5 2 4 4 4" xfId="30235" xr:uid="{EB24D4A3-6051-419A-AD21-9A7941F8E4B5}"/>
    <cellStyle name="40% - Accent5 2 4 5" xfId="9902" xr:uid="{00000000-0005-0000-0000-000022490000}"/>
    <cellStyle name="40% - Accent5 2 4 5 2" xfId="17860" xr:uid="{00000000-0005-0000-0000-000023490000}"/>
    <cellStyle name="40% - Accent5 2 4 5 2 2" xfId="41700" xr:uid="{BBA91EA1-40C1-433F-9D2B-A908C8756C9A}"/>
    <cellStyle name="40% - Accent5 2 4 5 3" xfId="25804" xr:uid="{00000000-0005-0000-0000-000024490000}"/>
    <cellStyle name="40% - Accent5 2 4 5 3 2" xfId="49636" xr:uid="{5046EF60-B0E1-4CD5-A756-218DB59971DF}"/>
    <cellStyle name="40% - Accent5 2 4 5 4" xfId="33759" xr:uid="{031348C2-8F42-49B8-A162-5F2733077F80}"/>
    <cellStyle name="40% - Accent5 2 4 6" xfId="10798" xr:uid="{00000000-0005-0000-0000-000025490000}"/>
    <cellStyle name="40% - Accent5 2 4 6 2" xfId="34647" xr:uid="{52C2C750-ADF6-488D-87C4-50C7C255AB92}"/>
    <cellStyle name="40% - Accent5 2 4 7" xfId="18753" xr:uid="{00000000-0005-0000-0000-000026490000}"/>
    <cellStyle name="40% - Accent5 2 4 7 2" xfId="42585" xr:uid="{17247BA5-A902-41C6-BD51-2E03FC7533FF}"/>
    <cellStyle name="40% - Accent5 2 4 8" xfId="26705" xr:uid="{396AC922-923C-4A63-AE75-A2AE2A5BE8E1}"/>
    <cellStyle name="40% - Accent5 2 4_Exh G" xfId="3223" xr:uid="{00000000-0005-0000-0000-000027490000}"/>
    <cellStyle name="40% - Accent5 2 5" xfId="1577" xr:uid="{00000000-0005-0000-0000-000028490000}"/>
    <cellStyle name="40% - Accent5 2 5 2" xfId="5104" xr:uid="{00000000-0005-0000-0000-000029490000}"/>
    <cellStyle name="40% - Accent5 2 5 2 2" xfId="8695" xr:uid="{00000000-0005-0000-0000-00002A490000}"/>
    <cellStyle name="40% - Accent5 2 5 2 2 2" xfId="16665" xr:uid="{00000000-0005-0000-0000-00002B490000}"/>
    <cellStyle name="40% - Accent5 2 5 2 2 2 2" xfId="40507" xr:uid="{3B0DB002-0730-4151-AFFA-550A295A8E8B}"/>
    <cellStyle name="40% - Accent5 2 5 2 2 3" xfId="24611" xr:uid="{00000000-0005-0000-0000-00002C490000}"/>
    <cellStyle name="40% - Accent5 2 5 2 2 3 2" xfId="48443" xr:uid="{AC604AAD-91C0-4F8D-976F-7AF861F5A12A}"/>
    <cellStyle name="40% - Accent5 2 5 2 2 4" xfId="32566" xr:uid="{200ADE2B-928E-4EED-982B-E2DF73F32DA6}"/>
    <cellStyle name="40% - Accent5 2 5 2 3" xfId="13127" xr:uid="{00000000-0005-0000-0000-00002D490000}"/>
    <cellStyle name="40% - Accent5 2 5 2 3 2" xfId="36976" xr:uid="{67114204-62B3-42A9-8851-15CCEB943E41}"/>
    <cellStyle name="40% - Accent5 2 5 2 4" xfId="21082" xr:uid="{00000000-0005-0000-0000-00002E490000}"/>
    <cellStyle name="40% - Accent5 2 5 2 4 2" xfId="44914" xr:uid="{1FA088E9-AA30-47CA-B978-DC0C3EFE2F33}"/>
    <cellStyle name="40% - Accent5 2 5 2 5" xfId="29035" xr:uid="{491DA366-1E4B-4F4C-8F65-CCFE98A7A58C}"/>
    <cellStyle name="40% - Accent5 2 5 3" xfId="6936" xr:uid="{00000000-0005-0000-0000-00002F490000}"/>
    <cellStyle name="40% - Accent5 2 5 3 2" xfId="14907" xr:uid="{00000000-0005-0000-0000-000030490000}"/>
    <cellStyle name="40% - Accent5 2 5 3 2 2" xfId="38749" xr:uid="{472DB92A-E2F9-405D-A92E-339AF9F6115D}"/>
    <cellStyle name="40% - Accent5 2 5 3 3" xfId="22854" xr:uid="{00000000-0005-0000-0000-000031490000}"/>
    <cellStyle name="40% - Accent5 2 5 3 3 2" xfId="46686" xr:uid="{3119A02B-AD47-4EB4-81B2-80FA1820CD6B}"/>
    <cellStyle name="40% - Accent5 2 5 3 4" xfId="30808" xr:uid="{92FE1EA2-F365-4337-BBE5-C2D5C7127CF6}"/>
    <cellStyle name="40% - Accent5 2 5 4" xfId="11371" xr:uid="{00000000-0005-0000-0000-000032490000}"/>
    <cellStyle name="40% - Accent5 2 5 4 2" xfId="35220" xr:uid="{4F4C9E5A-08C6-4A1D-AB3A-3192B61E6BAB}"/>
    <cellStyle name="40% - Accent5 2 5 5" xfId="19326" xr:uid="{00000000-0005-0000-0000-000033490000}"/>
    <cellStyle name="40% - Accent5 2 5 5 2" xfId="43158" xr:uid="{E1E82ADE-B3CD-4E9B-B685-B352A28E8442}"/>
    <cellStyle name="40% - Accent5 2 5 6" xfId="27278" xr:uid="{EC8CCFA6-BB1E-4CD8-8787-56CE4C7A5BCD}"/>
    <cellStyle name="40% - Accent5 2 5_Exh G" xfId="3225" xr:uid="{00000000-0005-0000-0000-000034490000}"/>
    <cellStyle name="40% - Accent5 2 6" xfId="4225" xr:uid="{00000000-0005-0000-0000-000035490000}"/>
    <cellStyle name="40% - Accent5 2 6 2" xfId="7817" xr:uid="{00000000-0005-0000-0000-000036490000}"/>
    <cellStyle name="40% - Accent5 2 6 2 2" xfId="15787" xr:uid="{00000000-0005-0000-0000-000037490000}"/>
    <cellStyle name="40% - Accent5 2 6 2 2 2" xfId="39629" xr:uid="{7E6A7D7B-B5C0-4775-8E50-0AF337D06FE2}"/>
    <cellStyle name="40% - Accent5 2 6 2 3" xfId="23733" xr:uid="{00000000-0005-0000-0000-000038490000}"/>
    <cellStyle name="40% - Accent5 2 6 2 3 2" xfId="47565" xr:uid="{94D49412-5591-49E2-8EA5-AF5795D2F314}"/>
    <cellStyle name="40% - Accent5 2 6 2 4" xfId="31688" xr:uid="{7FF9D320-35FC-450C-9F6F-4CEAE7C2D92A}"/>
    <cellStyle name="40% - Accent5 2 6 3" xfId="12249" xr:uid="{00000000-0005-0000-0000-000039490000}"/>
    <cellStyle name="40% - Accent5 2 6 3 2" xfId="36098" xr:uid="{EC368454-46B6-400F-A2B5-904A681A5126}"/>
    <cellStyle name="40% - Accent5 2 6 4" xfId="20204" xr:uid="{00000000-0005-0000-0000-00003A490000}"/>
    <cellStyle name="40% - Accent5 2 6 4 2" xfId="44036" xr:uid="{B4C8AC45-76BC-487F-854F-D4D39FB7F8E4}"/>
    <cellStyle name="40% - Accent5 2 6 5" xfId="28157" xr:uid="{A3D93899-34E3-4FC9-899D-615BA3959C6E}"/>
    <cellStyle name="40% - Accent5 2 7" xfId="6045" xr:uid="{00000000-0005-0000-0000-00003B490000}"/>
    <cellStyle name="40% - Accent5 2 7 2" xfId="14028" xr:uid="{00000000-0005-0000-0000-00003C490000}"/>
    <cellStyle name="40% - Accent5 2 7 2 2" xfId="37871" xr:uid="{7049CAFB-6135-4B08-B759-6B196CC66E3C}"/>
    <cellStyle name="40% - Accent5 2 7 3" xfId="21976" xr:uid="{00000000-0005-0000-0000-00003D490000}"/>
    <cellStyle name="40% - Accent5 2 7 3 2" xfId="45808" xr:uid="{8D886B8F-6A3E-4288-B4AD-9C68938BB71D}"/>
    <cellStyle name="40% - Accent5 2 7 4" xfId="29930" xr:uid="{9099EFD1-3294-47CB-97F7-CAE5ABAB86A2}"/>
    <cellStyle name="40% - Accent5 2 8" xfId="9597" xr:uid="{00000000-0005-0000-0000-00003E490000}"/>
    <cellStyle name="40% - Accent5 2 8 2" xfId="17555" xr:uid="{00000000-0005-0000-0000-00003F490000}"/>
    <cellStyle name="40% - Accent5 2 8 2 2" xfId="41395" xr:uid="{32848558-51C7-43CF-8799-68980509A962}"/>
    <cellStyle name="40% - Accent5 2 8 3" xfId="25499" xr:uid="{00000000-0005-0000-0000-000040490000}"/>
    <cellStyle name="40% - Accent5 2 8 3 2" xfId="49331" xr:uid="{A2947548-E4E1-4A29-BBE1-B99FB8AC916A}"/>
    <cellStyle name="40% - Accent5 2 8 4" xfId="33454" xr:uid="{2BAB52EA-E2CE-430B-825B-9CD9EE918A30}"/>
    <cellStyle name="40% - Accent5 2 9" xfId="10493" xr:uid="{00000000-0005-0000-0000-000041490000}"/>
    <cellStyle name="40% - Accent5 2 9 2" xfId="34342" xr:uid="{B54A00C2-1A39-419F-9D51-799CFBEA97AE}"/>
    <cellStyle name="40% - Accent5 2_Exh G" xfId="3214" xr:uid="{00000000-0005-0000-0000-000042490000}"/>
    <cellStyle name="40% - Accent5 3" xfId="555" xr:uid="{00000000-0005-0000-0000-000043490000}"/>
    <cellStyle name="40% - Accent5 3 10" xfId="18452" xr:uid="{00000000-0005-0000-0000-000044490000}"/>
    <cellStyle name="40% - Accent5 3 10 2" xfId="42284" xr:uid="{3FB34BD4-94A7-4425-8C57-631B7172742B}"/>
    <cellStyle name="40% - Accent5 3 11" xfId="26404" xr:uid="{8DAE3C7A-C5D2-4C1B-827A-58C99761C959}"/>
    <cellStyle name="40% - Accent5 3 12" xfId="49763" xr:uid="{E9067AC6-71D6-4C19-954F-52F030945BF8}"/>
    <cellStyle name="40% - Accent5 3 13" xfId="49817" xr:uid="{C3299C45-9F08-4EF2-89D0-E1082B118B35}"/>
    <cellStyle name="40% - Accent5 3 2" xfId="556" xr:uid="{00000000-0005-0000-0000-000045490000}"/>
    <cellStyle name="40% - Accent5 3 2 10" xfId="26405" xr:uid="{7B814252-5EEC-4B5B-BD95-F4342FB3C3FD}"/>
    <cellStyle name="40% - Accent5 3 2 2" xfId="557" xr:uid="{00000000-0005-0000-0000-000046490000}"/>
    <cellStyle name="40% - Accent5 3 2 2 2" xfId="1583" xr:uid="{00000000-0005-0000-0000-000047490000}"/>
    <cellStyle name="40% - Accent5 3 2 2 2 2" xfId="5110" xr:uid="{00000000-0005-0000-0000-000048490000}"/>
    <cellStyle name="40% - Accent5 3 2 2 2 2 2" xfId="8701" xr:uid="{00000000-0005-0000-0000-000049490000}"/>
    <cellStyle name="40% - Accent5 3 2 2 2 2 2 2" xfId="16671" xr:uid="{00000000-0005-0000-0000-00004A490000}"/>
    <cellStyle name="40% - Accent5 3 2 2 2 2 2 2 2" xfId="40513" xr:uid="{B397D40B-AB22-4875-873C-730835A578BB}"/>
    <cellStyle name="40% - Accent5 3 2 2 2 2 2 3" xfId="24617" xr:uid="{00000000-0005-0000-0000-00004B490000}"/>
    <cellStyle name="40% - Accent5 3 2 2 2 2 2 3 2" xfId="48449" xr:uid="{8351AB97-0421-44AD-81CD-D538A194F447}"/>
    <cellStyle name="40% - Accent5 3 2 2 2 2 2 4" xfId="32572" xr:uid="{6989F3CD-BA08-4F49-9A58-230676A46CF1}"/>
    <cellStyle name="40% - Accent5 3 2 2 2 2 3" xfId="13133" xr:uid="{00000000-0005-0000-0000-00004C490000}"/>
    <cellStyle name="40% - Accent5 3 2 2 2 2 3 2" xfId="36982" xr:uid="{BEF19DBA-C0CC-48F0-872C-80CF3A8ADE4F}"/>
    <cellStyle name="40% - Accent5 3 2 2 2 2 4" xfId="21088" xr:uid="{00000000-0005-0000-0000-00004D490000}"/>
    <cellStyle name="40% - Accent5 3 2 2 2 2 4 2" xfId="44920" xr:uid="{0FAE35A6-000E-4791-9343-571B134A3F53}"/>
    <cellStyle name="40% - Accent5 3 2 2 2 2 5" xfId="29041" xr:uid="{39A888CE-2D3B-490C-9A5E-0EACD3C785A3}"/>
    <cellStyle name="40% - Accent5 3 2 2 2 3" xfId="6942" xr:uid="{00000000-0005-0000-0000-00004E490000}"/>
    <cellStyle name="40% - Accent5 3 2 2 2 3 2" xfId="14913" xr:uid="{00000000-0005-0000-0000-00004F490000}"/>
    <cellStyle name="40% - Accent5 3 2 2 2 3 2 2" xfId="38755" xr:uid="{59505A89-4965-48E9-A0BD-77DB7E9B91F6}"/>
    <cellStyle name="40% - Accent5 3 2 2 2 3 3" xfId="22860" xr:uid="{00000000-0005-0000-0000-000050490000}"/>
    <cellStyle name="40% - Accent5 3 2 2 2 3 3 2" xfId="46692" xr:uid="{BFB3FDDE-F5E8-4A93-91A0-E21E8CC4F82F}"/>
    <cellStyle name="40% - Accent5 3 2 2 2 3 4" xfId="30814" xr:uid="{8F65B37F-C898-47E0-BC92-D246D226F251}"/>
    <cellStyle name="40% - Accent5 3 2 2 2 4" xfId="11377" xr:uid="{00000000-0005-0000-0000-000051490000}"/>
    <cellStyle name="40% - Accent5 3 2 2 2 4 2" xfId="35226" xr:uid="{B5645D20-07BB-4B32-A8B2-2B685181E2F8}"/>
    <cellStyle name="40% - Accent5 3 2 2 2 5" xfId="19332" xr:uid="{00000000-0005-0000-0000-000052490000}"/>
    <cellStyle name="40% - Accent5 3 2 2 2 5 2" xfId="43164" xr:uid="{E5102660-00E4-4D07-9A41-163082A577ED}"/>
    <cellStyle name="40% - Accent5 3 2 2 2 6" xfId="27284" xr:uid="{858BC5BB-D965-4B5B-A365-12927758ABAF}"/>
    <cellStyle name="40% - Accent5 3 2 2 2_Exh G" xfId="3229" xr:uid="{00000000-0005-0000-0000-000053490000}"/>
    <cellStyle name="40% - Accent5 3 2 2 3" xfId="4231" xr:uid="{00000000-0005-0000-0000-000054490000}"/>
    <cellStyle name="40% - Accent5 3 2 2 3 2" xfId="7823" xr:uid="{00000000-0005-0000-0000-000055490000}"/>
    <cellStyle name="40% - Accent5 3 2 2 3 2 2" xfId="15793" xr:uid="{00000000-0005-0000-0000-000056490000}"/>
    <cellStyle name="40% - Accent5 3 2 2 3 2 2 2" xfId="39635" xr:uid="{E18854FC-023A-4AA5-BB44-2189E924811A}"/>
    <cellStyle name="40% - Accent5 3 2 2 3 2 3" xfId="23739" xr:uid="{00000000-0005-0000-0000-000057490000}"/>
    <cellStyle name="40% - Accent5 3 2 2 3 2 3 2" xfId="47571" xr:uid="{7B574C5A-6798-489C-9298-A0F15CED3873}"/>
    <cellStyle name="40% - Accent5 3 2 2 3 2 4" xfId="31694" xr:uid="{9F26FA6A-98F7-4EAC-AA80-3714DF3654AE}"/>
    <cellStyle name="40% - Accent5 3 2 2 3 3" xfId="12255" xr:uid="{00000000-0005-0000-0000-000058490000}"/>
    <cellStyle name="40% - Accent5 3 2 2 3 3 2" xfId="36104" xr:uid="{43CDD49B-3177-473B-953F-E1658447EA44}"/>
    <cellStyle name="40% - Accent5 3 2 2 3 4" xfId="20210" xr:uid="{00000000-0005-0000-0000-000059490000}"/>
    <cellStyle name="40% - Accent5 3 2 2 3 4 2" xfId="44042" xr:uid="{BB75329B-BAF9-4C56-9C7A-2ACCEADE4C95}"/>
    <cellStyle name="40% - Accent5 3 2 2 3 5" xfId="28163" xr:uid="{3D1E5860-7333-4C20-8FA9-9F95F8E35308}"/>
    <cellStyle name="40% - Accent5 3 2 2 4" xfId="6051" xr:uid="{00000000-0005-0000-0000-00005A490000}"/>
    <cellStyle name="40% - Accent5 3 2 2 4 2" xfId="14034" xr:uid="{00000000-0005-0000-0000-00005B490000}"/>
    <cellStyle name="40% - Accent5 3 2 2 4 2 2" xfId="37877" xr:uid="{322D0C66-1316-40B6-AA76-F3AA4AFB19AE}"/>
    <cellStyle name="40% - Accent5 3 2 2 4 3" xfId="21982" xr:uid="{00000000-0005-0000-0000-00005C490000}"/>
    <cellStyle name="40% - Accent5 3 2 2 4 3 2" xfId="45814" xr:uid="{426F87CA-79AE-41DB-8AAF-AC838EE625CA}"/>
    <cellStyle name="40% - Accent5 3 2 2 4 4" xfId="29936" xr:uid="{B837AFF6-CA1C-4A73-8FF4-52552FA5C8A6}"/>
    <cellStyle name="40% - Accent5 3 2 2 5" xfId="9603" xr:uid="{00000000-0005-0000-0000-00005D490000}"/>
    <cellStyle name="40% - Accent5 3 2 2 5 2" xfId="17561" xr:uid="{00000000-0005-0000-0000-00005E490000}"/>
    <cellStyle name="40% - Accent5 3 2 2 5 2 2" xfId="41401" xr:uid="{69D8E8AA-291F-400E-9FDE-A46C73917892}"/>
    <cellStyle name="40% - Accent5 3 2 2 5 3" xfId="25505" xr:uid="{00000000-0005-0000-0000-00005F490000}"/>
    <cellStyle name="40% - Accent5 3 2 2 5 3 2" xfId="49337" xr:uid="{80B5DE84-D3FB-462F-AAD2-6FFFF5CD850D}"/>
    <cellStyle name="40% - Accent5 3 2 2 5 4" xfId="33460" xr:uid="{471F6474-1563-4F64-ADA5-EB4986AC3697}"/>
    <cellStyle name="40% - Accent5 3 2 2 6" xfId="10499" xr:uid="{00000000-0005-0000-0000-000060490000}"/>
    <cellStyle name="40% - Accent5 3 2 2 6 2" xfId="34348" xr:uid="{836459FF-6E88-4959-8B46-DCC910D4A3B2}"/>
    <cellStyle name="40% - Accent5 3 2 2 7" xfId="18454" xr:uid="{00000000-0005-0000-0000-000061490000}"/>
    <cellStyle name="40% - Accent5 3 2 2 7 2" xfId="42286" xr:uid="{64EB6177-327E-49CA-88A8-CA0E9C39BB5B}"/>
    <cellStyle name="40% - Accent5 3 2 2 8" xfId="26406" xr:uid="{458E6D4B-0551-4F96-9490-32EB83A75F2B}"/>
    <cellStyle name="40% - Accent5 3 2 2_Exh G" xfId="3228" xr:uid="{00000000-0005-0000-0000-000062490000}"/>
    <cellStyle name="40% - Accent5 3 2 3" xfId="983" xr:uid="{00000000-0005-0000-0000-000063490000}"/>
    <cellStyle name="40% - Accent5 3 2 3 2" xfId="1895" xr:uid="{00000000-0005-0000-0000-000064490000}"/>
    <cellStyle name="40% - Accent5 3 2 3 2 2" xfId="5412" xr:uid="{00000000-0005-0000-0000-000065490000}"/>
    <cellStyle name="40% - Accent5 3 2 3 2 2 2" xfId="9003" xr:uid="{00000000-0005-0000-0000-000066490000}"/>
    <cellStyle name="40% - Accent5 3 2 3 2 2 2 2" xfId="16973" xr:uid="{00000000-0005-0000-0000-000067490000}"/>
    <cellStyle name="40% - Accent5 3 2 3 2 2 2 2 2" xfId="40815" xr:uid="{6F2C3FC6-F486-4099-A103-C1F2F0989C80}"/>
    <cellStyle name="40% - Accent5 3 2 3 2 2 2 3" xfId="24919" xr:uid="{00000000-0005-0000-0000-000068490000}"/>
    <cellStyle name="40% - Accent5 3 2 3 2 2 2 3 2" xfId="48751" xr:uid="{8DCB7160-22F4-42CB-B451-7FC2DACFF42A}"/>
    <cellStyle name="40% - Accent5 3 2 3 2 2 2 4" xfId="32874" xr:uid="{391AE58E-9066-4F99-B1AF-5FB103544C8F}"/>
    <cellStyle name="40% - Accent5 3 2 3 2 2 3" xfId="13435" xr:uid="{00000000-0005-0000-0000-000069490000}"/>
    <cellStyle name="40% - Accent5 3 2 3 2 2 3 2" xfId="37284" xr:uid="{E5F5EC6B-02F9-42FF-ACA1-A53FC0EB09B0}"/>
    <cellStyle name="40% - Accent5 3 2 3 2 2 4" xfId="21390" xr:uid="{00000000-0005-0000-0000-00006A490000}"/>
    <cellStyle name="40% - Accent5 3 2 3 2 2 4 2" xfId="45222" xr:uid="{C5F7456C-91C3-4A38-89C5-8674456D0267}"/>
    <cellStyle name="40% - Accent5 3 2 3 2 2 5" xfId="29343" xr:uid="{FC1C0427-76F3-41D0-AE13-2AEF306BED3E}"/>
    <cellStyle name="40% - Accent5 3 2 3 2 3" xfId="7244" xr:uid="{00000000-0005-0000-0000-00006B490000}"/>
    <cellStyle name="40% - Accent5 3 2 3 2 3 2" xfId="15215" xr:uid="{00000000-0005-0000-0000-00006C490000}"/>
    <cellStyle name="40% - Accent5 3 2 3 2 3 2 2" xfId="39057" xr:uid="{1CC03A9D-FAE9-4621-ADDE-93D4B630EFC7}"/>
    <cellStyle name="40% - Accent5 3 2 3 2 3 3" xfId="23162" xr:uid="{00000000-0005-0000-0000-00006D490000}"/>
    <cellStyle name="40% - Accent5 3 2 3 2 3 3 2" xfId="46994" xr:uid="{6122694C-2DA5-4EF2-BAB0-528BA02069E3}"/>
    <cellStyle name="40% - Accent5 3 2 3 2 3 4" xfId="31116" xr:uid="{249EA4DB-C6FD-4233-A809-47CF696142FF}"/>
    <cellStyle name="40% - Accent5 3 2 3 2 4" xfId="11679" xr:uid="{00000000-0005-0000-0000-00006E490000}"/>
    <cellStyle name="40% - Accent5 3 2 3 2 4 2" xfId="35528" xr:uid="{F1DD6703-D732-4F68-8EBE-3CAAC958D6A6}"/>
    <cellStyle name="40% - Accent5 3 2 3 2 5" xfId="19634" xr:uid="{00000000-0005-0000-0000-00006F490000}"/>
    <cellStyle name="40% - Accent5 3 2 3 2 5 2" xfId="43466" xr:uid="{C63DED28-E64E-4348-87EF-EC06797F20A1}"/>
    <cellStyle name="40% - Accent5 3 2 3 2 6" xfId="27586" xr:uid="{CA509A94-197F-4B07-8AA5-C06A2669F559}"/>
    <cellStyle name="40% - Accent5 3 2 3 2_Exh G" xfId="3231" xr:uid="{00000000-0005-0000-0000-000070490000}"/>
    <cellStyle name="40% - Accent5 3 2 3 3" xfId="4533" xr:uid="{00000000-0005-0000-0000-000071490000}"/>
    <cellStyle name="40% - Accent5 3 2 3 3 2" xfId="8125" xr:uid="{00000000-0005-0000-0000-000072490000}"/>
    <cellStyle name="40% - Accent5 3 2 3 3 2 2" xfId="16095" xr:uid="{00000000-0005-0000-0000-000073490000}"/>
    <cellStyle name="40% - Accent5 3 2 3 3 2 2 2" xfId="39937" xr:uid="{B6B173F1-DE53-4DD2-A33D-9EA1E72474D4}"/>
    <cellStyle name="40% - Accent5 3 2 3 3 2 3" xfId="24041" xr:uid="{00000000-0005-0000-0000-000074490000}"/>
    <cellStyle name="40% - Accent5 3 2 3 3 2 3 2" xfId="47873" xr:uid="{B2B0132F-56CB-4399-B26A-9C77ED913B00}"/>
    <cellStyle name="40% - Accent5 3 2 3 3 2 4" xfId="31996" xr:uid="{D42CA7D7-7A9D-495B-9D21-06219B6A406B}"/>
    <cellStyle name="40% - Accent5 3 2 3 3 3" xfId="12557" xr:uid="{00000000-0005-0000-0000-000075490000}"/>
    <cellStyle name="40% - Accent5 3 2 3 3 3 2" xfId="36406" xr:uid="{E6E523DD-6084-4B33-B57E-10E3D0D10946}"/>
    <cellStyle name="40% - Accent5 3 2 3 3 4" xfId="20512" xr:uid="{00000000-0005-0000-0000-000076490000}"/>
    <cellStyle name="40% - Accent5 3 2 3 3 4 2" xfId="44344" xr:uid="{8A3E5ACC-9A0D-421F-96ED-73395ABB79A5}"/>
    <cellStyle name="40% - Accent5 3 2 3 3 5" xfId="28465" xr:uid="{3DAA20F7-7BFC-4A7F-B8A4-1A367EB1F616}"/>
    <cellStyle name="40% - Accent5 3 2 3 4" xfId="6363" xr:uid="{00000000-0005-0000-0000-000077490000}"/>
    <cellStyle name="40% - Accent5 3 2 3 4 2" xfId="14337" xr:uid="{00000000-0005-0000-0000-000078490000}"/>
    <cellStyle name="40% - Accent5 3 2 3 4 2 2" xfId="38179" xr:uid="{70CD3A87-3C7A-417A-8B80-A54C0771B03F}"/>
    <cellStyle name="40% - Accent5 3 2 3 4 3" xfId="22284" xr:uid="{00000000-0005-0000-0000-000079490000}"/>
    <cellStyle name="40% - Accent5 3 2 3 4 3 2" xfId="46116" xr:uid="{A9570CBB-D17D-4CDB-AEA4-25B9468B4AE9}"/>
    <cellStyle name="40% - Accent5 3 2 3 4 4" xfId="30238" xr:uid="{7DD94B46-E756-4E8D-B08D-C3DEAD6CAA54}"/>
    <cellStyle name="40% - Accent5 3 2 3 5" xfId="9905" xr:uid="{00000000-0005-0000-0000-00007A490000}"/>
    <cellStyle name="40% - Accent5 3 2 3 5 2" xfId="17863" xr:uid="{00000000-0005-0000-0000-00007B490000}"/>
    <cellStyle name="40% - Accent5 3 2 3 5 2 2" xfId="41703" xr:uid="{F3DE5ABF-1FE1-4493-873B-7CB74387491D}"/>
    <cellStyle name="40% - Accent5 3 2 3 5 3" xfId="25807" xr:uid="{00000000-0005-0000-0000-00007C490000}"/>
    <cellStyle name="40% - Accent5 3 2 3 5 3 2" xfId="49639" xr:uid="{06E5BDA0-0457-4AC4-A782-EC52D4B81F78}"/>
    <cellStyle name="40% - Accent5 3 2 3 5 4" xfId="33762" xr:uid="{DCFCC2FB-5F8B-40CE-86E8-33562EC741E2}"/>
    <cellStyle name="40% - Accent5 3 2 3 6" xfId="10801" xr:uid="{00000000-0005-0000-0000-00007D490000}"/>
    <cellStyle name="40% - Accent5 3 2 3 6 2" xfId="34650" xr:uid="{CDCFB336-45C1-46BE-84E3-8A6B0B437463}"/>
    <cellStyle name="40% - Accent5 3 2 3 7" xfId="18756" xr:uid="{00000000-0005-0000-0000-00007E490000}"/>
    <cellStyle name="40% - Accent5 3 2 3 7 2" xfId="42588" xr:uid="{E025382D-533B-4240-A58A-1185DAF3683B}"/>
    <cellStyle name="40% - Accent5 3 2 3 8" xfId="26708" xr:uid="{2DE5B835-2EAA-49CE-8B3D-A00BCCB174FB}"/>
    <cellStyle name="40% - Accent5 3 2 3_Exh G" xfId="3230" xr:uid="{00000000-0005-0000-0000-00007F490000}"/>
    <cellStyle name="40% - Accent5 3 2 4" xfId="1582" xr:uid="{00000000-0005-0000-0000-000080490000}"/>
    <cellStyle name="40% - Accent5 3 2 4 2" xfId="5109" xr:uid="{00000000-0005-0000-0000-000081490000}"/>
    <cellStyle name="40% - Accent5 3 2 4 2 2" xfId="8700" xr:uid="{00000000-0005-0000-0000-000082490000}"/>
    <cellStyle name="40% - Accent5 3 2 4 2 2 2" xfId="16670" xr:uid="{00000000-0005-0000-0000-000083490000}"/>
    <cellStyle name="40% - Accent5 3 2 4 2 2 2 2" xfId="40512" xr:uid="{DAF6A0D6-E371-4304-B765-5E1CE8ACA80B}"/>
    <cellStyle name="40% - Accent5 3 2 4 2 2 3" xfId="24616" xr:uid="{00000000-0005-0000-0000-000084490000}"/>
    <cellStyle name="40% - Accent5 3 2 4 2 2 3 2" xfId="48448" xr:uid="{6CE173FF-72D5-4B50-B998-C1CD39200893}"/>
    <cellStyle name="40% - Accent5 3 2 4 2 2 4" xfId="32571" xr:uid="{C7AC4A7F-EA76-4846-A83E-D526829B4CA8}"/>
    <cellStyle name="40% - Accent5 3 2 4 2 3" xfId="13132" xr:uid="{00000000-0005-0000-0000-000085490000}"/>
    <cellStyle name="40% - Accent5 3 2 4 2 3 2" xfId="36981" xr:uid="{20F3247B-2BDC-49ED-B306-0E2A687A043B}"/>
    <cellStyle name="40% - Accent5 3 2 4 2 4" xfId="21087" xr:uid="{00000000-0005-0000-0000-000086490000}"/>
    <cellStyle name="40% - Accent5 3 2 4 2 4 2" xfId="44919" xr:uid="{97FA55FE-21AF-496F-A074-1F658D0BE4C0}"/>
    <cellStyle name="40% - Accent5 3 2 4 2 5" xfId="29040" xr:uid="{7FF763B0-785D-4A2B-A699-EA754D2F1EBB}"/>
    <cellStyle name="40% - Accent5 3 2 4 3" xfId="6941" xr:uid="{00000000-0005-0000-0000-000087490000}"/>
    <cellStyle name="40% - Accent5 3 2 4 3 2" xfId="14912" xr:uid="{00000000-0005-0000-0000-000088490000}"/>
    <cellStyle name="40% - Accent5 3 2 4 3 2 2" xfId="38754" xr:uid="{96F8D3E5-0BBC-4E6E-A04A-CF91525B6B57}"/>
    <cellStyle name="40% - Accent5 3 2 4 3 3" xfId="22859" xr:uid="{00000000-0005-0000-0000-000089490000}"/>
    <cellStyle name="40% - Accent5 3 2 4 3 3 2" xfId="46691" xr:uid="{D5907A2B-013D-492E-AFC7-6A5CF9C0729A}"/>
    <cellStyle name="40% - Accent5 3 2 4 3 4" xfId="30813" xr:uid="{3ADDE03B-1A24-4D6D-8E2C-B57EDA014206}"/>
    <cellStyle name="40% - Accent5 3 2 4 4" xfId="11376" xr:uid="{00000000-0005-0000-0000-00008A490000}"/>
    <cellStyle name="40% - Accent5 3 2 4 4 2" xfId="35225" xr:uid="{CB3A45B8-9D1E-432A-9DE4-84AA48D0F32D}"/>
    <cellStyle name="40% - Accent5 3 2 4 5" xfId="19331" xr:uid="{00000000-0005-0000-0000-00008B490000}"/>
    <cellStyle name="40% - Accent5 3 2 4 5 2" xfId="43163" xr:uid="{103F34D3-A59D-41EF-826E-26A3CF041844}"/>
    <cellStyle name="40% - Accent5 3 2 4 6" xfId="27283" xr:uid="{63F79390-1F7C-496D-89A2-D44DFBC4810F}"/>
    <cellStyle name="40% - Accent5 3 2 4_Exh G" xfId="3232" xr:uid="{00000000-0005-0000-0000-00008C490000}"/>
    <cellStyle name="40% - Accent5 3 2 5" xfId="4230" xr:uid="{00000000-0005-0000-0000-00008D490000}"/>
    <cellStyle name="40% - Accent5 3 2 5 2" xfId="7822" xr:uid="{00000000-0005-0000-0000-00008E490000}"/>
    <cellStyle name="40% - Accent5 3 2 5 2 2" xfId="15792" xr:uid="{00000000-0005-0000-0000-00008F490000}"/>
    <cellStyle name="40% - Accent5 3 2 5 2 2 2" xfId="39634" xr:uid="{98F9EC58-4A1F-475C-A793-6520928D6E02}"/>
    <cellStyle name="40% - Accent5 3 2 5 2 3" xfId="23738" xr:uid="{00000000-0005-0000-0000-000090490000}"/>
    <cellStyle name="40% - Accent5 3 2 5 2 3 2" xfId="47570" xr:uid="{2A4EA217-6372-41A4-AB21-72FC720BC4B7}"/>
    <cellStyle name="40% - Accent5 3 2 5 2 4" xfId="31693" xr:uid="{8792AB7D-CA52-48FB-B049-142846917C52}"/>
    <cellStyle name="40% - Accent5 3 2 5 3" xfId="12254" xr:uid="{00000000-0005-0000-0000-000091490000}"/>
    <cellStyle name="40% - Accent5 3 2 5 3 2" xfId="36103" xr:uid="{B380F912-3A1E-4935-B608-AA940ADB59C4}"/>
    <cellStyle name="40% - Accent5 3 2 5 4" xfId="20209" xr:uid="{00000000-0005-0000-0000-000092490000}"/>
    <cellStyle name="40% - Accent5 3 2 5 4 2" xfId="44041" xr:uid="{B5C01967-A912-4772-B724-8299C9343F63}"/>
    <cellStyle name="40% - Accent5 3 2 5 5" xfId="28162" xr:uid="{77A9A251-C58D-4EBD-B02B-B849026AD7BF}"/>
    <cellStyle name="40% - Accent5 3 2 6" xfId="6050" xr:uid="{00000000-0005-0000-0000-000093490000}"/>
    <cellStyle name="40% - Accent5 3 2 6 2" xfId="14033" xr:uid="{00000000-0005-0000-0000-000094490000}"/>
    <cellStyle name="40% - Accent5 3 2 6 2 2" xfId="37876" xr:uid="{7DA0EFAB-0866-4269-87B2-F39A1BB4427D}"/>
    <cellStyle name="40% - Accent5 3 2 6 3" xfId="21981" xr:uid="{00000000-0005-0000-0000-000095490000}"/>
    <cellStyle name="40% - Accent5 3 2 6 3 2" xfId="45813" xr:uid="{0E4252A9-9823-4B8F-B76F-585B024F99FC}"/>
    <cellStyle name="40% - Accent5 3 2 6 4" xfId="29935" xr:uid="{1B6ED3B5-C8BD-4463-99DA-A27DBD85E24A}"/>
    <cellStyle name="40% - Accent5 3 2 7" xfId="9602" xr:uid="{00000000-0005-0000-0000-000096490000}"/>
    <cellStyle name="40% - Accent5 3 2 7 2" xfId="17560" xr:uid="{00000000-0005-0000-0000-000097490000}"/>
    <cellStyle name="40% - Accent5 3 2 7 2 2" xfId="41400" xr:uid="{AC1DA844-913E-4A9D-8235-8F647C4B3F69}"/>
    <cellStyle name="40% - Accent5 3 2 7 3" xfId="25504" xr:uid="{00000000-0005-0000-0000-000098490000}"/>
    <cellStyle name="40% - Accent5 3 2 7 3 2" xfId="49336" xr:uid="{5BBC48D7-7AB7-4C10-8372-28F2DDC33BC4}"/>
    <cellStyle name="40% - Accent5 3 2 7 4" xfId="33459" xr:uid="{268D7275-C659-4A6D-9DB6-01D625EF4228}"/>
    <cellStyle name="40% - Accent5 3 2 8" xfId="10498" xr:uid="{00000000-0005-0000-0000-000099490000}"/>
    <cellStyle name="40% - Accent5 3 2 8 2" xfId="34347" xr:uid="{CA871E3E-8ACF-446C-AF38-EA10F867DF8F}"/>
    <cellStyle name="40% - Accent5 3 2 9" xfId="18453" xr:uid="{00000000-0005-0000-0000-00009A490000}"/>
    <cellStyle name="40% - Accent5 3 2 9 2" xfId="42285" xr:uid="{09D1FAC3-394B-4BA6-AED4-D9A6E1D30CAA}"/>
    <cellStyle name="40% - Accent5 3 2_Exh G" xfId="3227" xr:uid="{00000000-0005-0000-0000-00009B490000}"/>
    <cellStyle name="40% - Accent5 3 3" xfId="558" xr:uid="{00000000-0005-0000-0000-00009C490000}"/>
    <cellStyle name="40% - Accent5 3 3 2" xfId="1584" xr:uid="{00000000-0005-0000-0000-00009D490000}"/>
    <cellStyle name="40% - Accent5 3 3 2 2" xfId="5111" xr:uid="{00000000-0005-0000-0000-00009E490000}"/>
    <cellStyle name="40% - Accent5 3 3 2 2 2" xfId="8702" xr:uid="{00000000-0005-0000-0000-00009F490000}"/>
    <cellStyle name="40% - Accent5 3 3 2 2 2 2" xfId="16672" xr:uid="{00000000-0005-0000-0000-0000A0490000}"/>
    <cellStyle name="40% - Accent5 3 3 2 2 2 2 2" xfId="40514" xr:uid="{87BAA6E8-6679-4757-925B-4A3D67A8618B}"/>
    <cellStyle name="40% - Accent5 3 3 2 2 2 3" xfId="24618" xr:uid="{00000000-0005-0000-0000-0000A1490000}"/>
    <cellStyle name="40% - Accent5 3 3 2 2 2 3 2" xfId="48450" xr:uid="{B53EAC3A-AD55-431D-B390-AA86EB774DC5}"/>
    <cellStyle name="40% - Accent5 3 3 2 2 2 4" xfId="32573" xr:uid="{B8D9DF22-233D-4DFF-B3A8-80F4E9754FBA}"/>
    <cellStyle name="40% - Accent5 3 3 2 2 3" xfId="13134" xr:uid="{00000000-0005-0000-0000-0000A2490000}"/>
    <cellStyle name="40% - Accent5 3 3 2 2 3 2" xfId="36983" xr:uid="{1A22F087-8BDC-47D2-BEA2-7AC885B582E7}"/>
    <cellStyle name="40% - Accent5 3 3 2 2 4" xfId="21089" xr:uid="{00000000-0005-0000-0000-0000A3490000}"/>
    <cellStyle name="40% - Accent5 3 3 2 2 4 2" xfId="44921" xr:uid="{8FB297C6-B4A5-474C-9A93-2BEEEB244035}"/>
    <cellStyle name="40% - Accent5 3 3 2 2 5" xfId="29042" xr:uid="{0F65A5D5-4377-40D2-9604-0826E81D61BC}"/>
    <cellStyle name="40% - Accent5 3 3 2 3" xfId="6943" xr:uid="{00000000-0005-0000-0000-0000A4490000}"/>
    <cellStyle name="40% - Accent5 3 3 2 3 2" xfId="14914" xr:uid="{00000000-0005-0000-0000-0000A5490000}"/>
    <cellStyle name="40% - Accent5 3 3 2 3 2 2" xfId="38756" xr:uid="{15ADC1FE-3DF4-4295-BC17-629A6C89D29B}"/>
    <cellStyle name="40% - Accent5 3 3 2 3 3" xfId="22861" xr:uid="{00000000-0005-0000-0000-0000A6490000}"/>
    <cellStyle name="40% - Accent5 3 3 2 3 3 2" xfId="46693" xr:uid="{0178221E-1ACD-48E2-B1AC-BEE95E09F79C}"/>
    <cellStyle name="40% - Accent5 3 3 2 3 4" xfId="30815" xr:uid="{0E432E74-5B14-42A9-82FF-4FEB8753B14C}"/>
    <cellStyle name="40% - Accent5 3 3 2 4" xfId="11378" xr:uid="{00000000-0005-0000-0000-0000A7490000}"/>
    <cellStyle name="40% - Accent5 3 3 2 4 2" xfId="35227" xr:uid="{E52A8E54-6892-420A-8935-10B4CA62A53F}"/>
    <cellStyle name="40% - Accent5 3 3 2 5" xfId="19333" xr:uid="{00000000-0005-0000-0000-0000A8490000}"/>
    <cellStyle name="40% - Accent5 3 3 2 5 2" xfId="43165" xr:uid="{05AEBC07-09A6-4428-AC26-8A6D94D7E33B}"/>
    <cellStyle name="40% - Accent5 3 3 2 6" xfId="27285" xr:uid="{2E3F9A87-95DA-4333-BC74-F2E30B86489D}"/>
    <cellStyle name="40% - Accent5 3 3 2_Exh G" xfId="3234" xr:uid="{00000000-0005-0000-0000-0000A9490000}"/>
    <cellStyle name="40% - Accent5 3 3 3" xfId="4232" xr:uid="{00000000-0005-0000-0000-0000AA490000}"/>
    <cellStyle name="40% - Accent5 3 3 3 2" xfId="7824" xr:uid="{00000000-0005-0000-0000-0000AB490000}"/>
    <cellStyle name="40% - Accent5 3 3 3 2 2" xfId="15794" xr:uid="{00000000-0005-0000-0000-0000AC490000}"/>
    <cellStyle name="40% - Accent5 3 3 3 2 2 2" xfId="39636" xr:uid="{89DA8947-082C-4D01-8A7E-2DB8CB5A85EE}"/>
    <cellStyle name="40% - Accent5 3 3 3 2 3" xfId="23740" xr:uid="{00000000-0005-0000-0000-0000AD490000}"/>
    <cellStyle name="40% - Accent5 3 3 3 2 3 2" xfId="47572" xr:uid="{DEFD0CBA-8BFA-4F79-92D3-D2B59F543009}"/>
    <cellStyle name="40% - Accent5 3 3 3 2 4" xfId="31695" xr:uid="{969205F7-D5E1-4ACE-980E-002CCADC8EE6}"/>
    <cellStyle name="40% - Accent5 3 3 3 3" xfId="12256" xr:uid="{00000000-0005-0000-0000-0000AE490000}"/>
    <cellStyle name="40% - Accent5 3 3 3 3 2" xfId="36105" xr:uid="{97D6EE6A-DC37-4B5F-843B-286CFBFB0F7F}"/>
    <cellStyle name="40% - Accent5 3 3 3 4" xfId="20211" xr:uid="{00000000-0005-0000-0000-0000AF490000}"/>
    <cellStyle name="40% - Accent5 3 3 3 4 2" xfId="44043" xr:uid="{63429705-017C-438F-BE3C-CE41DFEBCDB3}"/>
    <cellStyle name="40% - Accent5 3 3 3 5" xfId="28164" xr:uid="{FE2304B9-B5DD-4AE0-A475-3D15AB248585}"/>
    <cellStyle name="40% - Accent5 3 3 4" xfId="6052" xr:uid="{00000000-0005-0000-0000-0000B0490000}"/>
    <cellStyle name="40% - Accent5 3 3 4 2" xfId="14035" xr:uid="{00000000-0005-0000-0000-0000B1490000}"/>
    <cellStyle name="40% - Accent5 3 3 4 2 2" xfId="37878" xr:uid="{4A30A813-F1EF-4D96-A995-CDF1628687D1}"/>
    <cellStyle name="40% - Accent5 3 3 4 3" xfId="21983" xr:uid="{00000000-0005-0000-0000-0000B2490000}"/>
    <cellStyle name="40% - Accent5 3 3 4 3 2" xfId="45815" xr:uid="{18F2E630-3049-43F5-B4D9-228BCB500837}"/>
    <cellStyle name="40% - Accent5 3 3 4 4" xfId="29937" xr:uid="{D3C5786B-40B8-4AF9-BFC5-4C662EE9C659}"/>
    <cellStyle name="40% - Accent5 3 3 5" xfId="9604" xr:uid="{00000000-0005-0000-0000-0000B3490000}"/>
    <cellStyle name="40% - Accent5 3 3 5 2" xfId="17562" xr:uid="{00000000-0005-0000-0000-0000B4490000}"/>
    <cellStyle name="40% - Accent5 3 3 5 2 2" xfId="41402" xr:uid="{F1B02CED-26E0-498D-94F4-B98A737E5467}"/>
    <cellStyle name="40% - Accent5 3 3 5 3" xfId="25506" xr:uid="{00000000-0005-0000-0000-0000B5490000}"/>
    <cellStyle name="40% - Accent5 3 3 5 3 2" xfId="49338" xr:uid="{8085D5B1-109A-4BD3-8D18-C95F0ED33740}"/>
    <cellStyle name="40% - Accent5 3 3 5 4" xfId="33461" xr:uid="{1F277F19-148A-4E6E-A38B-6B76D5F23D31}"/>
    <cellStyle name="40% - Accent5 3 3 6" xfId="10500" xr:uid="{00000000-0005-0000-0000-0000B6490000}"/>
    <cellStyle name="40% - Accent5 3 3 6 2" xfId="34349" xr:uid="{B575BEC0-FD75-48FD-B77E-B60FC68598ED}"/>
    <cellStyle name="40% - Accent5 3 3 7" xfId="18455" xr:uid="{00000000-0005-0000-0000-0000B7490000}"/>
    <cellStyle name="40% - Accent5 3 3 7 2" xfId="42287" xr:uid="{FAE7FE11-05CA-43CA-BA5F-8D81290ECD63}"/>
    <cellStyle name="40% - Accent5 3 3 8" xfId="26407" xr:uid="{162FB753-12F5-4198-BD1F-C3E10B744E4C}"/>
    <cellStyle name="40% - Accent5 3 3_Exh G" xfId="3233" xr:uid="{00000000-0005-0000-0000-0000B8490000}"/>
    <cellStyle name="40% - Accent5 3 4" xfId="982" xr:uid="{00000000-0005-0000-0000-0000B9490000}"/>
    <cellStyle name="40% - Accent5 3 4 2" xfId="1894" xr:uid="{00000000-0005-0000-0000-0000BA490000}"/>
    <cellStyle name="40% - Accent5 3 4 2 2" xfId="5411" xr:uid="{00000000-0005-0000-0000-0000BB490000}"/>
    <cellStyle name="40% - Accent5 3 4 2 2 2" xfId="9002" xr:uid="{00000000-0005-0000-0000-0000BC490000}"/>
    <cellStyle name="40% - Accent5 3 4 2 2 2 2" xfId="16972" xr:uid="{00000000-0005-0000-0000-0000BD490000}"/>
    <cellStyle name="40% - Accent5 3 4 2 2 2 2 2" xfId="40814" xr:uid="{E74D49FE-1F9A-4DC2-9924-56D7B7486223}"/>
    <cellStyle name="40% - Accent5 3 4 2 2 2 3" xfId="24918" xr:uid="{00000000-0005-0000-0000-0000BE490000}"/>
    <cellStyle name="40% - Accent5 3 4 2 2 2 3 2" xfId="48750" xr:uid="{50D6694C-0B61-4239-8B56-A1C09DB273AD}"/>
    <cellStyle name="40% - Accent5 3 4 2 2 2 4" xfId="32873" xr:uid="{2A6DD492-BBFF-4EA7-B82F-F46AEA6B15A0}"/>
    <cellStyle name="40% - Accent5 3 4 2 2 3" xfId="13434" xr:uid="{00000000-0005-0000-0000-0000BF490000}"/>
    <cellStyle name="40% - Accent5 3 4 2 2 3 2" xfId="37283" xr:uid="{06EC4659-E0F0-4701-A356-4AA43A8D2848}"/>
    <cellStyle name="40% - Accent5 3 4 2 2 4" xfId="21389" xr:uid="{00000000-0005-0000-0000-0000C0490000}"/>
    <cellStyle name="40% - Accent5 3 4 2 2 4 2" xfId="45221" xr:uid="{58EF2731-33CE-41DF-B6C3-9BFA021B6286}"/>
    <cellStyle name="40% - Accent5 3 4 2 2 5" xfId="29342" xr:uid="{45B9331A-4558-48D6-8233-F0CD4659277A}"/>
    <cellStyle name="40% - Accent5 3 4 2 3" xfId="7243" xr:uid="{00000000-0005-0000-0000-0000C1490000}"/>
    <cellStyle name="40% - Accent5 3 4 2 3 2" xfId="15214" xr:uid="{00000000-0005-0000-0000-0000C2490000}"/>
    <cellStyle name="40% - Accent5 3 4 2 3 2 2" xfId="39056" xr:uid="{7CD40569-4E40-4058-83FB-D2294B66FA1A}"/>
    <cellStyle name="40% - Accent5 3 4 2 3 3" xfId="23161" xr:uid="{00000000-0005-0000-0000-0000C3490000}"/>
    <cellStyle name="40% - Accent5 3 4 2 3 3 2" xfId="46993" xr:uid="{D4D95F08-6B15-4AC3-AA70-E73EB22C8189}"/>
    <cellStyle name="40% - Accent5 3 4 2 3 4" xfId="31115" xr:uid="{33C74EB6-7DA8-4E0D-A886-42E95FECF38F}"/>
    <cellStyle name="40% - Accent5 3 4 2 4" xfId="11678" xr:uid="{00000000-0005-0000-0000-0000C4490000}"/>
    <cellStyle name="40% - Accent5 3 4 2 4 2" xfId="35527" xr:uid="{C8DA3702-4ACC-47A7-A484-2861E814E2AD}"/>
    <cellStyle name="40% - Accent5 3 4 2 5" xfId="19633" xr:uid="{00000000-0005-0000-0000-0000C5490000}"/>
    <cellStyle name="40% - Accent5 3 4 2 5 2" xfId="43465" xr:uid="{3BACBF3E-0160-4BCA-BAF5-E504EB8A5CC0}"/>
    <cellStyle name="40% - Accent5 3 4 2 6" xfId="27585" xr:uid="{EAD0D9B5-49AE-42EC-B5AD-30DA4178F6BB}"/>
    <cellStyle name="40% - Accent5 3 4 2_Exh G" xfId="3236" xr:uid="{00000000-0005-0000-0000-0000C6490000}"/>
    <cellStyle name="40% - Accent5 3 4 3" xfId="4532" xr:uid="{00000000-0005-0000-0000-0000C7490000}"/>
    <cellStyle name="40% - Accent5 3 4 3 2" xfId="8124" xr:uid="{00000000-0005-0000-0000-0000C8490000}"/>
    <cellStyle name="40% - Accent5 3 4 3 2 2" xfId="16094" xr:uid="{00000000-0005-0000-0000-0000C9490000}"/>
    <cellStyle name="40% - Accent5 3 4 3 2 2 2" xfId="39936" xr:uid="{DF910293-650A-4CEC-96AB-8685A4C5B001}"/>
    <cellStyle name="40% - Accent5 3 4 3 2 3" xfId="24040" xr:uid="{00000000-0005-0000-0000-0000CA490000}"/>
    <cellStyle name="40% - Accent5 3 4 3 2 3 2" xfId="47872" xr:uid="{430CF692-69FD-4163-9046-A0EA4D35FE6D}"/>
    <cellStyle name="40% - Accent5 3 4 3 2 4" xfId="31995" xr:uid="{24AB9931-BDB2-4596-AB04-96D104FC237B}"/>
    <cellStyle name="40% - Accent5 3 4 3 3" xfId="12556" xr:uid="{00000000-0005-0000-0000-0000CB490000}"/>
    <cellStyle name="40% - Accent5 3 4 3 3 2" xfId="36405" xr:uid="{8E991655-1719-4441-87DE-FEC06F9FB967}"/>
    <cellStyle name="40% - Accent5 3 4 3 4" xfId="20511" xr:uid="{00000000-0005-0000-0000-0000CC490000}"/>
    <cellStyle name="40% - Accent5 3 4 3 4 2" xfId="44343" xr:uid="{AE8EAE32-2D7C-4C6A-9B53-B06BD13DECE9}"/>
    <cellStyle name="40% - Accent5 3 4 3 5" xfId="28464" xr:uid="{20395252-9CA8-448D-8DEF-F31F1AB39DDF}"/>
    <cellStyle name="40% - Accent5 3 4 4" xfId="6362" xr:uid="{00000000-0005-0000-0000-0000CD490000}"/>
    <cellStyle name="40% - Accent5 3 4 4 2" xfId="14336" xr:uid="{00000000-0005-0000-0000-0000CE490000}"/>
    <cellStyle name="40% - Accent5 3 4 4 2 2" xfId="38178" xr:uid="{91194E62-0512-4681-AB2B-BED16FCB5535}"/>
    <cellStyle name="40% - Accent5 3 4 4 3" xfId="22283" xr:uid="{00000000-0005-0000-0000-0000CF490000}"/>
    <cellStyle name="40% - Accent5 3 4 4 3 2" xfId="46115" xr:uid="{881799BE-AE0A-4B07-BC9F-A73B314196C6}"/>
    <cellStyle name="40% - Accent5 3 4 4 4" xfId="30237" xr:uid="{EDDD6B99-7D29-4F90-ACE1-D5C518827618}"/>
    <cellStyle name="40% - Accent5 3 4 5" xfId="9904" xr:uid="{00000000-0005-0000-0000-0000D0490000}"/>
    <cellStyle name="40% - Accent5 3 4 5 2" xfId="17862" xr:uid="{00000000-0005-0000-0000-0000D1490000}"/>
    <cellStyle name="40% - Accent5 3 4 5 2 2" xfId="41702" xr:uid="{9B77FF2A-00FE-4385-B887-942A4F27F5FB}"/>
    <cellStyle name="40% - Accent5 3 4 5 3" xfId="25806" xr:uid="{00000000-0005-0000-0000-0000D2490000}"/>
    <cellStyle name="40% - Accent5 3 4 5 3 2" xfId="49638" xr:uid="{56136453-211C-4121-9520-6B1DB4938649}"/>
    <cellStyle name="40% - Accent5 3 4 5 4" xfId="33761" xr:uid="{615C3887-82CB-409B-8DD8-BA6D548F53D8}"/>
    <cellStyle name="40% - Accent5 3 4 6" xfId="10800" xr:uid="{00000000-0005-0000-0000-0000D3490000}"/>
    <cellStyle name="40% - Accent5 3 4 6 2" xfId="34649" xr:uid="{29484F6F-1723-45C0-AF0D-B2A8FDAD7BA7}"/>
    <cellStyle name="40% - Accent5 3 4 7" xfId="18755" xr:uid="{00000000-0005-0000-0000-0000D4490000}"/>
    <cellStyle name="40% - Accent5 3 4 7 2" xfId="42587" xr:uid="{317F2007-6539-4711-9F8D-49140294C532}"/>
    <cellStyle name="40% - Accent5 3 4 8" xfId="26707" xr:uid="{3CD2A999-3753-4EF0-9BAE-D284F09220E2}"/>
    <cellStyle name="40% - Accent5 3 4_Exh G" xfId="3235" xr:uid="{00000000-0005-0000-0000-0000D5490000}"/>
    <cellStyle name="40% - Accent5 3 5" xfId="1581" xr:uid="{00000000-0005-0000-0000-0000D6490000}"/>
    <cellStyle name="40% - Accent5 3 5 2" xfId="5108" xr:uid="{00000000-0005-0000-0000-0000D7490000}"/>
    <cellStyle name="40% - Accent5 3 5 2 2" xfId="8699" xr:uid="{00000000-0005-0000-0000-0000D8490000}"/>
    <cellStyle name="40% - Accent5 3 5 2 2 2" xfId="16669" xr:uid="{00000000-0005-0000-0000-0000D9490000}"/>
    <cellStyle name="40% - Accent5 3 5 2 2 2 2" xfId="40511" xr:uid="{FC409473-900F-4AED-BABB-5135A910109B}"/>
    <cellStyle name="40% - Accent5 3 5 2 2 3" xfId="24615" xr:uid="{00000000-0005-0000-0000-0000DA490000}"/>
    <cellStyle name="40% - Accent5 3 5 2 2 3 2" xfId="48447" xr:uid="{CDBD5878-2EA5-4964-BD4F-9FAB1087BB71}"/>
    <cellStyle name="40% - Accent5 3 5 2 2 4" xfId="32570" xr:uid="{703F0E77-F416-464D-9E4B-BB05D8329D80}"/>
    <cellStyle name="40% - Accent5 3 5 2 3" xfId="13131" xr:uid="{00000000-0005-0000-0000-0000DB490000}"/>
    <cellStyle name="40% - Accent5 3 5 2 3 2" xfId="36980" xr:uid="{7C51C6AD-0D28-4029-895D-1AEEEF065BE6}"/>
    <cellStyle name="40% - Accent5 3 5 2 4" xfId="21086" xr:uid="{00000000-0005-0000-0000-0000DC490000}"/>
    <cellStyle name="40% - Accent5 3 5 2 4 2" xfId="44918" xr:uid="{CDE13723-9AF7-4ED0-8172-F9BD274D32DB}"/>
    <cellStyle name="40% - Accent5 3 5 2 5" xfId="29039" xr:uid="{756ED1A9-FB0E-4748-BB50-E3EC7867299F}"/>
    <cellStyle name="40% - Accent5 3 5 3" xfId="6940" xr:uid="{00000000-0005-0000-0000-0000DD490000}"/>
    <cellStyle name="40% - Accent5 3 5 3 2" xfId="14911" xr:uid="{00000000-0005-0000-0000-0000DE490000}"/>
    <cellStyle name="40% - Accent5 3 5 3 2 2" xfId="38753" xr:uid="{BC0488AD-61D8-4884-B9EC-7BEFBD37AA09}"/>
    <cellStyle name="40% - Accent5 3 5 3 3" xfId="22858" xr:uid="{00000000-0005-0000-0000-0000DF490000}"/>
    <cellStyle name="40% - Accent5 3 5 3 3 2" xfId="46690" xr:uid="{F5E0E1F0-5565-4638-9C3D-D597289DA1A8}"/>
    <cellStyle name="40% - Accent5 3 5 3 4" xfId="30812" xr:uid="{7A1703B1-8D18-4E5C-BF74-9B8AA0A1EEE3}"/>
    <cellStyle name="40% - Accent5 3 5 4" xfId="11375" xr:uid="{00000000-0005-0000-0000-0000E0490000}"/>
    <cellStyle name="40% - Accent5 3 5 4 2" xfId="35224" xr:uid="{2C7414E1-74A3-4F47-AF6D-B0787DA27BC8}"/>
    <cellStyle name="40% - Accent5 3 5 5" xfId="19330" xr:uid="{00000000-0005-0000-0000-0000E1490000}"/>
    <cellStyle name="40% - Accent5 3 5 5 2" xfId="43162" xr:uid="{853888A8-EA20-48B5-AA80-4B255D3CB7BA}"/>
    <cellStyle name="40% - Accent5 3 5 6" xfId="27282" xr:uid="{D8E46739-FF40-4589-A618-751AB8B07F49}"/>
    <cellStyle name="40% - Accent5 3 5_Exh G" xfId="3237" xr:uid="{00000000-0005-0000-0000-0000E2490000}"/>
    <cellStyle name="40% - Accent5 3 6" xfId="4229" xr:uid="{00000000-0005-0000-0000-0000E3490000}"/>
    <cellStyle name="40% - Accent5 3 6 2" xfId="7821" xr:uid="{00000000-0005-0000-0000-0000E4490000}"/>
    <cellStyle name="40% - Accent5 3 6 2 2" xfId="15791" xr:uid="{00000000-0005-0000-0000-0000E5490000}"/>
    <cellStyle name="40% - Accent5 3 6 2 2 2" xfId="39633" xr:uid="{10CCAE57-B225-42FF-A867-871405923DD1}"/>
    <cellStyle name="40% - Accent5 3 6 2 3" xfId="23737" xr:uid="{00000000-0005-0000-0000-0000E6490000}"/>
    <cellStyle name="40% - Accent5 3 6 2 3 2" xfId="47569" xr:uid="{382A0D9D-4004-4C81-94CC-9F77F7347B16}"/>
    <cellStyle name="40% - Accent5 3 6 2 4" xfId="31692" xr:uid="{4B7FA2CB-F1F9-4044-801A-D7FF515CFD67}"/>
    <cellStyle name="40% - Accent5 3 6 3" xfId="12253" xr:uid="{00000000-0005-0000-0000-0000E7490000}"/>
    <cellStyle name="40% - Accent5 3 6 3 2" xfId="36102" xr:uid="{56FCB9A8-ABF7-41D1-B369-44336B3C5FFD}"/>
    <cellStyle name="40% - Accent5 3 6 4" xfId="20208" xr:uid="{00000000-0005-0000-0000-0000E8490000}"/>
    <cellStyle name="40% - Accent5 3 6 4 2" xfId="44040" xr:uid="{0CFB4C26-70FD-47E8-B6C7-6BF0079F3F50}"/>
    <cellStyle name="40% - Accent5 3 6 5" xfId="28161" xr:uid="{32F519A4-6F52-4C91-965B-B8E05C3E630B}"/>
    <cellStyle name="40% - Accent5 3 7" xfId="6049" xr:uid="{00000000-0005-0000-0000-0000E9490000}"/>
    <cellStyle name="40% - Accent5 3 7 2" xfId="14032" xr:uid="{00000000-0005-0000-0000-0000EA490000}"/>
    <cellStyle name="40% - Accent5 3 7 2 2" xfId="37875" xr:uid="{8F8B9858-E751-44E5-9C54-63B93B01F3EE}"/>
    <cellStyle name="40% - Accent5 3 7 3" xfId="21980" xr:uid="{00000000-0005-0000-0000-0000EB490000}"/>
    <cellStyle name="40% - Accent5 3 7 3 2" xfId="45812" xr:uid="{BF56F614-5164-472D-BF26-A35523C96DFC}"/>
    <cellStyle name="40% - Accent5 3 7 4" xfId="29934" xr:uid="{07974F91-8564-4FAB-8409-906C34F08A11}"/>
    <cellStyle name="40% - Accent5 3 8" xfId="9601" xr:uid="{00000000-0005-0000-0000-0000EC490000}"/>
    <cellStyle name="40% - Accent5 3 8 2" xfId="17559" xr:uid="{00000000-0005-0000-0000-0000ED490000}"/>
    <cellStyle name="40% - Accent5 3 8 2 2" xfId="41399" xr:uid="{22E6907B-87F6-4513-A2D0-2F941AC2AAF4}"/>
    <cellStyle name="40% - Accent5 3 8 3" xfId="25503" xr:uid="{00000000-0005-0000-0000-0000EE490000}"/>
    <cellStyle name="40% - Accent5 3 8 3 2" xfId="49335" xr:uid="{B9EEEC00-CE0A-43B6-B8B6-4CF5F4D87FA8}"/>
    <cellStyle name="40% - Accent5 3 8 4" xfId="33458" xr:uid="{EBBD570A-60FC-4E1B-8371-314B98D5AD93}"/>
    <cellStyle name="40% - Accent5 3 9" xfId="10497" xr:uid="{00000000-0005-0000-0000-0000EF490000}"/>
    <cellStyle name="40% - Accent5 3 9 2" xfId="34346" xr:uid="{F70FB123-4EE1-433F-AF1D-02A0965F0966}"/>
    <cellStyle name="40% - Accent5 3_Exh G" xfId="3226" xr:uid="{00000000-0005-0000-0000-0000F0490000}"/>
    <cellStyle name="40% - Accent5 4" xfId="559" xr:uid="{00000000-0005-0000-0000-0000F1490000}"/>
    <cellStyle name="40% - Accent5 4 10" xfId="18456" xr:uid="{00000000-0005-0000-0000-0000F2490000}"/>
    <cellStyle name="40% - Accent5 4 10 2" xfId="42288" xr:uid="{9A28B1E9-E68D-4B9C-921E-E26BAE7A09F4}"/>
    <cellStyle name="40% - Accent5 4 11" xfId="26408" xr:uid="{41857B9C-A009-4793-A68A-45E43A8319D3}"/>
    <cellStyle name="40% - Accent5 4 2" xfId="560" xr:uid="{00000000-0005-0000-0000-0000F3490000}"/>
    <cellStyle name="40% - Accent5 4 2 10" xfId="26409" xr:uid="{FB59D80B-23B4-4447-95BB-683617207197}"/>
    <cellStyle name="40% - Accent5 4 2 2" xfId="561" xr:uid="{00000000-0005-0000-0000-0000F4490000}"/>
    <cellStyle name="40% - Accent5 4 2 2 2" xfId="1587" xr:uid="{00000000-0005-0000-0000-0000F5490000}"/>
    <cellStyle name="40% - Accent5 4 2 2 2 2" xfId="5114" xr:uid="{00000000-0005-0000-0000-0000F6490000}"/>
    <cellStyle name="40% - Accent5 4 2 2 2 2 2" xfId="8705" xr:uid="{00000000-0005-0000-0000-0000F7490000}"/>
    <cellStyle name="40% - Accent5 4 2 2 2 2 2 2" xfId="16675" xr:uid="{00000000-0005-0000-0000-0000F8490000}"/>
    <cellStyle name="40% - Accent5 4 2 2 2 2 2 2 2" xfId="40517" xr:uid="{01BBF4B5-15B0-438A-9CED-3AD2A75E6341}"/>
    <cellStyle name="40% - Accent5 4 2 2 2 2 2 3" xfId="24621" xr:uid="{00000000-0005-0000-0000-0000F9490000}"/>
    <cellStyle name="40% - Accent5 4 2 2 2 2 2 3 2" xfId="48453" xr:uid="{AEF9FE3A-040D-4CF0-BC4B-669A5EF64A85}"/>
    <cellStyle name="40% - Accent5 4 2 2 2 2 2 4" xfId="32576" xr:uid="{61A3C182-D762-45CE-A52C-AEB95595593E}"/>
    <cellStyle name="40% - Accent5 4 2 2 2 2 3" xfId="13137" xr:uid="{00000000-0005-0000-0000-0000FA490000}"/>
    <cellStyle name="40% - Accent5 4 2 2 2 2 3 2" xfId="36986" xr:uid="{9C30699B-447C-4E28-85D5-FE2AF92F1BB5}"/>
    <cellStyle name="40% - Accent5 4 2 2 2 2 4" xfId="21092" xr:uid="{00000000-0005-0000-0000-0000FB490000}"/>
    <cellStyle name="40% - Accent5 4 2 2 2 2 4 2" xfId="44924" xr:uid="{924C03EC-CF8D-4F37-84CD-5812C86219FF}"/>
    <cellStyle name="40% - Accent5 4 2 2 2 2 5" xfId="29045" xr:uid="{3D8719FC-2A71-4F89-8C56-F738E91AA195}"/>
    <cellStyle name="40% - Accent5 4 2 2 2 3" xfId="6946" xr:uid="{00000000-0005-0000-0000-0000FC490000}"/>
    <cellStyle name="40% - Accent5 4 2 2 2 3 2" xfId="14917" xr:uid="{00000000-0005-0000-0000-0000FD490000}"/>
    <cellStyle name="40% - Accent5 4 2 2 2 3 2 2" xfId="38759" xr:uid="{9C05245B-FCB3-4CB9-B172-EAD3C031D336}"/>
    <cellStyle name="40% - Accent5 4 2 2 2 3 3" xfId="22864" xr:uid="{00000000-0005-0000-0000-0000FE490000}"/>
    <cellStyle name="40% - Accent5 4 2 2 2 3 3 2" xfId="46696" xr:uid="{0284021D-5723-423C-BA78-44166A15EFB5}"/>
    <cellStyle name="40% - Accent5 4 2 2 2 3 4" xfId="30818" xr:uid="{0228D913-19B8-4BFC-A803-C288D5A58555}"/>
    <cellStyle name="40% - Accent5 4 2 2 2 4" xfId="11381" xr:uid="{00000000-0005-0000-0000-0000FF490000}"/>
    <cellStyle name="40% - Accent5 4 2 2 2 4 2" xfId="35230" xr:uid="{5D4C26DC-88E4-483D-8F01-1006D02E7B86}"/>
    <cellStyle name="40% - Accent5 4 2 2 2 5" xfId="19336" xr:uid="{00000000-0005-0000-0000-0000004A0000}"/>
    <cellStyle name="40% - Accent5 4 2 2 2 5 2" xfId="43168" xr:uid="{C2680909-BDAD-4377-ABDE-30225A511734}"/>
    <cellStyle name="40% - Accent5 4 2 2 2 6" xfId="27288" xr:uid="{1BA79D39-6741-4901-AA82-2C2D7CDF8A2C}"/>
    <cellStyle name="40% - Accent5 4 2 2 2_Exh G" xfId="3241" xr:uid="{00000000-0005-0000-0000-0000014A0000}"/>
    <cellStyle name="40% - Accent5 4 2 2 3" xfId="4235" xr:uid="{00000000-0005-0000-0000-0000024A0000}"/>
    <cellStyle name="40% - Accent5 4 2 2 3 2" xfId="7827" xr:uid="{00000000-0005-0000-0000-0000034A0000}"/>
    <cellStyle name="40% - Accent5 4 2 2 3 2 2" xfId="15797" xr:uid="{00000000-0005-0000-0000-0000044A0000}"/>
    <cellStyle name="40% - Accent5 4 2 2 3 2 2 2" xfId="39639" xr:uid="{C27837C1-3E23-4B01-836F-DD62B135771C}"/>
    <cellStyle name="40% - Accent5 4 2 2 3 2 3" xfId="23743" xr:uid="{00000000-0005-0000-0000-0000054A0000}"/>
    <cellStyle name="40% - Accent5 4 2 2 3 2 3 2" xfId="47575" xr:uid="{40F5A87F-3DB2-4F42-B6B8-47634D016BA6}"/>
    <cellStyle name="40% - Accent5 4 2 2 3 2 4" xfId="31698" xr:uid="{1896DA38-DD98-4837-8031-5413B012FE8F}"/>
    <cellStyle name="40% - Accent5 4 2 2 3 3" xfId="12259" xr:uid="{00000000-0005-0000-0000-0000064A0000}"/>
    <cellStyle name="40% - Accent5 4 2 2 3 3 2" xfId="36108" xr:uid="{B2351E0A-FBEF-42C5-A867-CC741D4DF05F}"/>
    <cellStyle name="40% - Accent5 4 2 2 3 4" xfId="20214" xr:uid="{00000000-0005-0000-0000-0000074A0000}"/>
    <cellStyle name="40% - Accent5 4 2 2 3 4 2" xfId="44046" xr:uid="{E1553B24-B3AF-4E82-AC3C-4AC3703E1BDC}"/>
    <cellStyle name="40% - Accent5 4 2 2 3 5" xfId="28167" xr:uid="{8C5823E0-2111-4547-B1EE-28731B9D48C2}"/>
    <cellStyle name="40% - Accent5 4 2 2 4" xfId="6055" xr:uid="{00000000-0005-0000-0000-0000084A0000}"/>
    <cellStyle name="40% - Accent5 4 2 2 4 2" xfId="14038" xr:uid="{00000000-0005-0000-0000-0000094A0000}"/>
    <cellStyle name="40% - Accent5 4 2 2 4 2 2" xfId="37881" xr:uid="{468B693A-76C3-4E55-9C65-CF72B0BE7D37}"/>
    <cellStyle name="40% - Accent5 4 2 2 4 3" xfId="21986" xr:uid="{00000000-0005-0000-0000-00000A4A0000}"/>
    <cellStyle name="40% - Accent5 4 2 2 4 3 2" xfId="45818" xr:uid="{27A37E7E-C0B8-48C8-885E-9E11F88D7153}"/>
    <cellStyle name="40% - Accent5 4 2 2 4 4" xfId="29940" xr:uid="{48C88CBE-4FD8-4818-8F9A-F77F3EB067A3}"/>
    <cellStyle name="40% - Accent5 4 2 2 5" xfId="9607" xr:uid="{00000000-0005-0000-0000-00000B4A0000}"/>
    <cellStyle name="40% - Accent5 4 2 2 5 2" xfId="17565" xr:uid="{00000000-0005-0000-0000-00000C4A0000}"/>
    <cellStyle name="40% - Accent5 4 2 2 5 2 2" xfId="41405" xr:uid="{AB963BED-9724-42B5-B18D-ABAFBE778A6F}"/>
    <cellStyle name="40% - Accent5 4 2 2 5 3" xfId="25509" xr:uid="{00000000-0005-0000-0000-00000D4A0000}"/>
    <cellStyle name="40% - Accent5 4 2 2 5 3 2" xfId="49341" xr:uid="{0A17A2D8-8768-4C26-9709-E323434A0A99}"/>
    <cellStyle name="40% - Accent5 4 2 2 5 4" xfId="33464" xr:uid="{98DFA050-ACC6-4AC5-A8F1-DFF7C745A814}"/>
    <cellStyle name="40% - Accent5 4 2 2 6" xfId="10503" xr:uid="{00000000-0005-0000-0000-00000E4A0000}"/>
    <cellStyle name="40% - Accent5 4 2 2 6 2" xfId="34352" xr:uid="{785B3882-002D-400E-A074-F0F8653BE85E}"/>
    <cellStyle name="40% - Accent5 4 2 2 7" xfId="18458" xr:uid="{00000000-0005-0000-0000-00000F4A0000}"/>
    <cellStyle name="40% - Accent5 4 2 2 7 2" xfId="42290" xr:uid="{CCBD72EA-66F0-4F60-AC27-81B6003408A2}"/>
    <cellStyle name="40% - Accent5 4 2 2 8" xfId="26410" xr:uid="{94216271-D4DC-420B-B482-AA57D074E205}"/>
    <cellStyle name="40% - Accent5 4 2 2_Exh G" xfId="3240" xr:uid="{00000000-0005-0000-0000-0000104A0000}"/>
    <cellStyle name="40% - Accent5 4 2 3" xfId="985" xr:uid="{00000000-0005-0000-0000-0000114A0000}"/>
    <cellStyle name="40% - Accent5 4 2 3 2" xfId="1897" xr:uid="{00000000-0005-0000-0000-0000124A0000}"/>
    <cellStyle name="40% - Accent5 4 2 3 2 2" xfId="5414" xr:uid="{00000000-0005-0000-0000-0000134A0000}"/>
    <cellStyle name="40% - Accent5 4 2 3 2 2 2" xfId="9005" xr:uid="{00000000-0005-0000-0000-0000144A0000}"/>
    <cellStyle name="40% - Accent5 4 2 3 2 2 2 2" xfId="16975" xr:uid="{00000000-0005-0000-0000-0000154A0000}"/>
    <cellStyle name="40% - Accent5 4 2 3 2 2 2 2 2" xfId="40817" xr:uid="{764E7F38-2C26-482E-9A69-F12251AC9220}"/>
    <cellStyle name="40% - Accent5 4 2 3 2 2 2 3" xfId="24921" xr:uid="{00000000-0005-0000-0000-0000164A0000}"/>
    <cellStyle name="40% - Accent5 4 2 3 2 2 2 3 2" xfId="48753" xr:uid="{608E6F21-D186-48E9-82EE-190FB5A4DB37}"/>
    <cellStyle name="40% - Accent5 4 2 3 2 2 2 4" xfId="32876" xr:uid="{634D2D03-471F-4BC6-9117-2585AEFF6BB4}"/>
    <cellStyle name="40% - Accent5 4 2 3 2 2 3" xfId="13437" xr:uid="{00000000-0005-0000-0000-0000174A0000}"/>
    <cellStyle name="40% - Accent5 4 2 3 2 2 3 2" xfId="37286" xr:uid="{0CE766E8-66BA-4D74-A785-C7A2BC1BF7BF}"/>
    <cellStyle name="40% - Accent5 4 2 3 2 2 4" xfId="21392" xr:uid="{00000000-0005-0000-0000-0000184A0000}"/>
    <cellStyle name="40% - Accent5 4 2 3 2 2 4 2" xfId="45224" xr:uid="{93D8F364-D4F4-44E1-ABA7-618F9F5A4DED}"/>
    <cellStyle name="40% - Accent5 4 2 3 2 2 5" xfId="29345" xr:uid="{49261B83-4648-4A49-B70F-5A39EC85EF98}"/>
    <cellStyle name="40% - Accent5 4 2 3 2 3" xfId="7246" xr:uid="{00000000-0005-0000-0000-0000194A0000}"/>
    <cellStyle name="40% - Accent5 4 2 3 2 3 2" xfId="15217" xr:uid="{00000000-0005-0000-0000-00001A4A0000}"/>
    <cellStyle name="40% - Accent5 4 2 3 2 3 2 2" xfId="39059" xr:uid="{47863F7E-4A6B-4A79-AC4C-CC7A0CC7932D}"/>
    <cellStyle name="40% - Accent5 4 2 3 2 3 3" xfId="23164" xr:uid="{00000000-0005-0000-0000-00001B4A0000}"/>
    <cellStyle name="40% - Accent5 4 2 3 2 3 3 2" xfId="46996" xr:uid="{053FBCAF-3577-49A5-9CC2-E548C3041B3A}"/>
    <cellStyle name="40% - Accent5 4 2 3 2 3 4" xfId="31118" xr:uid="{45D4EFD7-1568-40F9-8EAC-E4C0C7838FF1}"/>
    <cellStyle name="40% - Accent5 4 2 3 2 4" xfId="11681" xr:uid="{00000000-0005-0000-0000-00001C4A0000}"/>
    <cellStyle name="40% - Accent5 4 2 3 2 4 2" xfId="35530" xr:uid="{B6FD8C41-7157-4729-914B-C2B3DEC75FCD}"/>
    <cellStyle name="40% - Accent5 4 2 3 2 5" xfId="19636" xr:uid="{00000000-0005-0000-0000-00001D4A0000}"/>
    <cellStyle name="40% - Accent5 4 2 3 2 5 2" xfId="43468" xr:uid="{958E9B6B-8E4D-458C-A985-FFC34FB63F05}"/>
    <cellStyle name="40% - Accent5 4 2 3 2 6" xfId="27588" xr:uid="{9A6A0065-DCAB-4444-9B84-577DD5FFD47A}"/>
    <cellStyle name="40% - Accent5 4 2 3 2_Exh G" xfId="3243" xr:uid="{00000000-0005-0000-0000-00001E4A0000}"/>
    <cellStyle name="40% - Accent5 4 2 3 3" xfId="4535" xr:uid="{00000000-0005-0000-0000-00001F4A0000}"/>
    <cellStyle name="40% - Accent5 4 2 3 3 2" xfId="8127" xr:uid="{00000000-0005-0000-0000-0000204A0000}"/>
    <cellStyle name="40% - Accent5 4 2 3 3 2 2" xfId="16097" xr:uid="{00000000-0005-0000-0000-0000214A0000}"/>
    <cellStyle name="40% - Accent5 4 2 3 3 2 2 2" xfId="39939" xr:uid="{5360E8ED-DBE2-47FE-9DB0-6C0049ECA140}"/>
    <cellStyle name="40% - Accent5 4 2 3 3 2 3" xfId="24043" xr:uid="{00000000-0005-0000-0000-0000224A0000}"/>
    <cellStyle name="40% - Accent5 4 2 3 3 2 3 2" xfId="47875" xr:uid="{5BF73250-317C-4563-95EF-33B041BFC79C}"/>
    <cellStyle name="40% - Accent5 4 2 3 3 2 4" xfId="31998" xr:uid="{5E0109E7-5CD7-43AE-A24C-F62C15E3AAC3}"/>
    <cellStyle name="40% - Accent5 4 2 3 3 3" xfId="12559" xr:uid="{00000000-0005-0000-0000-0000234A0000}"/>
    <cellStyle name="40% - Accent5 4 2 3 3 3 2" xfId="36408" xr:uid="{448D5D49-43F7-4B39-88E4-31E4BE6DD65A}"/>
    <cellStyle name="40% - Accent5 4 2 3 3 4" xfId="20514" xr:uid="{00000000-0005-0000-0000-0000244A0000}"/>
    <cellStyle name="40% - Accent5 4 2 3 3 4 2" xfId="44346" xr:uid="{B243A5E4-6F96-4FD3-8B3F-70B428633FCA}"/>
    <cellStyle name="40% - Accent5 4 2 3 3 5" xfId="28467" xr:uid="{95130352-CC24-49B4-B7F3-F5FAA31B49F6}"/>
    <cellStyle name="40% - Accent5 4 2 3 4" xfId="6365" xr:uid="{00000000-0005-0000-0000-0000254A0000}"/>
    <cellStyle name="40% - Accent5 4 2 3 4 2" xfId="14339" xr:uid="{00000000-0005-0000-0000-0000264A0000}"/>
    <cellStyle name="40% - Accent5 4 2 3 4 2 2" xfId="38181" xr:uid="{BBAA5715-D4D8-41D0-8D04-474F0B962669}"/>
    <cellStyle name="40% - Accent5 4 2 3 4 3" xfId="22286" xr:uid="{00000000-0005-0000-0000-0000274A0000}"/>
    <cellStyle name="40% - Accent5 4 2 3 4 3 2" xfId="46118" xr:uid="{9AB9DEB7-CC9A-41F1-B7A6-F9A1BA0AB78C}"/>
    <cellStyle name="40% - Accent5 4 2 3 4 4" xfId="30240" xr:uid="{FD8C6D45-1C98-477C-B157-C9214C173B80}"/>
    <cellStyle name="40% - Accent5 4 2 3 5" xfId="9907" xr:uid="{00000000-0005-0000-0000-0000284A0000}"/>
    <cellStyle name="40% - Accent5 4 2 3 5 2" xfId="17865" xr:uid="{00000000-0005-0000-0000-0000294A0000}"/>
    <cellStyle name="40% - Accent5 4 2 3 5 2 2" xfId="41705" xr:uid="{C9637E72-5589-4EED-BB12-C0D288A18434}"/>
    <cellStyle name="40% - Accent5 4 2 3 5 3" xfId="25809" xr:uid="{00000000-0005-0000-0000-00002A4A0000}"/>
    <cellStyle name="40% - Accent5 4 2 3 5 3 2" xfId="49641" xr:uid="{DDACCD38-BA9C-4C83-8430-140D93844722}"/>
    <cellStyle name="40% - Accent5 4 2 3 5 4" xfId="33764" xr:uid="{547A1151-AFDC-4704-AF7E-C5CBA859DE17}"/>
    <cellStyle name="40% - Accent5 4 2 3 6" xfId="10803" xr:uid="{00000000-0005-0000-0000-00002B4A0000}"/>
    <cellStyle name="40% - Accent5 4 2 3 6 2" xfId="34652" xr:uid="{41DC0B44-2AF2-47C3-ACFE-22853AA10FE8}"/>
    <cellStyle name="40% - Accent5 4 2 3 7" xfId="18758" xr:uid="{00000000-0005-0000-0000-00002C4A0000}"/>
    <cellStyle name="40% - Accent5 4 2 3 7 2" xfId="42590" xr:uid="{0E7462E1-1970-48CC-841A-87D99751953A}"/>
    <cellStyle name="40% - Accent5 4 2 3 8" xfId="26710" xr:uid="{3C3FDA38-463D-422B-B838-492FD9A4D367}"/>
    <cellStyle name="40% - Accent5 4 2 3_Exh G" xfId="3242" xr:uid="{00000000-0005-0000-0000-00002D4A0000}"/>
    <cellStyle name="40% - Accent5 4 2 4" xfId="1586" xr:uid="{00000000-0005-0000-0000-00002E4A0000}"/>
    <cellStyle name="40% - Accent5 4 2 4 2" xfId="5113" xr:uid="{00000000-0005-0000-0000-00002F4A0000}"/>
    <cellStyle name="40% - Accent5 4 2 4 2 2" xfId="8704" xr:uid="{00000000-0005-0000-0000-0000304A0000}"/>
    <cellStyle name="40% - Accent5 4 2 4 2 2 2" xfId="16674" xr:uid="{00000000-0005-0000-0000-0000314A0000}"/>
    <cellStyle name="40% - Accent5 4 2 4 2 2 2 2" xfId="40516" xr:uid="{DB7F6D3B-D89D-470A-AA36-434C5FAA8D0E}"/>
    <cellStyle name="40% - Accent5 4 2 4 2 2 3" xfId="24620" xr:uid="{00000000-0005-0000-0000-0000324A0000}"/>
    <cellStyle name="40% - Accent5 4 2 4 2 2 3 2" xfId="48452" xr:uid="{8D4AFB8E-5965-4B76-8E54-DC27AFF66DE7}"/>
    <cellStyle name="40% - Accent5 4 2 4 2 2 4" xfId="32575" xr:uid="{22A18363-3D57-4B30-92A2-696C33B72AA6}"/>
    <cellStyle name="40% - Accent5 4 2 4 2 3" xfId="13136" xr:uid="{00000000-0005-0000-0000-0000334A0000}"/>
    <cellStyle name="40% - Accent5 4 2 4 2 3 2" xfId="36985" xr:uid="{EE39C35E-FD82-4A37-94EC-3371FB073373}"/>
    <cellStyle name="40% - Accent5 4 2 4 2 4" xfId="21091" xr:uid="{00000000-0005-0000-0000-0000344A0000}"/>
    <cellStyle name="40% - Accent5 4 2 4 2 4 2" xfId="44923" xr:uid="{878F9EBF-9053-466E-BA3B-84C60D22C2EC}"/>
    <cellStyle name="40% - Accent5 4 2 4 2 5" xfId="29044" xr:uid="{714FDC97-C43B-49F2-B11E-FDC94939D3E2}"/>
    <cellStyle name="40% - Accent5 4 2 4 3" xfId="6945" xr:uid="{00000000-0005-0000-0000-0000354A0000}"/>
    <cellStyle name="40% - Accent5 4 2 4 3 2" xfId="14916" xr:uid="{00000000-0005-0000-0000-0000364A0000}"/>
    <cellStyle name="40% - Accent5 4 2 4 3 2 2" xfId="38758" xr:uid="{D1AB00E6-5249-41A6-95F0-E3A51B5F5449}"/>
    <cellStyle name="40% - Accent5 4 2 4 3 3" xfId="22863" xr:uid="{00000000-0005-0000-0000-0000374A0000}"/>
    <cellStyle name="40% - Accent5 4 2 4 3 3 2" xfId="46695" xr:uid="{66C94687-04F8-41F0-BD7D-DAF5147ED9F1}"/>
    <cellStyle name="40% - Accent5 4 2 4 3 4" xfId="30817" xr:uid="{4BAB61F2-98CD-4B73-A4CD-ACFB8721C8AA}"/>
    <cellStyle name="40% - Accent5 4 2 4 4" xfId="11380" xr:uid="{00000000-0005-0000-0000-0000384A0000}"/>
    <cellStyle name="40% - Accent5 4 2 4 4 2" xfId="35229" xr:uid="{86C13FF9-2920-4BBE-9668-29326F7B4EBA}"/>
    <cellStyle name="40% - Accent5 4 2 4 5" xfId="19335" xr:uid="{00000000-0005-0000-0000-0000394A0000}"/>
    <cellStyle name="40% - Accent5 4 2 4 5 2" xfId="43167" xr:uid="{DBD15C57-FE73-446C-AB1F-A0900928EA75}"/>
    <cellStyle name="40% - Accent5 4 2 4 6" xfId="27287" xr:uid="{EC08CAB1-7441-4D4C-9EB6-27639AC80B08}"/>
    <cellStyle name="40% - Accent5 4 2 4_Exh G" xfId="3244" xr:uid="{00000000-0005-0000-0000-00003A4A0000}"/>
    <cellStyle name="40% - Accent5 4 2 5" xfId="4234" xr:uid="{00000000-0005-0000-0000-00003B4A0000}"/>
    <cellStyle name="40% - Accent5 4 2 5 2" xfId="7826" xr:uid="{00000000-0005-0000-0000-00003C4A0000}"/>
    <cellStyle name="40% - Accent5 4 2 5 2 2" xfId="15796" xr:uid="{00000000-0005-0000-0000-00003D4A0000}"/>
    <cellStyle name="40% - Accent5 4 2 5 2 2 2" xfId="39638" xr:uid="{EEBA0195-23BE-463B-8A3E-B69FFFA137FA}"/>
    <cellStyle name="40% - Accent5 4 2 5 2 3" xfId="23742" xr:uid="{00000000-0005-0000-0000-00003E4A0000}"/>
    <cellStyle name="40% - Accent5 4 2 5 2 3 2" xfId="47574" xr:uid="{71A3B615-13AF-42D9-A75C-ABD8A3CA2D99}"/>
    <cellStyle name="40% - Accent5 4 2 5 2 4" xfId="31697" xr:uid="{5303ED0B-AC1E-4957-A48E-BD9A0A746108}"/>
    <cellStyle name="40% - Accent5 4 2 5 3" xfId="12258" xr:uid="{00000000-0005-0000-0000-00003F4A0000}"/>
    <cellStyle name="40% - Accent5 4 2 5 3 2" xfId="36107" xr:uid="{A9C7E61D-CB04-4339-8359-0348D64E1003}"/>
    <cellStyle name="40% - Accent5 4 2 5 4" xfId="20213" xr:uid="{00000000-0005-0000-0000-0000404A0000}"/>
    <cellStyle name="40% - Accent5 4 2 5 4 2" xfId="44045" xr:uid="{E2CA22AB-CE09-407D-92A7-48D0F4A6C94A}"/>
    <cellStyle name="40% - Accent5 4 2 5 5" xfId="28166" xr:uid="{FE3C3BB0-5AD6-4FAB-A758-C6FB77A91494}"/>
    <cellStyle name="40% - Accent5 4 2 6" xfId="6054" xr:uid="{00000000-0005-0000-0000-0000414A0000}"/>
    <cellStyle name="40% - Accent5 4 2 6 2" xfId="14037" xr:uid="{00000000-0005-0000-0000-0000424A0000}"/>
    <cellStyle name="40% - Accent5 4 2 6 2 2" xfId="37880" xr:uid="{0C0073E5-3B87-4492-9360-070F1B353D96}"/>
    <cellStyle name="40% - Accent5 4 2 6 3" xfId="21985" xr:uid="{00000000-0005-0000-0000-0000434A0000}"/>
    <cellStyle name="40% - Accent5 4 2 6 3 2" xfId="45817" xr:uid="{6CB6F097-0368-4FD6-B01A-2C2EF8431C60}"/>
    <cellStyle name="40% - Accent5 4 2 6 4" xfId="29939" xr:uid="{E77D82BB-05E6-4911-BD0F-5A6DCDAFE8BF}"/>
    <cellStyle name="40% - Accent5 4 2 7" xfId="9606" xr:uid="{00000000-0005-0000-0000-0000444A0000}"/>
    <cellStyle name="40% - Accent5 4 2 7 2" xfId="17564" xr:uid="{00000000-0005-0000-0000-0000454A0000}"/>
    <cellStyle name="40% - Accent5 4 2 7 2 2" xfId="41404" xr:uid="{AE98ACA6-4CEB-4D70-A845-C08C140D900E}"/>
    <cellStyle name="40% - Accent5 4 2 7 3" xfId="25508" xr:uid="{00000000-0005-0000-0000-0000464A0000}"/>
    <cellStyle name="40% - Accent5 4 2 7 3 2" xfId="49340" xr:uid="{B2046A02-2871-43DC-A4AE-746434BF09FA}"/>
    <cellStyle name="40% - Accent5 4 2 7 4" xfId="33463" xr:uid="{7BB60851-FB5D-40B2-BF5A-517F6C7F8A4A}"/>
    <cellStyle name="40% - Accent5 4 2 8" xfId="10502" xr:uid="{00000000-0005-0000-0000-0000474A0000}"/>
    <cellStyle name="40% - Accent5 4 2 8 2" xfId="34351" xr:uid="{C412CB26-4272-44BD-8CD8-B17DF1A0D56C}"/>
    <cellStyle name="40% - Accent5 4 2 9" xfId="18457" xr:uid="{00000000-0005-0000-0000-0000484A0000}"/>
    <cellStyle name="40% - Accent5 4 2 9 2" xfId="42289" xr:uid="{D6CC8E48-8D87-4A9E-804D-8116A81DF507}"/>
    <cellStyle name="40% - Accent5 4 2_Exh G" xfId="3239" xr:uid="{00000000-0005-0000-0000-0000494A0000}"/>
    <cellStyle name="40% - Accent5 4 3" xfId="562" xr:uid="{00000000-0005-0000-0000-00004A4A0000}"/>
    <cellStyle name="40% - Accent5 4 3 2" xfId="1588" xr:uid="{00000000-0005-0000-0000-00004B4A0000}"/>
    <cellStyle name="40% - Accent5 4 3 2 2" xfId="5115" xr:uid="{00000000-0005-0000-0000-00004C4A0000}"/>
    <cellStyle name="40% - Accent5 4 3 2 2 2" xfId="8706" xr:uid="{00000000-0005-0000-0000-00004D4A0000}"/>
    <cellStyle name="40% - Accent5 4 3 2 2 2 2" xfId="16676" xr:uid="{00000000-0005-0000-0000-00004E4A0000}"/>
    <cellStyle name="40% - Accent5 4 3 2 2 2 2 2" xfId="40518" xr:uid="{6CD1F3E8-F97B-412E-9CCC-486D53FA7233}"/>
    <cellStyle name="40% - Accent5 4 3 2 2 2 3" xfId="24622" xr:uid="{00000000-0005-0000-0000-00004F4A0000}"/>
    <cellStyle name="40% - Accent5 4 3 2 2 2 3 2" xfId="48454" xr:uid="{E600CD0B-8AE7-422C-8F98-2849BFCB9D38}"/>
    <cellStyle name="40% - Accent5 4 3 2 2 2 4" xfId="32577" xr:uid="{D4304ADC-BD1C-4357-8EDA-25355574A50C}"/>
    <cellStyle name="40% - Accent5 4 3 2 2 3" xfId="13138" xr:uid="{00000000-0005-0000-0000-0000504A0000}"/>
    <cellStyle name="40% - Accent5 4 3 2 2 3 2" xfId="36987" xr:uid="{92BB9EE7-32E1-45A9-BC76-D866DC11BB2E}"/>
    <cellStyle name="40% - Accent5 4 3 2 2 4" xfId="21093" xr:uid="{00000000-0005-0000-0000-0000514A0000}"/>
    <cellStyle name="40% - Accent5 4 3 2 2 4 2" xfId="44925" xr:uid="{54952375-E0C4-44B6-B8A5-FA3B2EC72979}"/>
    <cellStyle name="40% - Accent5 4 3 2 2 5" xfId="29046" xr:uid="{8AD18F4F-BDA9-4F08-88C6-5DD5B7727525}"/>
    <cellStyle name="40% - Accent5 4 3 2 3" xfId="6947" xr:uid="{00000000-0005-0000-0000-0000524A0000}"/>
    <cellStyle name="40% - Accent5 4 3 2 3 2" xfId="14918" xr:uid="{00000000-0005-0000-0000-0000534A0000}"/>
    <cellStyle name="40% - Accent5 4 3 2 3 2 2" xfId="38760" xr:uid="{F679D34A-A5EC-4862-9A5B-CE74778DF47B}"/>
    <cellStyle name="40% - Accent5 4 3 2 3 3" xfId="22865" xr:uid="{00000000-0005-0000-0000-0000544A0000}"/>
    <cellStyle name="40% - Accent5 4 3 2 3 3 2" xfId="46697" xr:uid="{DF9611E1-E284-4E6F-B36D-07DADBD7C698}"/>
    <cellStyle name="40% - Accent5 4 3 2 3 4" xfId="30819" xr:uid="{143C479D-3EB7-46FE-96DD-A18B998419E9}"/>
    <cellStyle name="40% - Accent5 4 3 2 4" xfId="11382" xr:uid="{00000000-0005-0000-0000-0000554A0000}"/>
    <cellStyle name="40% - Accent5 4 3 2 4 2" xfId="35231" xr:uid="{B6317E14-E0C4-41B2-AA62-35A297FC496D}"/>
    <cellStyle name="40% - Accent5 4 3 2 5" xfId="19337" xr:uid="{00000000-0005-0000-0000-0000564A0000}"/>
    <cellStyle name="40% - Accent5 4 3 2 5 2" xfId="43169" xr:uid="{85AA867A-0D19-4C18-BB63-76C0D61CE4C8}"/>
    <cellStyle name="40% - Accent5 4 3 2 6" xfId="27289" xr:uid="{67447473-A2E7-491D-A917-9CD66ACC5DB0}"/>
    <cellStyle name="40% - Accent5 4 3 2_Exh G" xfId="3246" xr:uid="{00000000-0005-0000-0000-0000574A0000}"/>
    <cellStyle name="40% - Accent5 4 3 3" xfId="4236" xr:uid="{00000000-0005-0000-0000-0000584A0000}"/>
    <cellStyle name="40% - Accent5 4 3 3 2" xfId="7828" xr:uid="{00000000-0005-0000-0000-0000594A0000}"/>
    <cellStyle name="40% - Accent5 4 3 3 2 2" xfId="15798" xr:uid="{00000000-0005-0000-0000-00005A4A0000}"/>
    <cellStyle name="40% - Accent5 4 3 3 2 2 2" xfId="39640" xr:uid="{8F6FD564-8FAA-4913-AA5D-EBED247AD711}"/>
    <cellStyle name="40% - Accent5 4 3 3 2 3" xfId="23744" xr:uid="{00000000-0005-0000-0000-00005B4A0000}"/>
    <cellStyle name="40% - Accent5 4 3 3 2 3 2" xfId="47576" xr:uid="{CCFC4B5C-E05C-4CE5-94EA-47A59F414650}"/>
    <cellStyle name="40% - Accent5 4 3 3 2 4" xfId="31699" xr:uid="{B1A34162-A7EC-47CC-BEFC-B6FA07F992B2}"/>
    <cellStyle name="40% - Accent5 4 3 3 3" xfId="12260" xr:uid="{00000000-0005-0000-0000-00005C4A0000}"/>
    <cellStyle name="40% - Accent5 4 3 3 3 2" xfId="36109" xr:uid="{2E1F85AF-768B-4B13-A599-42E1A2CB20FE}"/>
    <cellStyle name="40% - Accent5 4 3 3 4" xfId="20215" xr:uid="{00000000-0005-0000-0000-00005D4A0000}"/>
    <cellStyle name="40% - Accent5 4 3 3 4 2" xfId="44047" xr:uid="{8C1CAF03-5AEA-41D9-AD95-742882791596}"/>
    <cellStyle name="40% - Accent5 4 3 3 5" xfId="28168" xr:uid="{4619A994-2F3A-4141-804F-6865023AEAF5}"/>
    <cellStyle name="40% - Accent5 4 3 4" xfId="6056" xr:uid="{00000000-0005-0000-0000-00005E4A0000}"/>
    <cellStyle name="40% - Accent5 4 3 4 2" xfId="14039" xr:uid="{00000000-0005-0000-0000-00005F4A0000}"/>
    <cellStyle name="40% - Accent5 4 3 4 2 2" xfId="37882" xr:uid="{7B77BF24-F06A-498C-BD15-01A239012E87}"/>
    <cellStyle name="40% - Accent5 4 3 4 3" xfId="21987" xr:uid="{00000000-0005-0000-0000-0000604A0000}"/>
    <cellStyle name="40% - Accent5 4 3 4 3 2" xfId="45819" xr:uid="{8245B015-6194-40E8-925F-E395EAE4CB24}"/>
    <cellStyle name="40% - Accent5 4 3 4 4" xfId="29941" xr:uid="{A98E6522-E5A0-4501-98EB-3777A2A33DD2}"/>
    <cellStyle name="40% - Accent5 4 3 5" xfId="9608" xr:uid="{00000000-0005-0000-0000-0000614A0000}"/>
    <cellStyle name="40% - Accent5 4 3 5 2" xfId="17566" xr:uid="{00000000-0005-0000-0000-0000624A0000}"/>
    <cellStyle name="40% - Accent5 4 3 5 2 2" xfId="41406" xr:uid="{F1D722D8-15A0-4A5C-AF9A-A387DB6B525C}"/>
    <cellStyle name="40% - Accent5 4 3 5 3" xfId="25510" xr:uid="{00000000-0005-0000-0000-0000634A0000}"/>
    <cellStyle name="40% - Accent5 4 3 5 3 2" xfId="49342" xr:uid="{C5783507-AC7A-4E1F-A02F-9340AE4B9EAA}"/>
    <cellStyle name="40% - Accent5 4 3 5 4" xfId="33465" xr:uid="{74C6BD24-BB44-42BC-ACD9-51A0FF166A8B}"/>
    <cellStyle name="40% - Accent5 4 3 6" xfId="10504" xr:uid="{00000000-0005-0000-0000-0000644A0000}"/>
    <cellStyle name="40% - Accent5 4 3 6 2" xfId="34353" xr:uid="{F10F108E-D84D-45C0-8394-DD749EA262D9}"/>
    <cellStyle name="40% - Accent5 4 3 7" xfId="18459" xr:uid="{00000000-0005-0000-0000-0000654A0000}"/>
    <cellStyle name="40% - Accent5 4 3 7 2" xfId="42291" xr:uid="{6E25D522-3411-4673-81DB-CA646D7A7028}"/>
    <cellStyle name="40% - Accent5 4 3 8" xfId="26411" xr:uid="{DA73BC99-B56B-4FC7-9206-1B74165D0B3C}"/>
    <cellStyle name="40% - Accent5 4 3_Exh G" xfId="3245" xr:uid="{00000000-0005-0000-0000-0000664A0000}"/>
    <cellStyle name="40% - Accent5 4 4" xfId="984" xr:uid="{00000000-0005-0000-0000-0000674A0000}"/>
    <cellStyle name="40% - Accent5 4 4 2" xfId="1896" xr:uid="{00000000-0005-0000-0000-0000684A0000}"/>
    <cellStyle name="40% - Accent5 4 4 2 2" xfId="5413" xr:uid="{00000000-0005-0000-0000-0000694A0000}"/>
    <cellStyle name="40% - Accent5 4 4 2 2 2" xfId="9004" xr:uid="{00000000-0005-0000-0000-00006A4A0000}"/>
    <cellStyle name="40% - Accent5 4 4 2 2 2 2" xfId="16974" xr:uid="{00000000-0005-0000-0000-00006B4A0000}"/>
    <cellStyle name="40% - Accent5 4 4 2 2 2 2 2" xfId="40816" xr:uid="{103C2ADB-5700-49FE-857D-CB13225E85E7}"/>
    <cellStyle name="40% - Accent5 4 4 2 2 2 3" xfId="24920" xr:uid="{00000000-0005-0000-0000-00006C4A0000}"/>
    <cellStyle name="40% - Accent5 4 4 2 2 2 3 2" xfId="48752" xr:uid="{2C211F06-0612-46B1-B818-5307977420D9}"/>
    <cellStyle name="40% - Accent5 4 4 2 2 2 4" xfId="32875" xr:uid="{7470F9E8-7614-4660-9D9C-19EE6CD05BAD}"/>
    <cellStyle name="40% - Accent5 4 4 2 2 3" xfId="13436" xr:uid="{00000000-0005-0000-0000-00006D4A0000}"/>
    <cellStyle name="40% - Accent5 4 4 2 2 3 2" xfId="37285" xr:uid="{3EE1F52E-E5C4-4F5B-8F81-67A22B370930}"/>
    <cellStyle name="40% - Accent5 4 4 2 2 4" xfId="21391" xr:uid="{00000000-0005-0000-0000-00006E4A0000}"/>
    <cellStyle name="40% - Accent5 4 4 2 2 4 2" xfId="45223" xr:uid="{3E8A6EC5-65FE-4CA5-AAE9-3A965098D7B6}"/>
    <cellStyle name="40% - Accent5 4 4 2 2 5" xfId="29344" xr:uid="{FD44F3AA-5CD6-4A75-B2A0-361D4EFCA209}"/>
    <cellStyle name="40% - Accent5 4 4 2 3" xfId="7245" xr:uid="{00000000-0005-0000-0000-00006F4A0000}"/>
    <cellStyle name="40% - Accent5 4 4 2 3 2" xfId="15216" xr:uid="{00000000-0005-0000-0000-0000704A0000}"/>
    <cellStyle name="40% - Accent5 4 4 2 3 2 2" xfId="39058" xr:uid="{E51AE4FD-9204-4D10-B647-A85637D2510C}"/>
    <cellStyle name="40% - Accent5 4 4 2 3 3" xfId="23163" xr:uid="{00000000-0005-0000-0000-0000714A0000}"/>
    <cellStyle name="40% - Accent5 4 4 2 3 3 2" xfId="46995" xr:uid="{7EC30CE4-CC24-440A-A320-8F1F8EF9A778}"/>
    <cellStyle name="40% - Accent5 4 4 2 3 4" xfId="31117" xr:uid="{1AB545BF-E8C9-4715-AA0A-3965FA72D17B}"/>
    <cellStyle name="40% - Accent5 4 4 2 4" xfId="11680" xr:uid="{00000000-0005-0000-0000-0000724A0000}"/>
    <cellStyle name="40% - Accent5 4 4 2 4 2" xfId="35529" xr:uid="{2A76A131-37EE-4CE9-BB72-6F8F2022A14B}"/>
    <cellStyle name="40% - Accent5 4 4 2 5" xfId="19635" xr:uid="{00000000-0005-0000-0000-0000734A0000}"/>
    <cellStyle name="40% - Accent5 4 4 2 5 2" xfId="43467" xr:uid="{BA573835-8C4B-4BEF-AF43-3CD7D91AF924}"/>
    <cellStyle name="40% - Accent5 4 4 2 6" xfId="27587" xr:uid="{ED13163D-7E87-41E2-A2CF-C980404FA8B4}"/>
    <cellStyle name="40% - Accent5 4 4 2_Exh G" xfId="3248" xr:uid="{00000000-0005-0000-0000-0000744A0000}"/>
    <cellStyle name="40% - Accent5 4 4 3" xfId="4534" xr:uid="{00000000-0005-0000-0000-0000754A0000}"/>
    <cellStyle name="40% - Accent5 4 4 3 2" xfId="8126" xr:uid="{00000000-0005-0000-0000-0000764A0000}"/>
    <cellStyle name="40% - Accent5 4 4 3 2 2" xfId="16096" xr:uid="{00000000-0005-0000-0000-0000774A0000}"/>
    <cellStyle name="40% - Accent5 4 4 3 2 2 2" xfId="39938" xr:uid="{F841E9FA-9B91-4857-A27A-90C7CD9A5E9C}"/>
    <cellStyle name="40% - Accent5 4 4 3 2 3" xfId="24042" xr:uid="{00000000-0005-0000-0000-0000784A0000}"/>
    <cellStyle name="40% - Accent5 4 4 3 2 3 2" xfId="47874" xr:uid="{717FB505-6AA6-4017-8CE0-318379F0AADC}"/>
    <cellStyle name="40% - Accent5 4 4 3 2 4" xfId="31997" xr:uid="{4D126B4C-6BDC-477D-8ECB-6C30BFB21EB1}"/>
    <cellStyle name="40% - Accent5 4 4 3 3" xfId="12558" xr:uid="{00000000-0005-0000-0000-0000794A0000}"/>
    <cellStyle name="40% - Accent5 4 4 3 3 2" xfId="36407" xr:uid="{6408FDC9-3A61-4C24-9CC8-7483C9D4505C}"/>
    <cellStyle name="40% - Accent5 4 4 3 4" xfId="20513" xr:uid="{00000000-0005-0000-0000-00007A4A0000}"/>
    <cellStyle name="40% - Accent5 4 4 3 4 2" xfId="44345" xr:uid="{2B3639C5-E47A-44C5-969A-F99AC88BA51D}"/>
    <cellStyle name="40% - Accent5 4 4 3 5" xfId="28466" xr:uid="{70AB18D4-AFF5-4518-ACFB-644508B7ADFA}"/>
    <cellStyle name="40% - Accent5 4 4 4" xfId="6364" xr:uid="{00000000-0005-0000-0000-00007B4A0000}"/>
    <cellStyle name="40% - Accent5 4 4 4 2" xfId="14338" xr:uid="{00000000-0005-0000-0000-00007C4A0000}"/>
    <cellStyle name="40% - Accent5 4 4 4 2 2" xfId="38180" xr:uid="{E6F6B30A-E9C6-46EE-A4DA-6CB28B45F9B5}"/>
    <cellStyle name="40% - Accent5 4 4 4 3" xfId="22285" xr:uid="{00000000-0005-0000-0000-00007D4A0000}"/>
    <cellStyle name="40% - Accent5 4 4 4 3 2" xfId="46117" xr:uid="{FDC7F111-6AF2-4CAF-BC2B-BCA6E2DF36C7}"/>
    <cellStyle name="40% - Accent5 4 4 4 4" xfId="30239" xr:uid="{2C51A423-B1C8-409A-BD2E-53239A2A4745}"/>
    <cellStyle name="40% - Accent5 4 4 5" xfId="9906" xr:uid="{00000000-0005-0000-0000-00007E4A0000}"/>
    <cellStyle name="40% - Accent5 4 4 5 2" xfId="17864" xr:uid="{00000000-0005-0000-0000-00007F4A0000}"/>
    <cellStyle name="40% - Accent5 4 4 5 2 2" xfId="41704" xr:uid="{8C59D2FA-9FE9-4198-8265-0450747823FE}"/>
    <cellStyle name="40% - Accent5 4 4 5 3" xfId="25808" xr:uid="{00000000-0005-0000-0000-0000804A0000}"/>
    <cellStyle name="40% - Accent5 4 4 5 3 2" xfId="49640" xr:uid="{2097C900-AC41-434C-9A77-45F604536A2C}"/>
    <cellStyle name="40% - Accent5 4 4 5 4" xfId="33763" xr:uid="{60801936-3652-4F1B-89B2-3F22BC380361}"/>
    <cellStyle name="40% - Accent5 4 4 6" xfId="10802" xr:uid="{00000000-0005-0000-0000-0000814A0000}"/>
    <cellStyle name="40% - Accent5 4 4 6 2" xfId="34651" xr:uid="{EBE078BE-AEF0-49A8-A387-3CE8D2C51E2C}"/>
    <cellStyle name="40% - Accent5 4 4 7" xfId="18757" xr:uid="{00000000-0005-0000-0000-0000824A0000}"/>
    <cellStyle name="40% - Accent5 4 4 7 2" xfId="42589" xr:uid="{502F70B5-D6F8-47ED-98ED-0752E1CE63F9}"/>
    <cellStyle name="40% - Accent5 4 4 8" xfId="26709" xr:uid="{D953D1E1-18CA-435B-A1DA-D66D317ACB51}"/>
    <cellStyle name="40% - Accent5 4 4_Exh G" xfId="3247" xr:uid="{00000000-0005-0000-0000-0000834A0000}"/>
    <cellStyle name="40% - Accent5 4 5" xfId="1585" xr:uid="{00000000-0005-0000-0000-0000844A0000}"/>
    <cellStyle name="40% - Accent5 4 5 2" xfId="5112" xr:uid="{00000000-0005-0000-0000-0000854A0000}"/>
    <cellStyle name="40% - Accent5 4 5 2 2" xfId="8703" xr:uid="{00000000-0005-0000-0000-0000864A0000}"/>
    <cellStyle name="40% - Accent5 4 5 2 2 2" xfId="16673" xr:uid="{00000000-0005-0000-0000-0000874A0000}"/>
    <cellStyle name="40% - Accent5 4 5 2 2 2 2" xfId="40515" xr:uid="{252B30CB-C2AA-4B92-8187-1D3A4E719642}"/>
    <cellStyle name="40% - Accent5 4 5 2 2 3" xfId="24619" xr:uid="{00000000-0005-0000-0000-0000884A0000}"/>
    <cellStyle name="40% - Accent5 4 5 2 2 3 2" xfId="48451" xr:uid="{2F66B18F-7B7D-426F-94A6-727A34DA6C82}"/>
    <cellStyle name="40% - Accent5 4 5 2 2 4" xfId="32574" xr:uid="{BD1F7587-BB9D-4CE6-BB8B-D8CF7F7018C0}"/>
    <cellStyle name="40% - Accent5 4 5 2 3" xfId="13135" xr:uid="{00000000-0005-0000-0000-0000894A0000}"/>
    <cellStyle name="40% - Accent5 4 5 2 3 2" xfId="36984" xr:uid="{0381F7C8-4DE0-4557-9496-F050576F7890}"/>
    <cellStyle name="40% - Accent5 4 5 2 4" xfId="21090" xr:uid="{00000000-0005-0000-0000-00008A4A0000}"/>
    <cellStyle name="40% - Accent5 4 5 2 4 2" xfId="44922" xr:uid="{9CF82A1E-E904-4CDD-95F1-B30889E17504}"/>
    <cellStyle name="40% - Accent5 4 5 2 5" xfId="29043" xr:uid="{15438DB1-5842-481B-8F93-E69C11025EE6}"/>
    <cellStyle name="40% - Accent5 4 5 3" xfId="6944" xr:uid="{00000000-0005-0000-0000-00008B4A0000}"/>
    <cellStyle name="40% - Accent5 4 5 3 2" xfId="14915" xr:uid="{00000000-0005-0000-0000-00008C4A0000}"/>
    <cellStyle name="40% - Accent5 4 5 3 2 2" xfId="38757" xr:uid="{2927D402-F716-4F3C-ABDE-AFA6C9FD27C8}"/>
    <cellStyle name="40% - Accent5 4 5 3 3" xfId="22862" xr:uid="{00000000-0005-0000-0000-00008D4A0000}"/>
    <cellStyle name="40% - Accent5 4 5 3 3 2" xfId="46694" xr:uid="{7132FE6E-2011-473D-9490-2B21C6C38CC1}"/>
    <cellStyle name="40% - Accent5 4 5 3 4" xfId="30816" xr:uid="{2F8BD91F-24E6-4ED9-BF57-5BEB113E7145}"/>
    <cellStyle name="40% - Accent5 4 5 4" xfId="11379" xr:uid="{00000000-0005-0000-0000-00008E4A0000}"/>
    <cellStyle name="40% - Accent5 4 5 4 2" xfId="35228" xr:uid="{D91DEFAC-D833-4BCD-A35D-F9C1E555ADDB}"/>
    <cellStyle name="40% - Accent5 4 5 5" xfId="19334" xr:uid="{00000000-0005-0000-0000-00008F4A0000}"/>
    <cellStyle name="40% - Accent5 4 5 5 2" xfId="43166" xr:uid="{4CA50D1A-D845-439D-80E1-CF2BBB5D6A57}"/>
    <cellStyle name="40% - Accent5 4 5 6" xfId="27286" xr:uid="{070592FE-2CF7-4E75-8262-7363461A11E0}"/>
    <cellStyle name="40% - Accent5 4 5_Exh G" xfId="3249" xr:uid="{00000000-0005-0000-0000-0000904A0000}"/>
    <cellStyle name="40% - Accent5 4 6" xfId="4233" xr:uid="{00000000-0005-0000-0000-0000914A0000}"/>
    <cellStyle name="40% - Accent5 4 6 2" xfId="7825" xr:uid="{00000000-0005-0000-0000-0000924A0000}"/>
    <cellStyle name="40% - Accent5 4 6 2 2" xfId="15795" xr:uid="{00000000-0005-0000-0000-0000934A0000}"/>
    <cellStyle name="40% - Accent5 4 6 2 2 2" xfId="39637" xr:uid="{4C31B715-21D3-41E1-BAC0-DAD806CBC5C3}"/>
    <cellStyle name="40% - Accent5 4 6 2 3" xfId="23741" xr:uid="{00000000-0005-0000-0000-0000944A0000}"/>
    <cellStyle name="40% - Accent5 4 6 2 3 2" xfId="47573" xr:uid="{36434DC4-446E-47F9-B9CB-6114CBBF8D4A}"/>
    <cellStyle name="40% - Accent5 4 6 2 4" xfId="31696" xr:uid="{9EBD41FE-56CA-4C32-89C4-F299016AE07C}"/>
    <cellStyle name="40% - Accent5 4 6 3" xfId="12257" xr:uid="{00000000-0005-0000-0000-0000954A0000}"/>
    <cellStyle name="40% - Accent5 4 6 3 2" xfId="36106" xr:uid="{071A3E2E-7BAC-4ADC-B22A-67E3A7BC4E0C}"/>
    <cellStyle name="40% - Accent5 4 6 4" xfId="20212" xr:uid="{00000000-0005-0000-0000-0000964A0000}"/>
    <cellStyle name="40% - Accent5 4 6 4 2" xfId="44044" xr:uid="{F390BBF5-BA16-485A-B133-50C561081E52}"/>
    <cellStyle name="40% - Accent5 4 6 5" xfId="28165" xr:uid="{378A2874-415B-4F97-8391-C7F9B93E1C51}"/>
    <cellStyle name="40% - Accent5 4 7" xfId="6053" xr:uid="{00000000-0005-0000-0000-0000974A0000}"/>
    <cellStyle name="40% - Accent5 4 7 2" xfId="14036" xr:uid="{00000000-0005-0000-0000-0000984A0000}"/>
    <cellStyle name="40% - Accent5 4 7 2 2" xfId="37879" xr:uid="{146B8249-CF9C-4590-A744-6EB6D707BDAA}"/>
    <cellStyle name="40% - Accent5 4 7 3" xfId="21984" xr:uid="{00000000-0005-0000-0000-0000994A0000}"/>
    <cellStyle name="40% - Accent5 4 7 3 2" xfId="45816" xr:uid="{BDBDFBBA-DF9B-45BD-B975-B6C07349175A}"/>
    <cellStyle name="40% - Accent5 4 7 4" xfId="29938" xr:uid="{F6960667-351C-4F86-8B59-9DBD9DD05CF6}"/>
    <cellStyle name="40% - Accent5 4 8" xfId="9605" xr:uid="{00000000-0005-0000-0000-00009A4A0000}"/>
    <cellStyle name="40% - Accent5 4 8 2" xfId="17563" xr:uid="{00000000-0005-0000-0000-00009B4A0000}"/>
    <cellStyle name="40% - Accent5 4 8 2 2" xfId="41403" xr:uid="{A5BF6B86-38C4-4E8A-B10B-BEBDA6FDF089}"/>
    <cellStyle name="40% - Accent5 4 8 3" xfId="25507" xr:uid="{00000000-0005-0000-0000-00009C4A0000}"/>
    <cellStyle name="40% - Accent5 4 8 3 2" xfId="49339" xr:uid="{917517E9-816F-4133-8E3A-93DB8890DC3C}"/>
    <cellStyle name="40% - Accent5 4 8 4" xfId="33462" xr:uid="{3FFB06F2-484E-4123-BF26-304686239C32}"/>
    <cellStyle name="40% - Accent5 4 9" xfId="10501" xr:uid="{00000000-0005-0000-0000-00009D4A0000}"/>
    <cellStyle name="40% - Accent5 4 9 2" xfId="34350" xr:uid="{64A3F6EF-15B0-4355-A3B3-56A91E9E3DFB}"/>
    <cellStyle name="40% - Accent5 4_Exh G" xfId="3238" xr:uid="{00000000-0005-0000-0000-00009E4A0000}"/>
    <cellStyle name="40% - Accent5 5" xfId="563" xr:uid="{00000000-0005-0000-0000-00009F4A0000}"/>
    <cellStyle name="40% - Accent5 5 10" xfId="18460" xr:uid="{00000000-0005-0000-0000-0000A04A0000}"/>
    <cellStyle name="40% - Accent5 5 10 2" xfId="42292" xr:uid="{16080E07-8902-4267-AF01-1B5BB0184919}"/>
    <cellStyle name="40% - Accent5 5 11" xfId="26412" xr:uid="{CE2313F1-F7DF-4F26-A5A0-C6207023B817}"/>
    <cellStyle name="40% - Accent5 5 2" xfId="564" xr:uid="{00000000-0005-0000-0000-0000A14A0000}"/>
    <cellStyle name="40% - Accent5 5 2 2" xfId="565" xr:uid="{00000000-0005-0000-0000-0000A24A0000}"/>
    <cellStyle name="40% - Accent5 5 2 2 2" xfId="1591" xr:uid="{00000000-0005-0000-0000-0000A34A0000}"/>
    <cellStyle name="40% - Accent5 5 2 2 2 2" xfId="5118" xr:uid="{00000000-0005-0000-0000-0000A44A0000}"/>
    <cellStyle name="40% - Accent5 5 2 2 2 2 2" xfId="8709" xr:uid="{00000000-0005-0000-0000-0000A54A0000}"/>
    <cellStyle name="40% - Accent5 5 2 2 2 2 2 2" xfId="16679" xr:uid="{00000000-0005-0000-0000-0000A64A0000}"/>
    <cellStyle name="40% - Accent5 5 2 2 2 2 2 2 2" xfId="40521" xr:uid="{EEDD547A-3824-427A-B71D-1943D2E4A898}"/>
    <cellStyle name="40% - Accent5 5 2 2 2 2 2 3" xfId="24625" xr:uid="{00000000-0005-0000-0000-0000A74A0000}"/>
    <cellStyle name="40% - Accent5 5 2 2 2 2 2 3 2" xfId="48457" xr:uid="{231BAC15-5916-4D3C-B09C-3AB0CD3CB602}"/>
    <cellStyle name="40% - Accent5 5 2 2 2 2 2 4" xfId="32580" xr:uid="{8F0C0CCB-F72A-4EBE-8E76-4CF4EF4F14E8}"/>
    <cellStyle name="40% - Accent5 5 2 2 2 2 3" xfId="13141" xr:uid="{00000000-0005-0000-0000-0000A84A0000}"/>
    <cellStyle name="40% - Accent5 5 2 2 2 2 3 2" xfId="36990" xr:uid="{4DA5E2FF-0550-47B2-ACB1-F6C0F9ACD176}"/>
    <cellStyle name="40% - Accent5 5 2 2 2 2 4" xfId="21096" xr:uid="{00000000-0005-0000-0000-0000A94A0000}"/>
    <cellStyle name="40% - Accent5 5 2 2 2 2 4 2" xfId="44928" xr:uid="{24EC63CF-4314-409D-9188-9CF28E860815}"/>
    <cellStyle name="40% - Accent5 5 2 2 2 2 5" xfId="29049" xr:uid="{D96B655D-9D7C-470D-8F2D-6D02C6F028A3}"/>
    <cellStyle name="40% - Accent5 5 2 2 2 3" xfId="6950" xr:uid="{00000000-0005-0000-0000-0000AA4A0000}"/>
    <cellStyle name="40% - Accent5 5 2 2 2 3 2" xfId="14921" xr:uid="{00000000-0005-0000-0000-0000AB4A0000}"/>
    <cellStyle name="40% - Accent5 5 2 2 2 3 2 2" xfId="38763" xr:uid="{BBFCBBBA-E0E8-48BB-9D0E-145BA9262390}"/>
    <cellStyle name="40% - Accent5 5 2 2 2 3 3" xfId="22868" xr:uid="{00000000-0005-0000-0000-0000AC4A0000}"/>
    <cellStyle name="40% - Accent5 5 2 2 2 3 3 2" xfId="46700" xr:uid="{AAAD43F0-7EAB-498E-B98B-52452D354DEE}"/>
    <cellStyle name="40% - Accent5 5 2 2 2 3 4" xfId="30822" xr:uid="{96EB56E6-856E-456C-B546-4CDE1040FEC3}"/>
    <cellStyle name="40% - Accent5 5 2 2 2 4" xfId="11385" xr:uid="{00000000-0005-0000-0000-0000AD4A0000}"/>
    <cellStyle name="40% - Accent5 5 2 2 2 4 2" xfId="35234" xr:uid="{CD4194C8-A762-47E3-A8FE-5E5055C0E546}"/>
    <cellStyle name="40% - Accent5 5 2 2 2 5" xfId="19340" xr:uid="{00000000-0005-0000-0000-0000AE4A0000}"/>
    <cellStyle name="40% - Accent5 5 2 2 2 5 2" xfId="43172" xr:uid="{F3A391F4-E2E8-4031-8601-5ECF3DAED241}"/>
    <cellStyle name="40% - Accent5 5 2 2 2 6" xfId="27292" xr:uid="{7937D7B9-963B-4A8A-AACC-8B6AB217C0F0}"/>
    <cellStyle name="40% - Accent5 5 2 2 2_Exh G" xfId="3253" xr:uid="{00000000-0005-0000-0000-0000AF4A0000}"/>
    <cellStyle name="40% - Accent5 5 2 2 3" xfId="4239" xr:uid="{00000000-0005-0000-0000-0000B04A0000}"/>
    <cellStyle name="40% - Accent5 5 2 2 3 2" xfId="7831" xr:uid="{00000000-0005-0000-0000-0000B14A0000}"/>
    <cellStyle name="40% - Accent5 5 2 2 3 2 2" xfId="15801" xr:uid="{00000000-0005-0000-0000-0000B24A0000}"/>
    <cellStyle name="40% - Accent5 5 2 2 3 2 2 2" xfId="39643" xr:uid="{D5ED070A-DC30-4766-9623-31AD88CC637B}"/>
    <cellStyle name="40% - Accent5 5 2 2 3 2 3" xfId="23747" xr:uid="{00000000-0005-0000-0000-0000B34A0000}"/>
    <cellStyle name="40% - Accent5 5 2 2 3 2 3 2" xfId="47579" xr:uid="{8E55A168-F1F4-4768-9501-E9CC7D05829F}"/>
    <cellStyle name="40% - Accent5 5 2 2 3 2 4" xfId="31702" xr:uid="{F78E6504-EC61-4BF1-83C4-9A020220A813}"/>
    <cellStyle name="40% - Accent5 5 2 2 3 3" xfId="12263" xr:uid="{00000000-0005-0000-0000-0000B44A0000}"/>
    <cellStyle name="40% - Accent5 5 2 2 3 3 2" xfId="36112" xr:uid="{9B73E798-E70C-4222-9333-C1363A9DBFC8}"/>
    <cellStyle name="40% - Accent5 5 2 2 3 4" xfId="20218" xr:uid="{00000000-0005-0000-0000-0000B54A0000}"/>
    <cellStyle name="40% - Accent5 5 2 2 3 4 2" xfId="44050" xr:uid="{4863C6B1-F4A2-4D47-88FE-8303C1EB0623}"/>
    <cellStyle name="40% - Accent5 5 2 2 3 5" xfId="28171" xr:uid="{136807DE-EAF0-489E-A49E-8172455F8886}"/>
    <cellStyle name="40% - Accent5 5 2 2 4" xfId="6059" xr:uid="{00000000-0005-0000-0000-0000B64A0000}"/>
    <cellStyle name="40% - Accent5 5 2 2 4 2" xfId="14042" xr:uid="{00000000-0005-0000-0000-0000B74A0000}"/>
    <cellStyle name="40% - Accent5 5 2 2 4 2 2" xfId="37885" xr:uid="{BE14C261-3170-4267-8EAF-8EA2BCD39E1B}"/>
    <cellStyle name="40% - Accent5 5 2 2 4 3" xfId="21990" xr:uid="{00000000-0005-0000-0000-0000B84A0000}"/>
    <cellStyle name="40% - Accent5 5 2 2 4 3 2" xfId="45822" xr:uid="{AF4FA872-6606-4886-A81F-E28518F9B4DA}"/>
    <cellStyle name="40% - Accent5 5 2 2 4 4" xfId="29944" xr:uid="{7D40D3D0-3AE9-4132-AB10-CAE620E2706D}"/>
    <cellStyle name="40% - Accent5 5 2 2 5" xfId="9611" xr:uid="{00000000-0005-0000-0000-0000B94A0000}"/>
    <cellStyle name="40% - Accent5 5 2 2 5 2" xfId="17569" xr:uid="{00000000-0005-0000-0000-0000BA4A0000}"/>
    <cellStyle name="40% - Accent5 5 2 2 5 2 2" xfId="41409" xr:uid="{542787C2-0082-41CB-8B04-D24C4A5EFF43}"/>
    <cellStyle name="40% - Accent5 5 2 2 5 3" xfId="25513" xr:uid="{00000000-0005-0000-0000-0000BB4A0000}"/>
    <cellStyle name="40% - Accent5 5 2 2 5 3 2" xfId="49345" xr:uid="{EFA80E81-922D-4CAA-BEB9-04EFC0637EA1}"/>
    <cellStyle name="40% - Accent5 5 2 2 5 4" xfId="33468" xr:uid="{A62D2109-446A-42EC-BCE4-43E79A2C3647}"/>
    <cellStyle name="40% - Accent5 5 2 2 6" xfId="10507" xr:uid="{00000000-0005-0000-0000-0000BC4A0000}"/>
    <cellStyle name="40% - Accent5 5 2 2 6 2" xfId="34356" xr:uid="{6024FBA9-CAD5-48CF-99BB-AC37338B8B6E}"/>
    <cellStyle name="40% - Accent5 5 2 2 7" xfId="18462" xr:uid="{00000000-0005-0000-0000-0000BD4A0000}"/>
    <cellStyle name="40% - Accent5 5 2 2 7 2" xfId="42294" xr:uid="{FB27D55F-C17F-42D4-94C0-BFA4BF3613B3}"/>
    <cellStyle name="40% - Accent5 5 2 2 8" xfId="26414" xr:uid="{39B2D851-1F63-4379-857E-A65851191398}"/>
    <cellStyle name="40% - Accent5 5 2 2_Exh G" xfId="3252" xr:uid="{00000000-0005-0000-0000-0000BE4A0000}"/>
    <cellStyle name="40% - Accent5 5 2 3" xfId="1590" xr:uid="{00000000-0005-0000-0000-0000BF4A0000}"/>
    <cellStyle name="40% - Accent5 5 2 3 2" xfId="5117" xr:uid="{00000000-0005-0000-0000-0000C04A0000}"/>
    <cellStyle name="40% - Accent5 5 2 3 2 2" xfId="8708" xr:uid="{00000000-0005-0000-0000-0000C14A0000}"/>
    <cellStyle name="40% - Accent5 5 2 3 2 2 2" xfId="16678" xr:uid="{00000000-0005-0000-0000-0000C24A0000}"/>
    <cellStyle name="40% - Accent5 5 2 3 2 2 2 2" xfId="40520" xr:uid="{EB3D7057-67C3-467D-8F2A-FAE18F9F4A8F}"/>
    <cellStyle name="40% - Accent5 5 2 3 2 2 3" xfId="24624" xr:uid="{00000000-0005-0000-0000-0000C34A0000}"/>
    <cellStyle name="40% - Accent5 5 2 3 2 2 3 2" xfId="48456" xr:uid="{581DC277-D6B7-44D2-A579-95332FECC56F}"/>
    <cellStyle name="40% - Accent5 5 2 3 2 2 4" xfId="32579" xr:uid="{64914FA0-281B-47A4-8CD2-6AEF0386788B}"/>
    <cellStyle name="40% - Accent5 5 2 3 2 3" xfId="13140" xr:uid="{00000000-0005-0000-0000-0000C44A0000}"/>
    <cellStyle name="40% - Accent5 5 2 3 2 3 2" xfId="36989" xr:uid="{8AAD8A39-1CF5-4C51-8D29-AD1CD2D33C46}"/>
    <cellStyle name="40% - Accent5 5 2 3 2 4" xfId="21095" xr:uid="{00000000-0005-0000-0000-0000C54A0000}"/>
    <cellStyle name="40% - Accent5 5 2 3 2 4 2" xfId="44927" xr:uid="{EA8B9E5B-B3DF-4B81-AD09-7496E32F5BCD}"/>
    <cellStyle name="40% - Accent5 5 2 3 2 5" xfId="29048" xr:uid="{BB405C64-0799-4769-87A3-99EC8EEEF651}"/>
    <cellStyle name="40% - Accent5 5 2 3 3" xfId="6949" xr:uid="{00000000-0005-0000-0000-0000C64A0000}"/>
    <cellStyle name="40% - Accent5 5 2 3 3 2" xfId="14920" xr:uid="{00000000-0005-0000-0000-0000C74A0000}"/>
    <cellStyle name="40% - Accent5 5 2 3 3 2 2" xfId="38762" xr:uid="{C531A0B5-4205-4CC8-A9D7-168E5CADD533}"/>
    <cellStyle name="40% - Accent5 5 2 3 3 3" xfId="22867" xr:uid="{00000000-0005-0000-0000-0000C84A0000}"/>
    <cellStyle name="40% - Accent5 5 2 3 3 3 2" xfId="46699" xr:uid="{0F448D86-4CAD-4784-81BA-1110443943A4}"/>
    <cellStyle name="40% - Accent5 5 2 3 3 4" xfId="30821" xr:uid="{AAD4D40F-11D3-4276-B4FD-581318398AF0}"/>
    <cellStyle name="40% - Accent5 5 2 3 4" xfId="11384" xr:uid="{00000000-0005-0000-0000-0000C94A0000}"/>
    <cellStyle name="40% - Accent5 5 2 3 4 2" xfId="35233" xr:uid="{670249E1-3E5F-4FDF-9FB4-C00A19E33F71}"/>
    <cellStyle name="40% - Accent5 5 2 3 5" xfId="19339" xr:uid="{00000000-0005-0000-0000-0000CA4A0000}"/>
    <cellStyle name="40% - Accent5 5 2 3 5 2" xfId="43171" xr:uid="{079A19AE-41F9-4352-B72F-54AED90E8572}"/>
    <cellStyle name="40% - Accent5 5 2 3 6" xfId="27291" xr:uid="{798B18A0-62E2-4710-B88C-93E53B60FA2E}"/>
    <cellStyle name="40% - Accent5 5 2 3_Exh G" xfId="3254" xr:uid="{00000000-0005-0000-0000-0000CB4A0000}"/>
    <cellStyle name="40% - Accent5 5 2 4" xfId="4238" xr:uid="{00000000-0005-0000-0000-0000CC4A0000}"/>
    <cellStyle name="40% - Accent5 5 2 4 2" xfId="7830" xr:uid="{00000000-0005-0000-0000-0000CD4A0000}"/>
    <cellStyle name="40% - Accent5 5 2 4 2 2" xfId="15800" xr:uid="{00000000-0005-0000-0000-0000CE4A0000}"/>
    <cellStyle name="40% - Accent5 5 2 4 2 2 2" xfId="39642" xr:uid="{C5866723-5843-4FF0-83F8-0FBB2D2DDC88}"/>
    <cellStyle name="40% - Accent5 5 2 4 2 3" xfId="23746" xr:uid="{00000000-0005-0000-0000-0000CF4A0000}"/>
    <cellStyle name="40% - Accent5 5 2 4 2 3 2" xfId="47578" xr:uid="{E0C5B773-D169-4785-A7CE-A275DF62C420}"/>
    <cellStyle name="40% - Accent5 5 2 4 2 4" xfId="31701" xr:uid="{D8ECEEFD-6D5C-480C-BEA8-C40FBE43AA74}"/>
    <cellStyle name="40% - Accent5 5 2 4 3" xfId="12262" xr:uid="{00000000-0005-0000-0000-0000D04A0000}"/>
    <cellStyle name="40% - Accent5 5 2 4 3 2" xfId="36111" xr:uid="{28B00907-0F0F-41EA-A2A3-A69B7910EF45}"/>
    <cellStyle name="40% - Accent5 5 2 4 4" xfId="20217" xr:uid="{00000000-0005-0000-0000-0000D14A0000}"/>
    <cellStyle name="40% - Accent5 5 2 4 4 2" xfId="44049" xr:uid="{A27B1458-691E-4249-8B6C-980242681064}"/>
    <cellStyle name="40% - Accent5 5 2 4 5" xfId="28170" xr:uid="{881FFB8F-EAA3-4B02-98E8-0329A188201F}"/>
    <cellStyle name="40% - Accent5 5 2 5" xfId="6058" xr:uid="{00000000-0005-0000-0000-0000D24A0000}"/>
    <cellStyle name="40% - Accent5 5 2 5 2" xfId="14041" xr:uid="{00000000-0005-0000-0000-0000D34A0000}"/>
    <cellStyle name="40% - Accent5 5 2 5 2 2" xfId="37884" xr:uid="{907203CA-8C69-4374-A91E-B2838CF850EC}"/>
    <cellStyle name="40% - Accent5 5 2 5 3" xfId="21989" xr:uid="{00000000-0005-0000-0000-0000D44A0000}"/>
    <cellStyle name="40% - Accent5 5 2 5 3 2" xfId="45821" xr:uid="{557900AC-8DFC-4E1E-A349-82E5B6FD8D94}"/>
    <cellStyle name="40% - Accent5 5 2 5 4" xfId="29943" xr:uid="{F796AEEC-D868-47DB-803D-463C3B7D837F}"/>
    <cellStyle name="40% - Accent5 5 2 6" xfId="9610" xr:uid="{00000000-0005-0000-0000-0000D54A0000}"/>
    <cellStyle name="40% - Accent5 5 2 6 2" xfId="17568" xr:uid="{00000000-0005-0000-0000-0000D64A0000}"/>
    <cellStyle name="40% - Accent5 5 2 6 2 2" xfId="41408" xr:uid="{F2BB31A8-B52C-487D-9C3B-CF31C36CBAAF}"/>
    <cellStyle name="40% - Accent5 5 2 6 3" xfId="25512" xr:uid="{00000000-0005-0000-0000-0000D74A0000}"/>
    <cellStyle name="40% - Accent5 5 2 6 3 2" xfId="49344" xr:uid="{B7D50BE9-928D-4E82-A404-9F3D0B8A05A4}"/>
    <cellStyle name="40% - Accent5 5 2 6 4" xfId="33467" xr:uid="{5FCE6C57-3858-48DB-9975-063AC8EC34CF}"/>
    <cellStyle name="40% - Accent5 5 2 7" xfId="10506" xr:uid="{00000000-0005-0000-0000-0000D84A0000}"/>
    <cellStyle name="40% - Accent5 5 2 7 2" xfId="34355" xr:uid="{4BC7540D-817E-4892-90E8-EFA09FAB0B1B}"/>
    <cellStyle name="40% - Accent5 5 2 8" xfId="18461" xr:uid="{00000000-0005-0000-0000-0000D94A0000}"/>
    <cellStyle name="40% - Accent5 5 2 8 2" xfId="42293" xr:uid="{4A6571F7-EF4C-450A-9778-61688E9D9CB5}"/>
    <cellStyle name="40% - Accent5 5 2 9" xfId="26413" xr:uid="{68D9CEA9-C0BD-43A3-96DB-4A86643A83E1}"/>
    <cellStyle name="40% - Accent5 5 2_Exh G" xfId="3251" xr:uid="{00000000-0005-0000-0000-0000DA4A0000}"/>
    <cellStyle name="40% - Accent5 5 3" xfId="566" xr:uid="{00000000-0005-0000-0000-0000DB4A0000}"/>
    <cellStyle name="40% - Accent5 5 3 2" xfId="1592" xr:uid="{00000000-0005-0000-0000-0000DC4A0000}"/>
    <cellStyle name="40% - Accent5 5 3 2 2" xfId="5119" xr:uid="{00000000-0005-0000-0000-0000DD4A0000}"/>
    <cellStyle name="40% - Accent5 5 3 2 2 2" xfId="8710" xr:uid="{00000000-0005-0000-0000-0000DE4A0000}"/>
    <cellStyle name="40% - Accent5 5 3 2 2 2 2" xfId="16680" xr:uid="{00000000-0005-0000-0000-0000DF4A0000}"/>
    <cellStyle name="40% - Accent5 5 3 2 2 2 2 2" xfId="40522" xr:uid="{11CD5B66-6C9D-4BD3-A1ED-FCA6CD2FF2A3}"/>
    <cellStyle name="40% - Accent5 5 3 2 2 2 3" xfId="24626" xr:uid="{00000000-0005-0000-0000-0000E04A0000}"/>
    <cellStyle name="40% - Accent5 5 3 2 2 2 3 2" xfId="48458" xr:uid="{0DD0AFB4-D5D2-4D05-B888-E6B603880C34}"/>
    <cellStyle name="40% - Accent5 5 3 2 2 2 4" xfId="32581" xr:uid="{9E8079F2-B0C4-46B2-9F21-FE87A7B0E739}"/>
    <cellStyle name="40% - Accent5 5 3 2 2 3" xfId="13142" xr:uid="{00000000-0005-0000-0000-0000E14A0000}"/>
    <cellStyle name="40% - Accent5 5 3 2 2 3 2" xfId="36991" xr:uid="{7E8C98AC-4AD5-40F6-9BCE-2A10FAA554A6}"/>
    <cellStyle name="40% - Accent5 5 3 2 2 4" xfId="21097" xr:uid="{00000000-0005-0000-0000-0000E24A0000}"/>
    <cellStyle name="40% - Accent5 5 3 2 2 4 2" xfId="44929" xr:uid="{B1B2DFBF-C486-48F3-9C54-303476101BA5}"/>
    <cellStyle name="40% - Accent5 5 3 2 2 5" xfId="29050" xr:uid="{78BB3260-4409-4495-851C-140CB5DC7189}"/>
    <cellStyle name="40% - Accent5 5 3 2 3" xfId="6951" xr:uid="{00000000-0005-0000-0000-0000E34A0000}"/>
    <cellStyle name="40% - Accent5 5 3 2 3 2" xfId="14922" xr:uid="{00000000-0005-0000-0000-0000E44A0000}"/>
    <cellStyle name="40% - Accent5 5 3 2 3 2 2" xfId="38764" xr:uid="{04DEB20F-2161-476D-9BC7-67252F3759D1}"/>
    <cellStyle name="40% - Accent5 5 3 2 3 3" xfId="22869" xr:uid="{00000000-0005-0000-0000-0000E54A0000}"/>
    <cellStyle name="40% - Accent5 5 3 2 3 3 2" xfId="46701" xr:uid="{A674DD6A-5876-4C4D-9865-2E8D89001754}"/>
    <cellStyle name="40% - Accent5 5 3 2 3 4" xfId="30823" xr:uid="{F65D6C21-37C6-4A27-88D8-5FEA3A3F4E5C}"/>
    <cellStyle name="40% - Accent5 5 3 2 4" xfId="11386" xr:uid="{00000000-0005-0000-0000-0000E64A0000}"/>
    <cellStyle name="40% - Accent5 5 3 2 4 2" xfId="35235" xr:uid="{0B6B6E93-2F9C-4B99-87B4-29D8C9929D92}"/>
    <cellStyle name="40% - Accent5 5 3 2 5" xfId="19341" xr:uid="{00000000-0005-0000-0000-0000E74A0000}"/>
    <cellStyle name="40% - Accent5 5 3 2 5 2" xfId="43173" xr:uid="{DF91937C-1F46-4BAF-BA7E-DAC2398D7925}"/>
    <cellStyle name="40% - Accent5 5 3 2 6" xfId="27293" xr:uid="{15942CE5-8945-4F38-8AFB-D385885D13DB}"/>
    <cellStyle name="40% - Accent5 5 3 2_Exh G" xfId="3256" xr:uid="{00000000-0005-0000-0000-0000E84A0000}"/>
    <cellStyle name="40% - Accent5 5 3 3" xfId="4240" xr:uid="{00000000-0005-0000-0000-0000E94A0000}"/>
    <cellStyle name="40% - Accent5 5 3 3 2" xfId="7832" xr:uid="{00000000-0005-0000-0000-0000EA4A0000}"/>
    <cellStyle name="40% - Accent5 5 3 3 2 2" xfId="15802" xr:uid="{00000000-0005-0000-0000-0000EB4A0000}"/>
    <cellStyle name="40% - Accent5 5 3 3 2 2 2" xfId="39644" xr:uid="{6A271821-046B-4171-A7B3-696A27CF10D7}"/>
    <cellStyle name="40% - Accent5 5 3 3 2 3" xfId="23748" xr:uid="{00000000-0005-0000-0000-0000EC4A0000}"/>
    <cellStyle name="40% - Accent5 5 3 3 2 3 2" xfId="47580" xr:uid="{E2629028-FF40-45E7-9A04-655E698FF8AD}"/>
    <cellStyle name="40% - Accent5 5 3 3 2 4" xfId="31703" xr:uid="{73B16D15-BA11-4891-9B58-7AF9B8EF019A}"/>
    <cellStyle name="40% - Accent5 5 3 3 3" xfId="12264" xr:uid="{00000000-0005-0000-0000-0000ED4A0000}"/>
    <cellStyle name="40% - Accent5 5 3 3 3 2" xfId="36113" xr:uid="{8CBB9605-2BD7-4C79-ABDE-7EB90E7C17F3}"/>
    <cellStyle name="40% - Accent5 5 3 3 4" xfId="20219" xr:uid="{00000000-0005-0000-0000-0000EE4A0000}"/>
    <cellStyle name="40% - Accent5 5 3 3 4 2" xfId="44051" xr:uid="{C6A49806-2AA3-4C0A-8974-C788E37E4A7C}"/>
    <cellStyle name="40% - Accent5 5 3 3 5" xfId="28172" xr:uid="{A39F22D8-CE83-4BE3-BF7B-888A02FA947C}"/>
    <cellStyle name="40% - Accent5 5 3 4" xfId="6060" xr:uid="{00000000-0005-0000-0000-0000EF4A0000}"/>
    <cellStyle name="40% - Accent5 5 3 4 2" xfId="14043" xr:uid="{00000000-0005-0000-0000-0000F04A0000}"/>
    <cellStyle name="40% - Accent5 5 3 4 2 2" xfId="37886" xr:uid="{B3FA99F8-B216-421C-B9A2-5C1ECD3E28F5}"/>
    <cellStyle name="40% - Accent5 5 3 4 3" xfId="21991" xr:uid="{00000000-0005-0000-0000-0000F14A0000}"/>
    <cellStyle name="40% - Accent5 5 3 4 3 2" xfId="45823" xr:uid="{C4ED1A53-C8AC-4242-88E8-089E6E13270E}"/>
    <cellStyle name="40% - Accent5 5 3 4 4" xfId="29945" xr:uid="{2CCBB76A-B219-4489-AC03-67EE381AACFF}"/>
    <cellStyle name="40% - Accent5 5 3 5" xfId="9612" xr:uid="{00000000-0005-0000-0000-0000F24A0000}"/>
    <cellStyle name="40% - Accent5 5 3 5 2" xfId="17570" xr:uid="{00000000-0005-0000-0000-0000F34A0000}"/>
    <cellStyle name="40% - Accent5 5 3 5 2 2" xfId="41410" xr:uid="{8E3D2938-4ED6-4F85-A0CA-03AEE6938164}"/>
    <cellStyle name="40% - Accent5 5 3 5 3" xfId="25514" xr:uid="{00000000-0005-0000-0000-0000F44A0000}"/>
    <cellStyle name="40% - Accent5 5 3 5 3 2" xfId="49346" xr:uid="{FF28435B-097D-4505-AA1F-5DA3986AE1CE}"/>
    <cellStyle name="40% - Accent5 5 3 5 4" xfId="33469" xr:uid="{7F4E673A-7044-4728-8BF7-487B1F2E1515}"/>
    <cellStyle name="40% - Accent5 5 3 6" xfId="10508" xr:uid="{00000000-0005-0000-0000-0000F54A0000}"/>
    <cellStyle name="40% - Accent5 5 3 6 2" xfId="34357" xr:uid="{6E939034-D701-4F8C-B129-A72CA4EC289D}"/>
    <cellStyle name="40% - Accent5 5 3 7" xfId="18463" xr:uid="{00000000-0005-0000-0000-0000F64A0000}"/>
    <cellStyle name="40% - Accent5 5 3 7 2" xfId="42295" xr:uid="{A07BD6BF-D7FE-4126-86F2-CC8C3DBD91BF}"/>
    <cellStyle name="40% - Accent5 5 3 8" xfId="26415" xr:uid="{8AF077A8-4C15-4A1A-AE51-8B6574F5B494}"/>
    <cellStyle name="40% - Accent5 5 3_Exh G" xfId="3255" xr:uid="{00000000-0005-0000-0000-0000F74A0000}"/>
    <cellStyle name="40% - Accent5 5 4" xfId="986" xr:uid="{00000000-0005-0000-0000-0000F84A0000}"/>
    <cellStyle name="40% - Accent5 5 5" xfId="1589" xr:uid="{00000000-0005-0000-0000-0000F94A0000}"/>
    <cellStyle name="40% - Accent5 5 5 2" xfId="5116" xr:uid="{00000000-0005-0000-0000-0000FA4A0000}"/>
    <cellStyle name="40% - Accent5 5 5 2 2" xfId="8707" xr:uid="{00000000-0005-0000-0000-0000FB4A0000}"/>
    <cellStyle name="40% - Accent5 5 5 2 2 2" xfId="16677" xr:uid="{00000000-0005-0000-0000-0000FC4A0000}"/>
    <cellStyle name="40% - Accent5 5 5 2 2 2 2" xfId="40519" xr:uid="{9A2297FA-0520-4E63-AC44-E055F3A4E764}"/>
    <cellStyle name="40% - Accent5 5 5 2 2 3" xfId="24623" xr:uid="{00000000-0005-0000-0000-0000FD4A0000}"/>
    <cellStyle name="40% - Accent5 5 5 2 2 3 2" xfId="48455" xr:uid="{2124B989-00A7-4DB3-927E-4C7352373251}"/>
    <cellStyle name="40% - Accent5 5 5 2 2 4" xfId="32578" xr:uid="{0ED82026-1FBF-4CF5-AE63-A3E58266AD54}"/>
    <cellStyle name="40% - Accent5 5 5 2 3" xfId="13139" xr:uid="{00000000-0005-0000-0000-0000FE4A0000}"/>
    <cellStyle name="40% - Accent5 5 5 2 3 2" xfId="36988" xr:uid="{04E14367-1157-4AD8-BAC5-44D1D1C678E9}"/>
    <cellStyle name="40% - Accent5 5 5 2 4" xfId="21094" xr:uid="{00000000-0005-0000-0000-0000FF4A0000}"/>
    <cellStyle name="40% - Accent5 5 5 2 4 2" xfId="44926" xr:uid="{F6301637-5FF5-4803-80B9-4E37C7B05896}"/>
    <cellStyle name="40% - Accent5 5 5 2 5" xfId="29047" xr:uid="{E6873071-FE1F-4755-BEBB-C3F21147DD0D}"/>
    <cellStyle name="40% - Accent5 5 5 3" xfId="6948" xr:uid="{00000000-0005-0000-0000-0000004B0000}"/>
    <cellStyle name="40% - Accent5 5 5 3 2" xfId="14919" xr:uid="{00000000-0005-0000-0000-0000014B0000}"/>
    <cellStyle name="40% - Accent5 5 5 3 2 2" xfId="38761" xr:uid="{0DECEBD5-4768-44FB-809F-53C60C04FBD1}"/>
    <cellStyle name="40% - Accent5 5 5 3 3" xfId="22866" xr:uid="{00000000-0005-0000-0000-0000024B0000}"/>
    <cellStyle name="40% - Accent5 5 5 3 3 2" xfId="46698" xr:uid="{01AFD392-ABB9-4797-A63A-32E486AEDE50}"/>
    <cellStyle name="40% - Accent5 5 5 3 4" xfId="30820" xr:uid="{D2D7D31B-CFC2-43C4-B812-2CD754FF099D}"/>
    <cellStyle name="40% - Accent5 5 5 4" xfId="11383" xr:uid="{00000000-0005-0000-0000-0000034B0000}"/>
    <cellStyle name="40% - Accent5 5 5 4 2" xfId="35232" xr:uid="{AF6CC953-5EDE-409A-810D-56A510FBBA04}"/>
    <cellStyle name="40% - Accent5 5 5 5" xfId="19338" xr:uid="{00000000-0005-0000-0000-0000044B0000}"/>
    <cellStyle name="40% - Accent5 5 5 5 2" xfId="43170" xr:uid="{15F8269D-3851-4B87-879C-BD0B2450D8E2}"/>
    <cellStyle name="40% - Accent5 5 5 6" xfId="27290" xr:uid="{5FBCDEDC-0626-4334-915D-B7CA638CF351}"/>
    <cellStyle name="40% - Accent5 5 5_Exh G" xfId="3257" xr:uid="{00000000-0005-0000-0000-0000054B0000}"/>
    <cellStyle name="40% - Accent5 5 6" xfId="4237" xr:uid="{00000000-0005-0000-0000-0000064B0000}"/>
    <cellStyle name="40% - Accent5 5 6 2" xfId="7829" xr:uid="{00000000-0005-0000-0000-0000074B0000}"/>
    <cellStyle name="40% - Accent5 5 6 2 2" xfId="15799" xr:uid="{00000000-0005-0000-0000-0000084B0000}"/>
    <cellStyle name="40% - Accent5 5 6 2 2 2" xfId="39641" xr:uid="{8175A68A-FAD1-41C7-BCBE-C40D2E229B59}"/>
    <cellStyle name="40% - Accent5 5 6 2 3" xfId="23745" xr:uid="{00000000-0005-0000-0000-0000094B0000}"/>
    <cellStyle name="40% - Accent5 5 6 2 3 2" xfId="47577" xr:uid="{66F770D7-F158-4161-86F7-18F3BCE03506}"/>
    <cellStyle name="40% - Accent5 5 6 2 4" xfId="31700" xr:uid="{D6F1D127-482B-4AC2-A513-67406BCF0D35}"/>
    <cellStyle name="40% - Accent5 5 6 3" xfId="12261" xr:uid="{00000000-0005-0000-0000-00000A4B0000}"/>
    <cellStyle name="40% - Accent5 5 6 3 2" xfId="36110" xr:uid="{50F575FD-2230-470E-9342-3ABE27113D79}"/>
    <cellStyle name="40% - Accent5 5 6 4" xfId="20216" xr:uid="{00000000-0005-0000-0000-00000B4B0000}"/>
    <cellStyle name="40% - Accent5 5 6 4 2" xfId="44048" xr:uid="{4126DF0D-BEB5-480D-A0A6-7E0C9D0AC9F9}"/>
    <cellStyle name="40% - Accent5 5 6 5" xfId="28169" xr:uid="{654C2C29-A2DD-4EF4-8EE3-16DE190B8120}"/>
    <cellStyle name="40% - Accent5 5 7" xfId="6057" xr:uid="{00000000-0005-0000-0000-00000C4B0000}"/>
    <cellStyle name="40% - Accent5 5 7 2" xfId="14040" xr:uid="{00000000-0005-0000-0000-00000D4B0000}"/>
    <cellStyle name="40% - Accent5 5 7 2 2" xfId="37883" xr:uid="{2459B26C-B62E-428F-A70F-A34EF1A97099}"/>
    <cellStyle name="40% - Accent5 5 7 3" xfId="21988" xr:uid="{00000000-0005-0000-0000-00000E4B0000}"/>
    <cellStyle name="40% - Accent5 5 7 3 2" xfId="45820" xr:uid="{42B91058-6A56-447C-95EE-7C1CDC98926B}"/>
    <cellStyle name="40% - Accent5 5 7 4" xfId="29942" xr:uid="{C0534633-1443-4DDE-BE22-B2EF4FE50564}"/>
    <cellStyle name="40% - Accent5 5 8" xfId="9609" xr:uid="{00000000-0005-0000-0000-00000F4B0000}"/>
    <cellStyle name="40% - Accent5 5 8 2" xfId="17567" xr:uid="{00000000-0005-0000-0000-0000104B0000}"/>
    <cellStyle name="40% - Accent5 5 8 2 2" xfId="41407" xr:uid="{8C29E00E-4D71-4610-B3E4-E966CC842737}"/>
    <cellStyle name="40% - Accent5 5 8 3" xfId="25511" xr:uid="{00000000-0005-0000-0000-0000114B0000}"/>
    <cellStyle name="40% - Accent5 5 8 3 2" xfId="49343" xr:uid="{B1A068C7-4742-4076-8E89-C1ED1F98506A}"/>
    <cellStyle name="40% - Accent5 5 8 4" xfId="33466" xr:uid="{4BB96315-352C-469F-AEE7-8348BCD5621B}"/>
    <cellStyle name="40% - Accent5 5 9" xfId="10505" xr:uid="{00000000-0005-0000-0000-0000124B0000}"/>
    <cellStyle name="40% - Accent5 5 9 2" xfId="34354" xr:uid="{A570B208-4C7F-421E-98B5-C77D16198285}"/>
    <cellStyle name="40% - Accent5 5_Exh G" xfId="3250" xr:uid="{00000000-0005-0000-0000-0000134B0000}"/>
    <cellStyle name="40% - Accent5 6" xfId="567" xr:uid="{00000000-0005-0000-0000-0000144B0000}"/>
    <cellStyle name="40% - Accent5 6 10" xfId="18464" xr:uid="{00000000-0005-0000-0000-0000154B0000}"/>
    <cellStyle name="40% - Accent5 6 10 2" xfId="42296" xr:uid="{08236949-D02A-4085-9C11-59C05902A388}"/>
    <cellStyle name="40% - Accent5 6 11" xfId="26416" xr:uid="{32C45EA7-1ADA-44DB-BE1C-646B5849F110}"/>
    <cellStyle name="40% - Accent5 6 2" xfId="568" xr:uid="{00000000-0005-0000-0000-0000164B0000}"/>
    <cellStyle name="40% - Accent5 6 2 2" xfId="569" xr:uid="{00000000-0005-0000-0000-0000174B0000}"/>
    <cellStyle name="40% - Accent5 6 2 2 2" xfId="1595" xr:uid="{00000000-0005-0000-0000-0000184B0000}"/>
    <cellStyle name="40% - Accent5 6 2 2 2 2" xfId="5122" xr:uid="{00000000-0005-0000-0000-0000194B0000}"/>
    <cellStyle name="40% - Accent5 6 2 2 2 2 2" xfId="8713" xr:uid="{00000000-0005-0000-0000-00001A4B0000}"/>
    <cellStyle name="40% - Accent5 6 2 2 2 2 2 2" xfId="16683" xr:uid="{00000000-0005-0000-0000-00001B4B0000}"/>
    <cellStyle name="40% - Accent5 6 2 2 2 2 2 2 2" xfId="40525" xr:uid="{340DC779-E47C-4728-A986-8BA531AB1CFA}"/>
    <cellStyle name="40% - Accent5 6 2 2 2 2 2 3" xfId="24629" xr:uid="{00000000-0005-0000-0000-00001C4B0000}"/>
    <cellStyle name="40% - Accent5 6 2 2 2 2 2 3 2" xfId="48461" xr:uid="{9B24265D-0991-4CFA-85A9-BBDF703999F8}"/>
    <cellStyle name="40% - Accent5 6 2 2 2 2 2 4" xfId="32584" xr:uid="{8F37B482-C1ED-40F7-9D41-B4BBDEB2DE7F}"/>
    <cellStyle name="40% - Accent5 6 2 2 2 2 3" xfId="13145" xr:uid="{00000000-0005-0000-0000-00001D4B0000}"/>
    <cellStyle name="40% - Accent5 6 2 2 2 2 3 2" xfId="36994" xr:uid="{278C5A84-7BD6-4554-B285-EB0D6BB85B59}"/>
    <cellStyle name="40% - Accent5 6 2 2 2 2 4" xfId="21100" xr:uid="{00000000-0005-0000-0000-00001E4B0000}"/>
    <cellStyle name="40% - Accent5 6 2 2 2 2 4 2" xfId="44932" xr:uid="{C36819FA-6AD2-4407-847C-1DD1F7971837}"/>
    <cellStyle name="40% - Accent5 6 2 2 2 2 5" xfId="29053" xr:uid="{76D7E451-B8A0-4F4B-81C3-ED29E9F4399F}"/>
    <cellStyle name="40% - Accent5 6 2 2 2 3" xfId="6954" xr:uid="{00000000-0005-0000-0000-00001F4B0000}"/>
    <cellStyle name="40% - Accent5 6 2 2 2 3 2" xfId="14925" xr:uid="{00000000-0005-0000-0000-0000204B0000}"/>
    <cellStyle name="40% - Accent5 6 2 2 2 3 2 2" xfId="38767" xr:uid="{7778E790-54A9-4173-B543-B4536ECF24D7}"/>
    <cellStyle name="40% - Accent5 6 2 2 2 3 3" xfId="22872" xr:uid="{00000000-0005-0000-0000-0000214B0000}"/>
    <cellStyle name="40% - Accent5 6 2 2 2 3 3 2" xfId="46704" xr:uid="{6ECD0CDD-0ACF-4EB2-B9BD-BE9214CC0F97}"/>
    <cellStyle name="40% - Accent5 6 2 2 2 3 4" xfId="30826" xr:uid="{05BD0E9E-837B-4B53-986E-02CB79BADE97}"/>
    <cellStyle name="40% - Accent5 6 2 2 2 4" xfId="11389" xr:uid="{00000000-0005-0000-0000-0000224B0000}"/>
    <cellStyle name="40% - Accent5 6 2 2 2 4 2" xfId="35238" xr:uid="{6B5F02D7-4563-4109-8C86-8D1C0E258EEF}"/>
    <cellStyle name="40% - Accent5 6 2 2 2 5" xfId="19344" xr:uid="{00000000-0005-0000-0000-0000234B0000}"/>
    <cellStyle name="40% - Accent5 6 2 2 2 5 2" xfId="43176" xr:uid="{A435C545-2F35-4399-9BAD-C21AD359A0BF}"/>
    <cellStyle name="40% - Accent5 6 2 2 2 6" xfId="27296" xr:uid="{80F94E43-E35F-4A43-97A7-D521E4FF34CC}"/>
    <cellStyle name="40% - Accent5 6 2 2 2_Exh G" xfId="3261" xr:uid="{00000000-0005-0000-0000-0000244B0000}"/>
    <cellStyle name="40% - Accent5 6 2 2 3" xfId="4243" xr:uid="{00000000-0005-0000-0000-0000254B0000}"/>
    <cellStyle name="40% - Accent5 6 2 2 3 2" xfId="7835" xr:uid="{00000000-0005-0000-0000-0000264B0000}"/>
    <cellStyle name="40% - Accent5 6 2 2 3 2 2" xfId="15805" xr:uid="{00000000-0005-0000-0000-0000274B0000}"/>
    <cellStyle name="40% - Accent5 6 2 2 3 2 2 2" xfId="39647" xr:uid="{D3947B1F-6352-4F65-8031-DB3BEE7EB1D7}"/>
    <cellStyle name="40% - Accent5 6 2 2 3 2 3" xfId="23751" xr:uid="{00000000-0005-0000-0000-0000284B0000}"/>
    <cellStyle name="40% - Accent5 6 2 2 3 2 3 2" xfId="47583" xr:uid="{FD119395-8BAD-4869-A24B-BF2EE7AC0E48}"/>
    <cellStyle name="40% - Accent5 6 2 2 3 2 4" xfId="31706" xr:uid="{E52645A1-29C5-4D6E-8E80-F2455CAB2AD1}"/>
    <cellStyle name="40% - Accent5 6 2 2 3 3" xfId="12267" xr:uid="{00000000-0005-0000-0000-0000294B0000}"/>
    <cellStyle name="40% - Accent5 6 2 2 3 3 2" xfId="36116" xr:uid="{90069A6A-79B9-48EB-8251-831D35FD36D9}"/>
    <cellStyle name="40% - Accent5 6 2 2 3 4" xfId="20222" xr:uid="{00000000-0005-0000-0000-00002A4B0000}"/>
    <cellStyle name="40% - Accent5 6 2 2 3 4 2" xfId="44054" xr:uid="{CFF9B099-4873-4430-BD23-3A5E2489F24B}"/>
    <cellStyle name="40% - Accent5 6 2 2 3 5" xfId="28175" xr:uid="{C99B5806-FD54-4FD3-9058-C7399B9B7E92}"/>
    <cellStyle name="40% - Accent5 6 2 2 4" xfId="6063" xr:uid="{00000000-0005-0000-0000-00002B4B0000}"/>
    <cellStyle name="40% - Accent5 6 2 2 4 2" xfId="14046" xr:uid="{00000000-0005-0000-0000-00002C4B0000}"/>
    <cellStyle name="40% - Accent5 6 2 2 4 2 2" xfId="37889" xr:uid="{793EA620-9BCB-4BCC-9E4F-EDF0B1DF67D1}"/>
    <cellStyle name="40% - Accent5 6 2 2 4 3" xfId="21994" xr:uid="{00000000-0005-0000-0000-00002D4B0000}"/>
    <cellStyle name="40% - Accent5 6 2 2 4 3 2" xfId="45826" xr:uid="{6D0FD843-E0FD-41ED-9020-F2F70CBDC9EC}"/>
    <cellStyle name="40% - Accent5 6 2 2 4 4" xfId="29948" xr:uid="{09930C9E-497A-4EDA-A5D9-B8DD6451DA66}"/>
    <cellStyle name="40% - Accent5 6 2 2 5" xfId="9615" xr:uid="{00000000-0005-0000-0000-00002E4B0000}"/>
    <cellStyle name="40% - Accent5 6 2 2 5 2" xfId="17573" xr:uid="{00000000-0005-0000-0000-00002F4B0000}"/>
    <cellStyle name="40% - Accent5 6 2 2 5 2 2" xfId="41413" xr:uid="{FCC34608-5067-485E-B6B7-0AB576F87668}"/>
    <cellStyle name="40% - Accent5 6 2 2 5 3" xfId="25517" xr:uid="{00000000-0005-0000-0000-0000304B0000}"/>
    <cellStyle name="40% - Accent5 6 2 2 5 3 2" xfId="49349" xr:uid="{05B797D6-B988-4817-ACE9-8BA36F46FDF1}"/>
    <cellStyle name="40% - Accent5 6 2 2 5 4" xfId="33472" xr:uid="{BA10AA89-5920-4478-B5D2-E3667511B05A}"/>
    <cellStyle name="40% - Accent5 6 2 2 6" xfId="10511" xr:uid="{00000000-0005-0000-0000-0000314B0000}"/>
    <cellStyle name="40% - Accent5 6 2 2 6 2" xfId="34360" xr:uid="{204CA21E-4914-48E4-81F0-2C2B40572A25}"/>
    <cellStyle name="40% - Accent5 6 2 2 7" xfId="18466" xr:uid="{00000000-0005-0000-0000-0000324B0000}"/>
    <cellStyle name="40% - Accent5 6 2 2 7 2" xfId="42298" xr:uid="{C105148C-347B-4A91-B73E-7127E76DD9EA}"/>
    <cellStyle name="40% - Accent5 6 2 2 8" xfId="26418" xr:uid="{FEE2E124-28F7-428A-8727-37C297CC2EBF}"/>
    <cellStyle name="40% - Accent5 6 2 2_Exh G" xfId="3260" xr:uid="{00000000-0005-0000-0000-0000334B0000}"/>
    <cellStyle name="40% - Accent5 6 2 3" xfId="1594" xr:uid="{00000000-0005-0000-0000-0000344B0000}"/>
    <cellStyle name="40% - Accent5 6 2 3 2" xfId="5121" xr:uid="{00000000-0005-0000-0000-0000354B0000}"/>
    <cellStyle name="40% - Accent5 6 2 3 2 2" xfId="8712" xr:uid="{00000000-0005-0000-0000-0000364B0000}"/>
    <cellStyle name="40% - Accent5 6 2 3 2 2 2" xfId="16682" xr:uid="{00000000-0005-0000-0000-0000374B0000}"/>
    <cellStyle name="40% - Accent5 6 2 3 2 2 2 2" xfId="40524" xr:uid="{4C465964-6765-4EA3-8C43-484034678151}"/>
    <cellStyle name="40% - Accent5 6 2 3 2 2 3" xfId="24628" xr:uid="{00000000-0005-0000-0000-0000384B0000}"/>
    <cellStyle name="40% - Accent5 6 2 3 2 2 3 2" xfId="48460" xr:uid="{FC40EA60-2A17-4B75-87D8-2D7D579D6DC5}"/>
    <cellStyle name="40% - Accent5 6 2 3 2 2 4" xfId="32583" xr:uid="{13531E83-C654-4F08-BB4A-531543B7B456}"/>
    <cellStyle name="40% - Accent5 6 2 3 2 3" xfId="13144" xr:uid="{00000000-0005-0000-0000-0000394B0000}"/>
    <cellStyle name="40% - Accent5 6 2 3 2 3 2" xfId="36993" xr:uid="{A5A6F9E9-1261-4E03-A5F0-6E246C04723A}"/>
    <cellStyle name="40% - Accent5 6 2 3 2 4" xfId="21099" xr:uid="{00000000-0005-0000-0000-00003A4B0000}"/>
    <cellStyle name="40% - Accent5 6 2 3 2 4 2" xfId="44931" xr:uid="{26A3C7EC-76F2-4EEB-A3A7-64D1144B4A2C}"/>
    <cellStyle name="40% - Accent5 6 2 3 2 5" xfId="29052" xr:uid="{948DB636-CB84-4F47-8BAF-9C7DFFF102F8}"/>
    <cellStyle name="40% - Accent5 6 2 3 3" xfId="6953" xr:uid="{00000000-0005-0000-0000-00003B4B0000}"/>
    <cellStyle name="40% - Accent5 6 2 3 3 2" xfId="14924" xr:uid="{00000000-0005-0000-0000-00003C4B0000}"/>
    <cellStyle name="40% - Accent5 6 2 3 3 2 2" xfId="38766" xr:uid="{386CBF08-7577-4849-9B35-ABC8AE5A99F8}"/>
    <cellStyle name="40% - Accent5 6 2 3 3 3" xfId="22871" xr:uid="{00000000-0005-0000-0000-00003D4B0000}"/>
    <cellStyle name="40% - Accent5 6 2 3 3 3 2" xfId="46703" xr:uid="{A59B0476-9128-43D6-A4EB-3DBC9C4C8408}"/>
    <cellStyle name="40% - Accent5 6 2 3 3 4" xfId="30825" xr:uid="{788E6AC2-9906-475B-A2D9-8DD6E48D8C03}"/>
    <cellStyle name="40% - Accent5 6 2 3 4" xfId="11388" xr:uid="{00000000-0005-0000-0000-00003E4B0000}"/>
    <cellStyle name="40% - Accent5 6 2 3 4 2" xfId="35237" xr:uid="{0C063449-B05D-4AC4-9017-D54129E18D16}"/>
    <cellStyle name="40% - Accent5 6 2 3 5" xfId="19343" xr:uid="{00000000-0005-0000-0000-00003F4B0000}"/>
    <cellStyle name="40% - Accent5 6 2 3 5 2" xfId="43175" xr:uid="{3A0FCC98-2902-4F60-BEC4-6D043566AE62}"/>
    <cellStyle name="40% - Accent5 6 2 3 6" xfId="27295" xr:uid="{D83B0B31-7F1A-4688-90CC-1D231768F037}"/>
    <cellStyle name="40% - Accent5 6 2 3_Exh G" xfId="3262" xr:uid="{00000000-0005-0000-0000-0000404B0000}"/>
    <cellStyle name="40% - Accent5 6 2 4" xfId="4242" xr:uid="{00000000-0005-0000-0000-0000414B0000}"/>
    <cellStyle name="40% - Accent5 6 2 4 2" xfId="7834" xr:uid="{00000000-0005-0000-0000-0000424B0000}"/>
    <cellStyle name="40% - Accent5 6 2 4 2 2" xfId="15804" xr:uid="{00000000-0005-0000-0000-0000434B0000}"/>
    <cellStyle name="40% - Accent5 6 2 4 2 2 2" xfId="39646" xr:uid="{C12026BF-F9FF-4097-96B4-29D475B0BC5B}"/>
    <cellStyle name="40% - Accent5 6 2 4 2 3" xfId="23750" xr:uid="{00000000-0005-0000-0000-0000444B0000}"/>
    <cellStyle name="40% - Accent5 6 2 4 2 3 2" xfId="47582" xr:uid="{A280A3C2-0956-4709-80CB-0C383D1DFC8B}"/>
    <cellStyle name="40% - Accent5 6 2 4 2 4" xfId="31705" xr:uid="{5A538C86-D55B-4585-9BD8-FEC1603B6B88}"/>
    <cellStyle name="40% - Accent5 6 2 4 3" xfId="12266" xr:uid="{00000000-0005-0000-0000-0000454B0000}"/>
    <cellStyle name="40% - Accent5 6 2 4 3 2" xfId="36115" xr:uid="{AC936DB3-1411-4B25-BE0E-0AECF5D01E61}"/>
    <cellStyle name="40% - Accent5 6 2 4 4" xfId="20221" xr:uid="{00000000-0005-0000-0000-0000464B0000}"/>
    <cellStyle name="40% - Accent5 6 2 4 4 2" xfId="44053" xr:uid="{890AF4CC-80F0-4AF6-820C-B5253A43740E}"/>
    <cellStyle name="40% - Accent5 6 2 4 5" xfId="28174" xr:uid="{FF5A5B25-58AE-47E5-AB17-8D3E1A96FD54}"/>
    <cellStyle name="40% - Accent5 6 2 5" xfId="6062" xr:uid="{00000000-0005-0000-0000-0000474B0000}"/>
    <cellStyle name="40% - Accent5 6 2 5 2" xfId="14045" xr:uid="{00000000-0005-0000-0000-0000484B0000}"/>
    <cellStyle name="40% - Accent5 6 2 5 2 2" xfId="37888" xr:uid="{55457271-2313-4154-BF58-A70E843F2ECC}"/>
    <cellStyle name="40% - Accent5 6 2 5 3" xfId="21993" xr:uid="{00000000-0005-0000-0000-0000494B0000}"/>
    <cellStyle name="40% - Accent5 6 2 5 3 2" xfId="45825" xr:uid="{0C425813-CD35-49F9-85DB-6B969B1AB65E}"/>
    <cellStyle name="40% - Accent5 6 2 5 4" xfId="29947" xr:uid="{9C40460D-781A-46FB-BC7A-8A736054A0A9}"/>
    <cellStyle name="40% - Accent5 6 2 6" xfId="9614" xr:uid="{00000000-0005-0000-0000-00004A4B0000}"/>
    <cellStyle name="40% - Accent5 6 2 6 2" xfId="17572" xr:uid="{00000000-0005-0000-0000-00004B4B0000}"/>
    <cellStyle name="40% - Accent5 6 2 6 2 2" xfId="41412" xr:uid="{8BD22323-3DAF-4DD3-B82E-A63896F66814}"/>
    <cellStyle name="40% - Accent5 6 2 6 3" xfId="25516" xr:uid="{00000000-0005-0000-0000-00004C4B0000}"/>
    <cellStyle name="40% - Accent5 6 2 6 3 2" xfId="49348" xr:uid="{995CDE78-22E0-4BB3-90FD-36CBB73BBA2A}"/>
    <cellStyle name="40% - Accent5 6 2 6 4" xfId="33471" xr:uid="{4DB88913-A931-414A-BD82-A4A2F6A2B152}"/>
    <cellStyle name="40% - Accent5 6 2 7" xfId="10510" xr:uid="{00000000-0005-0000-0000-00004D4B0000}"/>
    <cellStyle name="40% - Accent5 6 2 7 2" xfId="34359" xr:uid="{71C9DA54-8521-4A4D-8159-48763F9F5296}"/>
    <cellStyle name="40% - Accent5 6 2 8" xfId="18465" xr:uid="{00000000-0005-0000-0000-00004E4B0000}"/>
    <cellStyle name="40% - Accent5 6 2 8 2" xfId="42297" xr:uid="{673C1504-DC48-494E-9840-5CA203373F72}"/>
    <cellStyle name="40% - Accent5 6 2 9" xfId="26417" xr:uid="{78AC300B-61C9-4AEE-A077-57B889060750}"/>
    <cellStyle name="40% - Accent5 6 2_Exh G" xfId="3259" xr:uid="{00000000-0005-0000-0000-00004F4B0000}"/>
    <cellStyle name="40% - Accent5 6 3" xfId="570" xr:uid="{00000000-0005-0000-0000-0000504B0000}"/>
    <cellStyle name="40% - Accent5 6 3 2" xfId="1596" xr:uid="{00000000-0005-0000-0000-0000514B0000}"/>
    <cellStyle name="40% - Accent5 6 3 2 2" xfId="5123" xr:uid="{00000000-0005-0000-0000-0000524B0000}"/>
    <cellStyle name="40% - Accent5 6 3 2 2 2" xfId="8714" xr:uid="{00000000-0005-0000-0000-0000534B0000}"/>
    <cellStyle name="40% - Accent5 6 3 2 2 2 2" xfId="16684" xr:uid="{00000000-0005-0000-0000-0000544B0000}"/>
    <cellStyle name="40% - Accent5 6 3 2 2 2 2 2" xfId="40526" xr:uid="{611FE22B-546B-48AF-8051-99CA7664CBAB}"/>
    <cellStyle name="40% - Accent5 6 3 2 2 2 3" xfId="24630" xr:uid="{00000000-0005-0000-0000-0000554B0000}"/>
    <cellStyle name="40% - Accent5 6 3 2 2 2 3 2" xfId="48462" xr:uid="{2651C345-A8AB-4628-AA4F-73C8008B01C8}"/>
    <cellStyle name="40% - Accent5 6 3 2 2 2 4" xfId="32585" xr:uid="{3E2403D1-A252-466D-A8D4-36FCCB840BA0}"/>
    <cellStyle name="40% - Accent5 6 3 2 2 3" xfId="13146" xr:uid="{00000000-0005-0000-0000-0000564B0000}"/>
    <cellStyle name="40% - Accent5 6 3 2 2 3 2" xfId="36995" xr:uid="{C56307D3-36E6-40C7-8853-2C5022742805}"/>
    <cellStyle name="40% - Accent5 6 3 2 2 4" xfId="21101" xr:uid="{00000000-0005-0000-0000-0000574B0000}"/>
    <cellStyle name="40% - Accent5 6 3 2 2 4 2" xfId="44933" xr:uid="{ECB3A12C-960F-44C7-B72F-3C31809B3E0D}"/>
    <cellStyle name="40% - Accent5 6 3 2 2 5" xfId="29054" xr:uid="{923A63A6-6D6F-4B9F-BA41-B30B85E45601}"/>
    <cellStyle name="40% - Accent5 6 3 2 3" xfId="6955" xr:uid="{00000000-0005-0000-0000-0000584B0000}"/>
    <cellStyle name="40% - Accent5 6 3 2 3 2" xfId="14926" xr:uid="{00000000-0005-0000-0000-0000594B0000}"/>
    <cellStyle name="40% - Accent5 6 3 2 3 2 2" xfId="38768" xr:uid="{B8B3555C-D888-418B-80B4-A03A5BB5072C}"/>
    <cellStyle name="40% - Accent5 6 3 2 3 3" xfId="22873" xr:uid="{00000000-0005-0000-0000-00005A4B0000}"/>
    <cellStyle name="40% - Accent5 6 3 2 3 3 2" xfId="46705" xr:uid="{EE23CD50-0D56-40BB-8C0F-37772210DC27}"/>
    <cellStyle name="40% - Accent5 6 3 2 3 4" xfId="30827" xr:uid="{397E3100-F82E-4777-A834-4E965D41C059}"/>
    <cellStyle name="40% - Accent5 6 3 2 4" xfId="11390" xr:uid="{00000000-0005-0000-0000-00005B4B0000}"/>
    <cellStyle name="40% - Accent5 6 3 2 4 2" xfId="35239" xr:uid="{E2E20329-8301-44E4-8383-0B99FEEC63DB}"/>
    <cellStyle name="40% - Accent5 6 3 2 5" xfId="19345" xr:uid="{00000000-0005-0000-0000-00005C4B0000}"/>
    <cellStyle name="40% - Accent5 6 3 2 5 2" xfId="43177" xr:uid="{B3816A1B-382F-4E2D-B09F-E6797CBEA029}"/>
    <cellStyle name="40% - Accent5 6 3 2 6" xfId="27297" xr:uid="{BD1A09AB-209B-4D33-A9A3-B655D12F91D7}"/>
    <cellStyle name="40% - Accent5 6 3 2_Exh G" xfId="3264" xr:uid="{00000000-0005-0000-0000-00005D4B0000}"/>
    <cellStyle name="40% - Accent5 6 3 3" xfId="4244" xr:uid="{00000000-0005-0000-0000-00005E4B0000}"/>
    <cellStyle name="40% - Accent5 6 3 3 2" xfId="7836" xr:uid="{00000000-0005-0000-0000-00005F4B0000}"/>
    <cellStyle name="40% - Accent5 6 3 3 2 2" xfId="15806" xr:uid="{00000000-0005-0000-0000-0000604B0000}"/>
    <cellStyle name="40% - Accent5 6 3 3 2 2 2" xfId="39648" xr:uid="{E174EA2B-202B-45F9-89AB-D12C84247DBF}"/>
    <cellStyle name="40% - Accent5 6 3 3 2 3" xfId="23752" xr:uid="{00000000-0005-0000-0000-0000614B0000}"/>
    <cellStyle name="40% - Accent5 6 3 3 2 3 2" xfId="47584" xr:uid="{1AD41BA8-21D8-40BD-B822-9DF4A7F5076B}"/>
    <cellStyle name="40% - Accent5 6 3 3 2 4" xfId="31707" xr:uid="{D3500CBA-DA9A-442F-BFF6-F64D358077CB}"/>
    <cellStyle name="40% - Accent5 6 3 3 3" xfId="12268" xr:uid="{00000000-0005-0000-0000-0000624B0000}"/>
    <cellStyle name="40% - Accent5 6 3 3 3 2" xfId="36117" xr:uid="{8D92AF5C-9787-4D95-A8F3-679EB03E5907}"/>
    <cellStyle name="40% - Accent5 6 3 3 4" xfId="20223" xr:uid="{00000000-0005-0000-0000-0000634B0000}"/>
    <cellStyle name="40% - Accent5 6 3 3 4 2" xfId="44055" xr:uid="{8550094C-53A5-4D73-86EF-EEF4E78B2BDB}"/>
    <cellStyle name="40% - Accent5 6 3 3 5" xfId="28176" xr:uid="{2EF766CA-E780-4369-A7B5-18835ADAC398}"/>
    <cellStyle name="40% - Accent5 6 3 4" xfId="6064" xr:uid="{00000000-0005-0000-0000-0000644B0000}"/>
    <cellStyle name="40% - Accent5 6 3 4 2" xfId="14047" xr:uid="{00000000-0005-0000-0000-0000654B0000}"/>
    <cellStyle name="40% - Accent5 6 3 4 2 2" xfId="37890" xr:uid="{0D34418D-097A-49B0-A9F3-C94DED744D53}"/>
    <cellStyle name="40% - Accent5 6 3 4 3" xfId="21995" xr:uid="{00000000-0005-0000-0000-0000664B0000}"/>
    <cellStyle name="40% - Accent5 6 3 4 3 2" xfId="45827" xr:uid="{1BDC4041-0CD3-494A-8EAB-81F1DE88C1FE}"/>
    <cellStyle name="40% - Accent5 6 3 4 4" xfId="29949" xr:uid="{4FCE9121-62E8-4A5C-8BC2-BAAD6A8108EC}"/>
    <cellStyle name="40% - Accent5 6 3 5" xfId="9616" xr:uid="{00000000-0005-0000-0000-0000674B0000}"/>
    <cellStyle name="40% - Accent5 6 3 5 2" xfId="17574" xr:uid="{00000000-0005-0000-0000-0000684B0000}"/>
    <cellStyle name="40% - Accent5 6 3 5 2 2" xfId="41414" xr:uid="{A3B2F051-D4CB-4B4B-AE52-BB697B1DB148}"/>
    <cellStyle name="40% - Accent5 6 3 5 3" xfId="25518" xr:uid="{00000000-0005-0000-0000-0000694B0000}"/>
    <cellStyle name="40% - Accent5 6 3 5 3 2" xfId="49350" xr:uid="{997C918D-A955-4153-B5D8-3F690364B3CB}"/>
    <cellStyle name="40% - Accent5 6 3 5 4" xfId="33473" xr:uid="{C361A855-0CE6-4804-8FB2-E2DD4B3A4F0D}"/>
    <cellStyle name="40% - Accent5 6 3 6" xfId="10512" xr:uid="{00000000-0005-0000-0000-00006A4B0000}"/>
    <cellStyle name="40% - Accent5 6 3 6 2" xfId="34361" xr:uid="{1F37CA04-58FF-4BD9-B23C-C81E85B86A10}"/>
    <cellStyle name="40% - Accent5 6 3 7" xfId="18467" xr:uid="{00000000-0005-0000-0000-00006B4B0000}"/>
    <cellStyle name="40% - Accent5 6 3 7 2" xfId="42299" xr:uid="{7F0265B9-0809-44DA-AB1E-F44678FDEB0B}"/>
    <cellStyle name="40% - Accent5 6 3 8" xfId="26419" xr:uid="{006B6E13-1BB1-4DAA-9EF6-387DE26FBC1A}"/>
    <cellStyle name="40% - Accent5 6 3_Exh G" xfId="3263" xr:uid="{00000000-0005-0000-0000-00006C4B0000}"/>
    <cellStyle name="40% - Accent5 6 4" xfId="987" xr:uid="{00000000-0005-0000-0000-00006D4B0000}"/>
    <cellStyle name="40% - Accent5 6 4 2" xfId="1898" xr:uid="{00000000-0005-0000-0000-00006E4B0000}"/>
    <cellStyle name="40% - Accent5 6 4 2 2" xfId="5415" xr:uid="{00000000-0005-0000-0000-00006F4B0000}"/>
    <cellStyle name="40% - Accent5 6 4 2 2 2" xfId="9006" xr:uid="{00000000-0005-0000-0000-0000704B0000}"/>
    <cellStyle name="40% - Accent5 6 4 2 2 2 2" xfId="16976" xr:uid="{00000000-0005-0000-0000-0000714B0000}"/>
    <cellStyle name="40% - Accent5 6 4 2 2 2 2 2" xfId="40818" xr:uid="{851A064E-DE6A-4F21-ACD3-877BE3A76388}"/>
    <cellStyle name="40% - Accent5 6 4 2 2 2 3" xfId="24922" xr:uid="{00000000-0005-0000-0000-0000724B0000}"/>
    <cellStyle name="40% - Accent5 6 4 2 2 2 3 2" xfId="48754" xr:uid="{8515C885-7924-4EE9-8D66-3D1ED6A557F3}"/>
    <cellStyle name="40% - Accent5 6 4 2 2 2 4" xfId="32877" xr:uid="{1B0A8E9C-4788-421B-8890-CC2E0432F5B3}"/>
    <cellStyle name="40% - Accent5 6 4 2 2 3" xfId="13438" xr:uid="{00000000-0005-0000-0000-0000734B0000}"/>
    <cellStyle name="40% - Accent5 6 4 2 2 3 2" xfId="37287" xr:uid="{5757EB9F-BCAF-464A-9B13-2BE33BD7D862}"/>
    <cellStyle name="40% - Accent5 6 4 2 2 4" xfId="21393" xr:uid="{00000000-0005-0000-0000-0000744B0000}"/>
    <cellStyle name="40% - Accent5 6 4 2 2 4 2" xfId="45225" xr:uid="{781DD712-4EFF-4A6C-BA95-CCD293AE906A}"/>
    <cellStyle name="40% - Accent5 6 4 2 2 5" xfId="29346" xr:uid="{3FF58EA7-F480-4A56-B3D5-6E4D41B953AA}"/>
    <cellStyle name="40% - Accent5 6 4 2 3" xfId="7247" xr:uid="{00000000-0005-0000-0000-0000754B0000}"/>
    <cellStyle name="40% - Accent5 6 4 2 3 2" xfId="15218" xr:uid="{00000000-0005-0000-0000-0000764B0000}"/>
    <cellStyle name="40% - Accent5 6 4 2 3 2 2" xfId="39060" xr:uid="{8ED5AE8F-5E53-4FC6-B828-0750448FEE16}"/>
    <cellStyle name="40% - Accent5 6 4 2 3 3" xfId="23165" xr:uid="{00000000-0005-0000-0000-0000774B0000}"/>
    <cellStyle name="40% - Accent5 6 4 2 3 3 2" xfId="46997" xr:uid="{79A14964-55E3-4D7E-9B27-590C91DABA4B}"/>
    <cellStyle name="40% - Accent5 6 4 2 3 4" xfId="31119" xr:uid="{EDC127FA-C6A5-4843-9002-C6F59319C95F}"/>
    <cellStyle name="40% - Accent5 6 4 2 4" xfId="11682" xr:uid="{00000000-0005-0000-0000-0000784B0000}"/>
    <cellStyle name="40% - Accent5 6 4 2 4 2" xfId="35531" xr:uid="{2DBF57D2-8A4F-4A17-90EE-EC74D9AA3A93}"/>
    <cellStyle name="40% - Accent5 6 4 2 5" xfId="19637" xr:uid="{00000000-0005-0000-0000-0000794B0000}"/>
    <cellStyle name="40% - Accent5 6 4 2 5 2" xfId="43469" xr:uid="{BCCAA2CD-99D0-4C46-8FD0-E5BF06BBC48E}"/>
    <cellStyle name="40% - Accent5 6 4 2 6" xfId="27589" xr:uid="{36DB0E54-603C-47FF-8608-9D91F8572B43}"/>
    <cellStyle name="40% - Accent5 6 4 2_Exh G" xfId="3266" xr:uid="{00000000-0005-0000-0000-00007A4B0000}"/>
    <cellStyle name="40% - Accent5 6 4 3" xfId="4536" xr:uid="{00000000-0005-0000-0000-00007B4B0000}"/>
    <cellStyle name="40% - Accent5 6 4 3 2" xfId="8128" xr:uid="{00000000-0005-0000-0000-00007C4B0000}"/>
    <cellStyle name="40% - Accent5 6 4 3 2 2" xfId="16098" xr:uid="{00000000-0005-0000-0000-00007D4B0000}"/>
    <cellStyle name="40% - Accent5 6 4 3 2 2 2" xfId="39940" xr:uid="{485D3C29-58B1-4FF9-9F5E-185065B803A2}"/>
    <cellStyle name="40% - Accent5 6 4 3 2 3" xfId="24044" xr:uid="{00000000-0005-0000-0000-00007E4B0000}"/>
    <cellStyle name="40% - Accent5 6 4 3 2 3 2" xfId="47876" xr:uid="{BF037280-42B2-4DA5-877F-114E9C3080A2}"/>
    <cellStyle name="40% - Accent5 6 4 3 2 4" xfId="31999" xr:uid="{B344BE33-1E68-4B0F-93F7-AFCDDE6457DC}"/>
    <cellStyle name="40% - Accent5 6 4 3 3" xfId="12560" xr:uid="{00000000-0005-0000-0000-00007F4B0000}"/>
    <cellStyle name="40% - Accent5 6 4 3 3 2" xfId="36409" xr:uid="{B343EF38-808E-495C-B635-12A92D10D805}"/>
    <cellStyle name="40% - Accent5 6 4 3 4" xfId="20515" xr:uid="{00000000-0005-0000-0000-0000804B0000}"/>
    <cellStyle name="40% - Accent5 6 4 3 4 2" xfId="44347" xr:uid="{D0BC17F5-31A5-4698-8A9B-FCC8E35620E2}"/>
    <cellStyle name="40% - Accent5 6 4 3 5" xfId="28468" xr:uid="{434C2C59-DD08-4902-9746-BEAE6BE5F4F0}"/>
    <cellStyle name="40% - Accent5 6 4 4" xfId="6366" xr:uid="{00000000-0005-0000-0000-0000814B0000}"/>
    <cellStyle name="40% - Accent5 6 4 4 2" xfId="14340" xr:uid="{00000000-0005-0000-0000-0000824B0000}"/>
    <cellStyle name="40% - Accent5 6 4 4 2 2" xfId="38182" xr:uid="{573451FA-3C64-4D35-826D-CCBD41447137}"/>
    <cellStyle name="40% - Accent5 6 4 4 3" xfId="22287" xr:uid="{00000000-0005-0000-0000-0000834B0000}"/>
    <cellStyle name="40% - Accent5 6 4 4 3 2" xfId="46119" xr:uid="{5C9AF494-277C-4E23-A5DB-40F45209D6B5}"/>
    <cellStyle name="40% - Accent5 6 4 4 4" xfId="30241" xr:uid="{D870C505-6089-46BA-8E1B-75092CB2DB46}"/>
    <cellStyle name="40% - Accent5 6 4 5" xfId="9908" xr:uid="{00000000-0005-0000-0000-0000844B0000}"/>
    <cellStyle name="40% - Accent5 6 4 5 2" xfId="17866" xr:uid="{00000000-0005-0000-0000-0000854B0000}"/>
    <cellStyle name="40% - Accent5 6 4 5 2 2" xfId="41706" xr:uid="{22902296-9942-46B5-93F8-6CC023C4F8DA}"/>
    <cellStyle name="40% - Accent5 6 4 5 3" xfId="25810" xr:uid="{00000000-0005-0000-0000-0000864B0000}"/>
    <cellStyle name="40% - Accent5 6 4 5 3 2" xfId="49642" xr:uid="{DE38C4D1-2A04-4DF7-9924-E6FF38D931F5}"/>
    <cellStyle name="40% - Accent5 6 4 5 4" xfId="33765" xr:uid="{436507FD-783E-4638-A24B-4855ECFA3310}"/>
    <cellStyle name="40% - Accent5 6 4 6" xfId="10804" xr:uid="{00000000-0005-0000-0000-0000874B0000}"/>
    <cellStyle name="40% - Accent5 6 4 6 2" xfId="34653" xr:uid="{6E13F530-1E39-440F-9B0B-941D4EC5FD4C}"/>
    <cellStyle name="40% - Accent5 6 4 7" xfId="18759" xr:uid="{00000000-0005-0000-0000-0000884B0000}"/>
    <cellStyle name="40% - Accent5 6 4 7 2" xfId="42591" xr:uid="{024F741E-BB56-4EA4-AFBF-6F79E83E433C}"/>
    <cellStyle name="40% - Accent5 6 4 8" xfId="26711" xr:uid="{B38F3EE9-F434-4AB0-AC5A-511518CA337F}"/>
    <cellStyle name="40% - Accent5 6 4_Exh G" xfId="3265" xr:uid="{00000000-0005-0000-0000-0000894B0000}"/>
    <cellStyle name="40% - Accent5 6 5" xfId="1593" xr:uid="{00000000-0005-0000-0000-00008A4B0000}"/>
    <cellStyle name="40% - Accent5 6 5 2" xfId="5120" xr:uid="{00000000-0005-0000-0000-00008B4B0000}"/>
    <cellStyle name="40% - Accent5 6 5 2 2" xfId="8711" xr:uid="{00000000-0005-0000-0000-00008C4B0000}"/>
    <cellStyle name="40% - Accent5 6 5 2 2 2" xfId="16681" xr:uid="{00000000-0005-0000-0000-00008D4B0000}"/>
    <cellStyle name="40% - Accent5 6 5 2 2 2 2" xfId="40523" xr:uid="{A5CA335E-44D8-484F-9E55-B7CBA876F7CA}"/>
    <cellStyle name="40% - Accent5 6 5 2 2 3" xfId="24627" xr:uid="{00000000-0005-0000-0000-00008E4B0000}"/>
    <cellStyle name="40% - Accent5 6 5 2 2 3 2" xfId="48459" xr:uid="{E00A09D3-E031-402B-8E0F-5305C5FB0A50}"/>
    <cellStyle name="40% - Accent5 6 5 2 2 4" xfId="32582" xr:uid="{831165B2-9BFE-4564-8945-876C5FEB9189}"/>
    <cellStyle name="40% - Accent5 6 5 2 3" xfId="13143" xr:uid="{00000000-0005-0000-0000-00008F4B0000}"/>
    <cellStyle name="40% - Accent5 6 5 2 3 2" xfId="36992" xr:uid="{6CAF56EB-AC2F-4873-BF95-581C64083329}"/>
    <cellStyle name="40% - Accent5 6 5 2 4" xfId="21098" xr:uid="{00000000-0005-0000-0000-0000904B0000}"/>
    <cellStyle name="40% - Accent5 6 5 2 4 2" xfId="44930" xr:uid="{7B1C1EAD-6815-4051-8721-6FFDC876A15D}"/>
    <cellStyle name="40% - Accent5 6 5 2 5" xfId="29051" xr:uid="{222BBF2E-8F61-4E75-9536-EA1AE805799D}"/>
    <cellStyle name="40% - Accent5 6 5 3" xfId="6952" xr:uid="{00000000-0005-0000-0000-0000914B0000}"/>
    <cellStyle name="40% - Accent5 6 5 3 2" xfId="14923" xr:uid="{00000000-0005-0000-0000-0000924B0000}"/>
    <cellStyle name="40% - Accent5 6 5 3 2 2" xfId="38765" xr:uid="{B847275D-C455-4948-B3BD-F9ECBC3844FE}"/>
    <cellStyle name="40% - Accent5 6 5 3 3" xfId="22870" xr:uid="{00000000-0005-0000-0000-0000934B0000}"/>
    <cellStyle name="40% - Accent5 6 5 3 3 2" xfId="46702" xr:uid="{34A172DD-EC94-494E-A7BE-EF92B820411C}"/>
    <cellStyle name="40% - Accent5 6 5 3 4" xfId="30824" xr:uid="{894628FD-4DFD-459F-A1F9-B2619C362F51}"/>
    <cellStyle name="40% - Accent5 6 5 4" xfId="11387" xr:uid="{00000000-0005-0000-0000-0000944B0000}"/>
    <cellStyle name="40% - Accent5 6 5 4 2" xfId="35236" xr:uid="{F9CDEC73-2DEB-4575-8343-6D36C7CDF695}"/>
    <cellStyle name="40% - Accent5 6 5 5" xfId="19342" xr:uid="{00000000-0005-0000-0000-0000954B0000}"/>
    <cellStyle name="40% - Accent5 6 5 5 2" xfId="43174" xr:uid="{C0EB4A2B-0A6F-4E72-809F-AEB0C79C1D63}"/>
    <cellStyle name="40% - Accent5 6 5 6" xfId="27294" xr:uid="{349A88CB-81A2-45F8-8112-A3B4A73A0281}"/>
    <cellStyle name="40% - Accent5 6 5_Exh G" xfId="3267" xr:uid="{00000000-0005-0000-0000-0000964B0000}"/>
    <cellStyle name="40% - Accent5 6 6" xfId="4241" xr:uid="{00000000-0005-0000-0000-0000974B0000}"/>
    <cellStyle name="40% - Accent5 6 6 2" xfId="7833" xr:uid="{00000000-0005-0000-0000-0000984B0000}"/>
    <cellStyle name="40% - Accent5 6 6 2 2" xfId="15803" xr:uid="{00000000-0005-0000-0000-0000994B0000}"/>
    <cellStyle name="40% - Accent5 6 6 2 2 2" xfId="39645" xr:uid="{D8BB4F92-9E98-46A6-AAAF-7FACE294961B}"/>
    <cellStyle name="40% - Accent5 6 6 2 3" xfId="23749" xr:uid="{00000000-0005-0000-0000-00009A4B0000}"/>
    <cellStyle name="40% - Accent5 6 6 2 3 2" xfId="47581" xr:uid="{68F6BCE4-71AA-4A14-8253-8AC53BE29AE0}"/>
    <cellStyle name="40% - Accent5 6 6 2 4" xfId="31704" xr:uid="{E4E2D26F-AC43-4375-9A79-04961F5A130A}"/>
    <cellStyle name="40% - Accent5 6 6 3" xfId="12265" xr:uid="{00000000-0005-0000-0000-00009B4B0000}"/>
    <cellStyle name="40% - Accent5 6 6 3 2" xfId="36114" xr:uid="{49B7C4EC-EE76-4209-89A5-0296D38D64C9}"/>
    <cellStyle name="40% - Accent5 6 6 4" xfId="20220" xr:uid="{00000000-0005-0000-0000-00009C4B0000}"/>
    <cellStyle name="40% - Accent5 6 6 4 2" xfId="44052" xr:uid="{74ABDC4A-7D15-4B25-8C09-32737A7B0731}"/>
    <cellStyle name="40% - Accent5 6 6 5" xfId="28173" xr:uid="{6EF1877F-377D-4E52-9965-011D49208C1E}"/>
    <cellStyle name="40% - Accent5 6 7" xfId="6061" xr:uid="{00000000-0005-0000-0000-00009D4B0000}"/>
    <cellStyle name="40% - Accent5 6 7 2" xfId="14044" xr:uid="{00000000-0005-0000-0000-00009E4B0000}"/>
    <cellStyle name="40% - Accent5 6 7 2 2" xfId="37887" xr:uid="{ED57EE14-953B-4905-92EE-3379A56D1DEC}"/>
    <cellStyle name="40% - Accent5 6 7 3" xfId="21992" xr:uid="{00000000-0005-0000-0000-00009F4B0000}"/>
    <cellStyle name="40% - Accent5 6 7 3 2" xfId="45824" xr:uid="{C379FC59-C8A9-44B2-AAC8-6D3173D04607}"/>
    <cellStyle name="40% - Accent5 6 7 4" xfId="29946" xr:uid="{9E9874CE-193E-4C17-8DFD-076D2FA61206}"/>
    <cellStyle name="40% - Accent5 6 8" xfId="9613" xr:uid="{00000000-0005-0000-0000-0000A04B0000}"/>
    <cellStyle name="40% - Accent5 6 8 2" xfId="17571" xr:uid="{00000000-0005-0000-0000-0000A14B0000}"/>
    <cellStyle name="40% - Accent5 6 8 2 2" xfId="41411" xr:uid="{6DBEF559-4C08-4BE9-9171-687DB9EF7F40}"/>
    <cellStyle name="40% - Accent5 6 8 3" xfId="25515" xr:uid="{00000000-0005-0000-0000-0000A24B0000}"/>
    <cellStyle name="40% - Accent5 6 8 3 2" xfId="49347" xr:uid="{912730D7-2856-4C5E-A45A-C5704F39BA28}"/>
    <cellStyle name="40% - Accent5 6 8 4" xfId="33470" xr:uid="{103A5791-06A7-47A8-A2BB-70E7F5BCC4B7}"/>
    <cellStyle name="40% - Accent5 6 9" xfId="10509" xr:uid="{00000000-0005-0000-0000-0000A34B0000}"/>
    <cellStyle name="40% - Accent5 6 9 2" xfId="34358" xr:uid="{210A2DCA-C9D2-4C10-B3FA-A7EF1F35DDDD}"/>
    <cellStyle name="40% - Accent5 6_Exh G" xfId="3258" xr:uid="{00000000-0005-0000-0000-0000A44B0000}"/>
    <cellStyle name="40% - Accent5 7" xfId="571" xr:uid="{00000000-0005-0000-0000-0000A54B0000}"/>
    <cellStyle name="40% - Accent5 7 10" xfId="18468" xr:uid="{00000000-0005-0000-0000-0000A64B0000}"/>
    <cellStyle name="40% - Accent5 7 10 2" xfId="42300" xr:uid="{376123D4-0651-4743-B256-DC7C92FE00AC}"/>
    <cellStyle name="40% - Accent5 7 11" xfId="26420" xr:uid="{5B37B94E-41A8-439F-AF77-0481D26AD3BF}"/>
    <cellStyle name="40% - Accent5 7 2" xfId="572" xr:uid="{00000000-0005-0000-0000-0000A74B0000}"/>
    <cellStyle name="40% - Accent5 7 2 2" xfId="573" xr:uid="{00000000-0005-0000-0000-0000A84B0000}"/>
    <cellStyle name="40% - Accent5 7 2 2 2" xfId="1599" xr:uid="{00000000-0005-0000-0000-0000A94B0000}"/>
    <cellStyle name="40% - Accent5 7 2 2 2 2" xfId="5126" xr:uid="{00000000-0005-0000-0000-0000AA4B0000}"/>
    <cellStyle name="40% - Accent5 7 2 2 2 2 2" xfId="8717" xr:uid="{00000000-0005-0000-0000-0000AB4B0000}"/>
    <cellStyle name="40% - Accent5 7 2 2 2 2 2 2" xfId="16687" xr:uid="{00000000-0005-0000-0000-0000AC4B0000}"/>
    <cellStyle name="40% - Accent5 7 2 2 2 2 2 2 2" xfId="40529" xr:uid="{EA94CB5A-E87D-4048-9EAC-95739DB728C1}"/>
    <cellStyle name="40% - Accent5 7 2 2 2 2 2 3" xfId="24633" xr:uid="{00000000-0005-0000-0000-0000AD4B0000}"/>
    <cellStyle name="40% - Accent5 7 2 2 2 2 2 3 2" xfId="48465" xr:uid="{7B2F8887-3C53-46AF-9475-47ACC0B8417E}"/>
    <cellStyle name="40% - Accent5 7 2 2 2 2 2 4" xfId="32588" xr:uid="{6A8A304D-CB21-4D6F-9163-89B9D8FD0D5C}"/>
    <cellStyle name="40% - Accent5 7 2 2 2 2 3" xfId="13149" xr:uid="{00000000-0005-0000-0000-0000AE4B0000}"/>
    <cellStyle name="40% - Accent5 7 2 2 2 2 3 2" xfId="36998" xr:uid="{52FD8DD9-E7F6-4931-B945-CBA8243450AA}"/>
    <cellStyle name="40% - Accent5 7 2 2 2 2 4" xfId="21104" xr:uid="{00000000-0005-0000-0000-0000AF4B0000}"/>
    <cellStyle name="40% - Accent5 7 2 2 2 2 4 2" xfId="44936" xr:uid="{DC875738-DE12-46B7-874D-C1CF5A539080}"/>
    <cellStyle name="40% - Accent5 7 2 2 2 2 5" xfId="29057" xr:uid="{FF940027-0493-41C2-82D2-54412C1E5896}"/>
    <cellStyle name="40% - Accent5 7 2 2 2 3" xfId="6958" xr:uid="{00000000-0005-0000-0000-0000B04B0000}"/>
    <cellStyle name="40% - Accent5 7 2 2 2 3 2" xfId="14929" xr:uid="{00000000-0005-0000-0000-0000B14B0000}"/>
    <cellStyle name="40% - Accent5 7 2 2 2 3 2 2" xfId="38771" xr:uid="{2B965C8E-2F41-498C-9151-51B87C09AA72}"/>
    <cellStyle name="40% - Accent5 7 2 2 2 3 3" xfId="22876" xr:uid="{00000000-0005-0000-0000-0000B24B0000}"/>
    <cellStyle name="40% - Accent5 7 2 2 2 3 3 2" xfId="46708" xr:uid="{E846F940-5E23-4783-A938-EF7B00F670B3}"/>
    <cellStyle name="40% - Accent5 7 2 2 2 3 4" xfId="30830" xr:uid="{DF8C7985-6F83-485F-A6E8-94CF2B24678C}"/>
    <cellStyle name="40% - Accent5 7 2 2 2 4" xfId="11393" xr:uid="{00000000-0005-0000-0000-0000B34B0000}"/>
    <cellStyle name="40% - Accent5 7 2 2 2 4 2" xfId="35242" xr:uid="{FA294512-C6DC-4D37-B2BC-268A10E6E7BA}"/>
    <cellStyle name="40% - Accent5 7 2 2 2 5" xfId="19348" xr:uid="{00000000-0005-0000-0000-0000B44B0000}"/>
    <cellStyle name="40% - Accent5 7 2 2 2 5 2" xfId="43180" xr:uid="{E70C80DF-4826-4D2F-84C3-DB4A5DABA458}"/>
    <cellStyle name="40% - Accent5 7 2 2 2 6" xfId="27300" xr:uid="{B19CDBE4-FF47-478E-98DC-6F0AA8664DAB}"/>
    <cellStyle name="40% - Accent5 7 2 2 2_Exh G" xfId="3271" xr:uid="{00000000-0005-0000-0000-0000B54B0000}"/>
    <cellStyle name="40% - Accent5 7 2 2 3" xfId="4247" xr:uid="{00000000-0005-0000-0000-0000B64B0000}"/>
    <cellStyle name="40% - Accent5 7 2 2 3 2" xfId="7839" xr:uid="{00000000-0005-0000-0000-0000B74B0000}"/>
    <cellStyle name="40% - Accent5 7 2 2 3 2 2" xfId="15809" xr:uid="{00000000-0005-0000-0000-0000B84B0000}"/>
    <cellStyle name="40% - Accent5 7 2 2 3 2 2 2" xfId="39651" xr:uid="{65B36A99-5DD8-4D27-83DF-ABED4A4E65ED}"/>
    <cellStyle name="40% - Accent5 7 2 2 3 2 3" xfId="23755" xr:uid="{00000000-0005-0000-0000-0000B94B0000}"/>
    <cellStyle name="40% - Accent5 7 2 2 3 2 3 2" xfId="47587" xr:uid="{1DEF0D0B-3DB1-4BBD-AB66-D8705903A7EA}"/>
    <cellStyle name="40% - Accent5 7 2 2 3 2 4" xfId="31710" xr:uid="{CDFC840C-0511-40D4-B136-17940317EAE5}"/>
    <cellStyle name="40% - Accent5 7 2 2 3 3" xfId="12271" xr:uid="{00000000-0005-0000-0000-0000BA4B0000}"/>
    <cellStyle name="40% - Accent5 7 2 2 3 3 2" xfId="36120" xr:uid="{E630718A-903A-4D4F-846A-7396ED9B2696}"/>
    <cellStyle name="40% - Accent5 7 2 2 3 4" xfId="20226" xr:uid="{00000000-0005-0000-0000-0000BB4B0000}"/>
    <cellStyle name="40% - Accent5 7 2 2 3 4 2" xfId="44058" xr:uid="{E2CE8373-12F5-4545-A39B-84DA9183CB73}"/>
    <cellStyle name="40% - Accent5 7 2 2 3 5" xfId="28179" xr:uid="{06EB21A3-693E-48D4-BE5C-097E64056901}"/>
    <cellStyle name="40% - Accent5 7 2 2 4" xfId="6067" xr:uid="{00000000-0005-0000-0000-0000BC4B0000}"/>
    <cellStyle name="40% - Accent5 7 2 2 4 2" xfId="14050" xr:uid="{00000000-0005-0000-0000-0000BD4B0000}"/>
    <cellStyle name="40% - Accent5 7 2 2 4 2 2" xfId="37893" xr:uid="{C032FB0C-0FC1-4FA8-9DD6-B1CFDB2225FC}"/>
    <cellStyle name="40% - Accent5 7 2 2 4 3" xfId="21998" xr:uid="{00000000-0005-0000-0000-0000BE4B0000}"/>
    <cellStyle name="40% - Accent5 7 2 2 4 3 2" xfId="45830" xr:uid="{FB54FACA-D025-4B8C-BC00-54951754330A}"/>
    <cellStyle name="40% - Accent5 7 2 2 4 4" xfId="29952" xr:uid="{61A0648E-F158-449E-BE14-1EB500D3186A}"/>
    <cellStyle name="40% - Accent5 7 2 2 5" xfId="9619" xr:uid="{00000000-0005-0000-0000-0000BF4B0000}"/>
    <cellStyle name="40% - Accent5 7 2 2 5 2" xfId="17577" xr:uid="{00000000-0005-0000-0000-0000C04B0000}"/>
    <cellStyle name="40% - Accent5 7 2 2 5 2 2" xfId="41417" xr:uid="{651BA2A4-22C0-4209-B630-0BCB7101F8D3}"/>
    <cellStyle name="40% - Accent5 7 2 2 5 3" xfId="25521" xr:uid="{00000000-0005-0000-0000-0000C14B0000}"/>
    <cellStyle name="40% - Accent5 7 2 2 5 3 2" xfId="49353" xr:uid="{ADF7A5E0-C3E5-40D3-9AE9-6AE8F2C9EE1C}"/>
    <cellStyle name="40% - Accent5 7 2 2 5 4" xfId="33476" xr:uid="{5B9BDC10-132A-4468-A062-F670186225C1}"/>
    <cellStyle name="40% - Accent5 7 2 2 6" xfId="10515" xr:uid="{00000000-0005-0000-0000-0000C24B0000}"/>
    <cellStyle name="40% - Accent5 7 2 2 6 2" xfId="34364" xr:uid="{76B47952-EDA4-464E-A4B1-E27943A39225}"/>
    <cellStyle name="40% - Accent5 7 2 2 7" xfId="18470" xr:uid="{00000000-0005-0000-0000-0000C34B0000}"/>
    <cellStyle name="40% - Accent5 7 2 2 7 2" xfId="42302" xr:uid="{C5E198D0-55CD-45F7-9EAB-853E132B5F1B}"/>
    <cellStyle name="40% - Accent5 7 2 2 8" xfId="26422" xr:uid="{46A46889-9A87-4094-ACC7-E741F13EDAB1}"/>
    <cellStyle name="40% - Accent5 7 2 2_Exh G" xfId="3270" xr:uid="{00000000-0005-0000-0000-0000C44B0000}"/>
    <cellStyle name="40% - Accent5 7 2 3" xfId="1598" xr:uid="{00000000-0005-0000-0000-0000C54B0000}"/>
    <cellStyle name="40% - Accent5 7 2 3 2" xfId="5125" xr:uid="{00000000-0005-0000-0000-0000C64B0000}"/>
    <cellStyle name="40% - Accent5 7 2 3 2 2" xfId="8716" xr:uid="{00000000-0005-0000-0000-0000C74B0000}"/>
    <cellStyle name="40% - Accent5 7 2 3 2 2 2" xfId="16686" xr:uid="{00000000-0005-0000-0000-0000C84B0000}"/>
    <cellStyle name="40% - Accent5 7 2 3 2 2 2 2" xfId="40528" xr:uid="{6EE32C26-0B79-4BF6-9EDE-A88921CDA6B3}"/>
    <cellStyle name="40% - Accent5 7 2 3 2 2 3" xfId="24632" xr:uid="{00000000-0005-0000-0000-0000C94B0000}"/>
    <cellStyle name="40% - Accent5 7 2 3 2 2 3 2" xfId="48464" xr:uid="{2D2B51FA-1E45-469C-A7A5-E2D0488559F9}"/>
    <cellStyle name="40% - Accent5 7 2 3 2 2 4" xfId="32587" xr:uid="{A9AA74ED-73F7-4755-8E53-A58BB149521B}"/>
    <cellStyle name="40% - Accent5 7 2 3 2 3" xfId="13148" xr:uid="{00000000-0005-0000-0000-0000CA4B0000}"/>
    <cellStyle name="40% - Accent5 7 2 3 2 3 2" xfId="36997" xr:uid="{9421BDE8-1E24-4960-87BD-222590E25717}"/>
    <cellStyle name="40% - Accent5 7 2 3 2 4" xfId="21103" xr:uid="{00000000-0005-0000-0000-0000CB4B0000}"/>
    <cellStyle name="40% - Accent5 7 2 3 2 4 2" xfId="44935" xr:uid="{EAA66A16-0C49-4CCD-874B-48C1068FF7EA}"/>
    <cellStyle name="40% - Accent5 7 2 3 2 5" xfId="29056" xr:uid="{50993026-23D2-48C9-ACEE-BA417B8DD515}"/>
    <cellStyle name="40% - Accent5 7 2 3 3" xfId="6957" xr:uid="{00000000-0005-0000-0000-0000CC4B0000}"/>
    <cellStyle name="40% - Accent5 7 2 3 3 2" xfId="14928" xr:uid="{00000000-0005-0000-0000-0000CD4B0000}"/>
    <cellStyle name="40% - Accent5 7 2 3 3 2 2" xfId="38770" xr:uid="{6DAC58E0-6316-4B89-B01D-EFE3097AE1F2}"/>
    <cellStyle name="40% - Accent5 7 2 3 3 3" xfId="22875" xr:uid="{00000000-0005-0000-0000-0000CE4B0000}"/>
    <cellStyle name="40% - Accent5 7 2 3 3 3 2" xfId="46707" xr:uid="{E10CB505-AF28-4BF0-82CB-9DABB5EB28E1}"/>
    <cellStyle name="40% - Accent5 7 2 3 3 4" xfId="30829" xr:uid="{D693A9DD-EB37-4CD4-9CD0-FBBC03A32629}"/>
    <cellStyle name="40% - Accent5 7 2 3 4" xfId="11392" xr:uid="{00000000-0005-0000-0000-0000CF4B0000}"/>
    <cellStyle name="40% - Accent5 7 2 3 4 2" xfId="35241" xr:uid="{A457CE8F-C6F4-4198-BFF3-32080AB4100B}"/>
    <cellStyle name="40% - Accent5 7 2 3 5" xfId="19347" xr:uid="{00000000-0005-0000-0000-0000D04B0000}"/>
    <cellStyle name="40% - Accent5 7 2 3 5 2" xfId="43179" xr:uid="{9BE9ECBA-99FA-4B66-8A06-2880CCC76FC9}"/>
    <cellStyle name="40% - Accent5 7 2 3 6" xfId="27299" xr:uid="{AE3A74F4-09A5-49D4-BFDC-3F990D25CEF0}"/>
    <cellStyle name="40% - Accent5 7 2 3_Exh G" xfId="3272" xr:uid="{00000000-0005-0000-0000-0000D14B0000}"/>
    <cellStyle name="40% - Accent5 7 2 4" xfId="4246" xr:uid="{00000000-0005-0000-0000-0000D24B0000}"/>
    <cellStyle name="40% - Accent5 7 2 4 2" xfId="7838" xr:uid="{00000000-0005-0000-0000-0000D34B0000}"/>
    <cellStyle name="40% - Accent5 7 2 4 2 2" xfId="15808" xr:uid="{00000000-0005-0000-0000-0000D44B0000}"/>
    <cellStyle name="40% - Accent5 7 2 4 2 2 2" xfId="39650" xr:uid="{78C61DCB-30BF-4EB1-82FB-90D700FA6FAC}"/>
    <cellStyle name="40% - Accent5 7 2 4 2 3" xfId="23754" xr:uid="{00000000-0005-0000-0000-0000D54B0000}"/>
    <cellStyle name="40% - Accent5 7 2 4 2 3 2" xfId="47586" xr:uid="{63395340-1AD0-48A1-8F14-F4A207235A69}"/>
    <cellStyle name="40% - Accent5 7 2 4 2 4" xfId="31709" xr:uid="{40A1FB2B-3EE7-46D9-B5EC-48C0CA023A4C}"/>
    <cellStyle name="40% - Accent5 7 2 4 3" xfId="12270" xr:uid="{00000000-0005-0000-0000-0000D64B0000}"/>
    <cellStyle name="40% - Accent5 7 2 4 3 2" xfId="36119" xr:uid="{00B7560D-F76C-4EF1-B092-475E5630FDBD}"/>
    <cellStyle name="40% - Accent5 7 2 4 4" xfId="20225" xr:uid="{00000000-0005-0000-0000-0000D74B0000}"/>
    <cellStyle name="40% - Accent5 7 2 4 4 2" xfId="44057" xr:uid="{B6136D36-F561-414A-93D2-C6FCDAB08A8B}"/>
    <cellStyle name="40% - Accent5 7 2 4 5" xfId="28178" xr:uid="{21F92887-CB05-4CFB-9697-B4516000D308}"/>
    <cellStyle name="40% - Accent5 7 2 5" xfId="6066" xr:uid="{00000000-0005-0000-0000-0000D84B0000}"/>
    <cellStyle name="40% - Accent5 7 2 5 2" xfId="14049" xr:uid="{00000000-0005-0000-0000-0000D94B0000}"/>
    <cellStyle name="40% - Accent5 7 2 5 2 2" xfId="37892" xr:uid="{C2F00B1F-27E6-415B-AA7D-10611FB8F618}"/>
    <cellStyle name="40% - Accent5 7 2 5 3" xfId="21997" xr:uid="{00000000-0005-0000-0000-0000DA4B0000}"/>
    <cellStyle name="40% - Accent5 7 2 5 3 2" xfId="45829" xr:uid="{3E66178F-3003-4037-9627-006B507359D7}"/>
    <cellStyle name="40% - Accent5 7 2 5 4" xfId="29951" xr:uid="{F942BC95-7134-4D73-8F38-9A539400073E}"/>
    <cellStyle name="40% - Accent5 7 2 6" xfId="9618" xr:uid="{00000000-0005-0000-0000-0000DB4B0000}"/>
    <cellStyle name="40% - Accent5 7 2 6 2" xfId="17576" xr:uid="{00000000-0005-0000-0000-0000DC4B0000}"/>
    <cellStyle name="40% - Accent5 7 2 6 2 2" xfId="41416" xr:uid="{24952D57-4458-4E7F-A9F9-561794E5222B}"/>
    <cellStyle name="40% - Accent5 7 2 6 3" xfId="25520" xr:uid="{00000000-0005-0000-0000-0000DD4B0000}"/>
    <cellStyle name="40% - Accent5 7 2 6 3 2" xfId="49352" xr:uid="{D4C558A5-06AE-489D-A11F-A99E9DD530E3}"/>
    <cellStyle name="40% - Accent5 7 2 6 4" xfId="33475" xr:uid="{CD086926-7737-4664-99F2-5F92D44F22B6}"/>
    <cellStyle name="40% - Accent5 7 2 7" xfId="10514" xr:uid="{00000000-0005-0000-0000-0000DE4B0000}"/>
    <cellStyle name="40% - Accent5 7 2 7 2" xfId="34363" xr:uid="{98C3C6B8-5E1A-40BA-B284-98D2504B28A3}"/>
    <cellStyle name="40% - Accent5 7 2 8" xfId="18469" xr:uid="{00000000-0005-0000-0000-0000DF4B0000}"/>
    <cellStyle name="40% - Accent5 7 2 8 2" xfId="42301" xr:uid="{364CB70A-DEB9-46AD-A044-1C03C8016803}"/>
    <cellStyle name="40% - Accent5 7 2 9" xfId="26421" xr:uid="{BAA35016-ED08-465A-8767-2DD80A972DDC}"/>
    <cellStyle name="40% - Accent5 7 2_Exh G" xfId="3269" xr:uid="{00000000-0005-0000-0000-0000E04B0000}"/>
    <cellStyle name="40% - Accent5 7 3" xfId="574" xr:uid="{00000000-0005-0000-0000-0000E14B0000}"/>
    <cellStyle name="40% - Accent5 7 3 2" xfId="1600" xr:uid="{00000000-0005-0000-0000-0000E24B0000}"/>
    <cellStyle name="40% - Accent5 7 3 2 2" xfId="5127" xr:uid="{00000000-0005-0000-0000-0000E34B0000}"/>
    <cellStyle name="40% - Accent5 7 3 2 2 2" xfId="8718" xr:uid="{00000000-0005-0000-0000-0000E44B0000}"/>
    <cellStyle name="40% - Accent5 7 3 2 2 2 2" xfId="16688" xr:uid="{00000000-0005-0000-0000-0000E54B0000}"/>
    <cellStyle name="40% - Accent5 7 3 2 2 2 2 2" xfId="40530" xr:uid="{27834C56-8C36-43A0-834C-1792D40CA16C}"/>
    <cellStyle name="40% - Accent5 7 3 2 2 2 3" xfId="24634" xr:uid="{00000000-0005-0000-0000-0000E64B0000}"/>
    <cellStyle name="40% - Accent5 7 3 2 2 2 3 2" xfId="48466" xr:uid="{587884A3-6C2D-40E6-8F31-9A618A0A1D85}"/>
    <cellStyle name="40% - Accent5 7 3 2 2 2 4" xfId="32589" xr:uid="{9B28E602-6CE9-46EE-9D71-F0524D5D344C}"/>
    <cellStyle name="40% - Accent5 7 3 2 2 3" xfId="13150" xr:uid="{00000000-0005-0000-0000-0000E74B0000}"/>
    <cellStyle name="40% - Accent5 7 3 2 2 3 2" xfId="36999" xr:uid="{3C18D33E-83A1-4B4C-B26C-59DD92A8DED6}"/>
    <cellStyle name="40% - Accent5 7 3 2 2 4" xfId="21105" xr:uid="{00000000-0005-0000-0000-0000E84B0000}"/>
    <cellStyle name="40% - Accent5 7 3 2 2 4 2" xfId="44937" xr:uid="{FB5F7EE2-6A74-493A-8F99-184F0C3777F0}"/>
    <cellStyle name="40% - Accent5 7 3 2 2 5" xfId="29058" xr:uid="{2880B335-1904-4EAA-94C9-60910021D204}"/>
    <cellStyle name="40% - Accent5 7 3 2 3" xfId="6959" xr:uid="{00000000-0005-0000-0000-0000E94B0000}"/>
    <cellStyle name="40% - Accent5 7 3 2 3 2" xfId="14930" xr:uid="{00000000-0005-0000-0000-0000EA4B0000}"/>
    <cellStyle name="40% - Accent5 7 3 2 3 2 2" xfId="38772" xr:uid="{C631018C-341D-47AA-B6C3-302CC292A4F8}"/>
    <cellStyle name="40% - Accent5 7 3 2 3 3" xfId="22877" xr:uid="{00000000-0005-0000-0000-0000EB4B0000}"/>
    <cellStyle name="40% - Accent5 7 3 2 3 3 2" xfId="46709" xr:uid="{7E096A5C-7B8D-48F6-BC7F-DB4F3FF6625E}"/>
    <cellStyle name="40% - Accent5 7 3 2 3 4" xfId="30831" xr:uid="{439B175A-D165-4246-8629-318F949CC360}"/>
    <cellStyle name="40% - Accent5 7 3 2 4" xfId="11394" xr:uid="{00000000-0005-0000-0000-0000EC4B0000}"/>
    <cellStyle name="40% - Accent5 7 3 2 4 2" xfId="35243" xr:uid="{89554609-76E9-40B0-AA0E-80EFAD0E07F2}"/>
    <cellStyle name="40% - Accent5 7 3 2 5" xfId="19349" xr:uid="{00000000-0005-0000-0000-0000ED4B0000}"/>
    <cellStyle name="40% - Accent5 7 3 2 5 2" xfId="43181" xr:uid="{E4FABFED-32F4-4B4F-BF1B-365244107B5D}"/>
    <cellStyle name="40% - Accent5 7 3 2 6" xfId="27301" xr:uid="{66CDD6FD-A1D8-480A-A57B-EC9A52262A62}"/>
    <cellStyle name="40% - Accent5 7 3 2_Exh G" xfId="3274" xr:uid="{00000000-0005-0000-0000-0000EE4B0000}"/>
    <cellStyle name="40% - Accent5 7 3 3" xfId="4248" xr:uid="{00000000-0005-0000-0000-0000EF4B0000}"/>
    <cellStyle name="40% - Accent5 7 3 3 2" xfId="7840" xr:uid="{00000000-0005-0000-0000-0000F04B0000}"/>
    <cellStyle name="40% - Accent5 7 3 3 2 2" xfId="15810" xr:uid="{00000000-0005-0000-0000-0000F14B0000}"/>
    <cellStyle name="40% - Accent5 7 3 3 2 2 2" xfId="39652" xr:uid="{0A10455B-EFEC-4055-97E6-B87D4B3AF649}"/>
    <cellStyle name="40% - Accent5 7 3 3 2 3" xfId="23756" xr:uid="{00000000-0005-0000-0000-0000F24B0000}"/>
    <cellStyle name="40% - Accent5 7 3 3 2 3 2" xfId="47588" xr:uid="{38959570-80D3-4AEB-88CB-656E7EE19392}"/>
    <cellStyle name="40% - Accent5 7 3 3 2 4" xfId="31711" xr:uid="{056BF70D-D307-45FB-BFCF-4F4AC6AE9DFA}"/>
    <cellStyle name="40% - Accent5 7 3 3 3" xfId="12272" xr:uid="{00000000-0005-0000-0000-0000F34B0000}"/>
    <cellStyle name="40% - Accent5 7 3 3 3 2" xfId="36121" xr:uid="{54307E34-5D3A-44D7-A4D3-779DCED7C1B0}"/>
    <cellStyle name="40% - Accent5 7 3 3 4" xfId="20227" xr:uid="{00000000-0005-0000-0000-0000F44B0000}"/>
    <cellStyle name="40% - Accent5 7 3 3 4 2" xfId="44059" xr:uid="{65B9D805-B002-4F2F-A788-96F4CBEBDA96}"/>
    <cellStyle name="40% - Accent5 7 3 3 5" xfId="28180" xr:uid="{6C87A3E2-A3CF-401B-893B-FF27AF6F6DA4}"/>
    <cellStyle name="40% - Accent5 7 3 4" xfId="6068" xr:uid="{00000000-0005-0000-0000-0000F54B0000}"/>
    <cellStyle name="40% - Accent5 7 3 4 2" xfId="14051" xr:uid="{00000000-0005-0000-0000-0000F64B0000}"/>
    <cellStyle name="40% - Accent5 7 3 4 2 2" xfId="37894" xr:uid="{C4856011-3639-4F7F-8B1D-8E549EB9620F}"/>
    <cellStyle name="40% - Accent5 7 3 4 3" xfId="21999" xr:uid="{00000000-0005-0000-0000-0000F74B0000}"/>
    <cellStyle name="40% - Accent5 7 3 4 3 2" xfId="45831" xr:uid="{727048FB-3C02-43C1-8D70-0247A86812AF}"/>
    <cellStyle name="40% - Accent5 7 3 4 4" xfId="29953" xr:uid="{594832BF-687C-4A06-B1B5-9D68024B3C4F}"/>
    <cellStyle name="40% - Accent5 7 3 5" xfId="9620" xr:uid="{00000000-0005-0000-0000-0000F84B0000}"/>
    <cellStyle name="40% - Accent5 7 3 5 2" xfId="17578" xr:uid="{00000000-0005-0000-0000-0000F94B0000}"/>
    <cellStyle name="40% - Accent5 7 3 5 2 2" xfId="41418" xr:uid="{F1DB1866-EA07-4F16-BB43-3E4F38E46BA9}"/>
    <cellStyle name="40% - Accent5 7 3 5 3" xfId="25522" xr:uid="{00000000-0005-0000-0000-0000FA4B0000}"/>
    <cellStyle name="40% - Accent5 7 3 5 3 2" xfId="49354" xr:uid="{8D6FBF47-6871-4130-A8F7-2404DA280AAE}"/>
    <cellStyle name="40% - Accent5 7 3 5 4" xfId="33477" xr:uid="{E962A04C-C6C2-425F-B8E2-F5630204C0FA}"/>
    <cellStyle name="40% - Accent5 7 3 6" xfId="10516" xr:uid="{00000000-0005-0000-0000-0000FB4B0000}"/>
    <cellStyle name="40% - Accent5 7 3 6 2" xfId="34365" xr:uid="{0DF1ACA1-FEF6-4386-8183-90EFD01A82B9}"/>
    <cellStyle name="40% - Accent5 7 3 7" xfId="18471" xr:uid="{00000000-0005-0000-0000-0000FC4B0000}"/>
    <cellStyle name="40% - Accent5 7 3 7 2" xfId="42303" xr:uid="{1E0A9EAC-FA1F-43FA-8B4C-2CCE8B831FFC}"/>
    <cellStyle name="40% - Accent5 7 3 8" xfId="26423" xr:uid="{72C2F07D-524A-4926-BB71-E8134E1C7BDD}"/>
    <cellStyle name="40% - Accent5 7 3_Exh G" xfId="3273" xr:uid="{00000000-0005-0000-0000-0000FD4B0000}"/>
    <cellStyle name="40% - Accent5 7 4" xfId="988" xr:uid="{00000000-0005-0000-0000-0000FE4B0000}"/>
    <cellStyle name="40% - Accent5 7 4 2" xfId="1899" xr:uid="{00000000-0005-0000-0000-0000FF4B0000}"/>
    <cellStyle name="40% - Accent5 7 4 2 2" xfId="5416" xr:uid="{00000000-0005-0000-0000-0000004C0000}"/>
    <cellStyle name="40% - Accent5 7 4 2 2 2" xfId="9007" xr:uid="{00000000-0005-0000-0000-0000014C0000}"/>
    <cellStyle name="40% - Accent5 7 4 2 2 2 2" xfId="16977" xr:uid="{00000000-0005-0000-0000-0000024C0000}"/>
    <cellStyle name="40% - Accent5 7 4 2 2 2 2 2" xfId="40819" xr:uid="{81A0E441-B5AC-4AD9-AA8B-8B7190878A1D}"/>
    <cellStyle name="40% - Accent5 7 4 2 2 2 3" xfId="24923" xr:uid="{00000000-0005-0000-0000-0000034C0000}"/>
    <cellStyle name="40% - Accent5 7 4 2 2 2 3 2" xfId="48755" xr:uid="{E964FC47-5D43-42B3-956C-CD9E3937ED79}"/>
    <cellStyle name="40% - Accent5 7 4 2 2 2 4" xfId="32878" xr:uid="{E4056B03-5FB8-4525-89E8-851A396925A4}"/>
    <cellStyle name="40% - Accent5 7 4 2 2 3" xfId="13439" xr:uid="{00000000-0005-0000-0000-0000044C0000}"/>
    <cellStyle name="40% - Accent5 7 4 2 2 3 2" xfId="37288" xr:uid="{D9569F2A-03B1-4F33-B3F5-0346CAF94678}"/>
    <cellStyle name="40% - Accent5 7 4 2 2 4" xfId="21394" xr:uid="{00000000-0005-0000-0000-0000054C0000}"/>
    <cellStyle name="40% - Accent5 7 4 2 2 4 2" xfId="45226" xr:uid="{D68DF63F-7640-4294-8D12-66CB0CF918A4}"/>
    <cellStyle name="40% - Accent5 7 4 2 2 5" xfId="29347" xr:uid="{5E30D664-909A-4317-A26D-B3356D80E589}"/>
    <cellStyle name="40% - Accent5 7 4 2 3" xfId="7248" xr:uid="{00000000-0005-0000-0000-0000064C0000}"/>
    <cellStyle name="40% - Accent5 7 4 2 3 2" xfId="15219" xr:uid="{00000000-0005-0000-0000-0000074C0000}"/>
    <cellStyle name="40% - Accent5 7 4 2 3 2 2" xfId="39061" xr:uid="{8E9F4F4F-35F4-4E71-A1AA-6762DBF406E2}"/>
    <cellStyle name="40% - Accent5 7 4 2 3 3" xfId="23166" xr:uid="{00000000-0005-0000-0000-0000084C0000}"/>
    <cellStyle name="40% - Accent5 7 4 2 3 3 2" xfId="46998" xr:uid="{A312F999-317B-4F06-B898-18BD6B0D0344}"/>
    <cellStyle name="40% - Accent5 7 4 2 3 4" xfId="31120" xr:uid="{21B6AE51-40B7-4CD1-BC70-50C7EDB1BD17}"/>
    <cellStyle name="40% - Accent5 7 4 2 4" xfId="11683" xr:uid="{00000000-0005-0000-0000-0000094C0000}"/>
    <cellStyle name="40% - Accent5 7 4 2 4 2" xfId="35532" xr:uid="{3BE49CDC-0A53-429F-9CF7-DC1D698CFE20}"/>
    <cellStyle name="40% - Accent5 7 4 2 5" xfId="19638" xr:uid="{00000000-0005-0000-0000-00000A4C0000}"/>
    <cellStyle name="40% - Accent5 7 4 2 5 2" xfId="43470" xr:uid="{19C2CB3E-254E-4A2A-AFA8-20AF6ECEF3A5}"/>
    <cellStyle name="40% - Accent5 7 4 2 6" xfId="27590" xr:uid="{447BFAD8-7B81-436A-B5CE-117559F661A8}"/>
    <cellStyle name="40% - Accent5 7 4 2_Exh G" xfId="3276" xr:uid="{00000000-0005-0000-0000-00000B4C0000}"/>
    <cellStyle name="40% - Accent5 7 4 3" xfId="4537" xr:uid="{00000000-0005-0000-0000-00000C4C0000}"/>
    <cellStyle name="40% - Accent5 7 4 3 2" xfId="8129" xr:uid="{00000000-0005-0000-0000-00000D4C0000}"/>
    <cellStyle name="40% - Accent5 7 4 3 2 2" xfId="16099" xr:uid="{00000000-0005-0000-0000-00000E4C0000}"/>
    <cellStyle name="40% - Accent5 7 4 3 2 2 2" xfId="39941" xr:uid="{0207868E-ED65-4D93-8260-4AA4B5448EC9}"/>
    <cellStyle name="40% - Accent5 7 4 3 2 3" xfId="24045" xr:uid="{00000000-0005-0000-0000-00000F4C0000}"/>
    <cellStyle name="40% - Accent5 7 4 3 2 3 2" xfId="47877" xr:uid="{3CE51097-5511-426B-9F90-8FAC73B911DA}"/>
    <cellStyle name="40% - Accent5 7 4 3 2 4" xfId="32000" xr:uid="{1DEDCBBD-D3D6-4F9A-A203-32B8A80CFE44}"/>
    <cellStyle name="40% - Accent5 7 4 3 3" xfId="12561" xr:uid="{00000000-0005-0000-0000-0000104C0000}"/>
    <cellStyle name="40% - Accent5 7 4 3 3 2" xfId="36410" xr:uid="{7B94E22B-E817-4281-9421-4E80A1EDBD1E}"/>
    <cellStyle name="40% - Accent5 7 4 3 4" xfId="20516" xr:uid="{00000000-0005-0000-0000-0000114C0000}"/>
    <cellStyle name="40% - Accent5 7 4 3 4 2" xfId="44348" xr:uid="{D73BAE8A-FD20-4767-9002-4C11E4DE0C1F}"/>
    <cellStyle name="40% - Accent5 7 4 3 5" xfId="28469" xr:uid="{CF2AFF9C-A728-4E93-A999-E193AFEBDD12}"/>
    <cellStyle name="40% - Accent5 7 4 4" xfId="6367" xr:uid="{00000000-0005-0000-0000-0000124C0000}"/>
    <cellStyle name="40% - Accent5 7 4 4 2" xfId="14341" xr:uid="{00000000-0005-0000-0000-0000134C0000}"/>
    <cellStyle name="40% - Accent5 7 4 4 2 2" xfId="38183" xr:uid="{DE92FBEA-BDF1-49FE-A3FA-BD0A23B0BF1A}"/>
    <cellStyle name="40% - Accent5 7 4 4 3" xfId="22288" xr:uid="{00000000-0005-0000-0000-0000144C0000}"/>
    <cellStyle name="40% - Accent5 7 4 4 3 2" xfId="46120" xr:uid="{B6EE48EE-E85B-4A12-9DD2-4B75B56F3D6E}"/>
    <cellStyle name="40% - Accent5 7 4 4 4" xfId="30242" xr:uid="{8B33C824-F1AF-433A-B871-BDBE70F153FD}"/>
    <cellStyle name="40% - Accent5 7 4 5" xfId="9909" xr:uid="{00000000-0005-0000-0000-0000154C0000}"/>
    <cellStyle name="40% - Accent5 7 4 5 2" xfId="17867" xr:uid="{00000000-0005-0000-0000-0000164C0000}"/>
    <cellStyle name="40% - Accent5 7 4 5 2 2" xfId="41707" xr:uid="{55E1FF4C-3B03-4AC3-835E-1CAE718C5E71}"/>
    <cellStyle name="40% - Accent5 7 4 5 3" xfId="25811" xr:uid="{00000000-0005-0000-0000-0000174C0000}"/>
    <cellStyle name="40% - Accent5 7 4 5 3 2" xfId="49643" xr:uid="{A34C8B8B-947F-437B-83F0-093B4D37A8C0}"/>
    <cellStyle name="40% - Accent5 7 4 5 4" xfId="33766" xr:uid="{11A11AC0-716A-4D63-9E20-DC3450052CC2}"/>
    <cellStyle name="40% - Accent5 7 4 6" xfId="10805" xr:uid="{00000000-0005-0000-0000-0000184C0000}"/>
    <cellStyle name="40% - Accent5 7 4 6 2" xfId="34654" xr:uid="{2463CF3B-5F10-4877-A9AD-A1085E7B1E64}"/>
    <cellStyle name="40% - Accent5 7 4 7" xfId="18760" xr:uid="{00000000-0005-0000-0000-0000194C0000}"/>
    <cellStyle name="40% - Accent5 7 4 7 2" xfId="42592" xr:uid="{86DA159E-D7B8-4EA5-BE8E-0C5A30F98F01}"/>
    <cellStyle name="40% - Accent5 7 4 8" xfId="26712" xr:uid="{DEC67DC9-9C59-4A0A-A75D-3ACE7F42B113}"/>
    <cellStyle name="40% - Accent5 7 4_Exh G" xfId="3275" xr:uid="{00000000-0005-0000-0000-00001A4C0000}"/>
    <cellStyle name="40% - Accent5 7 5" xfId="1597" xr:uid="{00000000-0005-0000-0000-00001B4C0000}"/>
    <cellStyle name="40% - Accent5 7 5 2" xfId="5124" xr:uid="{00000000-0005-0000-0000-00001C4C0000}"/>
    <cellStyle name="40% - Accent5 7 5 2 2" xfId="8715" xr:uid="{00000000-0005-0000-0000-00001D4C0000}"/>
    <cellStyle name="40% - Accent5 7 5 2 2 2" xfId="16685" xr:uid="{00000000-0005-0000-0000-00001E4C0000}"/>
    <cellStyle name="40% - Accent5 7 5 2 2 2 2" xfId="40527" xr:uid="{CE3D706B-1C85-4511-A159-66B465FFA3DA}"/>
    <cellStyle name="40% - Accent5 7 5 2 2 3" xfId="24631" xr:uid="{00000000-0005-0000-0000-00001F4C0000}"/>
    <cellStyle name="40% - Accent5 7 5 2 2 3 2" xfId="48463" xr:uid="{7A713885-2298-4FEC-BE5A-2A87853A7CFD}"/>
    <cellStyle name="40% - Accent5 7 5 2 2 4" xfId="32586" xr:uid="{76E44652-578E-4F2C-8C6A-3B0D9D78D9DA}"/>
    <cellStyle name="40% - Accent5 7 5 2 3" xfId="13147" xr:uid="{00000000-0005-0000-0000-0000204C0000}"/>
    <cellStyle name="40% - Accent5 7 5 2 3 2" xfId="36996" xr:uid="{E90D59F1-4F23-44DE-B849-7CAFEC86B3A8}"/>
    <cellStyle name="40% - Accent5 7 5 2 4" xfId="21102" xr:uid="{00000000-0005-0000-0000-0000214C0000}"/>
    <cellStyle name="40% - Accent5 7 5 2 4 2" xfId="44934" xr:uid="{FDA61CDD-2E95-472E-A24F-286D622CD317}"/>
    <cellStyle name="40% - Accent5 7 5 2 5" xfId="29055" xr:uid="{1D88A39D-A87F-403B-9970-7FAF4EF4FE54}"/>
    <cellStyle name="40% - Accent5 7 5 3" xfId="6956" xr:uid="{00000000-0005-0000-0000-0000224C0000}"/>
    <cellStyle name="40% - Accent5 7 5 3 2" xfId="14927" xr:uid="{00000000-0005-0000-0000-0000234C0000}"/>
    <cellStyle name="40% - Accent5 7 5 3 2 2" xfId="38769" xr:uid="{5148E69B-FB35-4603-94C7-C9163F430C87}"/>
    <cellStyle name="40% - Accent5 7 5 3 3" xfId="22874" xr:uid="{00000000-0005-0000-0000-0000244C0000}"/>
    <cellStyle name="40% - Accent5 7 5 3 3 2" xfId="46706" xr:uid="{3B46DF2D-DB0D-46CB-859B-DADC8C4262FF}"/>
    <cellStyle name="40% - Accent5 7 5 3 4" xfId="30828" xr:uid="{DE2343B8-F3CE-4E0A-A5CD-9587EF565E7A}"/>
    <cellStyle name="40% - Accent5 7 5 4" xfId="11391" xr:uid="{00000000-0005-0000-0000-0000254C0000}"/>
    <cellStyle name="40% - Accent5 7 5 4 2" xfId="35240" xr:uid="{E82FDFD1-3789-48AF-A19A-E3B8D97F7AF2}"/>
    <cellStyle name="40% - Accent5 7 5 5" xfId="19346" xr:uid="{00000000-0005-0000-0000-0000264C0000}"/>
    <cellStyle name="40% - Accent5 7 5 5 2" xfId="43178" xr:uid="{B548BB7B-97FA-4BBC-850D-4F3FEA9E40D7}"/>
    <cellStyle name="40% - Accent5 7 5 6" xfId="27298" xr:uid="{EB8EB256-972E-444A-8081-A135EDC8E572}"/>
    <cellStyle name="40% - Accent5 7 5_Exh G" xfId="3277" xr:uid="{00000000-0005-0000-0000-0000274C0000}"/>
    <cellStyle name="40% - Accent5 7 6" xfId="4245" xr:uid="{00000000-0005-0000-0000-0000284C0000}"/>
    <cellStyle name="40% - Accent5 7 6 2" xfId="7837" xr:uid="{00000000-0005-0000-0000-0000294C0000}"/>
    <cellStyle name="40% - Accent5 7 6 2 2" xfId="15807" xr:uid="{00000000-0005-0000-0000-00002A4C0000}"/>
    <cellStyle name="40% - Accent5 7 6 2 2 2" xfId="39649" xr:uid="{6C7879E6-9938-4CD1-A279-14BECB7BA2A1}"/>
    <cellStyle name="40% - Accent5 7 6 2 3" xfId="23753" xr:uid="{00000000-0005-0000-0000-00002B4C0000}"/>
    <cellStyle name="40% - Accent5 7 6 2 3 2" xfId="47585" xr:uid="{5D5881DA-53B5-4886-AEA6-A89886ACB3F0}"/>
    <cellStyle name="40% - Accent5 7 6 2 4" xfId="31708" xr:uid="{DFC22F3F-D059-4F3A-86AE-934C765E27BD}"/>
    <cellStyle name="40% - Accent5 7 6 3" xfId="12269" xr:uid="{00000000-0005-0000-0000-00002C4C0000}"/>
    <cellStyle name="40% - Accent5 7 6 3 2" xfId="36118" xr:uid="{C67AD166-E83E-4E81-898A-AF84E02C027C}"/>
    <cellStyle name="40% - Accent5 7 6 4" xfId="20224" xr:uid="{00000000-0005-0000-0000-00002D4C0000}"/>
    <cellStyle name="40% - Accent5 7 6 4 2" xfId="44056" xr:uid="{DFA459B8-361E-4976-B07B-A580470B85FB}"/>
    <cellStyle name="40% - Accent5 7 6 5" xfId="28177" xr:uid="{DCFEBEBF-A86B-45EF-81DB-F859739843FB}"/>
    <cellStyle name="40% - Accent5 7 7" xfId="6065" xr:uid="{00000000-0005-0000-0000-00002E4C0000}"/>
    <cellStyle name="40% - Accent5 7 7 2" xfId="14048" xr:uid="{00000000-0005-0000-0000-00002F4C0000}"/>
    <cellStyle name="40% - Accent5 7 7 2 2" xfId="37891" xr:uid="{82273633-0BD3-463A-98CE-4C0C09EF3808}"/>
    <cellStyle name="40% - Accent5 7 7 3" xfId="21996" xr:uid="{00000000-0005-0000-0000-0000304C0000}"/>
    <cellStyle name="40% - Accent5 7 7 3 2" xfId="45828" xr:uid="{43082989-E892-4C37-9D52-C0A75B662620}"/>
    <cellStyle name="40% - Accent5 7 7 4" xfId="29950" xr:uid="{198FD816-E64E-49DE-8F54-3254A22BEB29}"/>
    <cellStyle name="40% - Accent5 7 8" xfId="9617" xr:uid="{00000000-0005-0000-0000-0000314C0000}"/>
    <cellStyle name="40% - Accent5 7 8 2" xfId="17575" xr:uid="{00000000-0005-0000-0000-0000324C0000}"/>
    <cellStyle name="40% - Accent5 7 8 2 2" xfId="41415" xr:uid="{A6D19509-2CC8-4683-BBCF-74B8065095D0}"/>
    <cellStyle name="40% - Accent5 7 8 3" xfId="25519" xr:uid="{00000000-0005-0000-0000-0000334C0000}"/>
    <cellStyle name="40% - Accent5 7 8 3 2" xfId="49351" xr:uid="{9FAF391E-AC9E-4B7B-9C42-A8101A8B9F08}"/>
    <cellStyle name="40% - Accent5 7 8 4" xfId="33474" xr:uid="{190FE69E-DE43-44C1-9B10-F66B3DBE91D9}"/>
    <cellStyle name="40% - Accent5 7 9" xfId="10513" xr:uid="{00000000-0005-0000-0000-0000344C0000}"/>
    <cellStyle name="40% - Accent5 7 9 2" xfId="34362" xr:uid="{9AB2B685-FBF4-4CDE-B1B5-A9336C63FBE5}"/>
    <cellStyle name="40% - Accent5 7_Exh G" xfId="3268" xr:uid="{00000000-0005-0000-0000-0000354C0000}"/>
    <cellStyle name="40% - Accent5 8" xfId="575" xr:uid="{00000000-0005-0000-0000-0000364C0000}"/>
    <cellStyle name="40% - Accent5 8 10" xfId="18472" xr:uid="{00000000-0005-0000-0000-0000374C0000}"/>
    <cellStyle name="40% - Accent5 8 10 2" xfId="42304" xr:uid="{84CC0F5E-5D86-42B5-B184-50FDFF073F0B}"/>
    <cellStyle name="40% - Accent5 8 11" xfId="26424" xr:uid="{60A65F71-40FA-46F3-A5EA-C6633B87866F}"/>
    <cellStyle name="40% - Accent5 8 2" xfId="576" xr:uid="{00000000-0005-0000-0000-0000384C0000}"/>
    <cellStyle name="40% - Accent5 8 2 2" xfId="577" xr:uid="{00000000-0005-0000-0000-0000394C0000}"/>
    <cellStyle name="40% - Accent5 8 2 2 2" xfId="1603" xr:uid="{00000000-0005-0000-0000-00003A4C0000}"/>
    <cellStyle name="40% - Accent5 8 2 2 2 2" xfId="5130" xr:uid="{00000000-0005-0000-0000-00003B4C0000}"/>
    <cellStyle name="40% - Accent5 8 2 2 2 2 2" xfId="8721" xr:uid="{00000000-0005-0000-0000-00003C4C0000}"/>
    <cellStyle name="40% - Accent5 8 2 2 2 2 2 2" xfId="16691" xr:uid="{00000000-0005-0000-0000-00003D4C0000}"/>
    <cellStyle name="40% - Accent5 8 2 2 2 2 2 2 2" xfId="40533" xr:uid="{97F3D30F-9E37-4986-BD52-05AB87276322}"/>
    <cellStyle name="40% - Accent5 8 2 2 2 2 2 3" xfId="24637" xr:uid="{00000000-0005-0000-0000-00003E4C0000}"/>
    <cellStyle name="40% - Accent5 8 2 2 2 2 2 3 2" xfId="48469" xr:uid="{B91384B1-BB70-4C83-A401-C94B71DC25CD}"/>
    <cellStyle name="40% - Accent5 8 2 2 2 2 2 4" xfId="32592" xr:uid="{7624EE9E-BCD1-4231-BF9F-0A6D44588D9F}"/>
    <cellStyle name="40% - Accent5 8 2 2 2 2 3" xfId="13153" xr:uid="{00000000-0005-0000-0000-00003F4C0000}"/>
    <cellStyle name="40% - Accent5 8 2 2 2 2 3 2" xfId="37002" xr:uid="{08ADCFFB-DA4E-4575-851C-2B19A1318B5B}"/>
    <cellStyle name="40% - Accent5 8 2 2 2 2 4" xfId="21108" xr:uid="{00000000-0005-0000-0000-0000404C0000}"/>
    <cellStyle name="40% - Accent5 8 2 2 2 2 4 2" xfId="44940" xr:uid="{B4BBF208-682A-4CC9-8801-29350ABB3CA2}"/>
    <cellStyle name="40% - Accent5 8 2 2 2 2 5" xfId="29061" xr:uid="{3719385B-FC86-4DCF-BE9B-2B92D86B7029}"/>
    <cellStyle name="40% - Accent5 8 2 2 2 3" xfId="6962" xr:uid="{00000000-0005-0000-0000-0000414C0000}"/>
    <cellStyle name="40% - Accent5 8 2 2 2 3 2" xfId="14933" xr:uid="{00000000-0005-0000-0000-0000424C0000}"/>
    <cellStyle name="40% - Accent5 8 2 2 2 3 2 2" xfId="38775" xr:uid="{C7461522-CB8C-486B-B7EE-EF51F34B189A}"/>
    <cellStyle name="40% - Accent5 8 2 2 2 3 3" xfId="22880" xr:uid="{00000000-0005-0000-0000-0000434C0000}"/>
    <cellStyle name="40% - Accent5 8 2 2 2 3 3 2" xfId="46712" xr:uid="{11AD8314-A783-4D51-897E-984404F633D3}"/>
    <cellStyle name="40% - Accent5 8 2 2 2 3 4" xfId="30834" xr:uid="{48D06511-4559-446D-BF92-2380804D5C8B}"/>
    <cellStyle name="40% - Accent5 8 2 2 2 4" xfId="11397" xr:uid="{00000000-0005-0000-0000-0000444C0000}"/>
    <cellStyle name="40% - Accent5 8 2 2 2 4 2" xfId="35246" xr:uid="{37DAE65C-C0B2-4FDA-90B7-78F6A1894B36}"/>
    <cellStyle name="40% - Accent5 8 2 2 2 5" xfId="19352" xr:uid="{00000000-0005-0000-0000-0000454C0000}"/>
    <cellStyle name="40% - Accent5 8 2 2 2 5 2" xfId="43184" xr:uid="{F8DBC2AE-0BCA-45F4-9B46-3B07B1A76426}"/>
    <cellStyle name="40% - Accent5 8 2 2 2 6" xfId="27304" xr:uid="{35EDC5FD-C9BD-4752-89B7-ADDB9DD42047}"/>
    <cellStyle name="40% - Accent5 8 2 2 2_Exh G" xfId="3281" xr:uid="{00000000-0005-0000-0000-0000464C0000}"/>
    <cellStyle name="40% - Accent5 8 2 2 3" xfId="4251" xr:uid="{00000000-0005-0000-0000-0000474C0000}"/>
    <cellStyle name="40% - Accent5 8 2 2 3 2" xfId="7843" xr:uid="{00000000-0005-0000-0000-0000484C0000}"/>
    <cellStyle name="40% - Accent5 8 2 2 3 2 2" xfId="15813" xr:uid="{00000000-0005-0000-0000-0000494C0000}"/>
    <cellStyle name="40% - Accent5 8 2 2 3 2 2 2" xfId="39655" xr:uid="{6A1830E2-BAF4-411D-B745-6C5D65335379}"/>
    <cellStyle name="40% - Accent5 8 2 2 3 2 3" xfId="23759" xr:uid="{00000000-0005-0000-0000-00004A4C0000}"/>
    <cellStyle name="40% - Accent5 8 2 2 3 2 3 2" xfId="47591" xr:uid="{1BB30CA1-81CD-4D77-B2E0-FB8D0DAD00EF}"/>
    <cellStyle name="40% - Accent5 8 2 2 3 2 4" xfId="31714" xr:uid="{955233CC-6DEF-4D4F-8468-7C5143072C12}"/>
    <cellStyle name="40% - Accent5 8 2 2 3 3" xfId="12275" xr:uid="{00000000-0005-0000-0000-00004B4C0000}"/>
    <cellStyle name="40% - Accent5 8 2 2 3 3 2" xfId="36124" xr:uid="{27247FC9-7BEE-49E9-BA58-4BD4D25588FB}"/>
    <cellStyle name="40% - Accent5 8 2 2 3 4" xfId="20230" xr:uid="{00000000-0005-0000-0000-00004C4C0000}"/>
    <cellStyle name="40% - Accent5 8 2 2 3 4 2" xfId="44062" xr:uid="{881C498B-09F0-4F62-B2CB-0E700DA21C14}"/>
    <cellStyle name="40% - Accent5 8 2 2 3 5" xfId="28183" xr:uid="{4A72D6D1-59A5-4293-8D8B-29B253AD225D}"/>
    <cellStyle name="40% - Accent5 8 2 2 4" xfId="6071" xr:uid="{00000000-0005-0000-0000-00004D4C0000}"/>
    <cellStyle name="40% - Accent5 8 2 2 4 2" xfId="14054" xr:uid="{00000000-0005-0000-0000-00004E4C0000}"/>
    <cellStyle name="40% - Accent5 8 2 2 4 2 2" xfId="37897" xr:uid="{34279685-9D08-4F76-9917-F5BFFAF4A8BE}"/>
    <cellStyle name="40% - Accent5 8 2 2 4 3" xfId="22002" xr:uid="{00000000-0005-0000-0000-00004F4C0000}"/>
    <cellStyle name="40% - Accent5 8 2 2 4 3 2" xfId="45834" xr:uid="{944E6662-C259-46DC-B12B-4C2735169DA3}"/>
    <cellStyle name="40% - Accent5 8 2 2 4 4" xfId="29956" xr:uid="{3FF91488-50B7-4C33-B80B-5D58E413B417}"/>
    <cellStyle name="40% - Accent5 8 2 2 5" xfId="9623" xr:uid="{00000000-0005-0000-0000-0000504C0000}"/>
    <cellStyle name="40% - Accent5 8 2 2 5 2" xfId="17581" xr:uid="{00000000-0005-0000-0000-0000514C0000}"/>
    <cellStyle name="40% - Accent5 8 2 2 5 2 2" xfId="41421" xr:uid="{A7BA8D11-29A6-4907-91E3-2FF508B6504B}"/>
    <cellStyle name="40% - Accent5 8 2 2 5 3" xfId="25525" xr:uid="{00000000-0005-0000-0000-0000524C0000}"/>
    <cellStyle name="40% - Accent5 8 2 2 5 3 2" xfId="49357" xr:uid="{C1F29BD9-71A8-4DE2-AE04-2E394328BE6A}"/>
    <cellStyle name="40% - Accent5 8 2 2 5 4" xfId="33480" xr:uid="{65052A5E-D2C1-4F77-BD18-88FDC8C9F3B1}"/>
    <cellStyle name="40% - Accent5 8 2 2 6" xfId="10519" xr:uid="{00000000-0005-0000-0000-0000534C0000}"/>
    <cellStyle name="40% - Accent5 8 2 2 6 2" xfId="34368" xr:uid="{2E13C159-ED25-47C7-9CD9-C2BBB22A614B}"/>
    <cellStyle name="40% - Accent5 8 2 2 7" xfId="18474" xr:uid="{00000000-0005-0000-0000-0000544C0000}"/>
    <cellStyle name="40% - Accent5 8 2 2 7 2" xfId="42306" xr:uid="{F95943D4-68EE-44D0-9865-6002279EAE2F}"/>
    <cellStyle name="40% - Accent5 8 2 2 8" xfId="26426" xr:uid="{D5C74E87-C2E7-4491-8F8E-4636C232BB39}"/>
    <cellStyle name="40% - Accent5 8 2 2_Exh G" xfId="3280" xr:uid="{00000000-0005-0000-0000-0000554C0000}"/>
    <cellStyle name="40% - Accent5 8 2 3" xfId="1602" xr:uid="{00000000-0005-0000-0000-0000564C0000}"/>
    <cellStyle name="40% - Accent5 8 2 3 2" xfId="5129" xr:uid="{00000000-0005-0000-0000-0000574C0000}"/>
    <cellStyle name="40% - Accent5 8 2 3 2 2" xfId="8720" xr:uid="{00000000-0005-0000-0000-0000584C0000}"/>
    <cellStyle name="40% - Accent5 8 2 3 2 2 2" xfId="16690" xr:uid="{00000000-0005-0000-0000-0000594C0000}"/>
    <cellStyle name="40% - Accent5 8 2 3 2 2 2 2" xfId="40532" xr:uid="{C7CDF7BA-C6B4-4051-BFCE-1B154BCCC4DA}"/>
    <cellStyle name="40% - Accent5 8 2 3 2 2 3" xfId="24636" xr:uid="{00000000-0005-0000-0000-00005A4C0000}"/>
    <cellStyle name="40% - Accent5 8 2 3 2 2 3 2" xfId="48468" xr:uid="{C7C96FBE-48F1-4FC2-B3B3-7839A294882D}"/>
    <cellStyle name="40% - Accent5 8 2 3 2 2 4" xfId="32591" xr:uid="{12B3D5D5-D856-46C0-8FAA-06A3C7002057}"/>
    <cellStyle name="40% - Accent5 8 2 3 2 3" xfId="13152" xr:uid="{00000000-0005-0000-0000-00005B4C0000}"/>
    <cellStyle name="40% - Accent5 8 2 3 2 3 2" xfId="37001" xr:uid="{E6AE5D99-300A-4B44-BAF8-0A1414E69D6D}"/>
    <cellStyle name="40% - Accent5 8 2 3 2 4" xfId="21107" xr:uid="{00000000-0005-0000-0000-00005C4C0000}"/>
    <cellStyle name="40% - Accent5 8 2 3 2 4 2" xfId="44939" xr:uid="{7C734206-B1F6-4F5E-B05F-BE70C8B86501}"/>
    <cellStyle name="40% - Accent5 8 2 3 2 5" xfId="29060" xr:uid="{77F85809-2032-4D0C-9CBC-8E7DC07893DF}"/>
    <cellStyle name="40% - Accent5 8 2 3 3" xfId="6961" xr:uid="{00000000-0005-0000-0000-00005D4C0000}"/>
    <cellStyle name="40% - Accent5 8 2 3 3 2" xfId="14932" xr:uid="{00000000-0005-0000-0000-00005E4C0000}"/>
    <cellStyle name="40% - Accent5 8 2 3 3 2 2" xfId="38774" xr:uid="{3ECCE71D-13E4-4226-822E-9EFC4DB53C24}"/>
    <cellStyle name="40% - Accent5 8 2 3 3 3" xfId="22879" xr:uid="{00000000-0005-0000-0000-00005F4C0000}"/>
    <cellStyle name="40% - Accent5 8 2 3 3 3 2" xfId="46711" xr:uid="{56815E90-B271-4DDF-8EDF-58F7B32000DC}"/>
    <cellStyle name="40% - Accent5 8 2 3 3 4" xfId="30833" xr:uid="{CDB73BCC-0D4E-4FA5-838B-FC4A7A2DA40A}"/>
    <cellStyle name="40% - Accent5 8 2 3 4" xfId="11396" xr:uid="{00000000-0005-0000-0000-0000604C0000}"/>
    <cellStyle name="40% - Accent5 8 2 3 4 2" xfId="35245" xr:uid="{1D003E76-5CAA-4309-8CC4-199C67B11E30}"/>
    <cellStyle name="40% - Accent5 8 2 3 5" xfId="19351" xr:uid="{00000000-0005-0000-0000-0000614C0000}"/>
    <cellStyle name="40% - Accent5 8 2 3 5 2" xfId="43183" xr:uid="{612FD2DD-B8E8-49A4-9168-AE183CBE0CBF}"/>
    <cellStyle name="40% - Accent5 8 2 3 6" xfId="27303" xr:uid="{A00E036C-25A3-4235-8364-560D6C0C184C}"/>
    <cellStyle name="40% - Accent5 8 2 3_Exh G" xfId="3282" xr:uid="{00000000-0005-0000-0000-0000624C0000}"/>
    <cellStyle name="40% - Accent5 8 2 4" xfId="4250" xr:uid="{00000000-0005-0000-0000-0000634C0000}"/>
    <cellStyle name="40% - Accent5 8 2 4 2" xfId="7842" xr:uid="{00000000-0005-0000-0000-0000644C0000}"/>
    <cellStyle name="40% - Accent5 8 2 4 2 2" xfId="15812" xr:uid="{00000000-0005-0000-0000-0000654C0000}"/>
    <cellStyle name="40% - Accent5 8 2 4 2 2 2" xfId="39654" xr:uid="{370D60E1-EA86-43EF-B453-A06E95B005E7}"/>
    <cellStyle name="40% - Accent5 8 2 4 2 3" xfId="23758" xr:uid="{00000000-0005-0000-0000-0000664C0000}"/>
    <cellStyle name="40% - Accent5 8 2 4 2 3 2" xfId="47590" xr:uid="{8B13B014-0630-4415-AF31-665E9E72E486}"/>
    <cellStyle name="40% - Accent5 8 2 4 2 4" xfId="31713" xr:uid="{FC0851B2-E2DC-4A08-9AB8-ADFA911E601E}"/>
    <cellStyle name="40% - Accent5 8 2 4 3" xfId="12274" xr:uid="{00000000-0005-0000-0000-0000674C0000}"/>
    <cellStyle name="40% - Accent5 8 2 4 3 2" xfId="36123" xr:uid="{FCDE0E4F-A96A-4DDB-AEFF-D7467AAD77AD}"/>
    <cellStyle name="40% - Accent5 8 2 4 4" xfId="20229" xr:uid="{00000000-0005-0000-0000-0000684C0000}"/>
    <cellStyle name="40% - Accent5 8 2 4 4 2" xfId="44061" xr:uid="{111AF880-7B7A-4812-AFC6-DC504A43B07E}"/>
    <cellStyle name="40% - Accent5 8 2 4 5" xfId="28182" xr:uid="{90F3B8DA-8A1D-4FE4-B41C-F698A7A4C543}"/>
    <cellStyle name="40% - Accent5 8 2 5" xfId="6070" xr:uid="{00000000-0005-0000-0000-0000694C0000}"/>
    <cellStyle name="40% - Accent5 8 2 5 2" xfId="14053" xr:uid="{00000000-0005-0000-0000-00006A4C0000}"/>
    <cellStyle name="40% - Accent5 8 2 5 2 2" xfId="37896" xr:uid="{BB4353C2-AD78-473B-86D9-B85FA1514292}"/>
    <cellStyle name="40% - Accent5 8 2 5 3" xfId="22001" xr:uid="{00000000-0005-0000-0000-00006B4C0000}"/>
    <cellStyle name="40% - Accent5 8 2 5 3 2" xfId="45833" xr:uid="{3D1125F2-FF39-4ECF-A5AD-3E8419D2909B}"/>
    <cellStyle name="40% - Accent5 8 2 5 4" xfId="29955" xr:uid="{0E6B0BE5-A3D6-4B39-8AB9-EB5EEA0C373E}"/>
    <cellStyle name="40% - Accent5 8 2 6" xfId="9622" xr:uid="{00000000-0005-0000-0000-00006C4C0000}"/>
    <cellStyle name="40% - Accent5 8 2 6 2" xfId="17580" xr:uid="{00000000-0005-0000-0000-00006D4C0000}"/>
    <cellStyle name="40% - Accent5 8 2 6 2 2" xfId="41420" xr:uid="{4B216589-6275-4ACB-BB87-B080A6ACA85B}"/>
    <cellStyle name="40% - Accent5 8 2 6 3" xfId="25524" xr:uid="{00000000-0005-0000-0000-00006E4C0000}"/>
    <cellStyle name="40% - Accent5 8 2 6 3 2" xfId="49356" xr:uid="{2D8EF267-8B32-4B4C-8479-FF9AAD384472}"/>
    <cellStyle name="40% - Accent5 8 2 6 4" xfId="33479" xr:uid="{DD177052-FBC7-45BC-BF9D-27F553A32BEF}"/>
    <cellStyle name="40% - Accent5 8 2 7" xfId="10518" xr:uid="{00000000-0005-0000-0000-00006F4C0000}"/>
    <cellStyle name="40% - Accent5 8 2 7 2" xfId="34367" xr:uid="{BB79B618-FD78-4EE1-AC1A-85724409196E}"/>
    <cellStyle name="40% - Accent5 8 2 8" xfId="18473" xr:uid="{00000000-0005-0000-0000-0000704C0000}"/>
    <cellStyle name="40% - Accent5 8 2 8 2" xfId="42305" xr:uid="{588421D4-7A33-4966-9084-50C76626CD09}"/>
    <cellStyle name="40% - Accent5 8 2 9" xfId="26425" xr:uid="{A98B3D34-029D-45FE-A167-CC802CDD0D06}"/>
    <cellStyle name="40% - Accent5 8 2_Exh G" xfId="3279" xr:uid="{00000000-0005-0000-0000-0000714C0000}"/>
    <cellStyle name="40% - Accent5 8 3" xfId="578" xr:uid="{00000000-0005-0000-0000-0000724C0000}"/>
    <cellStyle name="40% - Accent5 8 3 2" xfId="1604" xr:uid="{00000000-0005-0000-0000-0000734C0000}"/>
    <cellStyle name="40% - Accent5 8 3 2 2" xfId="5131" xr:uid="{00000000-0005-0000-0000-0000744C0000}"/>
    <cellStyle name="40% - Accent5 8 3 2 2 2" xfId="8722" xr:uid="{00000000-0005-0000-0000-0000754C0000}"/>
    <cellStyle name="40% - Accent5 8 3 2 2 2 2" xfId="16692" xr:uid="{00000000-0005-0000-0000-0000764C0000}"/>
    <cellStyle name="40% - Accent5 8 3 2 2 2 2 2" xfId="40534" xr:uid="{61EB7B7C-C820-415F-B42E-F734DE9B120E}"/>
    <cellStyle name="40% - Accent5 8 3 2 2 2 3" xfId="24638" xr:uid="{00000000-0005-0000-0000-0000774C0000}"/>
    <cellStyle name="40% - Accent5 8 3 2 2 2 3 2" xfId="48470" xr:uid="{2D7FE4C4-C4EF-4426-AC5A-F78D41162547}"/>
    <cellStyle name="40% - Accent5 8 3 2 2 2 4" xfId="32593" xr:uid="{54E19C36-44DA-407D-8F5C-F31062D21FE6}"/>
    <cellStyle name="40% - Accent5 8 3 2 2 3" xfId="13154" xr:uid="{00000000-0005-0000-0000-0000784C0000}"/>
    <cellStyle name="40% - Accent5 8 3 2 2 3 2" xfId="37003" xr:uid="{AF4CE46F-DF98-4724-90B7-451EEA8628F8}"/>
    <cellStyle name="40% - Accent5 8 3 2 2 4" xfId="21109" xr:uid="{00000000-0005-0000-0000-0000794C0000}"/>
    <cellStyle name="40% - Accent5 8 3 2 2 4 2" xfId="44941" xr:uid="{72B0D7F7-476B-436F-A92F-39CE868A15FD}"/>
    <cellStyle name="40% - Accent5 8 3 2 2 5" xfId="29062" xr:uid="{44FF03CE-2EA4-4478-BA17-90D77A9AC006}"/>
    <cellStyle name="40% - Accent5 8 3 2 3" xfId="6963" xr:uid="{00000000-0005-0000-0000-00007A4C0000}"/>
    <cellStyle name="40% - Accent5 8 3 2 3 2" xfId="14934" xr:uid="{00000000-0005-0000-0000-00007B4C0000}"/>
    <cellStyle name="40% - Accent5 8 3 2 3 2 2" xfId="38776" xr:uid="{38050A85-A80E-4648-B70F-9875E75F92E4}"/>
    <cellStyle name="40% - Accent5 8 3 2 3 3" xfId="22881" xr:uid="{00000000-0005-0000-0000-00007C4C0000}"/>
    <cellStyle name="40% - Accent5 8 3 2 3 3 2" xfId="46713" xr:uid="{058A7CFE-07B4-49C7-B1CE-EF40B86F5E1F}"/>
    <cellStyle name="40% - Accent5 8 3 2 3 4" xfId="30835" xr:uid="{BA90799E-B5A8-405B-A1F8-175D09041219}"/>
    <cellStyle name="40% - Accent5 8 3 2 4" xfId="11398" xr:uid="{00000000-0005-0000-0000-00007D4C0000}"/>
    <cellStyle name="40% - Accent5 8 3 2 4 2" xfId="35247" xr:uid="{2853AD38-E001-4CDA-A26E-2C38ADA52F10}"/>
    <cellStyle name="40% - Accent5 8 3 2 5" xfId="19353" xr:uid="{00000000-0005-0000-0000-00007E4C0000}"/>
    <cellStyle name="40% - Accent5 8 3 2 5 2" xfId="43185" xr:uid="{7557118B-1CCB-4EC2-A9BF-554CF879A654}"/>
    <cellStyle name="40% - Accent5 8 3 2 6" xfId="27305" xr:uid="{CBEA79C5-16D4-4D3C-864A-46EB504B7BFC}"/>
    <cellStyle name="40% - Accent5 8 3 2_Exh G" xfId="3284" xr:uid="{00000000-0005-0000-0000-00007F4C0000}"/>
    <cellStyle name="40% - Accent5 8 3 3" xfId="4252" xr:uid="{00000000-0005-0000-0000-0000804C0000}"/>
    <cellStyle name="40% - Accent5 8 3 3 2" xfId="7844" xr:uid="{00000000-0005-0000-0000-0000814C0000}"/>
    <cellStyle name="40% - Accent5 8 3 3 2 2" xfId="15814" xr:uid="{00000000-0005-0000-0000-0000824C0000}"/>
    <cellStyle name="40% - Accent5 8 3 3 2 2 2" xfId="39656" xr:uid="{8285E2DE-94AA-4C6F-A355-2A8202A2270A}"/>
    <cellStyle name="40% - Accent5 8 3 3 2 3" xfId="23760" xr:uid="{00000000-0005-0000-0000-0000834C0000}"/>
    <cellStyle name="40% - Accent5 8 3 3 2 3 2" xfId="47592" xr:uid="{AC3C77D0-C445-4284-B3B0-1388745EF1EF}"/>
    <cellStyle name="40% - Accent5 8 3 3 2 4" xfId="31715" xr:uid="{72A75011-BBEF-4631-906F-A233B2FE5F24}"/>
    <cellStyle name="40% - Accent5 8 3 3 3" xfId="12276" xr:uid="{00000000-0005-0000-0000-0000844C0000}"/>
    <cellStyle name="40% - Accent5 8 3 3 3 2" xfId="36125" xr:uid="{F1D8DF13-E9F7-41A2-BDF1-BABDCDEB877A}"/>
    <cellStyle name="40% - Accent5 8 3 3 4" xfId="20231" xr:uid="{00000000-0005-0000-0000-0000854C0000}"/>
    <cellStyle name="40% - Accent5 8 3 3 4 2" xfId="44063" xr:uid="{89911F81-5985-4A52-B5DA-BCF12202D42A}"/>
    <cellStyle name="40% - Accent5 8 3 3 5" xfId="28184" xr:uid="{B80BF7C8-476B-4938-ADE4-B495EE7BAE3D}"/>
    <cellStyle name="40% - Accent5 8 3 4" xfId="6072" xr:uid="{00000000-0005-0000-0000-0000864C0000}"/>
    <cellStyle name="40% - Accent5 8 3 4 2" xfId="14055" xr:uid="{00000000-0005-0000-0000-0000874C0000}"/>
    <cellStyle name="40% - Accent5 8 3 4 2 2" xfId="37898" xr:uid="{57B95608-6330-4D29-8FC9-E1F6A071C1DC}"/>
    <cellStyle name="40% - Accent5 8 3 4 3" xfId="22003" xr:uid="{00000000-0005-0000-0000-0000884C0000}"/>
    <cellStyle name="40% - Accent5 8 3 4 3 2" xfId="45835" xr:uid="{060F0FC5-85A0-4088-8C47-943A71993961}"/>
    <cellStyle name="40% - Accent5 8 3 4 4" xfId="29957" xr:uid="{3324FF22-AAA5-4045-8169-A441CCCBBF5A}"/>
    <cellStyle name="40% - Accent5 8 3 5" xfId="9624" xr:uid="{00000000-0005-0000-0000-0000894C0000}"/>
    <cellStyle name="40% - Accent5 8 3 5 2" xfId="17582" xr:uid="{00000000-0005-0000-0000-00008A4C0000}"/>
    <cellStyle name="40% - Accent5 8 3 5 2 2" xfId="41422" xr:uid="{68E190ED-27D8-420E-859B-54C91CAC4186}"/>
    <cellStyle name="40% - Accent5 8 3 5 3" xfId="25526" xr:uid="{00000000-0005-0000-0000-00008B4C0000}"/>
    <cellStyle name="40% - Accent5 8 3 5 3 2" xfId="49358" xr:uid="{4013EB64-5B2A-42CC-837B-5582797D9C70}"/>
    <cellStyle name="40% - Accent5 8 3 5 4" xfId="33481" xr:uid="{AD790205-7D0B-49A7-97CF-A32928FDB5EF}"/>
    <cellStyle name="40% - Accent5 8 3 6" xfId="10520" xr:uid="{00000000-0005-0000-0000-00008C4C0000}"/>
    <cellStyle name="40% - Accent5 8 3 6 2" xfId="34369" xr:uid="{A314C168-303E-40BD-BE04-C6EB8D6B384F}"/>
    <cellStyle name="40% - Accent5 8 3 7" xfId="18475" xr:uid="{00000000-0005-0000-0000-00008D4C0000}"/>
    <cellStyle name="40% - Accent5 8 3 7 2" xfId="42307" xr:uid="{1707AA22-ADD6-4E8D-A468-8F4282AA29DA}"/>
    <cellStyle name="40% - Accent5 8 3 8" xfId="26427" xr:uid="{E61A8FF0-71D6-4A1B-A940-B09C0A521DFF}"/>
    <cellStyle name="40% - Accent5 8 3_Exh G" xfId="3283" xr:uid="{00000000-0005-0000-0000-00008E4C0000}"/>
    <cellStyle name="40% - Accent5 8 4" xfId="989" xr:uid="{00000000-0005-0000-0000-00008F4C0000}"/>
    <cellStyle name="40% - Accent5 8 4 2" xfId="1900" xr:uid="{00000000-0005-0000-0000-0000904C0000}"/>
    <cellStyle name="40% - Accent5 8 4 2 2" xfId="5417" xr:uid="{00000000-0005-0000-0000-0000914C0000}"/>
    <cellStyle name="40% - Accent5 8 4 2 2 2" xfId="9008" xr:uid="{00000000-0005-0000-0000-0000924C0000}"/>
    <cellStyle name="40% - Accent5 8 4 2 2 2 2" xfId="16978" xr:uid="{00000000-0005-0000-0000-0000934C0000}"/>
    <cellStyle name="40% - Accent5 8 4 2 2 2 2 2" xfId="40820" xr:uid="{7B96839B-E72A-4FA8-A593-AD83F0305E28}"/>
    <cellStyle name="40% - Accent5 8 4 2 2 2 3" xfId="24924" xr:uid="{00000000-0005-0000-0000-0000944C0000}"/>
    <cellStyle name="40% - Accent5 8 4 2 2 2 3 2" xfId="48756" xr:uid="{10E64564-58A7-4A32-86A0-58E517973BA5}"/>
    <cellStyle name="40% - Accent5 8 4 2 2 2 4" xfId="32879" xr:uid="{B49A00A7-1F37-49F7-B631-98E7E3864AEB}"/>
    <cellStyle name="40% - Accent5 8 4 2 2 3" xfId="13440" xr:uid="{00000000-0005-0000-0000-0000954C0000}"/>
    <cellStyle name="40% - Accent5 8 4 2 2 3 2" xfId="37289" xr:uid="{C557618A-1A70-4463-B225-F8B4A8D7708E}"/>
    <cellStyle name="40% - Accent5 8 4 2 2 4" xfId="21395" xr:uid="{00000000-0005-0000-0000-0000964C0000}"/>
    <cellStyle name="40% - Accent5 8 4 2 2 4 2" xfId="45227" xr:uid="{4CCEAAAE-61EB-4B29-877A-BD0CEFA66483}"/>
    <cellStyle name="40% - Accent5 8 4 2 2 5" xfId="29348" xr:uid="{26B1AD32-3AEB-4591-8E4D-BAA992ECF093}"/>
    <cellStyle name="40% - Accent5 8 4 2 3" xfId="7249" xr:uid="{00000000-0005-0000-0000-0000974C0000}"/>
    <cellStyle name="40% - Accent5 8 4 2 3 2" xfId="15220" xr:uid="{00000000-0005-0000-0000-0000984C0000}"/>
    <cellStyle name="40% - Accent5 8 4 2 3 2 2" xfId="39062" xr:uid="{77CD83DB-730D-451F-85CC-7CE9913B3A30}"/>
    <cellStyle name="40% - Accent5 8 4 2 3 3" xfId="23167" xr:uid="{00000000-0005-0000-0000-0000994C0000}"/>
    <cellStyle name="40% - Accent5 8 4 2 3 3 2" xfId="46999" xr:uid="{8A80DAD3-EF6E-4ABD-8406-94B87057C35C}"/>
    <cellStyle name="40% - Accent5 8 4 2 3 4" xfId="31121" xr:uid="{D247CC58-A1E6-47F0-821D-E0660CA08B04}"/>
    <cellStyle name="40% - Accent5 8 4 2 4" xfId="11684" xr:uid="{00000000-0005-0000-0000-00009A4C0000}"/>
    <cellStyle name="40% - Accent5 8 4 2 4 2" xfId="35533" xr:uid="{3BE4E5B2-1262-4438-8C5B-CEC17EE6529E}"/>
    <cellStyle name="40% - Accent5 8 4 2 5" xfId="19639" xr:uid="{00000000-0005-0000-0000-00009B4C0000}"/>
    <cellStyle name="40% - Accent5 8 4 2 5 2" xfId="43471" xr:uid="{CF33FA03-856D-496D-8993-2D1D79CD0CA9}"/>
    <cellStyle name="40% - Accent5 8 4 2 6" xfId="27591" xr:uid="{C49B448A-4E4E-4558-BA9F-190B2677F3FC}"/>
    <cellStyle name="40% - Accent5 8 4 2_Exh G" xfId="3286" xr:uid="{00000000-0005-0000-0000-00009C4C0000}"/>
    <cellStyle name="40% - Accent5 8 4 3" xfId="4538" xr:uid="{00000000-0005-0000-0000-00009D4C0000}"/>
    <cellStyle name="40% - Accent5 8 4 3 2" xfId="8130" xr:uid="{00000000-0005-0000-0000-00009E4C0000}"/>
    <cellStyle name="40% - Accent5 8 4 3 2 2" xfId="16100" xr:uid="{00000000-0005-0000-0000-00009F4C0000}"/>
    <cellStyle name="40% - Accent5 8 4 3 2 2 2" xfId="39942" xr:uid="{29794F70-F969-4B59-A049-38F1E9E411E2}"/>
    <cellStyle name="40% - Accent5 8 4 3 2 3" xfId="24046" xr:uid="{00000000-0005-0000-0000-0000A04C0000}"/>
    <cellStyle name="40% - Accent5 8 4 3 2 3 2" xfId="47878" xr:uid="{BCEFEAB0-916B-4F64-8AF4-1A3E3355DF10}"/>
    <cellStyle name="40% - Accent5 8 4 3 2 4" xfId="32001" xr:uid="{0F356E40-D670-498B-9837-9973752B7533}"/>
    <cellStyle name="40% - Accent5 8 4 3 3" xfId="12562" xr:uid="{00000000-0005-0000-0000-0000A14C0000}"/>
    <cellStyle name="40% - Accent5 8 4 3 3 2" xfId="36411" xr:uid="{F41D700C-7CB7-487B-B7F1-FFE8D902D7C1}"/>
    <cellStyle name="40% - Accent5 8 4 3 4" xfId="20517" xr:uid="{00000000-0005-0000-0000-0000A24C0000}"/>
    <cellStyle name="40% - Accent5 8 4 3 4 2" xfId="44349" xr:uid="{47409FDC-A49F-47BA-B2D5-CB8D1725FAE6}"/>
    <cellStyle name="40% - Accent5 8 4 3 5" xfId="28470" xr:uid="{5500EF1A-1272-4589-BEB5-7D96A3E3C500}"/>
    <cellStyle name="40% - Accent5 8 4 4" xfId="6368" xr:uid="{00000000-0005-0000-0000-0000A34C0000}"/>
    <cellStyle name="40% - Accent5 8 4 4 2" xfId="14342" xr:uid="{00000000-0005-0000-0000-0000A44C0000}"/>
    <cellStyle name="40% - Accent5 8 4 4 2 2" xfId="38184" xr:uid="{D3588784-4B1C-4907-BF19-E3FB4C5A0B3D}"/>
    <cellStyle name="40% - Accent5 8 4 4 3" xfId="22289" xr:uid="{00000000-0005-0000-0000-0000A54C0000}"/>
    <cellStyle name="40% - Accent5 8 4 4 3 2" xfId="46121" xr:uid="{868E1C3C-C018-4371-9A92-11B161EE4FCD}"/>
    <cellStyle name="40% - Accent5 8 4 4 4" xfId="30243" xr:uid="{4F1B1DFA-F32E-4397-998A-CDD3B729DB01}"/>
    <cellStyle name="40% - Accent5 8 4 5" xfId="9910" xr:uid="{00000000-0005-0000-0000-0000A64C0000}"/>
    <cellStyle name="40% - Accent5 8 4 5 2" xfId="17868" xr:uid="{00000000-0005-0000-0000-0000A74C0000}"/>
    <cellStyle name="40% - Accent5 8 4 5 2 2" xfId="41708" xr:uid="{02A8C895-E118-45B2-80B7-39C12310CE6C}"/>
    <cellStyle name="40% - Accent5 8 4 5 3" xfId="25812" xr:uid="{00000000-0005-0000-0000-0000A84C0000}"/>
    <cellStyle name="40% - Accent5 8 4 5 3 2" xfId="49644" xr:uid="{D4828D8F-23C1-4445-93FC-275507DAF0CF}"/>
    <cellStyle name="40% - Accent5 8 4 5 4" xfId="33767" xr:uid="{B4CEF06C-9FB6-4A8D-992F-A3422C88ADF4}"/>
    <cellStyle name="40% - Accent5 8 4 6" xfId="10806" xr:uid="{00000000-0005-0000-0000-0000A94C0000}"/>
    <cellStyle name="40% - Accent5 8 4 6 2" xfId="34655" xr:uid="{7C95BAA6-355F-4C3B-8F69-DFE89EE7F0EF}"/>
    <cellStyle name="40% - Accent5 8 4 7" xfId="18761" xr:uid="{00000000-0005-0000-0000-0000AA4C0000}"/>
    <cellStyle name="40% - Accent5 8 4 7 2" xfId="42593" xr:uid="{2B11FC0C-1571-4540-B6B6-DE434EBB299A}"/>
    <cellStyle name="40% - Accent5 8 4 8" xfId="26713" xr:uid="{0CB47FCA-76B6-452F-B482-8F46441BC0AE}"/>
    <cellStyle name="40% - Accent5 8 4_Exh G" xfId="3285" xr:uid="{00000000-0005-0000-0000-0000AB4C0000}"/>
    <cellStyle name="40% - Accent5 8 5" xfId="1601" xr:uid="{00000000-0005-0000-0000-0000AC4C0000}"/>
    <cellStyle name="40% - Accent5 8 5 2" xfId="5128" xr:uid="{00000000-0005-0000-0000-0000AD4C0000}"/>
    <cellStyle name="40% - Accent5 8 5 2 2" xfId="8719" xr:uid="{00000000-0005-0000-0000-0000AE4C0000}"/>
    <cellStyle name="40% - Accent5 8 5 2 2 2" xfId="16689" xr:uid="{00000000-0005-0000-0000-0000AF4C0000}"/>
    <cellStyle name="40% - Accent5 8 5 2 2 2 2" xfId="40531" xr:uid="{AC49C6AF-138E-4AA2-9EB0-D04FCF62DE91}"/>
    <cellStyle name="40% - Accent5 8 5 2 2 3" xfId="24635" xr:uid="{00000000-0005-0000-0000-0000B04C0000}"/>
    <cellStyle name="40% - Accent5 8 5 2 2 3 2" xfId="48467" xr:uid="{42A35AAD-F559-419C-9A9A-B8BC702EB146}"/>
    <cellStyle name="40% - Accent5 8 5 2 2 4" xfId="32590" xr:uid="{23F83694-0E6B-473A-B1DD-86723CE18415}"/>
    <cellStyle name="40% - Accent5 8 5 2 3" xfId="13151" xr:uid="{00000000-0005-0000-0000-0000B14C0000}"/>
    <cellStyle name="40% - Accent5 8 5 2 3 2" xfId="37000" xr:uid="{B8A310C1-5BC0-4B3A-B74C-24024C064F0E}"/>
    <cellStyle name="40% - Accent5 8 5 2 4" xfId="21106" xr:uid="{00000000-0005-0000-0000-0000B24C0000}"/>
    <cellStyle name="40% - Accent5 8 5 2 4 2" xfId="44938" xr:uid="{7041DF8F-4CA2-41A3-8349-9A0A999A1FAD}"/>
    <cellStyle name="40% - Accent5 8 5 2 5" xfId="29059" xr:uid="{D53429D9-4B8A-4DEB-A884-221131CB5944}"/>
    <cellStyle name="40% - Accent5 8 5 3" xfId="6960" xr:uid="{00000000-0005-0000-0000-0000B34C0000}"/>
    <cellStyle name="40% - Accent5 8 5 3 2" xfId="14931" xr:uid="{00000000-0005-0000-0000-0000B44C0000}"/>
    <cellStyle name="40% - Accent5 8 5 3 2 2" xfId="38773" xr:uid="{70BC0A4D-190F-49F5-8DD0-7E521C5DB737}"/>
    <cellStyle name="40% - Accent5 8 5 3 3" xfId="22878" xr:uid="{00000000-0005-0000-0000-0000B54C0000}"/>
    <cellStyle name="40% - Accent5 8 5 3 3 2" xfId="46710" xr:uid="{3BE15638-9C22-44B5-B98E-00B700F3F37C}"/>
    <cellStyle name="40% - Accent5 8 5 3 4" xfId="30832" xr:uid="{7946462C-93C2-4DF5-9C80-7E1DF25AC9BE}"/>
    <cellStyle name="40% - Accent5 8 5 4" xfId="11395" xr:uid="{00000000-0005-0000-0000-0000B64C0000}"/>
    <cellStyle name="40% - Accent5 8 5 4 2" xfId="35244" xr:uid="{9F4CBEB1-F11F-420B-BC7F-EEE761169AA2}"/>
    <cellStyle name="40% - Accent5 8 5 5" xfId="19350" xr:uid="{00000000-0005-0000-0000-0000B74C0000}"/>
    <cellStyle name="40% - Accent5 8 5 5 2" xfId="43182" xr:uid="{DBE815D7-5571-41AF-A14F-290D991F9774}"/>
    <cellStyle name="40% - Accent5 8 5 6" xfId="27302" xr:uid="{F06BE6EF-05E9-421B-A2B6-5395F72D4B0B}"/>
    <cellStyle name="40% - Accent5 8 5_Exh G" xfId="3287" xr:uid="{00000000-0005-0000-0000-0000B84C0000}"/>
    <cellStyle name="40% - Accent5 8 6" xfId="4249" xr:uid="{00000000-0005-0000-0000-0000B94C0000}"/>
    <cellStyle name="40% - Accent5 8 6 2" xfId="7841" xr:uid="{00000000-0005-0000-0000-0000BA4C0000}"/>
    <cellStyle name="40% - Accent5 8 6 2 2" xfId="15811" xr:uid="{00000000-0005-0000-0000-0000BB4C0000}"/>
    <cellStyle name="40% - Accent5 8 6 2 2 2" xfId="39653" xr:uid="{D74FC331-76AE-406D-A39A-5F341E19A55A}"/>
    <cellStyle name="40% - Accent5 8 6 2 3" xfId="23757" xr:uid="{00000000-0005-0000-0000-0000BC4C0000}"/>
    <cellStyle name="40% - Accent5 8 6 2 3 2" xfId="47589" xr:uid="{61D5C5C2-366A-41AA-A409-FC18C3A163F7}"/>
    <cellStyle name="40% - Accent5 8 6 2 4" xfId="31712" xr:uid="{C442B8AE-96ED-4D87-9D98-66FB489F8197}"/>
    <cellStyle name="40% - Accent5 8 6 3" xfId="12273" xr:uid="{00000000-0005-0000-0000-0000BD4C0000}"/>
    <cellStyle name="40% - Accent5 8 6 3 2" xfId="36122" xr:uid="{E8C37E92-B445-4182-BB18-362FDC813AC3}"/>
    <cellStyle name="40% - Accent5 8 6 4" xfId="20228" xr:uid="{00000000-0005-0000-0000-0000BE4C0000}"/>
    <cellStyle name="40% - Accent5 8 6 4 2" xfId="44060" xr:uid="{2B3B5415-48C6-4EA1-809B-FD029D874D1A}"/>
    <cellStyle name="40% - Accent5 8 6 5" xfId="28181" xr:uid="{2DDF6397-5B22-48ED-BE58-8B20090C8EC3}"/>
    <cellStyle name="40% - Accent5 8 7" xfId="6069" xr:uid="{00000000-0005-0000-0000-0000BF4C0000}"/>
    <cellStyle name="40% - Accent5 8 7 2" xfId="14052" xr:uid="{00000000-0005-0000-0000-0000C04C0000}"/>
    <cellStyle name="40% - Accent5 8 7 2 2" xfId="37895" xr:uid="{FD1D5C5A-237F-4383-A315-7AEE9ACB11FA}"/>
    <cellStyle name="40% - Accent5 8 7 3" xfId="22000" xr:uid="{00000000-0005-0000-0000-0000C14C0000}"/>
    <cellStyle name="40% - Accent5 8 7 3 2" xfId="45832" xr:uid="{769744BF-71B8-4028-B21D-3FB367D56492}"/>
    <cellStyle name="40% - Accent5 8 7 4" xfId="29954" xr:uid="{4AB7642D-1724-44E6-8ED3-95B9FB85648E}"/>
    <cellStyle name="40% - Accent5 8 8" xfId="9621" xr:uid="{00000000-0005-0000-0000-0000C24C0000}"/>
    <cellStyle name="40% - Accent5 8 8 2" xfId="17579" xr:uid="{00000000-0005-0000-0000-0000C34C0000}"/>
    <cellStyle name="40% - Accent5 8 8 2 2" xfId="41419" xr:uid="{BE8D785A-5CAD-4229-9407-85DBD4C4B186}"/>
    <cellStyle name="40% - Accent5 8 8 3" xfId="25523" xr:uid="{00000000-0005-0000-0000-0000C44C0000}"/>
    <cellStyle name="40% - Accent5 8 8 3 2" xfId="49355" xr:uid="{C38E2616-2CE5-4E72-B0F5-7737E52264F0}"/>
    <cellStyle name="40% - Accent5 8 8 4" xfId="33478" xr:uid="{47E0DACD-7C6D-42D1-B779-F27DCD4DCC9F}"/>
    <cellStyle name="40% - Accent5 8 9" xfId="10517" xr:uid="{00000000-0005-0000-0000-0000C54C0000}"/>
    <cellStyle name="40% - Accent5 8 9 2" xfId="34366" xr:uid="{8F8DD2D3-FA05-4914-BBF7-9999D2D1CA46}"/>
    <cellStyle name="40% - Accent5 8_Exh G" xfId="3278" xr:uid="{00000000-0005-0000-0000-0000C64C0000}"/>
    <cellStyle name="40% - Accent5 9" xfId="579" xr:uid="{00000000-0005-0000-0000-0000C74C0000}"/>
    <cellStyle name="40% - Accent5 9 10" xfId="18476" xr:uid="{00000000-0005-0000-0000-0000C84C0000}"/>
    <cellStyle name="40% - Accent5 9 10 2" xfId="42308" xr:uid="{ECB4BA20-8AF9-40AE-8942-57957BF861CB}"/>
    <cellStyle name="40% - Accent5 9 11" xfId="26428" xr:uid="{2A251C95-5C92-4FE2-AE1C-466A15D79BE3}"/>
    <cellStyle name="40% - Accent5 9 2" xfId="580" xr:uid="{00000000-0005-0000-0000-0000C94C0000}"/>
    <cellStyle name="40% - Accent5 9 2 2" xfId="581" xr:uid="{00000000-0005-0000-0000-0000CA4C0000}"/>
    <cellStyle name="40% - Accent5 9 2 2 2" xfId="1607" xr:uid="{00000000-0005-0000-0000-0000CB4C0000}"/>
    <cellStyle name="40% - Accent5 9 2 2 2 2" xfId="5134" xr:uid="{00000000-0005-0000-0000-0000CC4C0000}"/>
    <cellStyle name="40% - Accent5 9 2 2 2 2 2" xfId="8725" xr:uid="{00000000-0005-0000-0000-0000CD4C0000}"/>
    <cellStyle name="40% - Accent5 9 2 2 2 2 2 2" xfId="16695" xr:uid="{00000000-0005-0000-0000-0000CE4C0000}"/>
    <cellStyle name="40% - Accent5 9 2 2 2 2 2 2 2" xfId="40537" xr:uid="{CEB74AFB-45C7-4FD7-82C2-7D713205E393}"/>
    <cellStyle name="40% - Accent5 9 2 2 2 2 2 3" xfId="24641" xr:uid="{00000000-0005-0000-0000-0000CF4C0000}"/>
    <cellStyle name="40% - Accent5 9 2 2 2 2 2 3 2" xfId="48473" xr:uid="{2AD1266D-3CA4-4A01-86DB-13ECD366F527}"/>
    <cellStyle name="40% - Accent5 9 2 2 2 2 2 4" xfId="32596" xr:uid="{D30A1DFE-D5E5-4BBF-AE19-014136DA50CA}"/>
    <cellStyle name="40% - Accent5 9 2 2 2 2 3" xfId="13157" xr:uid="{00000000-0005-0000-0000-0000D04C0000}"/>
    <cellStyle name="40% - Accent5 9 2 2 2 2 3 2" xfId="37006" xr:uid="{A6932214-2486-497B-8498-856AC512CEB9}"/>
    <cellStyle name="40% - Accent5 9 2 2 2 2 4" xfId="21112" xr:uid="{00000000-0005-0000-0000-0000D14C0000}"/>
    <cellStyle name="40% - Accent5 9 2 2 2 2 4 2" xfId="44944" xr:uid="{A280A1BB-00EB-4001-B1CB-B6C88053387C}"/>
    <cellStyle name="40% - Accent5 9 2 2 2 2 5" xfId="29065" xr:uid="{A7B58CCE-0829-49F0-A9D9-4A02FE53ECC9}"/>
    <cellStyle name="40% - Accent5 9 2 2 2 3" xfId="6966" xr:uid="{00000000-0005-0000-0000-0000D24C0000}"/>
    <cellStyle name="40% - Accent5 9 2 2 2 3 2" xfId="14937" xr:uid="{00000000-0005-0000-0000-0000D34C0000}"/>
    <cellStyle name="40% - Accent5 9 2 2 2 3 2 2" xfId="38779" xr:uid="{54DD9B3B-AE90-480A-B071-5D7593A1DF1E}"/>
    <cellStyle name="40% - Accent5 9 2 2 2 3 3" xfId="22884" xr:uid="{00000000-0005-0000-0000-0000D44C0000}"/>
    <cellStyle name="40% - Accent5 9 2 2 2 3 3 2" xfId="46716" xr:uid="{E9AF3761-35F5-4826-BA0F-FD4D1D63CA07}"/>
    <cellStyle name="40% - Accent5 9 2 2 2 3 4" xfId="30838" xr:uid="{FD8F78EF-C8E3-471F-BBE2-24416F1EAD8C}"/>
    <cellStyle name="40% - Accent5 9 2 2 2 4" xfId="11401" xr:uid="{00000000-0005-0000-0000-0000D54C0000}"/>
    <cellStyle name="40% - Accent5 9 2 2 2 4 2" xfId="35250" xr:uid="{134C05DB-6AEA-4DD8-90F8-AEDD1852AFD3}"/>
    <cellStyle name="40% - Accent5 9 2 2 2 5" xfId="19356" xr:uid="{00000000-0005-0000-0000-0000D64C0000}"/>
    <cellStyle name="40% - Accent5 9 2 2 2 5 2" xfId="43188" xr:uid="{319E0C85-CEA9-4AA9-A5AB-2FF004BDAA42}"/>
    <cellStyle name="40% - Accent5 9 2 2 2 6" xfId="27308" xr:uid="{C9CC1B44-5118-450F-BBFB-9F9CF3047D7C}"/>
    <cellStyle name="40% - Accent5 9 2 2 2_Exh G" xfId="3291" xr:uid="{00000000-0005-0000-0000-0000D74C0000}"/>
    <cellStyle name="40% - Accent5 9 2 2 3" xfId="4255" xr:uid="{00000000-0005-0000-0000-0000D84C0000}"/>
    <cellStyle name="40% - Accent5 9 2 2 3 2" xfId="7847" xr:uid="{00000000-0005-0000-0000-0000D94C0000}"/>
    <cellStyle name="40% - Accent5 9 2 2 3 2 2" xfId="15817" xr:uid="{00000000-0005-0000-0000-0000DA4C0000}"/>
    <cellStyle name="40% - Accent5 9 2 2 3 2 2 2" xfId="39659" xr:uid="{A6CB75BF-1448-4806-A2D8-997560B52DB6}"/>
    <cellStyle name="40% - Accent5 9 2 2 3 2 3" xfId="23763" xr:uid="{00000000-0005-0000-0000-0000DB4C0000}"/>
    <cellStyle name="40% - Accent5 9 2 2 3 2 3 2" xfId="47595" xr:uid="{4F3D162C-B196-4233-AA01-5390F45DB77F}"/>
    <cellStyle name="40% - Accent5 9 2 2 3 2 4" xfId="31718" xr:uid="{5EDFF96B-CBB1-4A73-8E7B-B59B6E969C37}"/>
    <cellStyle name="40% - Accent5 9 2 2 3 3" xfId="12279" xr:uid="{00000000-0005-0000-0000-0000DC4C0000}"/>
    <cellStyle name="40% - Accent5 9 2 2 3 3 2" xfId="36128" xr:uid="{72E30458-A954-469D-A933-93A35D9F7013}"/>
    <cellStyle name="40% - Accent5 9 2 2 3 4" xfId="20234" xr:uid="{00000000-0005-0000-0000-0000DD4C0000}"/>
    <cellStyle name="40% - Accent5 9 2 2 3 4 2" xfId="44066" xr:uid="{9BD621BD-983A-4ECF-B1CA-30E8182C198F}"/>
    <cellStyle name="40% - Accent5 9 2 2 3 5" xfId="28187" xr:uid="{CDB70587-87B2-4CDD-B477-6F9CC7F01FA3}"/>
    <cellStyle name="40% - Accent5 9 2 2 4" xfId="6075" xr:uid="{00000000-0005-0000-0000-0000DE4C0000}"/>
    <cellStyle name="40% - Accent5 9 2 2 4 2" xfId="14058" xr:uid="{00000000-0005-0000-0000-0000DF4C0000}"/>
    <cellStyle name="40% - Accent5 9 2 2 4 2 2" xfId="37901" xr:uid="{3EE66EA7-5F52-4D4D-9AE6-FF1CB77600C0}"/>
    <cellStyle name="40% - Accent5 9 2 2 4 3" xfId="22006" xr:uid="{00000000-0005-0000-0000-0000E04C0000}"/>
    <cellStyle name="40% - Accent5 9 2 2 4 3 2" xfId="45838" xr:uid="{6FC96E19-9BEA-4F9F-9F68-A8E1E088E7F5}"/>
    <cellStyle name="40% - Accent5 9 2 2 4 4" xfId="29960" xr:uid="{7AA711BE-218E-4FBD-9A81-020BF9230591}"/>
    <cellStyle name="40% - Accent5 9 2 2 5" xfId="9627" xr:uid="{00000000-0005-0000-0000-0000E14C0000}"/>
    <cellStyle name="40% - Accent5 9 2 2 5 2" xfId="17585" xr:uid="{00000000-0005-0000-0000-0000E24C0000}"/>
    <cellStyle name="40% - Accent5 9 2 2 5 2 2" xfId="41425" xr:uid="{F117A8F7-1DD2-4779-B1FA-BE1966E44FB9}"/>
    <cellStyle name="40% - Accent5 9 2 2 5 3" xfId="25529" xr:uid="{00000000-0005-0000-0000-0000E34C0000}"/>
    <cellStyle name="40% - Accent5 9 2 2 5 3 2" xfId="49361" xr:uid="{E6C08396-28A9-454F-9C30-93D61D114193}"/>
    <cellStyle name="40% - Accent5 9 2 2 5 4" xfId="33484" xr:uid="{A4AA1364-039D-441A-89AC-71096C967D54}"/>
    <cellStyle name="40% - Accent5 9 2 2 6" xfId="10523" xr:uid="{00000000-0005-0000-0000-0000E44C0000}"/>
    <cellStyle name="40% - Accent5 9 2 2 6 2" xfId="34372" xr:uid="{5891A413-2E40-4876-A405-2B0A5C1715FD}"/>
    <cellStyle name="40% - Accent5 9 2 2 7" xfId="18478" xr:uid="{00000000-0005-0000-0000-0000E54C0000}"/>
    <cellStyle name="40% - Accent5 9 2 2 7 2" xfId="42310" xr:uid="{FC35BCF2-1449-4125-B0E1-9C8407A3A528}"/>
    <cellStyle name="40% - Accent5 9 2 2 8" xfId="26430" xr:uid="{EB950302-A916-4E73-B5F7-86A17ADD4CD4}"/>
    <cellStyle name="40% - Accent5 9 2 2_Exh G" xfId="3290" xr:uid="{00000000-0005-0000-0000-0000E64C0000}"/>
    <cellStyle name="40% - Accent5 9 2 3" xfId="1606" xr:uid="{00000000-0005-0000-0000-0000E74C0000}"/>
    <cellStyle name="40% - Accent5 9 2 3 2" xfId="5133" xr:uid="{00000000-0005-0000-0000-0000E84C0000}"/>
    <cellStyle name="40% - Accent5 9 2 3 2 2" xfId="8724" xr:uid="{00000000-0005-0000-0000-0000E94C0000}"/>
    <cellStyle name="40% - Accent5 9 2 3 2 2 2" xfId="16694" xr:uid="{00000000-0005-0000-0000-0000EA4C0000}"/>
    <cellStyle name="40% - Accent5 9 2 3 2 2 2 2" xfId="40536" xr:uid="{9F3417ED-A4BF-4E38-A7FD-0EFB56099828}"/>
    <cellStyle name="40% - Accent5 9 2 3 2 2 3" xfId="24640" xr:uid="{00000000-0005-0000-0000-0000EB4C0000}"/>
    <cellStyle name="40% - Accent5 9 2 3 2 2 3 2" xfId="48472" xr:uid="{CA3CA4B4-5BF5-49DD-B675-0A02BECC4F22}"/>
    <cellStyle name="40% - Accent5 9 2 3 2 2 4" xfId="32595" xr:uid="{FA829564-5DE3-4E23-B434-1A25569F5EB8}"/>
    <cellStyle name="40% - Accent5 9 2 3 2 3" xfId="13156" xr:uid="{00000000-0005-0000-0000-0000EC4C0000}"/>
    <cellStyle name="40% - Accent5 9 2 3 2 3 2" xfId="37005" xr:uid="{9B1E6C8E-8993-4F2E-9340-6EE07E7A6F6B}"/>
    <cellStyle name="40% - Accent5 9 2 3 2 4" xfId="21111" xr:uid="{00000000-0005-0000-0000-0000ED4C0000}"/>
    <cellStyle name="40% - Accent5 9 2 3 2 4 2" xfId="44943" xr:uid="{FB840EB8-E23D-4230-A630-9A8E324F59F7}"/>
    <cellStyle name="40% - Accent5 9 2 3 2 5" xfId="29064" xr:uid="{CA0DB543-79FB-455A-B7C2-E8EE36A4D017}"/>
    <cellStyle name="40% - Accent5 9 2 3 3" xfId="6965" xr:uid="{00000000-0005-0000-0000-0000EE4C0000}"/>
    <cellStyle name="40% - Accent5 9 2 3 3 2" xfId="14936" xr:uid="{00000000-0005-0000-0000-0000EF4C0000}"/>
    <cellStyle name="40% - Accent5 9 2 3 3 2 2" xfId="38778" xr:uid="{44CFD495-4F28-4366-BBFE-3ABB5BD07B17}"/>
    <cellStyle name="40% - Accent5 9 2 3 3 3" xfId="22883" xr:uid="{00000000-0005-0000-0000-0000F04C0000}"/>
    <cellStyle name="40% - Accent5 9 2 3 3 3 2" xfId="46715" xr:uid="{DFA42092-BD3F-4C93-8F98-B59DA138FB16}"/>
    <cellStyle name="40% - Accent5 9 2 3 3 4" xfId="30837" xr:uid="{EB520378-5001-4113-97EC-74B9B4DA6A13}"/>
    <cellStyle name="40% - Accent5 9 2 3 4" xfId="11400" xr:uid="{00000000-0005-0000-0000-0000F14C0000}"/>
    <cellStyle name="40% - Accent5 9 2 3 4 2" xfId="35249" xr:uid="{83B0D163-0961-449F-BC40-09719AD6BFDA}"/>
    <cellStyle name="40% - Accent5 9 2 3 5" xfId="19355" xr:uid="{00000000-0005-0000-0000-0000F24C0000}"/>
    <cellStyle name="40% - Accent5 9 2 3 5 2" xfId="43187" xr:uid="{1F45ACD1-DAE7-4FE0-A17E-A33FEF04F5AE}"/>
    <cellStyle name="40% - Accent5 9 2 3 6" xfId="27307" xr:uid="{04EBF33B-F13E-4759-98F3-B0CC4ED46195}"/>
    <cellStyle name="40% - Accent5 9 2 3_Exh G" xfId="3292" xr:uid="{00000000-0005-0000-0000-0000F34C0000}"/>
    <cellStyle name="40% - Accent5 9 2 4" xfId="4254" xr:uid="{00000000-0005-0000-0000-0000F44C0000}"/>
    <cellStyle name="40% - Accent5 9 2 4 2" xfId="7846" xr:uid="{00000000-0005-0000-0000-0000F54C0000}"/>
    <cellStyle name="40% - Accent5 9 2 4 2 2" xfId="15816" xr:uid="{00000000-0005-0000-0000-0000F64C0000}"/>
    <cellStyle name="40% - Accent5 9 2 4 2 2 2" xfId="39658" xr:uid="{4657AA95-9F4D-4857-8C32-FA19C47EB364}"/>
    <cellStyle name="40% - Accent5 9 2 4 2 3" xfId="23762" xr:uid="{00000000-0005-0000-0000-0000F74C0000}"/>
    <cellStyle name="40% - Accent5 9 2 4 2 3 2" xfId="47594" xr:uid="{BE7DF9A1-8C7A-4F14-8A40-EF69A589DAA4}"/>
    <cellStyle name="40% - Accent5 9 2 4 2 4" xfId="31717" xr:uid="{2CADB211-C1B6-45A4-A879-3AB52EF2020B}"/>
    <cellStyle name="40% - Accent5 9 2 4 3" xfId="12278" xr:uid="{00000000-0005-0000-0000-0000F84C0000}"/>
    <cellStyle name="40% - Accent5 9 2 4 3 2" xfId="36127" xr:uid="{CD47DF97-4D15-462C-9910-F2FAAAEDDC54}"/>
    <cellStyle name="40% - Accent5 9 2 4 4" xfId="20233" xr:uid="{00000000-0005-0000-0000-0000F94C0000}"/>
    <cellStyle name="40% - Accent5 9 2 4 4 2" xfId="44065" xr:uid="{63F65B17-8C18-4F5A-95BC-7B98F1F7F308}"/>
    <cellStyle name="40% - Accent5 9 2 4 5" xfId="28186" xr:uid="{E7B8911E-AFA9-49BC-97DC-FF926B42585A}"/>
    <cellStyle name="40% - Accent5 9 2 5" xfId="6074" xr:uid="{00000000-0005-0000-0000-0000FA4C0000}"/>
    <cellStyle name="40% - Accent5 9 2 5 2" xfId="14057" xr:uid="{00000000-0005-0000-0000-0000FB4C0000}"/>
    <cellStyle name="40% - Accent5 9 2 5 2 2" xfId="37900" xr:uid="{729DE18E-1B54-4B9C-9A6C-849A73697DF3}"/>
    <cellStyle name="40% - Accent5 9 2 5 3" xfId="22005" xr:uid="{00000000-0005-0000-0000-0000FC4C0000}"/>
    <cellStyle name="40% - Accent5 9 2 5 3 2" xfId="45837" xr:uid="{F35CDF1A-07E8-4087-9C52-DF34119FF098}"/>
    <cellStyle name="40% - Accent5 9 2 5 4" xfId="29959" xr:uid="{B531FF00-B6E6-4FB1-871F-9CC29C79ECA0}"/>
    <cellStyle name="40% - Accent5 9 2 6" xfId="9626" xr:uid="{00000000-0005-0000-0000-0000FD4C0000}"/>
    <cellStyle name="40% - Accent5 9 2 6 2" xfId="17584" xr:uid="{00000000-0005-0000-0000-0000FE4C0000}"/>
    <cellStyle name="40% - Accent5 9 2 6 2 2" xfId="41424" xr:uid="{78B8270F-E997-459C-AE3A-3B3EAE432DF4}"/>
    <cellStyle name="40% - Accent5 9 2 6 3" xfId="25528" xr:uid="{00000000-0005-0000-0000-0000FF4C0000}"/>
    <cellStyle name="40% - Accent5 9 2 6 3 2" xfId="49360" xr:uid="{C9B7DE33-1C9C-4906-BB8A-CEB9DBED428B}"/>
    <cellStyle name="40% - Accent5 9 2 6 4" xfId="33483" xr:uid="{28024A9F-E70E-46B3-B3AE-70D427B31675}"/>
    <cellStyle name="40% - Accent5 9 2 7" xfId="10522" xr:uid="{00000000-0005-0000-0000-0000004D0000}"/>
    <cellStyle name="40% - Accent5 9 2 7 2" xfId="34371" xr:uid="{08BCA83B-81BE-47AF-B1BB-0DC1281BF3BC}"/>
    <cellStyle name="40% - Accent5 9 2 8" xfId="18477" xr:uid="{00000000-0005-0000-0000-0000014D0000}"/>
    <cellStyle name="40% - Accent5 9 2 8 2" xfId="42309" xr:uid="{FE23BEE4-E175-4422-BC72-0D19FF5BF501}"/>
    <cellStyle name="40% - Accent5 9 2 9" xfId="26429" xr:uid="{954EF352-947C-40E6-920B-937F0677444D}"/>
    <cellStyle name="40% - Accent5 9 2_Exh G" xfId="3289" xr:uid="{00000000-0005-0000-0000-0000024D0000}"/>
    <cellStyle name="40% - Accent5 9 3" xfId="582" xr:uid="{00000000-0005-0000-0000-0000034D0000}"/>
    <cellStyle name="40% - Accent5 9 3 2" xfId="1608" xr:uid="{00000000-0005-0000-0000-0000044D0000}"/>
    <cellStyle name="40% - Accent5 9 3 2 2" xfId="5135" xr:uid="{00000000-0005-0000-0000-0000054D0000}"/>
    <cellStyle name="40% - Accent5 9 3 2 2 2" xfId="8726" xr:uid="{00000000-0005-0000-0000-0000064D0000}"/>
    <cellStyle name="40% - Accent5 9 3 2 2 2 2" xfId="16696" xr:uid="{00000000-0005-0000-0000-0000074D0000}"/>
    <cellStyle name="40% - Accent5 9 3 2 2 2 2 2" xfId="40538" xr:uid="{F8597B1A-394A-4B79-989D-D409784BF646}"/>
    <cellStyle name="40% - Accent5 9 3 2 2 2 3" xfId="24642" xr:uid="{00000000-0005-0000-0000-0000084D0000}"/>
    <cellStyle name="40% - Accent5 9 3 2 2 2 3 2" xfId="48474" xr:uid="{A765DBE7-D5D3-4BCF-BED2-FF8C750864E4}"/>
    <cellStyle name="40% - Accent5 9 3 2 2 2 4" xfId="32597" xr:uid="{0C2ED9A5-AAB0-4E57-85EA-F55B36C703F5}"/>
    <cellStyle name="40% - Accent5 9 3 2 2 3" xfId="13158" xr:uid="{00000000-0005-0000-0000-0000094D0000}"/>
    <cellStyle name="40% - Accent5 9 3 2 2 3 2" xfId="37007" xr:uid="{91F32945-AC3F-44C1-AAAE-DAB18A88C74D}"/>
    <cellStyle name="40% - Accent5 9 3 2 2 4" xfId="21113" xr:uid="{00000000-0005-0000-0000-00000A4D0000}"/>
    <cellStyle name="40% - Accent5 9 3 2 2 4 2" xfId="44945" xr:uid="{2F550443-DADB-4989-9F2A-CB4DB381461E}"/>
    <cellStyle name="40% - Accent5 9 3 2 2 5" xfId="29066" xr:uid="{214DB4B8-ED17-4B8E-AB15-1E0CE8BD7EDA}"/>
    <cellStyle name="40% - Accent5 9 3 2 3" xfId="6967" xr:uid="{00000000-0005-0000-0000-00000B4D0000}"/>
    <cellStyle name="40% - Accent5 9 3 2 3 2" xfId="14938" xr:uid="{00000000-0005-0000-0000-00000C4D0000}"/>
    <cellStyle name="40% - Accent5 9 3 2 3 2 2" xfId="38780" xr:uid="{A7F1580F-F215-4CEC-820F-6A380248836F}"/>
    <cellStyle name="40% - Accent5 9 3 2 3 3" xfId="22885" xr:uid="{00000000-0005-0000-0000-00000D4D0000}"/>
    <cellStyle name="40% - Accent5 9 3 2 3 3 2" xfId="46717" xr:uid="{716D0CB4-448B-49EB-BFD2-8BB292369DEA}"/>
    <cellStyle name="40% - Accent5 9 3 2 3 4" xfId="30839" xr:uid="{06F0C258-B7FF-4488-94A5-08E4623407FC}"/>
    <cellStyle name="40% - Accent5 9 3 2 4" xfId="11402" xr:uid="{00000000-0005-0000-0000-00000E4D0000}"/>
    <cellStyle name="40% - Accent5 9 3 2 4 2" xfId="35251" xr:uid="{1C26DA3F-826D-4C04-8623-0B47EB47DD4F}"/>
    <cellStyle name="40% - Accent5 9 3 2 5" xfId="19357" xr:uid="{00000000-0005-0000-0000-00000F4D0000}"/>
    <cellStyle name="40% - Accent5 9 3 2 5 2" xfId="43189" xr:uid="{14074548-CD86-4290-90FF-DEB7625757E6}"/>
    <cellStyle name="40% - Accent5 9 3 2 6" xfId="27309" xr:uid="{E35FBC75-25F2-4403-9EEA-45ADA6A54C6E}"/>
    <cellStyle name="40% - Accent5 9 3 2_Exh G" xfId="3294" xr:uid="{00000000-0005-0000-0000-0000104D0000}"/>
    <cellStyle name="40% - Accent5 9 3 3" xfId="4256" xr:uid="{00000000-0005-0000-0000-0000114D0000}"/>
    <cellStyle name="40% - Accent5 9 3 3 2" xfId="7848" xr:uid="{00000000-0005-0000-0000-0000124D0000}"/>
    <cellStyle name="40% - Accent5 9 3 3 2 2" xfId="15818" xr:uid="{00000000-0005-0000-0000-0000134D0000}"/>
    <cellStyle name="40% - Accent5 9 3 3 2 2 2" xfId="39660" xr:uid="{4C472E82-0BE2-4D41-8DE1-879C135D3AA5}"/>
    <cellStyle name="40% - Accent5 9 3 3 2 3" xfId="23764" xr:uid="{00000000-0005-0000-0000-0000144D0000}"/>
    <cellStyle name="40% - Accent5 9 3 3 2 3 2" xfId="47596" xr:uid="{0FF8DD89-0B29-4E40-A389-3F1F687D5804}"/>
    <cellStyle name="40% - Accent5 9 3 3 2 4" xfId="31719" xr:uid="{23ADD6D5-616E-4461-808C-E933797BADB7}"/>
    <cellStyle name="40% - Accent5 9 3 3 3" xfId="12280" xr:uid="{00000000-0005-0000-0000-0000154D0000}"/>
    <cellStyle name="40% - Accent5 9 3 3 3 2" xfId="36129" xr:uid="{FFA96F02-5854-4F0B-BD4E-466F3B04C67D}"/>
    <cellStyle name="40% - Accent5 9 3 3 4" xfId="20235" xr:uid="{00000000-0005-0000-0000-0000164D0000}"/>
    <cellStyle name="40% - Accent5 9 3 3 4 2" xfId="44067" xr:uid="{EB275F12-01BA-4653-8B55-F3DC7626EF16}"/>
    <cellStyle name="40% - Accent5 9 3 3 5" xfId="28188" xr:uid="{891FA43E-9D97-459A-B098-1A2DBA48765E}"/>
    <cellStyle name="40% - Accent5 9 3 4" xfId="6076" xr:uid="{00000000-0005-0000-0000-0000174D0000}"/>
    <cellStyle name="40% - Accent5 9 3 4 2" xfId="14059" xr:uid="{00000000-0005-0000-0000-0000184D0000}"/>
    <cellStyle name="40% - Accent5 9 3 4 2 2" xfId="37902" xr:uid="{35F811B0-7701-4C8E-9212-CAF57CA1BF76}"/>
    <cellStyle name="40% - Accent5 9 3 4 3" xfId="22007" xr:uid="{00000000-0005-0000-0000-0000194D0000}"/>
    <cellStyle name="40% - Accent5 9 3 4 3 2" xfId="45839" xr:uid="{5AB86D6A-1FA0-45C7-9B32-457FA23E3485}"/>
    <cellStyle name="40% - Accent5 9 3 4 4" xfId="29961" xr:uid="{38C595A5-D117-494D-B748-B5A720716F59}"/>
    <cellStyle name="40% - Accent5 9 3 5" xfId="9628" xr:uid="{00000000-0005-0000-0000-00001A4D0000}"/>
    <cellStyle name="40% - Accent5 9 3 5 2" xfId="17586" xr:uid="{00000000-0005-0000-0000-00001B4D0000}"/>
    <cellStyle name="40% - Accent5 9 3 5 2 2" xfId="41426" xr:uid="{EF77CE5B-4DBF-42E7-A9DA-72709C896534}"/>
    <cellStyle name="40% - Accent5 9 3 5 3" xfId="25530" xr:uid="{00000000-0005-0000-0000-00001C4D0000}"/>
    <cellStyle name="40% - Accent5 9 3 5 3 2" xfId="49362" xr:uid="{B190632B-1FCF-494E-BE6F-338D969EA7C4}"/>
    <cellStyle name="40% - Accent5 9 3 5 4" xfId="33485" xr:uid="{632CD9AD-6947-43EE-9C89-E75075EFA772}"/>
    <cellStyle name="40% - Accent5 9 3 6" xfId="10524" xr:uid="{00000000-0005-0000-0000-00001D4D0000}"/>
    <cellStyle name="40% - Accent5 9 3 6 2" xfId="34373" xr:uid="{2493AF86-F17C-4457-A7D4-245E3AF84C26}"/>
    <cellStyle name="40% - Accent5 9 3 7" xfId="18479" xr:uid="{00000000-0005-0000-0000-00001E4D0000}"/>
    <cellStyle name="40% - Accent5 9 3 7 2" xfId="42311" xr:uid="{7F315C65-5182-413F-81EF-F2AE235BDFE4}"/>
    <cellStyle name="40% - Accent5 9 3 8" xfId="26431" xr:uid="{BD293D93-4F67-4F1E-8926-CD21A48207AA}"/>
    <cellStyle name="40% - Accent5 9 3_Exh G" xfId="3293" xr:uid="{00000000-0005-0000-0000-00001F4D0000}"/>
    <cellStyle name="40% - Accent5 9 4" xfId="990" xr:uid="{00000000-0005-0000-0000-0000204D0000}"/>
    <cellStyle name="40% - Accent5 9 4 2" xfId="1901" xr:uid="{00000000-0005-0000-0000-0000214D0000}"/>
    <cellStyle name="40% - Accent5 9 4 2 2" xfId="5418" xr:uid="{00000000-0005-0000-0000-0000224D0000}"/>
    <cellStyle name="40% - Accent5 9 4 2 2 2" xfId="9009" xr:uid="{00000000-0005-0000-0000-0000234D0000}"/>
    <cellStyle name="40% - Accent5 9 4 2 2 2 2" xfId="16979" xr:uid="{00000000-0005-0000-0000-0000244D0000}"/>
    <cellStyle name="40% - Accent5 9 4 2 2 2 2 2" xfId="40821" xr:uid="{99FF4BEE-FD38-4B0A-97EF-9CE659974105}"/>
    <cellStyle name="40% - Accent5 9 4 2 2 2 3" xfId="24925" xr:uid="{00000000-0005-0000-0000-0000254D0000}"/>
    <cellStyle name="40% - Accent5 9 4 2 2 2 3 2" xfId="48757" xr:uid="{10F23E5C-D511-4DC9-9EB3-B5C4372EFC96}"/>
    <cellStyle name="40% - Accent5 9 4 2 2 2 4" xfId="32880" xr:uid="{8DA697E1-79F7-4719-8256-71EEF7DA710A}"/>
    <cellStyle name="40% - Accent5 9 4 2 2 3" xfId="13441" xr:uid="{00000000-0005-0000-0000-0000264D0000}"/>
    <cellStyle name="40% - Accent5 9 4 2 2 3 2" xfId="37290" xr:uid="{C6F51D04-1D3E-4073-921D-B3D041600BDB}"/>
    <cellStyle name="40% - Accent5 9 4 2 2 4" xfId="21396" xr:uid="{00000000-0005-0000-0000-0000274D0000}"/>
    <cellStyle name="40% - Accent5 9 4 2 2 4 2" xfId="45228" xr:uid="{390C43EE-963A-4CFF-9358-59A63E5F30CA}"/>
    <cellStyle name="40% - Accent5 9 4 2 2 5" xfId="29349" xr:uid="{8E6183E2-E85E-4D6C-922E-5FB9060C89F4}"/>
    <cellStyle name="40% - Accent5 9 4 2 3" xfId="7250" xr:uid="{00000000-0005-0000-0000-0000284D0000}"/>
    <cellStyle name="40% - Accent5 9 4 2 3 2" xfId="15221" xr:uid="{00000000-0005-0000-0000-0000294D0000}"/>
    <cellStyle name="40% - Accent5 9 4 2 3 2 2" xfId="39063" xr:uid="{CE8FF175-669E-4A26-BE7D-9C169E533751}"/>
    <cellStyle name="40% - Accent5 9 4 2 3 3" xfId="23168" xr:uid="{00000000-0005-0000-0000-00002A4D0000}"/>
    <cellStyle name="40% - Accent5 9 4 2 3 3 2" xfId="47000" xr:uid="{47255CFE-D2E9-446B-84F5-98D60460A8E1}"/>
    <cellStyle name="40% - Accent5 9 4 2 3 4" xfId="31122" xr:uid="{036AB6A1-F915-4121-9ECE-BA8AFCDBDB67}"/>
    <cellStyle name="40% - Accent5 9 4 2 4" xfId="11685" xr:uid="{00000000-0005-0000-0000-00002B4D0000}"/>
    <cellStyle name="40% - Accent5 9 4 2 4 2" xfId="35534" xr:uid="{520BF24B-525F-43FE-8AC1-A6DA27CCDC87}"/>
    <cellStyle name="40% - Accent5 9 4 2 5" xfId="19640" xr:uid="{00000000-0005-0000-0000-00002C4D0000}"/>
    <cellStyle name="40% - Accent5 9 4 2 5 2" xfId="43472" xr:uid="{73B33FF9-5B25-4A20-AC9D-837C8584E0B6}"/>
    <cellStyle name="40% - Accent5 9 4 2 6" xfId="27592" xr:uid="{420A6279-2C2F-422A-895C-5FBD0F5BE643}"/>
    <cellStyle name="40% - Accent5 9 4 2_Exh G" xfId="3296" xr:uid="{00000000-0005-0000-0000-00002D4D0000}"/>
    <cellStyle name="40% - Accent5 9 4 3" xfId="4539" xr:uid="{00000000-0005-0000-0000-00002E4D0000}"/>
    <cellStyle name="40% - Accent5 9 4 3 2" xfId="8131" xr:uid="{00000000-0005-0000-0000-00002F4D0000}"/>
    <cellStyle name="40% - Accent5 9 4 3 2 2" xfId="16101" xr:uid="{00000000-0005-0000-0000-0000304D0000}"/>
    <cellStyle name="40% - Accent5 9 4 3 2 2 2" xfId="39943" xr:uid="{EF9A2801-457A-4311-8116-F4EE64B1389F}"/>
    <cellStyle name="40% - Accent5 9 4 3 2 3" xfId="24047" xr:uid="{00000000-0005-0000-0000-0000314D0000}"/>
    <cellStyle name="40% - Accent5 9 4 3 2 3 2" xfId="47879" xr:uid="{3F9160B9-4960-4A18-8475-959A4F5C1E8D}"/>
    <cellStyle name="40% - Accent5 9 4 3 2 4" xfId="32002" xr:uid="{9270C98A-15B6-4EE7-BBB6-7181C0EFEF59}"/>
    <cellStyle name="40% - Accent5 9 4 3 3" xfId="12563" xr:uid="{00000000-0005-0000-0000-0000324D0000}"/>
    <cellStyle name="40% - Accent5 9 4 3 3 2" xfId="36412" xr:uid="{2B4532A8-CAF3-49BE-8254-6BE89B816709}"/>
    <cellStyle name="40% - Accent5 9 4 3 4" xfId="20518" xr:uid="{00000000-0005-0000-0000-0000334D0000}"/>
    <cellStyle name="40% - Accent5 9 4 3 4 2" xfId="44350" xr:uid="{2B4DE510-8ADF-45C3-9689-A5F13EC16734}"/>
    <cellStyle name="40% - Accent5 9 4 3 5" xfId="28471" xr:uid="{2D18E0D0-3594-432A-85DD-7F639CE0D08B}"/>
    <cellStyle name="40% - Accent5 9 4 4" xfId="6369" xr:uid="{00000000-0005-0000-0000-0000344D0000}"/>
    <cellStyle name="40% - Accent5 9 4 4 2" xfId="14343" xr:uid="{00000000-0005-0000-0000-0000354D0000}"/>
    <cellStyle name="40% - Accent5 9 4 4 2 2" xfId="38185" xr:uid="{7C1F210A-7F6C-45E2-A027-E630DC3723A7}"/>
    <cellStyle name="40% - Accent5 9 4 4 3" xfId="22290" xr:uid="{00000000-0005-0000-0000-0000364D0000}"/>
    <cellStyle name="40% - Accent5 9 4 4 3 2" xfId="46122" xr:uid="{55BF6308-C09C-4395-AEEE-AF74EB4E9804}"/>
    <cellStyle name="40% - Accent5 9 4 4 4" xfId="30244" xr:uid="{9EA96A3F-8669-4737-940E-1BFBA91D2192}"/>
    <cellStyle name="40% - Accent5 9 4 5" xfId="9911" xr:uid="{00000000-0005-0000-0000-0000374D0000}"/>
    <cellStyle name="40% - Accent5 9 4 5 2" xfId="17869" xr:uid="{00000000-0005-0000-0000-0000384D0000}"/>
    <cellStyle name="40% - Accent5 9 4 5 2 2" xfId="41709" xr:uid="{76785B13-65A9-4C2C-A1DF-78700D30C02E}"/>
    <cellStyle name="40% - Accent5 9 4 5 3" xfId="25813" xr:uid="{00000000-0005-0000-0000-0000394D0000}"/>
    <cellStyle name="40% - Accent5 9 4 5 3 2" xfId="49645" xr:uid="{A146CFA3-8AF6-4280-A086-3120FC715B96}"/>
    <cellStyle name="40% - Accent5 9 4 5 4" xfId="33768" xr:uid="{A5748F4B-BFAF-4781-8D9F-00FC03FF191C}"/>
    <cellStyle name="40% - Accent5 9 4 6" xfId="10807" xr:uid="{00000000-0005-0000-0000-00003A4D0000}"/>
    <cellStyle name="40% - Accent5 9 4 6 2" xfId="34656" xr:uid="{848C6713-BAAE-45CA-994A-45F3E7D29DFC}"/>
    <cellStyle name="40% - Accent5 9 4 7" xfId="18762" xr:uid="{00000000-0005-0000-0000-00003B4D0000}"/>
    <cellStyle name="40% - Accent5 9 4 7 2" xfId="42594" xr:uid="{B5670182-CA85-4E99-9F15-06A1918D03E7}"/>
    <cellStyle name="40% - Accent5 9 4 8" xfId="26714" xr:uid="{958E50B5-1CE6-45D1-B699-23E2B066CCEB}"/>
    <cellStyle name="40% - Accent5 9 4_Exh G" xfId="3295" xr:uid="{00000000-0005-0000-0000-00003C4D0000}"/>
    <cellStyle name="40% - Accent5 9 5" xfId="1605" xr:uid="{00000000-0005-0000-0000-00003D4D0000}"/>
    <cellStyle name="40% - Accent5 9 5 2" xfId="5132" xr:uid="{00000000-0005-0000-0000-00003E4D0000}"/>
    <cellStyle name="40% - Accent5 9 5 2 2" xfId="8723" xr:uid="{00000000-0005-0000-0000-00003F4D0000}"/>
    <cellStyle name="40% - Accent5 9 5 2 2 2" xfId="16693" xr:uid="{00000000-0005-0000-0000-0000404D0000}"/>
    <cellStyle name="40% - Accent5 9 5 2 2 2 2" xfId="40535" xr:uid="{BB2112EA-8A8C-428D-B465-B3C56A2EE0A4}"/>
    <cellStyle name="40% - Accent5 9 5 2 2 3" xfId="24639" xr:uid="{00000000-0005-0000-0000-0000414D0000}"/>
    <cellStyle name="40% - Accent5 9 5 2 2 3 2" xfId="48471" xr:uid="{3897833D-B32D-401E-8923-806180EE426E}"/>
    <cellStyle name="40% - Accent5 9 5 2 2 4" xfId="32594" xr:uid="{2D9A225B-499D-4BD5-8D5F-FAC0D49F2E9E}"/>
    <cellStyle name="40% - Accent5 9 5 2 3" xfId="13155" xr:uid="{00000000-0005-0000-0000-0000424D0000}"/>
    <cellStyle name="40% - Accent5 9 5 2 3 2" xfId="37004" xr:uid="{EC58B889-F670-4787-889E-5AE45F815E35}"/>
    <cellStyle name="40% - Accent5 9 5 2 4" xfId="21110" xr:uid="{00000000-0005-0000-0000-0000434D0000}"/>
    <cellStyle name="40% - Accent5 9 5 2 4 2" xfId="44942" xr:uid="{8A61B736-453C-4A59-A5DB-1F9FE618E79A}"/>
    <cellStyle name="40% - Accent5 9 5 2 5" xfId="29063" xr:uid="{EE1BF42E-5581-4303-B42D-2FAD8CF44CCF}"/>
    <cellStyle name="40% - Accent5 9 5 3" xfId="6964" xr:uid="{00000000-0005-0000-0000-0000444D0000}"/>
    <cellStyle name="40% - Accent5 9 5 3 2" xfId="14935" xr:uid="{00000000-0005-0000-0000-0000454D0000}"/>
    <cellStyle name="40% - Accent5 9 5 3 2 2" xfId="38777" xr:uid="{5C03B44A-9E68-4982-944A-33BE587C12DD}"/>
    <cellStyle name="40% - Accent5 9 5 3 3" xfId="22882" xr:uid="{00000000-0005-0000-0000-0000464D0000}"/>
    <cellStyle name="40% - Accent5 9 5 3 3 2" xfId="46714" xr:uid="{ABED6D17-C427-4A82-AF60-639D6FDF0306}"/>
    <cellStyle name="40% - Accent5 9 5 3 4" xfId="30836" xr:uid="{28AAEE3D-26B4-41C4-9081-9C57D47B7540}"/>
    <cellStyle name="40% - Accent5 9 5 4" xfId="11399" xr:uid="{00000000-0005-0000-0000-0000474D0000}"/>
    <cellStyle name="40% - Accent5 9 5 4 2" xfId="35248" xr:uid="{B343A9B8-F9E3-4B8C-9C04-F869A5A9154B}"/>
    <cellStyle name="40% - Accent5 9 5 5" xfId="19354" xr:uid="{00000000-0005-0000-0000-0000484D0000}"/>
    <cellStyle name="40% - Accent5 9 5 5 2" xfId="43186" xr:uid="{FA6E44A8-B7A8-4555-8845-08AC0EF139C8}"/>
    <cellStyle name="40% - Accent5 9 5 6" xfId="27306" xr:uid="{794945D2-872E-4D32-A346-167C89113F9B}"/>
    <cellStyle name="40% - Accent5 9 5_Exh G" xfId="3297" xr:uid="{00000000-0005-0000-0000-0000494D0000}"/>
    <cellStyle name="40% - Accent5 9 6" xfId="4253" xr:uid="{00000000-0005-0000-0000-00004A4D0000}"/>
    <cellStyle name="40% - Accent5 9 6 2" xfId="7845" xr:uid="{00000000-0005-0000-0000-00004B4D0000}"/>
    <cellStyle name="40% - Accent5 9 6 2 2" xfId="15815" xr:uid="{00000000-0005-0000-0000-00004C4D0000}"/>
    <cellStyle name="40% - Accent5 9 6 2 2 2" xfId="39657" xr:uid="{B61D4CB4-2F43-4A95-9D07-B724917A5675}"/>
    <cellStyle name="40% - Accent5 9 6 2 3" xfId="23761" xr:uid="{00000000-0005-0000-0000-00004D4D0000}"/>
    <cellStyle name="40% - Accent5 9 6 2 3 2" xfId="47593" xr:uid="{7D825926-2A66-485B-9E62-E3EA54756530}"/>
    <cellStyle name="40% - Accent5 9 6 2 4" xfId="31716" xr:uid="{B43CE5BD-F8B5-48FD-9FAE-6D06E13EBB19}"/>
    <cellStyle name="40% - Accent5 9 6 3" xfId="12277" xr:uid="{00000000-0005-0000-0000-00004E4D0000}"/>
    <cellStyle name="40% - Accent5 9 6 3 2" xfId="36126" xr:uid="{794B724D-22D2-47FC-8729-8FE304F36DEC}"/>
    <cellStyle name="40% - Accent5 9 6 4" xfId="20232" xr:uid="{00000000-0005-0000-0000-00004F4D0000}"/>
    <cellStyle name="40% - Accent5 9 6 4 2" xfId="44064" xr:uid="{83D654D6-B8AC-4159-9BE0-451CD3BB6414}"/>
    <cellStyle name="40% - Accent5 9 6 5" xfId="28185" xr:uid="{E1947BA1-FFB4-4056-9B79-237B12F163F5}"/>
    <cellStyle name="40% - Accent5 9 7" xfId="6073" xr:uid="{00000000-0005-0000-0000-0000504D0000}"/>
    <cellStyle name="40% - Accent5 9 7 2" xfId="14056" xr:uid="{00000000-0005-0000-0000-0000514D0000}"/>
    <cellStyle name="40% - Accent5 9 7 2 2" xfId="37899" xr:uid="{2E0E5D5B-395B-42C6-9016-333A3277FE4C}"/>
    <cellStyle name="40% - Accent5 9 7 3" xfId="22004" xr:uid="{00000000-0005-0000-0000-0000524D0000}"/>
    <cellStyle name="40% - Accent5 9 7 3 2" xfId="45836" xr:uid="{293074ED-145E-462F-84B6-FA175E474ED1}"/>
    <cellStyle name="40% - Accent5 9 7 4" xfId="29958" xr:uid="{16CB0D22-3F2D-4885-BCB1-7C636FD705F3}"/>
    <cellStyle name="40% - Accent5 9 8" xfId="9625" xr:uid="{00000000-0005-0000-0000-0000534D0000}"/>
    <cellStyle name="40% - Accent5 9 8 2" xfId="17583" xr:uid="{00000000-0005-0000-0000-0000544D0000}"/>
    <cellStyle name="40% - Accent5 9 8 2 2" xfId="41423" xr:uid="{5BA5669E-B7B0-4920-92AC-4ED23EC7D09A}"/>
    <cellStyle name="40% - Accent5 9 8 3" xfId="25527" xr:uid="{00000000-0005-0000-0000-0000554D0000}"/>
    <cellStyle name="40% - Accent5 9 8 3 2" xfId="49359" xr:uid="{C71646DE-88E0-43F8-9171-7845A2DDEBA6}"/>
    <cellStyle name="40% - Accent5 9 8 4" xfId="33482" xr:uid="{14211868-2712-4914-AA68-26169FAE3224}"/>
    <cellStyle name="40% - Accent5 9 9" xfId="10521" xr:uid="{00000000-0005-0000-0000-0000564D0000}"/>
    <cellStyle name="40% - Accent5 9 9 2" xfId="34370" xr:uid="{99A2D7A7-5B17-4E9C-AB6E-A2DAAD4D65ED}"/>
    <cellStyle name="40% - Accent5 9_Exh G" xfId="3288" xr:uid="{00000000-0005-0000-0000-0000574D0000}"/>
    <cellStyle name="40% - Accent6" xfId="49696" builtinId="51" customBuiltin="1"/>
    <cellStyle name="40% - Accent6 10" xfId="583" xr:uid="{00000000-0005-0000-0000-0000584D0000}"/>
    <cellStyle name="40% - Accent6 10 10" xfId="18480" xr:uid="{00000000-0005-0000-0000-0000594D0000}"/>
    <cellStyle name="40% - Accent6 10 10 2" xfId="42312" xr:uid="{711E9522-E500-4D4B-8799-42EEA5F9F38D}"/>
    <cellStyle name="40% - Accent6 10 11" xfId="26432" xr:uid="{859CCBE5-55CF-4AFE-AF47-CF27AEBDF0F2}"/>
    <cellStyle name="40% - Accent6 10 2" xfId="584" xr:uid="{00000000-0005-0000-0000-00005A4D0000}"/>
    <cellStyle name="40% - Accent6 10 2 2" xfId="585" xr:uid="{00000000-0005-0000-0000-00005B4D0000}"/>
    <cellStyle name="40% - Accent6 10 2 2 2" xfId="1611" xr:uid="{00000000-0005-0000-0000-00005C4D0000}"/>
    <cellStyle name="40% - Accent6 10 2 2 2 2" xfId="5138" xr:uid="{00000000-0005-0000-0000-00005D4D0000}"/>
    <cellStyle name="40% - Accent6 10 2 2 2 2 2" xfId="8729" xr:uid="{00000000-0005-0000-0000-00005E4D0000}"/>
    <cellStyle name="40% - Accent6 10 2 2 2 2 2 2" xfId="16699" xr:uid="{00000000-0005-0000-0000-00005F4D0000}"/>
    <cellStyle name="40% - Accent6 10 2 2 2 2 2 2 2" xfId="40541" xr:uid="{704BCE6D-5196-4B89-991F-B00A7F7C24D2}"/>
    <cellStyle name="40% - Accent6 10 2 2 2 2 2 3" xfId="24645" xr:uid="{00000000-0005-0000-0000-0000604D0000}"/>
    <cellStyle name="40% - Accent6 10 2 2 2 2 2 3 2" xfId="48477" xr:uid="{1DE7F05C-3166-46C5-8157-CE4FFD8E18B8}"/>
    <cellStyle name="40% - Accent6 10 2 2 2 2 2 4" xfId="32600" xr:uid="{48A17AB4-DB52-4CEA-8A9F-8941E4BB10A7}"/>
    <cellStyle name="40% - Accent6 10 2 2 2 2 3" xfId="13161" xr:uid="{00000000-0005-0000-0000-0000614D0000}"/>
    <cellStyle name="40% - Accent6 10 2 2 2 2 3 2" xfId="37010" xr:uid="{65944BD8-60DF-451F-8F57-EED20C194AA6}"/>
    <cellStyle name="40% - Accent6 10 2 2 2 2 4" xfId="21116" xr:uid="{00000000-0005-0000-0000-0000624D0000}"/>
    <cellStyle name="40% - Accent6 10 2 2 2 2 4 2" xfId="44948" xr:uid="{D49A86DD-3C2E-49E8-9E8D-D0DA872B4A97}"/>
    <cellStyle name="40% - Accent6 10 2 2 2 2 5" xfId="29069" xr:uid="{2C6AA7C2-77F9-4798-831A-31767D06FFD3}"/>
    <cellStyle name="40% - Accent6 10 2 2 2 3" xfId="6970" xr:uid="{00000000-0005-0000-0000-0000634D0000}"/>
    <cellStyle name="40% - Accent6 10 2 2 2 3 2" xfId="14941" xr:uid="{00000000-0005-0000-0000-0000644D0000}"/>
    <cellStyle name="40% - Accent6 10 2 2 2 3 2 2" xfId="38783" xr:uid="{19B5A5B6-BA32-46B5-A490-BCF782488790}"/>
    <cellStyle name="40% - Accent6 10 2 2 2 3 3" xfId="22888" xr:uid="{00000000-0005-0000-0000-0000654D0000}"/>
    <cellStyle name="40% - Accent6 10 2 2 2 3 3 2" xfId="46720" xr:uid="{835DC7D9-D15A-4A8B-A0D1-E075649C9079}"/>
    <cellStyle name="40% - Accent6 10 2 2 2 3 4" xfId="30842" xr:uid="{99D5B102-6794-43C3-BB1C-744014A4F179}"/>
    <cellStyle name="40% - Accent6 10 2 2 2 4" xfId="11405" xr:uid="{00000000-0005-0000-0000-0000664D0000}"/>
    <cellStyle name="40% - Accent6 10 2 2 2 4 2" xfId="35254" xr:uid="{6EBDF403-3BD6-46B2-97B1-A0745514513F}"/>
    <cellStyle name="40% - Accent6 10 2 2 2 5" xfId="19360" xr:uid="{00000000-0005-0000-0000-0000674D0000}"/>
    <cellStyle name="40% - Accent6 10 2 2 2 5 2" xfId="43192" xr:uid="{D1021EA1-7C0E-45FD-9A8A-15217D24B809}"/>
    <cellStyle name="40% - Accent6 10 2 2 2 6" xfId="27312" xr:uid="{6CFF244C-7019-4201-B0FC-D00F76459C1D}"/>
    <cellStyle name="40% - Accent6 10 2 2 2_Exh G" xfId="3301" xr:uid="{00000000-0005-0000-0000-0000684D0000}"/>
    <cellStyle name="40% - Accent6 10 2 2 3" xfId="4259" xr:uid="{00000000-0005-0000-0000-0000694D0000}"/>
    <cellStyle name="40% - Accent6 10 2 2 3 2" xfId="7851" xr:uid="{00000000-0005-0000-0000-00006A4D0000}"/>
    <cellStyle name="40% - Accent6 10 2 2 3 2 2" xfId="15821" xr:uid="{00000000-0005-0000-0000-00006B4D0000}"/>
    <cellStyle name="40% - Accent6 10 2 2 3 2 2 2" xfId="39663" xr:uid="{7C0CAD97-8E2A-4E4C-9B7F-0C944669F9DD}"/>
    <cellStyle name="40% - Accent6 10 2 2 3 2 3" xfId="23767" xr:uid="{00000000-0005-0000-0000-00006C4D0000}"/>
    <cellStyle name="40% - Accent6 10 2 2 3 2 3 2" xfId="47599" xr:uid="{ECD7772C-8F2E-4315-BD96-293398818724}"/>
    <cellStyle name="40% - Accent6 10 2 2 3 2 4" xfId="31722" xr:uid="{A1B9EA16-6578-4ADF-A63C-771EEAF57D36}"/>
    <cellStyle name="40% - Accent6 10 2 2 3 3" xfId="12283" xr:uid="{00000000-0005-0000-0000-00006D4D0000}"/>
    <cellStyle name="40% - Accent6 10 2 2 3 3 2" xfId="36132" xr:uid="{A2BC2E53-94A2-4E5A-B266-5DA7B4A44BBD}"/>
    <cellStyle name="40% - Accent6 10 2 2 3 4" xfId="20238" xr:uid="{00000000-0005-0000-0000-00006E4D0000}"/>
    <cellStyle name="40% - Accent6 10 2 2 3 4 2" xfId="44070" xr:uid="{5EC8C6DD-A8AF-49FC-A71A-A27185A4847B}"/>
    <cellStyle name="40% - Accent6 10 2 2 3 5" xfId="28191" xr:uid="{65969554-1CBE-4AE0-A25A-788249BEA433}"/>
    <cellStyle name="40% - Accent6 10 2 2 4" xfId="6079" xr:uid="{00000000-0005-0000-0000-00006F4D0000}"/>
    <cellStyle name="40% - Accent6 10 2 2 4 2" xfId="14062" xr:uid="{00000000-0005-0000-0000-0000704D0000}"/>
    <cellStyle name="40% - Accent6 10 2 2 4 2 2" xfId="37905" xr:uid="{66FDBCB9-7529-4C4C-A2B8-3B3D66254021}"/>
    <cellStyle name="40% - Accent6 10 2 2 4 3" xfId="22010" xr:uid="{00000000-0005-0000-0000-0000714D0000}"/>
    <cellStyle name="40% - Accent6 10 2 2 4 3 2" xfId="45842" xr:uid="{0636D5B3-FDDB-419C-A3F3-CD5654EC1226}"/>
    <cellStyle name="40% - Accent6 10 2 2 4 4" xfId="29964" xr:uid="{893E5BC9-C782-42FE-B563-FFB69EB49FF2}"/>
    <cellStyle name="40% - Accent6 10 2 2 5" xfId="9631" xr:uid="{00000000-0005-0000-0000-0000724D0000}"/>
    <cellStyle name="40% - Accent6 10 2 2 5 2" xfId="17589" xr:uid="{00000000-0005-0000-0000-0000734D0000}"/>
    <cellStyle name="40% - Accent6 10 2 2 5 2 2" xfId="41429" xr:uid="{13FA3367-E009-4D08-B852-BDD18FEE8132}"/>
    <cellStyle name="40% - Accent6 10 2 2 5 3" xfId="25533" xr:uid="{00000000-0005-0000-0000-0000744D0000}"/>
    <cellStyle name="40% - Accent6 10 2 2 5 3 2" xfId="49365" xr:uid="{1FF19894-8FE3-4A6D-BAA5-4E455D76A9EA}"/>
    <cellStyle name="40% - Accent6 10 2 2 5 4" xfId="33488" xr:uid="{0A9E1CA7-DBF5-412E-B4CF-86343A5E42E2}"/>
    <cellStyle name="40% - Accent6 10 2 2 6" xfId="10527" xr:uid="{00000000-0005-0000-0000-0000754D0000}"/>
    <cellStyle name="40% - Accent6 10 2 2 6 2" xfId="34376" xr:uid="{B7827EAF-2855-4C43-9284-3DE01C637A88}"/>
    <cellStyle name="40% - Accent6 10 2 2 7" xfId="18482" xr:uid="{00000000-0005-0000-0000-0000764D0000}"/>
    <cellStyle name="40% - Accent6 10 2 2 7 2" xfId="42314" xr:uid="{FDA4659F-BDFC-4E33-A9B8-69A6B0B0F43E}"/>
    <cellStyle name="40% - Accent6 10 2 2 8" xfId="26434" xr:uid="{79D38505-941C-4188-AC0B-B38C32FB9245}"/>
    <cellStyle name="40% - Accent6 10 2 2_Exh G" xfId="3300" xr:uid="{00000000-0005-0000-0000-0000774D0000}"/>
    <cellStyle name="40% - Accent6 10 2 3" xfId="1610" xr:uid="{00000000-0005-0000-0000-0000784D0000}"/>
    <cellStyle name="40% - Accent6 10 2 3 2" xfId="5137" xr:uid="{00000000-0005-0000-0000-0000794D0000}"/>
    <cellStyle name="40% - Accent6 10 2 3 2 2" xfId="8728" xr:uid="{00000000-0005-0000-0000-00007A4D0000}"/>
    <cellStyle name="40% - Accent6 10 2 3 2 2 2" xfId="16698" xr:uid="{00000000-0005-0000-0000-00007B4D0000}"/>
    <cellStyle name="40% - Accent6 10 2 3 2 2 2 2" xfId="40540" xr:uid="{1EBA7996-7126-4F74-98DF-E4030034B882}"/>
    <cellStyle name="40% - Accent6 10 2 3 2 2 3" xfId="24644" xr:uid="{00000000-0005-0000-0000-00007C4D0000}"/>
    <cellStyle name="40% - Accent6 10 2 3 2 2 3 2" xfId="48476" xr:uid="{23A8F3FB-E3AD-40C4-83CC-5394C155138A}"/>
    <cellStyle name="40% - Accent6 10 2 3 2 2 4" xfId="32599" xr:uid="{1CE8BD68-533C-405A-A1A7-17ECF5083550}"/>
    <cellStyle name="40% - Accent6 10 2 3 2 3" xfId="13160" xr:uid="{00000000-0005-0000-0000-00007D4D0000}"/>
    <cellStyle name="40% - Accent6 10 2 3 2 3 2" xfId="37009" xr:uid="{1A302752-3769-4DBA-AE09-56C968ECD897}"/>
    <cellStyle name="40% - Accent6 10 2 3 2 4" xfId="21115" xr:uid="{00000000-0005-0000-0000-00007E4D0000}"/>
    <cellStyle name="40% - Accent6 10 2 3 2 4 2" xfId="44947" xr:uid="{07587F63-96F3-447B-B768-A71D2B85F6FF}"/>
    <cellStyle name="40% - Accent6 10 2 3 2 5" xfId="29068" xr:uid="{59B8AA5E-F043-46EC-81DE-7AE19C579519}"/>
    <cellStyle name="40% - Accent6 10 2 3 3" xfId="6969" xr:uid="{00000000-0005-0000-0000-00007F4D0000}"/>
    <cellStyle name="40% - Accent6 10 2 3 3 2" xfId="14940" xr:uid="{00000000-0005-0000-0000-0000804D0000}"/>
    <cellStyle name="40% - Accent6 10 2 3 3 2 2" xfId="38782" xr:uid="{671AA9B3-7F30-41E1-B798-BA3E016CC789}"/>
    <cellStyle name="40% - Accent6 10 2 3 3 3" xfId="22887" xr:uid="{00000000-0005-0000-0000-0000814D0000}"/>
    <cellStyle name="40% - Accent6 10 2 3 3 3 2" xfId="46719" xr:uid="{7558957D-817E-4237-8FC2-2E9025F597ED}"/>
    <cellStyle name="40% - Accent6 10 2 3 3 4" xfId="30841" xr:uid="{BD7A4D71-933F-43ED-8157-E1B95940BB8F}"/>
    <cellStyle name="40% - Accent6 10 2 3 4" xfId="11404" xr:uid="{00000000-0005-0000-0000-0000824D0000}"/>
    <cellStyle name="40% - Accent6 10 2 3 4 2" xfId="35253" xr:uid="{D66C6FE3-66EA-4C2F-9E87-B268D810F36B}"/>
    <cellStyle name="40% - Accent6 10 2 3 5" xfId="19359" xr:uid="{00000000-0005-0000-0000-0000834D0000}"/>
    <cellStyle name="40% - Accent6 10 2 3 5 2" xfId="43191" xr:uid="{C2F774FF-0CD6-464F-825F-E56D54E04159}"/>
    <cellStyle name="40% - Accent6 10 2 3 6" xfId="27311" xr:uid="{AD46EBAD-96C3-401B-BE6D-07E2D28ACB16}"/>
    <cellStyle name="40% - Accent6 10 2 3_Exh G" xfId="3302" xr:uid="{00000000-0005-0000-0000-0000844D0000}"/>
    <cellStyle name="40% - Accent6 10 2 4" xfId="4258" xr:uid="{00000000-0005-0000-0000-0000854D0000}"/>
    <cellStyle name="40% - Accent6 10 2 4 2" xfId="7850" xr:uid="{00000000-0005-0000-0000-0000864D0000}"/>
    <cellStyle name="40% - Accent6 10 2 4 2 2" xfId="15820" xr:uid="{00000000-0005-0000-0000-0000874D0000}"/>
    <cellStyle name="40% - Accent6 10 2 4 2 2 2" xfId="39662" xr:uid="{0A1FC345-8295-43EF-B89C-11374E2164F7}"/>
    <cellStyle name="40% - Accent6 10 2 4 2 3" xfId="23766" xr:uid="{00000000-0005-0000-0000-0000884D0000}"/>
    <cellStyle name="40% - Accent6 10 2 4 2 3 2" xfId="47598" xr:uid="{5363513F-8EF7-4EE2-9932-D4301C8D6948}"/>
    <cellStyle name="40% - Accent6 10 2 4 2 4" xfId="31721" xr:uid="{F474397D-118C-4B2A-9A92-FB8ED229FFDF}"/>
    <cellStyle name="40% - Accent6 10 2 4 3" xfId="12282" xr:uid="{00000000-0005-0000-0000-0000894D0000}"/>
    <cellStyle name="40% - Accent6 10 2 4 3 2" xfId="36131" xr:uid="{9B22239E-AAB8-4716-AC3C-B5CF83EBFF22}"/>
    <cellStyle name="40% - Accent6 10 2 4 4" xfId="20237" xr:uid="{00000000-0005-0000-0000-00008A4D0000}"/>
    <cellStyle name="40% - Accent6 10 2 4 4 2" xfId="44069" xr:uid="{C2AD7C6D-4930-4071-93CE-35216B7CA815}"/>
    <cellStyle name="40% - Accent6 10 2 4 5" xfId="28190" xr:uid="{C12D5C4D-91B9-4D71-BFBE-11EE47E5B023}"/>
    <cellStyle name="40% - Accent6 10 2 5" xfId="6078" xr:uid="{00000000-0005-0000-0000-00008B4D0000}"/>
    <cellStyle name="40% - Accent6 10 2 5 2" xfId="14061" xr:uid="{00000000-0005-0000-0000-00008C4D0000}"/>
    <cellStyle name="40% - Accent6 10 2 5 2 2" xfId="37904" xr:uid="{A2321A46-1BC5-471F-BBED-A61C900EA991}"/>
    <cellStyle name="40% - Accent6 10 2 5 3" xfId="22009" xr:uid="{00000000-0005-0000-0000-00008D4D0000}"/>
    <cellStyle name="40% - Accent6 10 2 5 3 2" xfId="45841" xr:uid="{2A6A6599-7646-4CE6-8451-FD518BC7A9D2}"/>
    <cellStyle name="40% - Accent6 10 2 5 4" xfId="29963" xr:uid="{D1617804-4D02-4BD1-9AED-037E9B3622A8}"/>
    <cellStyle name="40% - Accent6 10 2 6" xfId="9630" xr:uid="{00000000-0005-0000-0000-00008E4D0000}"/>
    <cellStyle name="40% - Accent6 10 2 6 2" xfId="17588" xr:uid="{00000000-0005-0000-0000-00008F4D0000}"/>
    <cellStyle name="40% - Accent6 10 2 6 2 2" xfId="41428" xr:uid="{100398E3-1937-446C-8D80-8AE0DB196FB0}"/>
    <cellStyle name="40% - Accent6 10 2 6 3" xfId="25532" xr:uid="{00000000-0005-0000-0000-0000904D0000}"/>
    <cellStyle name="40% - Accent6 10 2 6 3 2" xfId="49364" xr:uid="{15D52DE6-4FD6-4DA7-82E4-E415D8017D6B}"/>
    <cellStyle name="40% - Accent6 10 2 6 4" xfId="33487" xr:uid="{286811BA-E7BB-497E-8F99-2F2EA680375F}"/>
    <cellStyle name="40% - Accent6 10 2 7" xfId="10526" xr:uid="{00000000-0005-0000-0000-0000914D0000}"/>
    <cellStyle name="40% - Accent6 10 2 7 2" xfId="34375" xr:uid="{80B2DA4D-E252-495D-B1C1-7AA8579A900A}"/>
    <cellStyle name="40% - Accent6 10 2 8" xfId="18481" xr:uid="{00000000-0005-0000-0000-0000924D0000}"/>
    <cellStyle name="40% - Accent6 10 2 8 2" xfId="42313" xr:uid="{08808FF0-705B-42F6-9384-01F0F6D78804}"/>
    <cellStyle name="40% - Accent6 10 2 9" xfId="26433" xr:uid="{936C8368-07B9-404D-9BF9-6BB6DA67A78E}"/>
    <cellStyle name="40% - Accent6 10 2_Exh G" xfId="3299" xr:uid="{00000000-0005-0000-0000-0000934D0000}"/>
    <cellStyle name="40% - Accent6 10 3" xfId="586" xr:uid="{00000000-0005-0000-0000-0000944D0000}"/>
    <cellStyle name="40% - Accent6 10 3 2" xfId="1612" xr:uid="{00000000-0005-0000-0000-0000954D0000}"/>
    <cellStyle name="40% - Accent6 10 3 2 2" xfId="5139" xr:uid="{00000000-0005-0000-0000-0000964D0000}"/>
    <cellStyle name="40% - Accent6 10 3 2 2 2" xfId="8730" xr:uid="{00000000-0005-0000-0000-0000974D0000}"/>
    <cellStyle name="40% - Accent6 10 3 2 2 2 2" xfId="16700" xr:uid="{00000000-0005-0000-0000-0000984D0000}"/>
    <cellStyle name="40% - Accent6 10 3 2 2 2 2 2" xfId="40542" xr:uid="{56F0456A-DA32-4CA2-81FB-38A5A35A4DF1}"/>
    <cellStyle name="40% - Accent6 10 3 2 2 2 3" xfId="24646" xr:uid="{00000000-0005-0000-0000-0000994D0000}"/>
    <cellStyle name="40% - Accent6 10 3 2 2 2 3 2" xfId="48478" xr:uid="{44F7D573-0984-4EB8-BE14-2D6B00D94E93}"/>
    <cellStyle name="40% - Accent6 10 3 2 2 2 4" xfId="32601" xr:uid="{3514905D-A50D-453F-A80B-330C10D596C2}"/>
    <cellStyle name="40% - Accent6 10 3 2 2 3" xfId="13162" xr:uid="{00000000-0005-0000-0000-00009A4D0000}"/>
    <cellStyle name="40% - Accent6 10 3 2 2 3 2" xfId="37011" xr:uid="{24455027-61FC-4041-9A84-0EBCB64E0B33}"/>
    <cellStyle name="40% - Accent6 10 3 2 2 4" xfId="21117" xr:uid="{00000000-0005-0000-0000-00009B4D0000}"/>
    <cellStyle name="40% - Accent6 10 3 2 2 4 2" xfId="44949" xr:uid="{D85F6D1D-898B-434B-8045-86DC5416E092}"/>
    <cellStyle name="40% - Accent6 10 3 2 2 5" xfId="29070" xr:uid="{47C349ED-4877-4B56-B2DE-95616B0BEFCB}"/>
    <cellStyle name="40% - Accent6 10 3 2 3" xfId="6971" xr:uid="{00000000-0005-0000-0000-00009C4D0000}"/>
    <cellStyle name="40% - Accent6 10 3 2 3 2" xfId="14942" xr:uid="{00000000-0005-0000-0000-00009D4D0000}"/>
    <cellStyle name="40% - Accent6 10 3 2 3 2 2" xfId="38784" xr:uid="{D16C46C1-B904-41BD-A8E8-E32B3E62F336}"/>
    <cellStyle name="40% - Accent6 10 3 2 3 3" xfId="22889" xr:uid="{00000000-0005-0000-0000-00009E4D0000}"/>
    <cellStyle name="40% - Accent6 10 3 2 3 3 2" xfId="46721" xr:uid="{4222BDE3-02C7-48DA-B72F-628AD99AE6BE}"/>
    <cellStyle name="40% - Accent6 10 3 2 3 4" xfId="30843" xr:uid="{2A75152B-827F-4796-A721-1CC843374AFA}"/>
    <cellStyle name="40% - Accent6 10 3 2 4" xfId="11406" xr:uid="{00000000-0005-0000-0000-00009F4D0000}"/>
    <cellStyle name="40% - Accent6 10 3 2 4 2" xfId="35255" xr:uid="{0D505FC1-B726-4EBA-B61C-8008006D96CE}"/>
    <cellStyle name="40% - Accent6 10 3 2 5" xfId="19361" xr:uid="{00000000-0005-0000-0000-0000A04D0000}"/>
    <cellStyle name="40% - Accent6 10 3 2 5 2" xfId="43193" xr:uid="{90DDA907-7005-4396-98A4-2A404FD4F99A}"/>
    <cellStyle name="40% - Accent6 10 3 2 6" xfId="27313" xr:uid="{1FF29AD1-8486-4099-955D-465157D0CF7C}"/>
    <cellStyle name="40% - Accent6 10 3 2_Exh G" xfId="3304" xr:uid="{00000000-0005-0000-0000-0000A14D0000}"/>
    <cellStyle name="40% - Accent6 10 3 3" xfId="4260" xr:uid="{00000000-0005-0000-0000-0000A24D0000}"/>
    <cellStyle name="40% - Accent6 10 3 3 2" xfId="7852" xr:uid="{00000000-0005-0000-0000-0000A34D0000}"/>
    <cellStyle name="40% - Accent6 10 3 3 2 2" xfId="15822" xr:uid="{00000000-0005-0000-0000-0000A44D0000}"/>
    <cellStyle name="40% - Accent6 10 3 3 2 2 2" xfId="39664" xr:uid="{5E5A45B3-F9F9-4C5D-A49C-DC7E16E063DA}"/>
    <cellStyle name="40% - Accent6 10 3 3 2 3" xfId="23768" xr:uid="{00000000-0005-0000-0000-0000A54D0000}"/>
    <cellStyle name="40% - Accent6 10 3 3 2 3 2" xfId="47600" xr:uid="{F123159D-2115-41AC-8353-DF02EEFCE9F5}"/>
    <cellStyle name="40% - Accent6 10 3 3 2 4" xfId="31723" xr:uid="{839762B2-8BFC-47BC-8622-D4A86BD56613}"/>
    <cellStyle name="40% - Accent6 10 3 3 3" xfId="12284" xr:uid="{00000000-0005-0000-0000-0000A64D0000}"/>
    <cellStyle name="40% - Accent6 10 3 3 3 2" xfId="36133" xr:uid="{0F91BC2E-D1B3-43C2-B87B-F4C18BCC20F3}"/>
    <cellStyle name="40% - Accent6 10 3 3 4" xfId="20239" xr:uid="{00000000-0005-0000-0000-0000A74D0000}"/>
    <cellStyle name="40% - Accent6 10 3 3 4 2" xfId="44071" xr:uid="{4863DFD4-143D-4B93-BFFC-08DABD5FBB72}"/>
    <cellStyle name="40% - Accent6 10 3 3 5" xfId="28192" xr:uid="{0CA154AC-A69B-440E-815F-076D08DB67D7}"/>
    <cellStyle name="40% - Accent6 10 3 4" xfId="6080" xr:uid="{00000000-0005-0000-0000-0000A84D0000}"/>
    <cellStyle name="40% - Accent6 10 3 4 2" xfId="14063" xr:uid="{00000000-0005-0000-0000-0000A94D0000}"/>
    <cellStyle name="40% - Accent6 10 3 4 2 2" xfId="37906" xr:uid="{F8237FBF-CB5A-4BD6-BCF1-1DFB205C5ED2}"/>
    <cellStyle name="40% - Accent6 10 3 4 3" xfId="22011" xr:uid="{00000000-0005-0000-0000-0000AA4D0000}"/>
    <cellStyle name="40% - Accent6 10 3 4 3 2" xfId="45843" xr:uid="{8E6E31C0-2359-445C-88FB-A2FA60DD9CF9}"/>
    <cellStyle name="40% - Accent6 10 3 4 4" xfId="29965" xr:uid="{635C1856-778B-45E3-994F-FDD1573B989B}"/>
    <cellStyle name="40% - Accent6 10 3 5" xfId="9632" xr:uid="{00000000-0005-0000-0000-0000AB4D0000}"/>
    <cellStyle name="40% - Accent6 10 3 5 2" xfId="17590" xr:uid="{00000000-0005-0000-0000-0000AC4D0000}"/>
    <cellStyle name="40% - Accent6 10 3 5 2 2" xfId="41430" xr:uid="{576FE573-2CF6-41E2-BFF8-745FBA9E371D}"/>
    <cellStyle name="40% - Accent6 10 3 5 3" xfId="25534" xr:uid="{00000000-0005-0000-0000-0000AD4D0000}"/>
    <cellStyle name="40% - Accent6 10 3 5 3 2" xfId="49366" xr:uid="{6FE0173D-6BD9-40C1-A20A-0FA6CC8494FB}"/>
    <cellStyle name="40% - Accent6 10 3 5 4" xfId="33489" xr:uid="{723F72D0-4E47-4520-85E1-04E5C92E3CCE}"/>
    <cellStyle name="40% - Accent6 10 3 6" xfId="10528" xr:uid="{00000000-0005-0000-0000-0000AE4D0000}"/>
    <cellStyle name="40% - Accent6 10 3 6 2" xfId="34377" xr:uid="{EE71F9A6-5CDB-44FE-84CD-B5A7059BF091}"/>
    <cellStyle name="40% - Accent6 10 3 7" xfId="18483" xr:uid="{00000000-0005-0000-0000-0000AF4D0000}"/>
    <cellStyle name="40% - Accent6 10 3 7 2" xfId="42315" xr:uid="{97D7E2B1-2FAF-40AC-A8C2-96A3E7D45AEF}"/>
    <cellStyle name="40% - Accent6 10 3 8" xfId="26435" xr:uid="{31C001CC-0454-42EF-9207-F22BBF81813A}"/>
    <cellStyle name="40% - Accent6 10 3_Exh G" xfId="3303" xr:uid="{00000000-0005-0000-0000-0000B04D0000}"/>
    <cellStyle name="40% - Accent6 10 4" xfId="991" xr:uid="{00000000-0005-0000-0000-0000B14D0000}"/>
    <cellStyle name="40% - Accent6 10 5" xfId="1609" xr:uid="{00000000-0005-0000-0000-0000B24D0000}"/>
    <cellStyle name="40% - Accent6 10 5 2" xfId="5136" xr:uid="{00000000-0005-0000-0000-0000B34D0000}"/>
    <cellStyle name="40% - Accent6 10 5 2 2" xfId="8727" xr:uid="{00000000-0005-0000-0000-0000B44D0000}"/>
    <cellStyle name="40% - Accent6 10 5 2 2 2" xfId="16697" xr:uid="{00000000-0005-0000-0000-0000B54D0000}"/>
    <cellStyle name="40% - Accent6 10 5 2 2 2 2" xfId="40539" xr:uid="{12CBA9D7-6E4D-4806-A003-72AFA6F69C9B}"/>
    <cellStyle name="40% - Accent6 10 5 2 2 3" xfId="24643" xr:uid="{00000000-0005-0000-0000-0000B64D0000}"/>
    <cellStyle name="40% - Accent6 10 5 2 2 3 2" xfId="48475" xr:uid="{55C5F541-57CB-48CD-A950-6BAFA6553884}"/>
    <cellStyle name="40% - Accent6 10 5 2 2 4" xfId="32598" xr:uid="{B64685CF-4723-4A93-BE0F-75F60D14A1D8}"/>
    <cellStyle name="40% - Accent6 10 5 2 3" xfId="13159" xr:uid="{00000000-0005-0000-0000-0000B74D0000}"/>
    <cellStyle name="40% - Accent6 10 5 2 3 2" xfId="37008" xr:uid="{A7FDEF32-8A9A-4AFA-A744-6CA54240FBF5}"/>
    <cellStyle name="40% - Accent6 10 5 2 4" xfId="21114" xr:uid="{00000000-0005-0000-0000-0000B84D0000}"/>
    <cellStyle name="40% - Accent6 10 5 2 4 2" xfId="44946" xr:uid="{09A95014-BD58-4F67-B3B4-74D9A4739918}"/>
    <cellStyle name="40% - Accent6 10 5 2 5" xfId="29067" xr:uid="{15D30809-0AAC-4B53-92B6-DF37B97919DB}"/>
    <cellStyle name="40% - Accent6 10 5 3" xfId="6968" xr:uid="{00000000-0005-0000-0000-0000B94D0000}"/>
    <cellStyle name="40% - Accent6 10 5 3 2" xfId="14939" xr:uid="{00000000-0005-0000-0000-0000BA4D0000}"/>
    <cellStyle name="40% - Accent6 10 5 3 2 2" xfId="38781" xr:uid="{1C0318FD-34BA-4086-970C-6F843E59BB1E}"/>
    <cellStyle name="40% - Accent6 10 5 3 3" xfId="22886" xr:uid="{00000000-0005-0000-0000-0000BB4D0000}"/>
    <cellStyle name="40% - Accent6 10 5 3 3 2" xfId="46718" xr:uid="{C5F08704-680A-46A0-BC80-E2C90204E00E}"/>
    <cellStyle name="40% - Accent6 10 5 3 4" xfId="30840" xr:uid="{814721FD-A385-44A8-BC7A-27286DE733AD}"/>
    <cellStyle name="40% - Accent6 10 5 4" xfId="11403" xr:uid="{00000000-0005-0000-0000-0000BC4D0000}"/>
    <cellStyle name="40% - Accent6 10 5 4 2" xfId="35252" xr:uid="{B62792AA-46A9-4381-A0A9-52699FF2F61A}"/>
    <cellStyle name="40% - Accent6 10 5 5" xfId="19358" xr:uid="{00000000-0005-0000-0000-0000BD4D0000}"/>
    <cellStyle name="40% - Accent6 10 5 5 2" xfId="43190" xr:uid="{1D6E915A-5F05-42F4-9988-EAC1E007CE2D}"/>
    <cellStyle name="40% - Accent6 10 5 6" xfId="27310" xr:uid="{9D26519A-1F4B-49B9-BE01-6F2A1CF5F749}"/>
    <cellStyle name="40% - Accent6 10 5_Exh G" xfId="3305" xr:uid="{00000000-0005-0000-0000-0000BE4D0000}"/>
    <cellStyle name="40% - Accent6 10 6" xfId="4257" xr:uid="{00000000-0005-0000-0000-0000BF4D0000}"/>
    <cellStyle name="40% - Accent6 10 6 2" xfId="7849" xr:uid="{00000000-0005-0000-0000-0000C04D0000}"/>
    <cellStyle name="40% - Accent6 10 6 2 2" xfId="15819" xr:uid="{00000000-0005-0000-0000-0000C14D0000}"/>
    <cellStyle name="40% - Accent6 10 6 2 2 2" xfId="39661" xr:uid="{76688DAB-A65C-41BB-A878-B97AEC131549}"/>
    <cellStyle name="40% - Accent6 10 6 2 3" xfId="23765" xr:uid="{00000000-0005-0000-0000-0000C24D0000}"/>
    <cellStyle name="40% - Accent6 10 6 2 3 2" xfId="47597" xr:uid="{44EAE260-37A4-41A2-82F3-F8F8A87EC728}"/>
    <cellStyle name="40% - Accent6 10 6 2 4" xfId="31720" xr:uid="{D3B66A57-4541-4376-BBF6-465DDB0F68DF}"/>
    <cellStyle name="40% - Accent6 10 6 3" xfId="12281" xr:uid="{00000000-0005-0000-0000-0000C34D0000}"/>
    <cellStyle name="40% - Accent6 10 6 3 2" xfId="36130" xr:uid="{CD0FA8CC-8BE2-4D0B-AF8E-0C78155EE11F}"/>
    <cellStyle name="40% - Accent6 10 6 4" xfId="20236" xr:uid="{00000000-0005-0000-0000-0000C44D0000}"/>
    <cellStyle name="40% - Accent6 10 6 4 2" xfId="44068" xr:uid="{9C62DD88-1F4D-4CDE-9F07-AFD882FDABB8}"/>
    <cellStyle name="40% - Accent6 10 6 5" xfId="28189" xr:uid="{41EF9CE4-438E-41DE-89F3-28025554C006}"/>
    <cellStyle name="40% - Accent6 10 7" xfId="6077" xr:uid="{00000000-0005-0000-0000-0000C54D0000}"/>
    <cellStyle name="40% - Accent6 10 7 2" xfId="14060" xr:uid="{00000000-0005-0000-0000-0000C64D0000}"/>
    <cellStyle name="40% - Accent6 10 7 2 2" xfId="37903" xr:uid="{1F178808-073D-4ECA-B738-C5B3778726F0}"/>
    <cellStyle name="40% - Accent6 10 7 3" xfId="22008" xr:uid="{00000000-0005-0000-0000-0000C74D0000}"/>
    <cellStyle name="40% - Accent6 10 7 3 2" xfId="45840" xr:uid="{C13440B2-0A5D-4646-B59F-530359AE16EE}"/>
    <cellStyle name="40% - Accent6 10 7 4" xfId="29962" xr:uid="{2C997FEE-3A80-4388-A461-F3A9F09FAF32}"/>
    <cellStyle name="40% - Accent6 10 8" xfId="9629" xr:uid="{00000000-0005-0000-0000-0000C84D0000}"/>
    <cellStyle name="40% - Accent6 10 8 2" xfId="17587" xr:uid="{00000000-0005-0000-0000-0000C94D0000}"/>
    <cellStyle name="40% - Accent6 10 8 2 2" xfId="41427" xr:uid="{5B8BD411-3118-49DD-9714-59DC0D0CF483}"/>
    <cellStyle name="40% - Accent6 10 8 3" xfId="25531" xr:uid="{00000000-0005-0000-0000-0000CA4D0000}"/>
    <cellStyle name="40% - Accent6 10 8 3 2" xfId="49363" xr:uid="{690CBF9F-520A-4358-B45D-F7B7CDC56CB8}"/>
    <cellStyle name="40% - Accent6 10 8 4" xfId="33486" xr:uid="{FACB211D-66BE-48B6-8C0F-FC15F69D55A8}"/>
    <cellStyle name="40% - Accent6 10 9" xfId="10525" xr:uid="{00000000-0005-0000-0000-0000CB4D0000}"/>
    <cellStyle name="40% - Accent6 10 9 2" xfId="34374" xr:uid="{220E7DCF-523B-45AB-88B6-24AB05DE958C}"/>
    <cellStyle name="40% - Accent6 10_Exh G" xfId="3298" xr:uid="{00000000-0005-0000-0000-0000CC4D0000}"/>
    <cellStyle name="40% - Accent6 11" xfId="587" xr:uid="{00000000-0005-0000-0000-0000CD4D0000}"/>
    <cellStyle name="40% - Accent6 11 10" xfId="26436" xr:uid="{4A3139DD-6FB2-4D47-8EC1-CF7625379295}"/>
    <cellStyle name="40% - Accent6 11 2" xfId="588" xr:uid="{00000000-0005-0000-0000-0000CE4D0000}"/>
    <cellStyle name="40% - Accent6 11 2 2" xfId="589" xr:uid="{00000000-0005-0000-0000-0000CF4D0000}"/>
    <cellStyle name="40% - Accent6 11 2 2 2" xfId="1615" xr:uid="{00000000-0005-0000-0000-0000D04D0000}"/>
    <cellStyle name="40% - Accent6 11 2 2 2 2" xfId="5142" xr:uid="{00000000-0005-0000-0000-0000D14D0000}"/>
    <cellStyle name="40% - Accent6 11 2 2 2 2 2" xfId="8733" xr:uid="{00000000-0005-0000-0000-0000D24D0000}"/>
    <cellStyle name="40% - Accent6 11 2 2 2 2 2 2" xfId="16703" xr:uid="{00000000-0005-0000-0000-0000D34D0000}"/>
    <cellStyle name="40% - Accent6 11 2 2 2 2 2 2 2" xfId="40545" xr:uid="{B80BF61D-CC6A-4D37-80B2-01F5ADBB7FC9}"/>
    <cellStyle name="40% - Accent6 11 2 2 2 2 2 3" xfId="24649" xr:uid="{00000000-0005-0000-0000-0000D44D0000}"/>
    <cellStyle name="40% - Accent6 11 2 2 2 2 2 3 2" xfId="48481" xr:uid="{0657BA20-1F6A-4DE3-B383-46DB1E537167}"/>
    <cellStyle name="40% - Accent6 11 2 2 2 2 2 4" xfId="32604" xr:uid="{E905AD80-9F6D-470C-8690-3E9FDC9A207E}"/>
    <cellStyle name="40% - Accent6 11 2 2 2 2 3" xfId="13165" xr:uid="{00000000-0005-0000-0000-0000D54D0000}"/>
    <cellStyle name="40% - Accent6 11 2 2 2 2 3 2" xfId="37014" xr:uid="{073CDDDC-05E3-46F2-A2F4-847774A80A3E}"/>
    <cellStyle name="40% - Accent6 11 2 2 2 2 4" xfId="21120" xr:uid="{00000000-0005-0000-0000-0000D64D0000}"/>
    <cellStyle name="40% - Accent6 11 2 2 2 2 4 2" xfId="44952" xr:uid="{70CE5366-6AC8-47DC-84FE-7AD1A1A70F89}"/>
    <cellStyle name="40% - Accent6 11 2 2 2 2 5" xfId="29073" xr:uid="{0655B802-9252-46EC-98BB-646CFA2EF2FE}"/>
    <cellStyle name="40% - Accent6 11 2 2 2 3" xfId="6974" xr:uid="{00000000-0005-0000-0000-0000D74D0000}"/>
    <cellStyle name="40% - Accent6 11 2 2 2 3 2" xfId="14945" xr:uid="{00000000-0005-0000-0000-0000D84D0000}"/>
    <cellStyle name="40% - Accent6 11 2 2 2 3 2 2" xfId="38787" xr:uid="{F60AA926-7B27-4449-9098-129C810E40E4}"/>
    <cellStyle name="40% - Accent6 11 2 2 2 3 3" xfId="22892" xr:uid="{00000000-0005-0000-0000-0000D94D0000}"/>
    <cellStyle name="40% - Accent6 11 2 2 2 3 3 2" xfId="46724" xr:uid="{2B4FD8E7-3674-40E3-9958-70EAF14AB4E3}"/>
    <cellStyle name="40% - Accent6 11 2 2 2 3 4" xfId="30846" xr:uid="{824DA858-B39D-474F-B9BA-71AA54E99507}"/>
    <cellStyle name="40% - Accent6 11 2 2 2 4" xfId="11409" xr:uid="{00000000-0005-0000-0000-0000DA4D0000}"/>
    <cellStyle name="40% - Accent6 11 2 2 2 4 2" xfId="35258" xr:uid="{0E4F9A97-1DF7-41A4-ABC5-0774D5266DB9}"/>
    <cellStyle name="40% - Accent6 11 2 2 2 5" xfId="19364" xr:uid="{00000000-0005-0000-0000-0000DB4D0000}"/>
    <cellStyle name="40% - Accent6 11 2 2 2 5 2" xfId="43196" xr:uid="{E7ACB8C0-CAE0-45F2-B3B8-1AD2C143C87A}"/>
    <cellStyle name="40% - Accent6 11 2 2 2 6" xfId="27316" xr:uid="{E79708CE-0F9C-4D08-804F-312C85AD42F5}"/>
    <cellStyle name="40% - Accent6 11 2 2 2_Exh G" xfId="3309" xr:uid="{00000000-0005-0000-0000-0000DC4D0000}"/>
    <cellStyle name="40% - Accent6 11 2 2 3" xfId="4263" xr:uid="{00000000-0005-0000-0000-0000DD4D0000}"/>
    <cellStyle name="40% - Accent6 11 2 2 3 2" xfId="7855" xr:uid="{00000000-0005-0000-0000-0000DE4D0000}"/>
    <cellStyle name="40% - Accent6 11 2 2 3 2 2" xfId="15825" xr:uid="{00000000-0005-0000-0000-0000DF4D0000}"/>
    <cellStyle name="40% - Accent6 11 2 2 3 2 2 2" xfId="39667" xr:uid="{15C3C64F-5DD8-4FEB-9209-71975A202692}"/>
    <cellStyle name="40% - Accent6 11 2 2 3 2 3" xfId="23771" xr:uid="{00000000-0005-0000-0000-0000E04D0000}"/>
    <cellStyle name="40% - Accent6 11 2 2 3 2 3 2" xfId="47603" xr:uid="{65F47ADF-FCAE-49AC-9ECE-864D957BB08D}"/>
    <cellStyle name="40% - Accent6 11 2 2 3 2 4" xfId="31726" xr:uid="{0C962DE3-F64D-465B-8AD9-C69A2CFCF5E5}"/>
    <cellStyle name="40% - Accent6 11 2 2 3 3" xfId="12287" xr:uid="{00000000-0005-0000-0000-0000E14D0000}"/>
    <cellStyle name="40% - Accent6 11 2 2 3 3 2" xfId="36136" xr:uid="{07951154-08AE-4957-BFAE-01539F720E9B}"/>
    <cellStyle name="40% - Accent6 11 2 2 3 4" xfId="20242" xr:uid="{00000000-0005-0000-0000-0000E24D0000}"/>
    <cellStyle name="40% - Accent6 11 2 2 3 4 2" xfId="44074" xr:uid="{03622DAE-8126-4D4F-981C-419509A8CF5E}"/>
    <cellStyle name="40% - Accent6 11 2 2 3 5" xfId="28195" xr:uid="{9E28213C-5E97-4595-9BAF-77A97B0E6F1A}"/>
    <cellStyle name="40% - Accent6 11 2 2 4" xfId="6083" xr:uid="{00000000-0005-0000-0000-0000E34D0000}"/>
    <cellStyle name="40% - Accent6 11 2 2 4 2" xfId="14066" xr:uid="{00000000-0005-0000-0000-0000E44D0000}"/>
    <cellStyle name="40% - Accent6 11 2 2 4 2 2" xfId="37909" xr:uid="{5AB37C4A-6693-499E-9168-29F8BDF7A3C5}"/>
    <cellStyle name="40% - Accent6 11 2 2 4 3" xfId="22014" xr:uid="{00000000-0005-0000-0000-0000E54D0000}"/>
    <cellStyle name="40% - Accent6 11 2 2 4 3 2" xfId="45846" xr:uid="{91619AA6-0773-41B2-A233-81B6073F43FE}"/>
    <cellStyle name="40% - Accent6 11 2 2 4 4" xfId="29968" xr:uid="{D4441B7E-E064-44AA-9839-FA96E8A5308D}"/>
    <cellStyle name="40% - Accent6 11 2 2 5" xfId="9635" xr:uid="{00000000-0005-0000-0000-0000E64D0000}"/>
    <cellStyle name="40% - Accent6 11 2 2 5 2" xfId="17593" xr:uid="{00000000-0005-0000-0000-0000E74D0000}"/>
    <cellStyle name="40% - Accent6 11 2 2 5 2 2" xfId="41433" xr:uid="{83AE5343-40B4-438F-B199-6987BBAA5E0F}"/>
    <cellStyle name="40% - Accent6 11 2 2 5 3" xfId="25537" xr:uid="{00000000-0005-0000-0000-0000E84D0000}"/>
    <cellStyle name="40% - Accent6 11 2 2 5 3 2" xfId="49369" xr:uid="{9CEABE42-FBAA-4ACE-A6BE-0842B58D85CA}"/>
    <cellStyle name="40% - Accent6 11 2 2 5 4" xfId="33492" xr:uid="{B510FAAF-F640-4E70-A57B-CE7E21D7F1F9}"/>
    <cellStyle name="40% - Accent6 11 2 2 6" xfId="10531" xr:uid="{00000000-0005-0000-0000-0000E94D0000}"/>
    <cellStyle name="40% - Accent6 11 2 2 6 2" xfId="34380" xr:uid="{5EE5C6D4-5280-4D5D-BED0-7085CF3B5CD4}"/>
    <cellStyle name="40% - Accent6 11 2 2 7" xfId="18486" xr:uid="{00000000-0005-0000-0000-0000EA4D0000}"/>
    <cellStyle name="40% - Accent6 11 2 2 7 2" xfId="42318" xr:uid="{4270BE51-60EF-4D61-85ED-235BD3B706FA}"/>
    <cellStyle name="40% - Accent6 11 2 2 8" xfId="26438" xr:uid="{0E5DB2D3-F706-48C5-A7A4-BB4F7E19BB30}"/>
    <cellStyle name="40% - Accent6 11 2 2_Exh G" xfId="3308" xr:uid="{00000000-0005-0000-0000-0000EB4D0000}"/>
    <cellStyle name="40% - Accent6 11 2 3" xfId="1614" xr:uid="{00000000-0005-0000-0000-0000EC4D0000}"/>
    <cellStyle name="40% - Accent6 11 2 3 2" xfId="5141" xr:uid="{00000000-0005-0000-0000-0000ED4D0000}"/>
    <cellStyle name="40% - Accent6 11 2 3 2 2" xfId="8732" xr:uid="{00000000-0005-0000-0000-0000EE4D0000}"/>
    <cellStyle name="40% - Accent6 11 2 3 2 2 2" xfId="16702" xr:uid="{00000000-0005-0000-0000-0000EF4D0000}"/>
    <cellStyle name="40% - Accent6 11 2 3 2 2 2 2" xfId="40544" xr:uid="{83BDD598-1850-430A-ACF4-593D6683AFEF}"/>
    <cellStyle name="40% - Accent6 11 2 3 2 2 3" xfId="24648" xr:uid="{00000000-0005-0000-0000-0000F04D0000}"/>
    <cellStyle name="40% - Accent6 11 2 3 2 2 3 2" xfId="48480" xr:uid="{2D7E2AB7-26D3-486F-823D-06D457443A7F}"/>
    <cellStyle name="40% - Accent6 11 2 3 2 2 4" xfId="32603" xr:uid="{63ADD42F-9CB3-4C21-9FB3-A72682BD9E85}"/>
    <cellStyle name="40% - Accent6 11 2 3 2 3" xfId="13164" xr:uid="{00000000-0005-0000-0000-0000F14D0000}"/>
    <cellStyle name="40% - Accent6 11 2 3 2 3 2" xfId="37013" xr:uid="{8711B3F6-D5D0-4FCD-880F-EA28633A8FC0}"/>
    <cellStyle name="40% - Accent6 11 2 3 2 4" xfId="21119" xr:uid="{00000000-0005-0000-0000-0000F24D0000}"/>
    <cellStyle name="40% - Accent6 11 2 3 2 4 2" xfId="44951" xr:uid="{993DC123-1F7F-484B-B763-359C20A9E8F6}"/>
    <cellStyle name="40% - Accent6 11 2 3 2 5" xfId="29072" xr:uid="{7B0BE791-25F4-416D-8CC5-4BE1A43ED912}"/>
    <cellStyle name="40% - Accent6 11 2 3 3" xfId="6973" xr:uid="{00000000-0005-0000-0000-0000F34D0000}"/>
    <cellStyle name="40% - Accent6 11 2 3 3 2" xfId="14944" xr:uid="{00000000-0005-0000-0000-0000F44D0000}"/>
    <cellStyle name="40% - Accent6 11 2 3 3 2 2" xfId="38786" xr:uid="{AFDD3730-7D0F-4D5E-A9FA-83E9A70DC099}"/>
    <cellStyle name="40% - Accent6 11 2 3 3 3" xfId="22891" xr:uid="{00000000-0005-0000-0000-0000F54D0000}"/>
    <cellStyle name="40% - Accent6 11 2 3 3 3 2" xfId="46723" xr:uid="{C750590E-DCBF-4923-AC27-C2CA80180AEF}"/>
    <cellStyle name="40% - Accent6 11 2 3 3 4" xfId="30845" xr:uid="{6888A365-A42F-4282-867B-8E1E6DF2D991}"/>
    <cellStyle name="40% - Accent6 11 2 3 4" xfId="11408" xr:uid="{00000000-0005-0000-0000-0000F64D0000}"/>
    <cellStyle name="40% - Accent6 11 2 3 4 2" xfId="35257" xr:uid="{AE758203-C690-42C2-8252-35E03428F465}"/>
    <cellStyle name="40% - Accent6 11 2 3 5" xfId="19363" xr:uid="{00000000-0005-0000-0000-0000F74D0000}"/>
    <cellStyle name="40% - Accent6 11 2 3 5 2" xfId="43195" xr:uid="{DF538288-E7D4-4140-892B-2FE94F5FE160}"/>
    <cellStyle name="40% - Accent6 11 2 3 6" xfId="27315" xr:uid="{8D8966B6-D2BB-40B1-8A34-FA65E52ECE7E}"/>
    <cellStyle name="40% - Accent6 11 2 3_Exh G" xfId="3310" xr:uid="{00000000-0005-0000-0000-0000F84D0000}"/>
    <cellStyle name="40% - Accent6 11 2 4" xfId="4262" xr:uid="{00000000-0005-0000-0000-0000F94D0000}"/>
    <cellStyle name="40% - Accent6 11 2 4 2" xfId="7854" xr:uid="{00000000-0005-0000-0000-0000FA4D0000}"/>
    <cellStyle name="40% - Accent6 11 2 4 2 2" xfId="15824" xr:uid="{00000000-0005-0000-0000-0000FB4D0000}"/>
    <cellStyle name="40% - Accent6 11 2 4 2 2 2" xfId="39666" xr:uid="{76D07E3E-F5EA-432C-98C9-84ABBA944496}"/>
    <cellStyle name="40% - Accent6 11 2 4 2 3" xfId="23770" xr:uid="{00000000-0005-0000-0000-0000FC4D0000}"/>
    <cellStyle name="40% - Accent6 11 2 4 2 3 2" xfId="47602" xr:uid="{6E20F50D-BB89-4CB5-A515-3E596E3B157E}"/>
    <cellStyle name="40% - Accent6 11 2 4 2 4" xfId="31725" xr:uid="{44170964-D4D3-4046-BC54-68BD6698D3AC}"/>
    <cellStyle name="40% - Accent6 11 2 4 3" xfId="12286" xr:uid="{00000000-0005-0000-0000-0000FD4D0000}"/>
    <cellStyle name="40% - Accent6 11 2 4 3 2" xfId="36135" xr:uid="{73D2A1F5-A638-4168-8E8D-801A54EEE91A}"/>
    <cellStyle name="40% - Accent6 11 2 4 4" xfId="20241" xr:uid="{00000000-0005-0000-0000-0000FE4D0000}"/>
    <cellStyle name="40% - Accent6 11 2 4 4 2" xfId="44073" xr:uid="{6DC24B3D-0EFE-4938-A038-B708DA3E1921}"/>
    <cellStyle name="40% - Accent6 11 2 4 5" xfId="28194" xr:uid="{AC656167-33BE-4E78-B478-AD2402F75BB3}"/>
    <cellStyle name="40% - Accent6 11 2 5" xfId="6082" xr:uid="{00000000-0005-0000-0000-0000FF4D0000}"/>
    <cellStyle name="40% - Accent6 11 2 5 2" xfId="14065" xr:uid="{00000000-0005-0000-0000-0000004E0000}"/>
    <cellStyle name="40% - Accent6 11 2 5 2 2" xfId="37908" xr:uid="{455B329F-8756-487A-AB64-3391E33C2F9F}"/>
    <cellStyle name="40% - Accent6 11 2 5 3" xfId="22013" xr:uid="{00000000-0005-0000-0000-0000014E0000}"/>
    <cellStyle name="40% - Accent6 11 2 5 3 2" xfId="45845" xr:uid="{DFD251B3-ABA9-42DA-97FF-5632A953EC16}"/>
    <cellStyle name="40% - Accent6 11 2 5 4" xfId="29967" xr:uid="{BCEBAA53-FBEC-4D66-8843-0502CD3CFD36}"/>
    <cellStyle name="40% - Accent6 11 2 6" xfId="9634" xr:uid="{00000000-0005-0000-0000-0000024E0000}"/>
    <cellStyle name="40% - Accent6 11 2 6 2" xfId="17592" xr:uid="{00000000-0005-0000-0000-0000034E0000}"/>
    <cellStyle name="40% - Accent6 11 2 6 2 2" xfId="41432" xr:uid="{CFCFC146-C6FF-4CFC-9D18-44566FBABC2C}"/>
    <cellStyle name="40% - Accent6 11 2 6 3" xfId="25536" xr:uid="{00000000-0005-0000-0000-0000044E0000}"/>
    <cellStyle name="40% - Accent6 11 2 6 3 2" xfId="49368" xr:uid="{A342492A-B15B-48F1-B0D7-6323B0D77084}"/>
    <cellStyle name="40% - Accent6 11 2 6 4" xfId="33491" xr:uid="{B1EC1D90-8D1A-4346-BD93-C7B046702672}"/>
    <cellStyle name="40% - Accent6 11 2 7" xfId="10530" xr:uid="{00000000-0005-0000-0000-0000054E0000}"/>
    <cellStyle name="40% - Accent6 11 2 7 2" xfId="34379" xr:uid="{489C1EF3-0444-4831-A500-0EF4F38E0F60}"/>
    <cellStyle name="40% - Accent6 11 2 8" xfId="18485" xr:uid="{00000000-0005-0000-0000-0000064E0000}"/>
    <cellStyle name="40% - Accent6 11 2 8 2" xfId="42317" xr:uid="{EFAA89E6-C72A-490C-8432-0B999A2AC7CB}"/>
    <cellStyle name="40% - Accent6 11 2 9" xfId="26437" xr:uid="{36D9E933-DF63-48F2-9398-B3087D7EF80D}"/>
    <cellStyle name="40% - Accent6 11 2_Exh G" xfId="3307" xr:uid="{00000000-0005-0000-0000-0000074E0000}"/>
    <cellStyle name="40% - Accent6 11 3" xfId="590" xr:uid="{00000000-0005-0000-0000-0000084E0000}"/>
    <cellStyle name="40% - Accent6 11 3 2" xfId="1616" xr:uid="{00000000-0005-0000-0000-0000094E0000}"/>
    <cellStyle name="40% - Accent6 11 3 2 2" xfId="5143" xr:uid="{00000000-0005-0000-0000-00000A4E0000}"/>
    <cellStyle name="40% - Accent6 11 3 2 2 2" xfId="8734" xr:uid="{00000000-0005-0000-0000-00000B4E0000}"/>
    <cellStyle name="40% - Accent6 11 3 2 2 2 2" xfId="16704" xr:uid="{00000000-0005-0000-0000-00000C4E0000}"/>
    <cellStyle name="40% - Accent6 11 3 2 2 2 2 2" xfId="40546" xr:uid="{4DB18539-1ED3-442E-B05B-42CD4E62CBCF}"/>
    <cellStyle name="40% - Accent6 11 3 2 2 2 3" xfId="24650" xr:uid="{00000000-0005-0000-0000-00000D4E0000}"/>
    <cellStyle name="40% - Accent6 11 3 2 2 2 3 2" xfId="48482" xr:uid="{46810ED8-DF6A-46C2-80E0-04AAEDABDCFF}"/>
    <cellStyle name="40% - Accent6 11 3 2 2 2 4" xfId="32605" xr:uid="{3B7CE559-6CD2-4D31-A96A-11361D4E425A}"/>
    <cellStyle name="40% - Accent6 11 3 2 2 3" xfId="13166" xr:uid="{00000000-0005-0000-0000-00000E4E0000}"/>
    <cellStyle name="40% - Accent6 11 3 2 2 3 2" xfId="37015" xr:uid="{9D736D82-D9F1-46E9-ACBB-39D1CDE0CEE9}"/>
    <cellStyle name="40% - Accent6 11 3 2 2 4" xfId="21121" xr:uid="{00000000-0005-0000-0000-00000F4E0000}"/>
    <cellStyle name="40% - Accent6 11 3 2 2 4 2" xfId="44953" xr:uid="{6089CA90-E8AE-452D-8C60-E153B0151720}"/>
    <cellStyle name="40% - Accent6 11 3 2 2 5" xfId="29074" xr:uid="{C44A14E9-F150-439F-A481-7DA456D5DE34}"/>
    <cellStyle name="40% - Accent6 11 3 2 3" xfId="6975" xr:uid="{00000000-0005-0000-0000-0000104E0000}"/>
    <cellStyle name="40% - Accent6 11 3 2 3 2" xfId="14946" xr:uid="{00000000-0005-0000-0000-0000114E0000}"/>
    <cellStyle name="40% - Accent6 11 3 2 3 2 2" xfId="38788" xr:uid="{C2A7BC0A-B07D-4013-81E6-3805B43FB611}"/>
    <cellStyle name="40% - Accent6 11 3 2 3 3" xfId="22893" xr:uid="{00000000-0005-0000-0000-0000124E0000}"/>
    <cellStyle name="40% - Accent6 11 3 2 3 3 2" xfId="46725" xr:uid="{C4087560-86C9-4E8A-82FC-FDF7095AB49D}"/>
    <cellStyle name="40% - Accent6 11 3 2 3 4" xfId="30847" xr:uid="{357385A2-37A3-4069-A251-A684A2CCA466}"/>
    <cellStyle name="40% - Accent6 11 3 2 4" xfId="11410" xr:uid="{00000000-0005-0000-0000-0000134E0000}"/>
    <cellStyle name="40% - Accent6 11 3 2 4 2" xfId="35259" xr:uid="{759F7AFA-EAB7-4F98-BAD2-85A764BAC2D1}"/>
    <cellStyle name="40% - Accent6 11 3 2 5" xfId="19365" xr:uid="{00000000-0005-0000-0000-0000144E0000}"/>
    <cellStyle name="40% - Accent6 11 3 2 5 2" xfId="43197" xr:uid="{55A35217-4C1F-4995-8C93-E8E7171B5BC2}"/>
    <cellStyle name="40% - Accent6 11 3 2 6" xfId="27317" xr:uid="{99A45488-0C24-46B7-9364-E455B6CF897F}"/>
    <cellStyle name="40% - Accent6 11 3 2_Exh G" xfId="3312" xr:uid="{00000000-0005-0000-0000-0000154E0000}"/>
    <cellStyle name="40% - Accent6 11 3 3" xfId="4264" xr:uid="{00000000-0005-0000-0000-0000164E0000}"/>
    <cellStyle name="40% - Accent6 11 3 3 2" xfId="7856" xr:uid="{00000000-0005-0000-0000-0000174E0000}"/>
    <cellStyle name="40% - Accent6 11 3 3 2 2" xfId="15826" xr:uid="{00000000-0005-0000-0000-0000184E0000}"/>
    <cellStyle name="40% - Accent6 11 3 3 2 2 2" xfId="39668" xr:uid="{7FA81BFB-D2D2-46F6-8F7A-10B3BED8FB97}"/>
    <cellStyle name="40% - Accent6 11 3 3 2 3" xfId="23772" xr:uid="{00000000-0005-0000-0000-0000194E0000}"/>
    <cellStyle name="40% - Accent6 11 3 3 2 3 2" xfId="47604" xr:uid="{F7533613-787D-48DD-9B32-F4D596D1A63F}"/>
    <cellStyle name="40% - Accent6 11 3 3 2 4" xfId="31727" xr:uid="{AD0C754A-5D28-4A39-8012-44CF738302A7}"/>
    <cellStyle name="40% - Accent6 11 3 3 3" xfId="12288" xr:uid="{00000000-0005-0000-0000-00001A4E0000}"/>
    <cellStyle name="40% - Accent6 11 3 3 3 2" xfId="36137" xr:uid="{3750AEF8-C6C0-4C55-941C-81EDFAA2EB12}"/>
    <cellStyle name="40% - Accent6 11 3 3 4" xfId="20243" xr:uid="{00000000-0005-0000-0000-00001B4E0000}"/>
    <cellStyle name="40% - Accent6 11 3 3 4 2" xfId="44075" xr:uid="{ACA4A2DF-1245-45C1-AB0C-EAAB408A25D7}"/>
    <cellStyle name="40% - Accent6 11 3 3 5" xfId="28196" xr:uid="{B99D9FF5-3D81-41D7-ADAA-49DED2B61DF9}"/>
    <cellStyle name="40% - Accent6 11 3 4" xfId="6084" xr:uid="{00000000-0005-0000-0000-00001C4E0000}"/>
    <cellStyle name="40% - Accent6 11 3 4 2" xfId="14067" xr:uid="{00000000-0005-0000-0000-00001D4E0000}"/>
    <cellStyle name="40% - Accent6 11 3 4 2 2" xfId="37910" xr:uid="{43315198-E63C-4EEA-901D-8AECC7701FFA}"/>
    <cellStyle name="40% - Accent6 11 3 4 3" xfId="22015" xr:uid="{00000000-0005-0000-0000-00001E4E0000}"/>
    <cellStyle name="40% - Accent6 11 3 4 3 2" xfId="45847" xr:uid="{2148B695-2A2B-42BE-A51C-CB4225ECD44D}"/>
    <cellStyle name="40% - Accent6 11 3 4 4" xfId="29969" xr:uid="{55914546-7111-4651-BEFB-CB73B69DC962}"/>
    <cellStyle name="40% - Accent6 11 3 5" xfId="9636" xr:uid="{00000000-0005-0000-0000-00001F4E0000}"/>
    <cellStyle name="40% - Accent6 11 3 5 2" xfId="17594" xr:uid="{00000000-0005-0000-0000-0000204E0000}"/>
    <cellStyle name="40% - Accent6 11 3 5 2 2" xfId="41434" xr:uid="{3BD550AA-1334-47A0-AE64-91D4AF7A8E15}"/>
    <cellStyle name="40% - Accent6 11 3 5 3" xfId="25538" xr:uid="{00000000-0005-0000-0000-0000214E0000}"/>
    <cellStyle name="40% - Accent6 11 3 5 3 2" xfId="49370" xr:uid="{46B45D6F-5E71-4F01-9921-D58D24C3426E}"/>
    <cellStyle name="40% - Accent6 11 3 5 4" xfId="33493" xr:uid="{ABEEA01B-6FAE-43AB-9D16-BE9FBECD96E1}"/>
    <cellStyle name="40% - Accent6 11 3 6" xfId="10532" xr:uid="{00000000-0005-0000-0000-0000224E0000}"/>
    <cellStyle name="40% - Accent6 11 3 6 2" xfId="34381" xr:uid="{DE6C507F-E39B-4CA2-9E71-DDC1FA8D1B4D}"/>
    <cellStyle name="40% - Accent6 11 3 7" xfId="18487" xr:uid="{00000000-0005-0000-0000-0000234E0000}"/>
    <cellStyle name="40% - Accent6 11 3 7 2" xfId="42319" xr:uid="{803372EB-9501-4212-B2FB-CE3F5E16FC5B}"/>
    <cellStyle name="40% - Accent6 11 3 8" xfId="26439" xr:uid="{0DD8FB62-EE63-489B-BAA6-227C788B1AC5}"/>
    <cellStyle name="40% - Accent6 11 3_Exh G" xfId="3311" xr:uid="{00000000-0005-0000-0000-0000244E0000}"/>
    <cellStyle name="40% - Accent6 11 4" xfId="1613" xr:uid="{00000000-0005-0000-0000-0000254E0000}"/>
    <cellStyle name="40% - Accent6 11 4 2" xfId="5140" xr:uid="{00000000-0005-0000-0000-0000264E0000}"/>
    <cellStyle name="40% - Accent6 11 4 2 2" xfId="8731" xr:uid="{00000000-0005-0000-0000-0000274E0000}"/>
    <cellStyle name="40% - Accent6 11 4 2 2 2" xfId="16701" xr:uid="{00000000-0005-0000-0000-0000284E0000}"/>
    <cellStyle name="40% - Accent6 11 4 2 2 2 2" xfId="40543" xr:uid="{696B0F06-2263-4974-820E-0D53C62326E7}"/>
    <cellStyle name="40% - Accent6 11 4 2 2 3" xfId="24647" xr:uid="{00000000-0005-0000-0000-0000294E0000}"/>
    <cellStyle name="40% - Accent6 11 4 2 2 3 2" xfId="48479" xr:uid="{01A03CA7-87DB-4162-A019-FF4768B5A114}"/>
    <cellStyle name="40% - Accent6 11 4 2 2 4" xfId="32602" xr:uid="{C89F8E62-1AF1-49AB-9147-076BAED31278}"/>
    <cellStyle name="40% - Accent6 11 4 2 3" xfId="13163" xr:uid="{00000000-0005-0000-0000-00002A4E0000}"/>
    <cellStyle name="40% - Accent6 11 4 2 3 2" xfId="37012" xr:uid="{51445915-73D6-4226-9B9F-840F6F336012}"/>
    <cellStyle name="40% - Accent6 11 4 2 4" xfId="21118" xr:uid="{00000000-0005-0000-0000-00002B4E0000}"/>
    <cellStyle name="40% - Accent6 11 4 2 4 2" xfId="44950" xr:uid="{252AC84A-7435-4318-BAC2-F13C8D34EC61}"/>
    <cellStyle name="40% - Accent6 11 4 2 5" xfId="29071" xr:uid="{24777F3A-80A5-47B6-AFA6-FF281E4CFCD0}"/>
    <cellStyle name="40% - Accent6 11 4 3" xfId="6972" xr:uid="{00000000-0005-0000-0000-00002C4E0000}"/>
    <cellStyle name="40% - Accent6 11 4 3 2" xfId="14943" xr:uid="{00000000-0005-0000-0000-00002D4E0000}"/>
    <cellStyle name="40% - Accent6 11 4 3 2 2" xfId="38785" xr:uid="{45004ADF-3B4C-49B6-AC31-5C35A941BC9D}"/>
    <cellStyle name="40% - Accent6 11 4 3 3" xfId="22890" xr:uid="{00000000-0005-0000-0000-00002E4E0000}"/>
    <cellStyle name="40% - Accent6 11 4 3 3 2" xfId="46722" xr:uid="{6C9683B1-8FC9-43BB-9C05-AE01D9266F6E}"/>
    <cellStyle name="40% - Accent6 11 4 3 4" xfId="30844" xr:uid="{2D94B5E9-E4CA-4842-9BCB-4A120CD792C8}"/>
    <cellStyle name="40% - Accent6 11 4 4" xfId="11407" xr:uid="{00000000-0005-0000-0000-00002F4E0000}"/>
    <cellStyle name="40% - Accent6 11 4 4 2" xfId="35256" xr:uid="{FC5C1E47-7BB2-49D4-A3D0-D5F60819A92B}"/>
    <cellStyle name="40% - Accent6 11 4 5" xfId="19362" xr:uid="{00000000-0005-0000-0000-0000304E0000}"/>
    <cellStyle name="40% - Accent6 11 4 5 2" xfId="43194" xr:uid="{E2628E14-2B86-4E63-BF0F-D95426E69D3C}"/>
    <cellStyle name="40% - Accent6 11 4 6" xfId="27314" xr:uid="{62A5A8B7-D09D-40AD-A05F-7853C8C3751B}"/>
    <cellStyle name="40% - Accent6 11 4_Exh G" xfId="3313" xr:uid="{00000000-0005-0000-0000-0000314E0000}"/>
    <cellStyle name="40% - Accent6 11 5" xfId="4261" xr:uid="{00000000-0005-0000-0000-0000324E0000}"/>
    <cellStyle name="40% - Accent6 11 5 2" xfId="7853" xr:uid="{00000000-0005-0000-0000-0000334E0000}"/>
    <cellStyle name="40% - Accent6 11 5 2 2" xfId="15823" xr:uid="{00000000-0005-0000-0000-0000344E0000}"/>
    <cellStyle name="40% - Accent6 11 5 2 2 2" xfId="39665" xr:uid="{E88FE910-F19B-42A7-975E-C790BCA2F2D3}"/>
    <cellStyle name="40% - Accent6 11 5 2 3" xfId="23769" xr:uid="{00000000-0005-0000-0000-0000354E0000}"/>
    <cellStyle name="40% - Accent6 11 5 2 3 2" xfId="47601" xr:uid="{5C4A288D-7A6A-4FFA-8AD5-382C02C1C98F}"/>
    <cellStyle name="40% - Accent6 11 5 2 4" xfId="31724" xr:uid="{EC47CDCC-63FD-4415-9A92-1967502E2EE8}"/>
    <cellStyle name="40% - Accent6 11 5 3" xfId="12285" xr:uid="{00000000-0005-0000-0000-0000364E0000}"/>
    <cellStyle name="40% - Accent6 11 5 3 2" xfId="36134" xr:uid="{6C09CCA7-6EB9-4871-8FD3-0FE7D0A3AD63}"/>
    <cellStyle name="40% - Accent6 11 5 4" xfId="20240" xr:uid="{00000000-0005-0000-0000-0000374E0000}"/>
    <cellStyle name="40% - Accent6 11 5 4 2" xfId="44072" xr:uid="{9FBA9EB3-6C32-4D28-B7D5-3EBA29991034}"/>
    <cellStyle name="40% - Accent6 11 5 5" xfId="28193" xr:uid="{D75D7011-24F6-48DC-921D-A33BB46DAC1D}"/>
    <cellStyle name="40% - Accent6 11 6" xfId="6081" xr:uid="{00000000-0005-0000-0000-0000384E0000}"/>
    <cellStyle name="40% - Accent6 11 6 2" xfId="14064" xr:uid="{00000000-0005-0000-0000-0000394E0000}"/>
    <cellStyle name="40% - Accent6 11 6 2 2" xfId="37907" xr:uid="{1E3396C9-F950-49C9-BFD3-24B5E48354F7}"/>
    <cellStyle name="40% - Accent6 11 6 3" xfId="22012" xr:uid="{00000000-0005-0000-0000-00003A4E0000}"/>
    <cellStyle name="40% - Accent6 11 6 3 2" xfId="45844" xr:uid="{DA1DF59F-1A1B-48F8-B84E-48AC73482200}"/>
    <cellStyle name="40% - Accent6 11 6 4" xfId="29966" xr:uid="{DAE70194-7C88-4DDF-B07B-913A55D04E0D}"/>
    <cellStyle name="40% - Accent6 11 7" xfId="9633" xr:uid="{00000000-0005-0000-0000-00003B4E0000}"/>
    <cellStyle name="40% - Accent6 11 7 2" xfId="17591" xr:uid="{00000000-0005-0000-0000-00003C4E0000}"/>
    <cellStyle name="40% - Accent6 11 7 2 2" xfId="41431" xr:uid="{3F008CEA-A3BC-47A8-8224-3B4BC80FFE85}"/>
    <cellStyle name="40% - Accent6 11 7 3" xfId="25535" xr:uid="{00000000-0005-0000-0000-00003D4E0000}"/>
    <cellStyle name="40% - Accent6 11 7 3 2" xfId="49367" xr:uid="{AA452C3E-D462-4A49-AFC2-A5D000B28027}"/>
    <cellStyle name="40% - Accent6 11 7 4" xfId="33490" xr:uid="{154529C9-3383-4041-B8D4-928E71B6DDBA}"/>
    <cellStyle name="40% - Accent6 11 8" xfId="10529" xr:uid="{00000000-0005-0000-0000-00003E4E0000}"/>
    <cellStyle name="40% - Accent6 11 8 2" xfId="34378" xr:uid="{CD06679E-49EC-42E4-B5A7-2A4858135C8E}"/>
    <cellStyle name="40% - Accent6 11 9" xfId="18484" xr:uid="{00000000-0005-0000-0000-00003F4E0000}"/>
    <cellStyle name="40% - Accent6 11 9 2" xfId="42316" xr:uid="{AA2EA53C-4866-41EA-B468-134DC39CA57A}"/>
    <cellStyle name="40% - Accent6 11_Exh G" xfId="3306" xr:uid="{00000000-0005-0000-0000-0000404E0000}"/>
    <cellStyle name="40% - Accent6 12" xfId="591" xr:uid="{00000000-0005-0000-0000-0000414E0000}"/>
    <cellStyle name="40% - Accent6 12 10" xfId="26440" xr:uid="{838669D4-E039-426D-BB80-31960C534BE0}"/>
    <cellStyle name="40% - Accent6 12 2" xfId="592" xr:uid="{00000000-0005-0000-0000-0000424E0000}"/>
    <cellStyle name="40% - Accent6 12 2 2" xfId="593" xr:uid="{00000000-0005-0000-0000-0000434E0000}"/>
    <cellStyle name="40% - Accent6 12 2 2 2" xfId="1619" xr:uid="{00000000-0005-0000-0000-0000444E0000}"/>
    <cellStyle name="40% - Accent6 12 2 2 2 2" xfId="5146" xr:uid="{00000000-0005-0000-0000-0000454E0000}"/>
    <cellStyle name="40% - Accent6 12 2 2 2 2 2" xfId="8737" xr:uid="{00000000-0005-0000-0000-0000464E0000}"/>
    <cellStyle name="40% - Accent6 12 2 2 2 2 2 2" xfId="16707" xr:uid="{00000000-0005-0000-0000-0000474E0000}"/>
    <cellStyle name="40% - Accent6 12 2 2 2 2 2 2 2" xfId="40549" xr:uid="{C903B7D4-DD60-4FCF-9811-117298C28414}"/>
    <cellStyle name="40% - Accent6 12 2 2 2 2 2 3" xfId="24653" xr:uid="{00000000-0005-0000-0000-0000484E0000}"/>
    <cellStyle name="40% - Accent6 12 2 2 2 2 2 3 2" xfId="48485" xr:uid="{F511C493-C576-4D17-8B64-EDD01764CF91}"/>
    <cellStyle name="40% - Accent6 12 2 2 2 2 2 4" xfId="32608" xr:uid="{8412EB2D-BA62-432E-8F06-B6522FAC5EBF}"/>
    <cellStyle name="40% - Accent6 12 2 2 2 2 3" xfId="13169" xr:uid="{00000000-0005-0000-0000-0000494E0000}"/>
    <cellStyle name="40% - Accent6 12 2 2 2 2 3 2" xfId="37018" xr:uid="{AD47CC54-959E-4F6B-808C-1A3E54ED4011}"/>
    <cellStyle name="40% - Accent6 12 2 2 2 2 4" xfId="21124" xr:uid="{00000000-0005-0000-0000-00004A4E0000}"/>
    <cellStyle name="40% - Accent6 12 2 2 2 2 4 2" xfId="44956" xr:uid="{929AABBE-1A0D-453F-A78C-5FF01F6472D9}"/>
    <cellStyle name="40% - Accent6 12 2 2 2 2 5" xfId="29077" xr:uid="{771EC530-3D90-4513-8969-CFE89C55B1B4}"/>
    <cellStyle name="40% - Accent6 12 2 2 2 3" xfId="6978" xr:uid="{00000000-0005-0000-0000-00004B4E0000}"/>
    <cellStyle name="40% - Accent6 12 2 2 2 3 2" xfId="14949" xr:uid="{00000000-0005-0000-0000-00004C4E0000}"/>
    <cellStyle name="40% - Accent6 12 2 2 2 3 2 2" xfId="38791" xr:uid="{CD32904B-188A-4D27-9697-0D2E225B1E90}"/>
    <cellStyle name="40% - Accent6 12 2 2 2 3 3" xfId="22896" xr:uid="{00000000-0005-0000-0000-00004D4E0000}"/>
    <cellStyle name="40% - Accent6 12 2 2 2 3 3 2" xfId="46728" xr:uid="{1AA49533-1F92-4A79-90BE-25258EB4CA8C}"/>
    <cellStyle name="40% - Accent6 12 2 2 2 3 4" xfId="30850" xr:uid="{5B38EC1B-FE48-4EAA-A6AA-57F6EC2866EA}"/>
    <cellStyle name="40% - Accent6 12 2 2 2 4" xfId="11413" xr:uid="{00000000-0005-0000-0000-00004E4E0000}"/>
    <cellStyle name="40% - Accent6 12 2 2 2 4 2" xfId="35262" xr:uid="{35271EDA-D142-46F7-BD2E-6B415A3489E2}"/>
    <cellStyle name="40% - Accent6 12 2 2 2 5" xfId="19368" xr:uid="{00000000-0005-0000-0000-00004F4E0000}"/>
    <cellStyle name="40% - Accent6 12 2 2 2 5 2" xfId="43200" xr:uid="{8ADF4032-F31B-42AE-832B-740BD195BD86}"/>
    <cellStyle name="40% - Accent6 12 2 2 2 6" xfId="27320" xr:uid="{79094F44-CB67-45E9-9143-CAFB296989B4}"/>
    <cellStyle name="40% - Accent6 12 2 2 2_Exh G" xfId="3317" xr:uid="{00000000-0005-0000-0000-0000504E0000}"/>
    <cellStyle name="40% - Accent6 12 2 2 3" xfId="4267" xr:uid="{00000000-0005-0000-0000-0000514E0000}"/>
    <cellStyle name="40% - Accent6 12 2 2 3 2" xfId="7859" xr:uid="{00000000-0005-0000-0000-0000524E0000}"/>
    <cellStyle name="40% - Accent6 12 2 2 3 2 2" xfId="15829" xr:uid="{00000000-0005-0000-0000-0000534E0000}"/>
    <cellStyle name="40% - Accent6 12 2 2 3 2 2 2" xfId="39671" xr:uid="{BC1B86D1-C84D-4C55-AB24-8B7C2B9EBA6A}"/>
    <cellStyle name="40% - Accent6 12 2 2 3 2 3" xfId="23775" xr:uid="{00000000-0005-0000-0000-0000544E0000}"/>
    <cellStyle name="40% - Accent6 12 2 2 3 2 3 2" xfId="47607" xr:uid="{C8175389-33AF-480A-8AD6-12DE91BC4FC3}"/>
    <cellStyle name="40% - Accent6 12 2 2 3 2 4" xfId="31730" xr:uid="{C912A2F6-97D2-43B7-B1A5-86E35230F411}"/>
    <cellStyle name="40% - Accent6 12 2 2 3 3" xfId="12291" xr:uid="{00000000-0005-0000-0000-0000554E0000}"/>
    <cellStyle name="40% - Accent6 12 2 2 3 3 2" xfId="36140" xr:uid="{19B230C9-5277-411E-9FF9-5A9C4D2BD52B}"/>
    <cellStyle name="40% - Accent6 12 2 2 3 4" xfId="20246" xr:uid="{00000000-0005-0000-0000-0000564E0000}"/>
    <cellStyle name="40% - Accent6 12 2 2 3 4 2" xfId="44078" xr:uid="{736BE086-2DD1-4EE6-A8B3-968CCC9AE958}"/>
    <cellStyle name="40% - Accent6 12 2 2 3 5" xfId="28199" xr:uid="{DAFB93FC-AC47-4189-A0B4-1CFE6DBAF831}"/>
    <cellStyle name="40% - Accent6 12 2 2 4" xfId="6087" xr:uid="{00000000-0005-0000-0000-0000574E0000}"/>
    <cellStyle name="40% - Accent6 12 2 2 4 2" xfId="14070" xr:uid="{00000000-0005-0000-0000-0000584E0000}"/>
    <cellStyle name="40% - Accent6 12 2 2 4 2 2" xfId="37913" xr:uid="{1AD9F2F7-98F1-4DDA-8915-936AE89552EF}"/>
    <cellStyle name="40% - Accent6 12 2 2 4 3" xfId="22018" xr:uid="{00000000-0005-0000-0000-0000594E0000}"/>
    <cellStyle name="40% - Accent6 12 2 2 4 3 2" xfId="45850" xr:uid="{CD130710-E485-4C9F-80E0-B9D14471B363}"/>
    <cellStyle name="40% - Accent6 12 2 2 4 4" xfId="29972" xr:uid="{A7364623-9903-4E9C-9E72-316A00CE1A7B}"/>
    <cellStyle name="40% - Accent6 12 2 2 5" xfId="9639" xr:uid="{00000000-0005-0000-0000-00005A4E0000}"/>
    <cellStyle name="40% - Accent6 12 2 2 5 2" xfId="17597" xr:uid="{00000000-0005-0000-0000-00005B4E0000}"/>
    <cellStyle name="40% - Accent6 12 2 2 5 2 2" xfId="41437" xr:uid="{7ED82BA8-2756-4793-BD82-135723B5E63F}"/>
    <cellStyle name="40% - Accent6 12 2 2 5 3" xfId="25541" xr:uid="{00000000-0005-0000-0000-00005C4E0000}"/>
    <cellStyle name="40% - Accent6 12 2 2 5 3 2" xfId="49373" xr:uid="{C0BE43A8-4B9D-4B72-84E9-5B3E4E0DAE60}"/>
    <cellStyle name="40% - Accent6 12 2 2 5 4" xfId="33496" xr:uid="{D930F811-ECF1-4294-A516-048AE53C6165}"/>
    <cellStyle name="40% - Accent6 12 2 2 6" xfId="10535" xr:uid="{00000000-0005-0000-0000-00005D4E0000}"/>
    <cellStyle name="40% - Accent6 12 2 2 6 2" xfId="34384" xr:uid="{1174482C-47D5-4649-BAB5-383F9277FA94}"/>
    <cellStyle name="40% - Accent6 12 2 2 7" xfId="18490" xr:uid="{00000000-0005-0000-0000-00005E4E0000}"/>
    <cellStyle name="40% - Accent6 12 2 2 7 2" xfId="42322" xr:uid="{FC14F1FD-9B91-45B9-9A62-78B16EFFC07F}"/>
    <cellStyle name="40% - Accent6 12 2 2 8" xfId="26442" xr:uid="{60B79F44-A83B-4DD8-A850-900A3A2E9D42}"/>
    <cellStyle name="40% - Accent6 12 2 2_Exh G" xfId="3316" xr:uid="{00000000-0005-0000-0000-00005F4E0000}"/>
    <cellStyle name="40% - Accent6 12 2 3" xfId="1618" xr:uid="{00000000-0005-0000-0000-0000604E0000}"/>
    <cellStyle name="40% - Accent6 12 2 3 2" xfId="5145" xr:uid="{00000000-0005-0000-0000-0000614E0000}"/>
    <cellStyle name="40% - Accent6 12 2 3 2 2" xfId="8736" xr:uid="{00000000-0005-0000-0000-0000624E0000}"/>
    <cellStyle name="40% - Accent6 12 2 3 2 2 2" xfId="16706" xr:uid="{00000000-0005-0000-0000-0000634E0000}"/>
    <cellStyle name="40% - Accent6 12 2 3 2 2 2 2" xfId="40548" xr:uid="{6AA8C190-2301-4189-AEAE-416B2CC0BF4D}"/>
    <cellStyle name="40% - Accent6 12 2 3 2 2 3" xfId="24652" xr:uid="{00000000-0005-0000-0000-0000644E0000}"/>
    <cellStyle name="40% - Accent6 12 2 3 2 2 3 2" xfId="48484" xr:uid="{D4218ACF-C178-4416-BA0F-3E4FDB8B7FD5}"/>
    <cellStyle name="40% - Accent6 12 2 3 2 2 4" xfId="32607" xr:uid="{CAEACF78-B1FC-4C0A-9529-909CC50BF87C}"/>
    <cellStyle name="40% - Accent6 12 2 3 2 3" xfId="13168" xr:uid="{00000000-0005-0000-0000-0000654E0000}"/>
    <cellStyle name="40% - Accent6 12 2 3 2 3 2" xfId="37017" xr:uid="{67DFA8D8-C22A-49AD-9D02-D5B5CA85E025}"/>
    <cellStyle name="40% - Accent6 12 2 3 2 4" xfId="21123" xr:uid="{00000000-0005-0000-0000-0000664E0000}"/>
    <cellStyle name="40% - Accent6 12 2 3 2 4 2" xfId="44955" xr:uid="{A80DBBBA-125D-4A20-BAEE-D3A40BDDFDC6}"/>
    <cellStyle name="40% - Accent6 12 2 3 2 5" xfId="29076" xr:uid="{334AB455-0E2D-4272-B379-2F3F5442779D}"/>
    <cellStyle name="40% - Accent6 12 2 3 3" xfId="6977" xr:uid="{00000000-0005-0000-0000-0000674E0000}"/>
    <cellStyle name="40% - Accent6 12 2 3 3 2" xfId="14948" xr:uid="{00000000-0005-0000-0000-0000684E0000}"/>
    <cellStyle name="40% - Accent6 12 2 3 3 2 2" xfId="38790" xr:uid="{EDD819BD-2BD2-4921-A1AF-BE59629EBEF1}"/>
    <cellStyle name="40% - Accent6 12 2 3 3 3" xfId="22895" xr:uid="{00000000-0005-0000-0000-0000694E0000}"/>
    <cellStyle name="40% - Accent6 12 2 3 3 3 2" xfId="46727" xr:uid="{32CB583D-FE73-42A8-9095-97C41787B343}"/>
    <cellStyle name="40% - Accent6 12 2 3 3 4" xfId="30849" xr:uid="{56F2F341-F1D0-496D-8AC4-0481B8E0D3FF}"/>
    <cellStyle name="40% - Accent6 12 2 3 4" xfId="11412" xr:uid="{00000000-0005-0000-0000-00006A4E0000}"/>
    <cellStyle name="40% - Accent6 12 2 3 4 2" xfId="35261" xr:uid="{B23016A5-D426-4EC6-BB9E-7C72E445A1B9}"/>
    <cellStyle name="40% - Accent6 12 2 3 5" xfId="19367" xr:uid="{00000000-0005-0000-0000-00006B4E0000}"/>
    <cellStyle name="40% - Accent6 12 2 3 5 2" xfId="43199" xr:uid="{1B259A7D-D47F-4844-9307-D1E849C543CE}"/>
    <cellStyle name="40% - Accent6 12 2 3 6" xfId="27319" xr:uid="{83338F7C-B3DF-415B-AD29-64896311A037}"/>
    <cellStyle name="40% - Accent6 12 2 3_Exh G" xfId="3318" xr:uid="{00000000-0005-0000-0000-00006C4E0000}"/>
    <cellStyle name="40% - Accent6 12 2 4" xfId="4266" xr:uid="{00000000-0005-0000-0000-00006D4E0000}"/>
    <cellStyle name="40% - Accent6 12 2 4 2" xfId="7858" xr:uid="{00000000-0005-0000-0000-00006E4E0000}"/>
    <cellStyle name="40% - Accent6 12 2 4 2 2" xfId="15828" xr:uid="{00000000-0005-0000-0000-00006F4E0000}"/>
    <cellStyle name="40% - Accent6 12 2 4 2 2 2" xfId="39670" xr:uid="{B604F74A-D90B-4653-A928-B54CABF76BFB}"/>
    <cellStyle name="40% - Accent6 12 2 4 2 3" xfId="23774" xr:uid="{00000000-0005-0000-0000-0000704E0000}"/>
    <cellStyle name="40% - Accent6 12 2 4 2 3 2" xfId="47606" xr:uid="{AB26A4BE-08F4-4E49-9EAA-17CF0BD65471}"/>
    <cellStyle name="40% - Accent6 12 2 4 2 4" xfId="31729" xr:uid="{CCBC793D-B8E6-4479-937B-B01A7F943A51}"/>
    <cellStyle name="40% - Accent6 12 2 4 3" xfId="12290" xr:uid="{00000000-0005-0000-0000-0000714E0000}"/>
    <cellStyle name="40% - Accent6 12 2 4 3 2" xfId="36139" xr:uid="{C0BB5CBA-5BAB-4689-AE3A-BDC55BBEE174}"/>
    <cellStyle name="40% - Accent6 12 2 4 4" xfId="20245" xr:uid="{00000000-0005-0000-0000-0000724E0000}"/>
    <cellStyle name="40% - Accent6 12 2 4 4 2" xfId="44077" xr:uid="{DEEA99DA-371A-4EC7-B48A-1B395DAB1D9B}"/>
    <cellStyle name="40% - Accent6 12 2 4 5" xfId="28198" xr:uid="{460F1B8E-9C0C-48C5-88BF-EDBCEA1BA08B}"/>
    <cellStyle name="40% - Accent6 12 2 5" xfId="6086" xr:uid="{00000000-0005-0000-0000-0000734E0000}"/>
    <cellStyle name="40% - Accent6 12 2 5 2" xfId="14069" xr:uid="{00000000-0005-0000-0000-0000744E0000}"/>
    <cellStyle name="40% - Accent6 12 2 5 2 2" xfId="37912" xr:uid="{EDF6898F-808F-4A36-AA0B-55A7FC7F24F6}"/>
    <cellStyle name="40% - Accent6 12 2 5 3" xfId="22017" xr:uid="{00000000-0005-0000-0000-0000754E0000}"/>
    <cellStyle name="40% - Accent6 12 2 5 3 2" xfId="45849" xr:uid="{B700D6DF-EBCD-45AD-83FA-FD4EE37F9F80}"/>
    <cellStyle name="40% - Accent6 12 2 5 4" xfId="29971" xr:uid="{6E6B8193-05AC-4B98-B314-605076D2FABB}"/>
    <cellStyle name="40% - Accent6 12 2 6" xfId="9638" xr:uid="{00000000-0005-0000-0000-0000764E0000}"/>
    <cellStyle name="40% - Accent6 12 2 6 2" xfId="17596" xr:uid="{00000000-0005-0000-0000-0000774E0000}"/>
    <cellStyle name="40% - Accent6 12 2 6 2 2" xfId="41436" xr:uid="{D2F54594-532D-44AE-B952-ACA3927FC91B}"/>
    <cellStyle name="40% - Accent6 12 2 6 3" xfId="25540" xr:uid="{00000000-0005-0000-0000-0000784E0000}"/>
    <cellStyle name="40% - Accent6 12 2 6 3 2" xfId="49372" xr:uid="{2675CA8C-CDE2-423B-81C1-CB254A688ABD}"/>
    <cellStyle name="40% - Accent6 12 2 6 4" xfId="33495" xr:uid="{EE0C75CC-DEDB-4AF7-9151-16299E7FBD30}"/>
    <cellStyle name="40% - Accent6 12 2 7" xfId="10534" xr:uid="{00000000-0005-0000-0000-0000794E0000}"/>
    <cellStyle name="40% - Accent6 12 2 7 2" xfId="34383" xr:uid="{9BC2FC3F-6D65-4F56-8E5C-C99782D2F3CD}"/>
    <cellStyle name="40% - Accent6 12 2 8" xfId="18489" xr:uid="{00000000-0005-0000-0000-00007A4E0000}"/>
    <cellStyle name="40% - Accent6 12 2 8 2" xfId="42321" xr:uid="{7E45734B-7C15-4000-8652-55A7F1A35CD5}"/>
    <cellStyle name="40% - Accent6 12 2 9" xfId="26441" xr:uid="{779D421B-7213-48EC-805D-4F21AF7219A0}"/>
    <cellStyle name="40% - Accent6 12 2_Exh G" xfId="3315" xr:uid="{00000000-0005-0000-0000-00007B4E0000}"/>
    <cellStyle name="40% - Accent6 12 3" xfId="594" xr:uid="{00000000-0005-0000-0000-00007C4E0000}"/>
    <cellStyle name="40% - Accent6 12 3 2" xfId="1620" xr:uid="{00000000-0005-0000-0000-00007D4E0000}"/>
    <cellStyle name="40% - Accent6 12 3 2 2" xfId="5147" xr:uid="{00000000-0005-0000-0000-00007E4E0000}"/>
    <cellStyle name="40% - Accent6 12 3 2 2 2" xfId="8738" xr:uid="{00000000-0005-0000-0000-00007F4E0000}"/>
    <cellStyle name="40% - Accent6 12 3 2 2 2 2" xfId="16708" xr:uid="{00000000-0005-0000-0000-0000804E0000}"/>
    <cellStyle name="40% - Accent6 12 3 2 2 2 2 2" xfId="40550" xr:uid="{AF9F1937-D4C7-4CB5-B866-2A1741793F8C}"/>
    <cellStyle name="40% - Accent6 12 3 2 2 2 3" xfId="24654" xr:uid="{00000000-0005-0000-0000-0000814E0000}"/>
    <cellStyle name="40% - Accent6 12 3 2 2 2 3 2" xfId="48486" xr:uid="{B1B2E8C0-E977-4479-A96A-18B224F12F04}"/>
    <cellStyle name="40% - Accent6 12 3 2 2 2 4" xfId="32609" xr:uid="{DFA9E4F6-38DF-4A4B-9513-37DA84089FD9}"/>
    <cellStyle name="40% - Accent6 12 3 2 2 3" xfId="13170" xr:uid="{00000000-0005-0000-0000-0000824E0000}"/>
    <cellStyle name="40% - Accent6 12 3 2 2 3 2" xfId="37019" xr:uid="{88767EA5-EF8A-4209-ABC5-7A38C65DC1C1}"/>
    <cellStyle name="40% - Accent6 12 3 2 2 4" xfId="21125" xr:uid="{00000000-0005-0000-0000-0000834E0000}"/>
    <cellStyle name="40% - Accent6 12 3 2 2 4 2" xfId="44957" xr:uid="{B8187AA5-F9AC-45E2-9549-C583B4E498A9}"/>
    <cellStyle name="40% - Accent6 12 3 2 2 5" xfId="29078" xr:uid="{FC662CD0-3031-4637-9A41-234F72D75CB9}"/>
    <cellStyle name="40% - Accent6 12 3 2 3" xfId="6979" xr:uid="{00000000-0005-0000-0000-0000844E0000}"/>
    <cellStyle name="40% - Accent6 12 3 2 3 2" xfId="14950" xr:uid="{00000000-0005-0000-0000-0000854E0000}"/>
    <cellStyle name="40% - Accent6 12 3 2 3 2 2" xfId="38792" xr:uid="{37EB941C-8467-41B3-905F-A72CF357F9BE}"/>
    <cellStyle name="40% - Accent6 12 3 2 3 3" xfId="22897" xr:uid="{00000000-0005-0000-0000-0000864E0000}"/>
    <cellStyle name="40% - Accent6 12 3 2 3 3 2" xfId="46729" xr:uid="{22E938C8-083D-40BC-B871-0A4CF9F596E8}"/>
    <cellStyle name="40% - Accent6 12 3 2 3 4" xfId="30851" xr:uid="{BA22233D-45BC-4025-B991-30C03019589D}"/>
    <cellStyle name="40% - Accent6 12 3 2 4" xfId="11414" xr:uid="{00000000-0005-0000-0000-0000874E0000}"/>
    <cellStyle name="40% - Accent6 12 3 2 4 2" xfId="35263" xr:uid="{7BD8FB5F-521B-47A9-B5ED-124C8570CF6D}"/>
    <cellStyle name="40% - Accent6 12 3 2 5" xfId="19369" xr:uid="{00000000-0005-0000-0000-0000884E0000}"/>
    <cellStyle name="40% - Accent6 12 3 2 5 2" xfId="43201" xr:uid="{26F2FB4F-7F36-40A9-B306-68993E6512EC}"/>
    <cellStyle name="40% - Accent6 12 3 2 6" xfId="27321" xr:uid="{CC59A57A-B85E-4041-B73C-2A70B7841C52}"/>
    <cellStyle name="40% - Accent6 12 3 2_Exh G" xfId="3320" xr:uid="{00000000-0005-0000-0000-0000894E0000}"/>
    <cellStyle name="40% - Accent6 12 3 3" xfId="4268" xr:uid="{00000000-0005-0000-0000-00008A4E0000}"/>
    <cellStyle name="40% - Accent6 12 3 3 2" xfId="7860" xr:uid="{00000000-0005-0000-0000-00008B4E0000}"/>
    <cellStyle name="40% - Accent6 12 3 3 2 2" xfId="15830" xr:uid="{00000000-0005-0000-0000-00008C4E0000}"/>
    <cellStyle name="40% - Accent6 12 3 3 2 2 2" xfId="39672" xr:uid="{31963C68-E3B3-4D53-8394-1BD2ACDC1E29}"/>
    <cellStyle name="40% - Accent6 12 3 3 2 3" xfId="23776" xr:uid="{00000000-0005-0000-0000-00008D4E0000}"/>
    <cellStyle name="40% - Accent6 12 3 3 2 3 2" xfId="47608" xr:uid="{7D16B79A-C184-4060-AC4A-712741A557D4}"/>
    <cellStyle name="40% - Accent6 12 3 3 2 4" xfId="31731" xr:uid="{927A3AC6-5793-40D7-BBBF-55D4BCA2562A}"/>
    <cellStyle name="40% - Accent6 12 3 3 3" xfId="12292" xr:uid="{00000000-0005-0000-0000-00008E4E0000}"/>
    <cellStyle name="40% - Accent6 12 3 3 3 2" xfId="36141" xr:uid="{DFDAC0FE-A652-4BBC-BABA-5FFAE046DCA0}"/>
    <cellStyle name="40% - Accent6 12 3 3 4" xfId="20247" xr:uid="{00000000-0005-0000-0000-00008F4E0000}"/>
    <cellStyle name="40% - Accent6 12 3 3 4 2" xfId="44079" xr:uid="{BDF78CC8-7EAD-4A70-B38B-C9F9DB34D3D8}"/>
    <cellStyle name="40% - Accent6 12 3 3 5" xfId="28200" xr:uid="{C48F767F-1224-4CFB-9B5B-748913120676}"/>
    <cellStyle name="40% - Accent6 12 3 4" xfId="6088" xr:uid="{00000000-0005-0000-0000-0000904E0000}"/>
    <cellStyle name="40% - Accent6 12 3 4 2" xfId="14071" xr:uid="{00000000-0005-0000-0000-0000914E0000}"/>
    <cellStyle name="40% - Accent6 12 3 4 2 2" xfId="37914" xr:uid="{BEF52A95-35BA-4944-9AE4-645E833211DD}"/>
    <cellStyle name="40% - Accent6 12 3 4 3" xfId="22019" xr:uid="{00000000-0005-0000-0000-0000924E0000}"/>
    <cellStyle name="40% - Accent6 12 3 4 3 2" xfId="45851" xr:uid="{3D87E29C-3E18-4173-BF86-FA173F8EB80C}"/>
    <cellStyle name="40% - Accent6 12 3 4 4" xfId="29973" xr:uid="{656F6EA9-D178-45BA-904D-2D3147103032}"/>
    <cellStyle name="40% - Accent6 12 3 5" xfId="9640" xr:uid="{00000000-0005-0000-0000-0000934E0000}"/>
    <cellStyle name="40% - Accent6 12 3 5 2" xfId="17598" xr:uid="{00000000-0005-0000-0000-0000944E0000}"/>
    <cellStyle name="40% - Accent6 12 3 5 2 2" xfId="41438" xr:uid="{2D37AD5D-1909-419B-B482-49AC25BE10C5}"/>
    <cellStyle name="40% - Accent6 12 3 5 3" xfId="25542" xr:uid="{00000000-0005-0000-0000-0000954E0000}"/>
    <cellStyle name="40% - Accent6 12 3 5 3 2" xfId="49374" xr:uid="{CCB5D460-CF55-4CAD-AAA8-867FCB0CD895}"/>
    <cellStyle name="40% - Accent6 12 3 5 4" xfId="33497" xr:uid="{6507054F-C4D2-4840-9275-2DDCA9698A8E}"/>
    <cellStyle name="40% - Accent6 12 3 6" xfId="10536" xr:uid="{00000000-0005-0000-0000-0000964E0000}"/>
    <cellStyle name="40% - Accent6 12 3 6 2" xfId="34385" xr:uid="{DF54314E-6892-4273-AB60-EEA6A997B844}"/>
    <cellStyle name="40% - Accent6 12 3 7" xfId="18491" xr:uid="{00000000-0005-0000-0000-0000974E0000}"/>
    <cellStyle name="40% - Accent6 12 3 7 2" xfId="42323" xr:uid="{9523C2CD-320A-4B9A-AFC6-9A764AF17C0B}"/>
    <cellStyle name="40% - Accent6 12 3 8" xfId="26443" xr:uid="{28BABC4E-B440-4C85-869D-624FE6B9D0D8}"/>
    <cellStyle name="40% - Accent6 12 3_Exh G" xfId="3319" xr:uid="{00000000-0005-0000-0000-0000984E0000}"/>
    <cellStyle name="40% - Accent6 12 4" xfId="1617" xr:uid="{00000000-0005-0000-0000-0000994E0000}"/>
    <cellStyle name="40% - Accent6 12 4 2" xfId="5144" xr:uid="{00000000-0005-0000-0000-00009A4E0000}"/>
    <cellStyle name="40% - Accent6 12 4 2 2" xfId="8735" xr:uid="{00000000-0005-0000-0000-00009B4E0000}"/>
    <cellStyle name="40% - Accent6 12 4 2 2 2" xfId="16705" xr:uid="{00000000-0005-0000-0000-00009C4E0000}"/>
    <cellStyle name="40% - Accent6 12 4 2 2 2 2" xfId="40547" xr:uid="{803D257E-7E12-4DF4-8F54-48664A03258D}"/>
    <cellStyle name="40% - Accent6 12 4 2 2 3" xfId="24651" xr:uid="{00000000-0005-0000-0000-00009D4E0000}"/>
    <cellStyle name="40% - Accent6 12 4 2 2 3 2" xfId="48483" xr:uid="{F797AD22-8B76-48D3-98AE-76BBE4784159}"/>
    <cellStyle name="40% - Accent6 12 4 2 2 4" xfId="32606" xr:uid="{275EAC53-C9E7-49A2-A712-455126F6FB3E}"/>
    <cellStyle name="40% - Accent6 12 4 2 3" xfId="13167" xr:uid="{00000000-0005-0000-0000-00009E4E0000}"/>
    <cellStyle name="40% - Accent6 12 4 2 3 2" xfId="37016" xr:uid="{10D16F25-D21A-4869-B985-B176667758C9}"/>
    <cellStyle name="40% - Accent6 12 4 2 4" xfId="21122" xr:uid="{00000000-0005-0000-0000-00009F4E0000}"/>
    <cellStyle name="40% - Accent6 12 4 2 4 2" xfId="44954" xr:uid="{B666E84A-AAC2-4FDD-86A0-01BC2A143CDC}"/>
    <cellStyle name="40% - Accent6 12 4 2 5" xfId="29075" xr:uid="{5A29F785-9036-4024-BB7E-BF610EED5B42}"/>
    <cellStyle name="40% - Accent6 12 4 3" xfId="6976" xr:uid="{00000000-0005-0000-0000-0000A04E0000}"/>
    <cellStyle name="40% - Accent6 12 4 3 2" xfId="14947" xr:uid="{00000000-0005-0000-0000-0000A14E0000}"/>
    <cellStyle name="40% - Accent6 12 4 3 2 2" xfId="38789" xr:uid="{07FDF0F0-B120-44D4-9C14-9689701B860B}"/>
    <cellStyle name="40% - Accent6 12 4 3 3" xfId="22894" xr:uid="{00000000-0005-0000-0000-0000A24E0000}"/>
    <cellStyle name="40% - Accent6 12 4 3 3 2" xfId="46726" xr:uid="{A08EB1B4-49EA-4E4A-BFDB-F627A4BD3F45}"/>
    <cellStyle name="40% - Accent6 12 4 3 4" xfId="30848" xr:uid="{5586122F-E3E7-41F9-8480-7F8E88730DA7}"/>
    <cellStyle name="40% - Accent6 12 4 4" xfId="11411" xr:uid="{00000000-0005-0000-0000-0000A34E0000}"/>
    <cellStyle name="40% - Accent6 12 4 4 2" xfId="35260" xr:uid="{4ABE757F-6295-4F2E-9950-0521578CF3F6}"/>
    <cellStyle name="40% - Accent6 12 4 5" xfId="19366" xr:uid="{00000000-0005-0000-0000-0000A44E0000}"/>
    <cellStyle name="40% - Accent6 12 4 5 2" xfId="43198" xr:uid="{3E990BF7-0920-4F38-806B-681CD4DA7FD6}"/>
    <cellStyle name="40% - Accent6 12 4 6" xfId="27318" xr:uid="{09219B32-2B38-4249-90A9-BA998C832343}"/>
    <cellStyle name="40% - Accent6 12 4_Exh G" xfId="3321" xr:uid="{00000000-0005-0000-0000-0000A54E0000}"/>
    <cellStyle name="40% - Accent6 12 5" xfId="4265" xr:uid="{00000000-0005-0000-0000-0000A64E0000}"/>
    <cellStyle name="40% - Accent6 12 5 2" xfId="7857" xr:uid="{00000000-0005-0000-0000-0000A74E0000}"/>
    <cellStyle name="40% - Accent6 12 5 2 2" xfId="15827" xr:uid="{00000000-0005-0000-0000-0000A84E0000}"/>
    <cellStyle name="40% - Accent6 12 5 2 2 2" xfId="39669" xr:uid="{6F292139-5F6A-4E2C-8099-A2E1F9660534}"/>
    <cellStyle name="40% - Accent6 12 5 2 3" xfId="23773" xr:uid="{00000000-0005-0000-0000-0000A94E0000}"/>
    <cellStyle name="40% - Accent6 12 5 2 3 2" xfId="47605" xr:uid="{44A4F26A-8786-49A9-8A73-BD67CA0836F7}"/>
    <cellStyle name="40% - Accent6 12 5 2 4" xfId="31728" xr:uid="{486BB3FF-23C6-42F1-A9C9-D7EDBC45446C}"/>
    <cellStyle name="40% - Accent6 12 5 3" xfId="12289" xr:uid="{00000000-0005-0000-0000-0000AA4E0000}"/>
    <cellStyle name="40% - Accent6 12 5 3 2" xfId="36138" xr:uid="{47D6E677-AC3F-46D6-8D6B-439B604B977B}"/>
    <cellStyle name="40% - Accent6 12 5 4" xfId="20244" xr:uid="{00000000-0005-0000-0000-0000AB4E0000}"/>
    <cellStyle name="40% - Accent6 12 5 4 2" xfId="44076" xr:uid="{69E590E1-5243-4B87-B925-7824A1956C16}"/>
    <cellStyle name="40% - Accent6 12 5 5" xfId="28197" xr:uid="{0B07C1BB-B18B-4A83-BDB7-587404CFBC55}"/>
    <cellStyle name="40% - Accent6 12 6" xfId="6085" xr:uid="{00000000-0005-0000-0000-0000AC4E0000}"/>
    <cellStyle name="40% - Accent6 12 6 2" xfId="14068" xr:uid="{00000000-0005-0000-0000-0000AD4E0000}"/>
    <cellStyle name="40% - Accent6 12 6 2 2" xfId="37911" xr:uid="{65688D79-1190-4AF4-A853-E38B9F5E0455}"/>
    <cellStyle name="40% - Accent6 12 6 3" xfId="22016" xr:uid="{00000000-0005-0000-0000-0000AE4E0000}"/>
    <cellStyle name="40% - Accent6 12 6 3 2" xfId="45848" xr:uid="{7AB81C59-0502-48E0-AA8A-59887CAD0401}"/>
    <cellStyle name="40% - Accent6 12 6 4" xfId="29970" xr:uid="{CBB2D579-52F7-478F-B8B7-6D3EB5597D51}"/>
    <cellStyle name="40% - Accent6 12 7" xfId="9637" xr:uid="{00000000-0005-0000-0000-0000AF4E0000}"/>
    <cellStyle name="40% - Accent6 12 7 2" xfId="17595" xr:uid="{00000000-0005-0000-0000-0000B04E0000}"/>
    <cellStyle name="40% - Accent6 12 7 2 2" xfId="41435" xr:uid="{7D55C233-E6E3-48CC-98E0-A9F68CF3EE4D}"/>
    <cellStyle name="40% - Accent6 12 7 3" xfId="25539" xr:uid="{00000000-0005-0000-0000-0000B14E0000}"/>
    <cellStyle name="40% - Accent6 12 7 3 2" xfId="49371" xr:uid="{B49DBB0A-3316-4CA1-9047-24B1260FE041}"/>
    <cellStyle name="40% - Accent6 12 7 4" xfId="33494" xr:uid="{3653BD26-F221-4C9D-86C1-4C6308369CF5}"/>
    <cellStyle name="40% - Accent6 12 8" xfId="10533" xr:uid="{00000000-0005-0000-0000-0000B24E0000}"/>
    <cellStyle name="40% - Accent6 12 8 2" xfId="34382" xr:uid="{1BA8D7EE-1483-43DE-83B8-B27F0545F6A6}"/>
    <cellStyle name="40% - Accent6 12 9" xfId="18488" xr:uid="{00000000-0005-0000-0000-0000B34E0000}"/>
    <cellStyle name="40% - Accent6 12 9 2" xfId="42320" xr:uid="{C22BC1ED-AE57-43AF-9E15-902386CAAC75}"/>
    <cellStyle name="40% - Accent6 12_Exh G" xfId="3314" xr:uid="{00000000-0005-0000-0000-0000B44E0000}"/>
    <cellStyle name="40% - Accent6 13" xfId="595" xr:uid="{00000000-0005-0000-0000-0000B54E0000}"/>
    <cellStyle name="40% - Accent6 13 10" xfId="26444" xr:uid="{BD8FF37D-1E8C-4B1A-99EB-01AB4C6172BB}"/>
    <cellStyle name="40% - Accent6 13 2" xfId="596" xr:uid="{00000000-0005-0000-0000-0000B64E0000}"/>
    <cellStyle name="40% - Accent6 13 2 2" xfId="597" xr:uid="{00000000-0005-0000-0000-0000B74E0000}"/>
    <cellStyle name="40% - Accent6 13 2 2 2" xfId="1623" xr:uid="{00000000-0005-0000-0000-0000B84E0000}"/>
    <cellStyle name="40% - Accent6 13 2 2 2 2" xfId="5150" xr:uid="{00000000-0005-0000-0000-0000B94E0000}"/>
    <cellStyle name="40% - Accent6 13 2 2 2 2 2" xfId="8741" xr:uid="{00000000-0005-0000-0000-0000BA4E0000}"/>
    <cellStyle name="40% - Accent6 13 2 2 2 2 2 2" xfId="16711" xr:uid="{00000000-0005-0000-0000-0000BB4E0000}"/>
    <cellStyle name="40% - Accent6 13 2 2 2 2 2 2 2" xfId="40553" xr:uid="{687EA56E-1FA6-483E-A77A-D695BA4019C7}"/>
    <cellStyle name="40% - Accent6 13 2 2 2 2 2 3" xfId="24657" xr:uid="{00000000-0005-0000-0000-0000BC4E0000}"/>
    <cellStyle name="40% - Accent6 13 2 2 2 2 2 3 2" xfId="48489" xr:uid="{BBF95A95-B010-48BE-A415-21C4A2F7817F}"/>
    <cellStyle name="40% - Accent6 13 2 2 2 2 2 4" xfId="32612" xr:uid="{9461BA1B-1C6E-45D4-A53F-D870B6C146DA}"/>
    <cellStyle name="40% - Accent6 13 2 2 2 2 3" xfId="13173" xr:uid="{00000000-0005-0000-0000-0000BD4E0000}"/>
    <cellStyle name="40% - Accent6 13 2 2 2 2 3 2" xfId="37022" xr:uid="{4857CBCC-D255-4386-991C-AFB780F680B2}"/>
    <cellStyle name="40% - Accent6 13 2 2 2 2 4" xfId="21128" xr:uid="{00000000-0005-0000-0000-0000BE4E0000}"/>
    <cellStyle name="40% - Accent6 13 2 2 2 2 4 2" xfId="44960" xr:uid="{FDC75A8B-0C2E-4D74-9C3C-E76DD6394BB2}"/>
    <cellStyle name="40% - Accent6 13 2 2 2 2 5" xfId="29081" xr:uid="{8134DD7F-7C1B-4661-9CDF-6D0002C0514F}"/>
    <cellStyle name="40% - Accent6 13 2 2 2 3" xfId="6982" xr:uid="{00000000-0005-0000-0000-0000BF4E0000}"/>
    <cellStyle name="40% - Accent6 13 2 2 2 3 2" xfId="14953" xr:uid="{00000000-0005-0000-0000-0000C04E0000}"/>
    <cellStyle name="40% - Accent6 13 2 2 2 3 2 2" xfId="38795" xr:uid="{FF4A03C4-B56E-43B2-9ED9-5A5153E2C2C5}"/>
    <cellStyle name="40% - Accent6 13 2 2 2 3 3" xfId="22900" xr:uid="{00000000-0005-0000-0000-0000C14E0000}"/>
    <cellStyle name="40% - Accent6 13 2 2 2 3 3 2" xfId="46732" xr:uid="{E398AF1B-C3B2-4B9E-98AA-2FAE37BF27AE}"/>
    <cellStyle name="40% - Accent6 13 2 2 2 3 4" xfId="30854" xr:uid="{C87F0359-4393-4760-BF25-78CE426F64B1}"/>
    <cellStyle name="40% - Accent6 13 2 2 2 4" xfId="11417" xr:uid="{00000000-0005-0000-0000-0000C24E0000}"/>
    <cellStyle name="40% - Accent6 13 2 2 2 4 2" xfId="35266" xr:uid="{9FC0424F-0746-4E4F-BDF1-FAA7053FCF9C}"/>
    <cellStyle name="40% - Accent6 13 2 2 2 5" xfId="19372" xr:uid="{00000000-0005-0000-0000-0000C34E0000}"/>
    <cellStyle name="40% - Accent6 13 2 2 2 5 2" xfId="43204" xr:uid="{A28346E1-7CCC-4699-9E11-79156EA1BEFB}"/>
    <cellStyle name="40% - Accent6 13 2 2 2 6" xfId="27324" xr:uid="{FDC04EDC-1FD2-4919-98E9-35D6AACEC64F}"/>
    <cellStyle name="40% - Accent6 13 2 2 2_Exh G" xfId="3325" xr:uid="{00000000-0005-0000-0000-0000C44E0000}"/>
    <cellStyle name="40% - Accent6 13 2 2 3" xfId="4271" xr:uid="{00000000-0005-0000-0000-0000C54E0000}"/>
    <cellStyle name="40% - Accent6 13 2 2 3 2" xfId="7863" xr:uid="{00000000-0005-0000-0000-0000C64E0000}"/>
    <cellStyle name="40% - Accent6 13 2 2 3 2 2" xfId="15833" xr:uid="{00000000-0005-0000-0000-0000C74E0000}"/>
    <cellStyle name="40% - Accent6 13 2 2 3 2 2 2" xfId="39675" xr:uid="{85345EAF-CF1F-4F9B-823F-FC0A2FEE606A}"/>
    <cellStyle name="40% - Accent6 13 2 2 3 2 3" xfId="23779" xr:uid="{00000000-0005-0000-0000-0000C84E0000}"/>
    <cellStyle name="40% - Accent6 13 2 2 3 2 3 2" xfId="47611" xr:uid="{65AA3BD9-7A0F-40EC-B03A-A6CBCD048E99}"/>
    <cellStyle name="40% - Accent6 13 2 2 3 2 4" xfId="31734" xr:uid="{3862C4B9-BDAA-44F1-B9F1-78FC2484C5A1}"/>
    <cellStyle name="40% - Accent6 13 2 2 3 3" xfId="12295" xr:uid="{00000000-0005-0000-0000-0000C94E0000}"/>
    <cellStyle name="40% - Accent6 13 2 2 3 3 2" xfId="36144" xr:uid="{3BAD96AB-D574-4049-996D-4A6103A50B16}"/>
    <cellStyle name="40% - Accent6 13 2 2 3 4" xfId="20250" xr:uid="{00000000-0005-0000-0000-0000CA4E0000}"/>
    <cellStyle name="40% - Accent6 13 2 2 3 4 2" xfId="44082" xr:uid="{F0BF1981-3A3B-48D4-BB51-86331DA49E70}"/>
    <cellStyle name="40% - Accent6 13 2 2 3 5" xfId="28203" xr:uid="{7298E4DF-5DCF-4A05-9BBE-9ED8C707DB74}"/>
    <cellStyle name="40% - Accent6 13 2 2 4" xfId="6091" xr:uid="{00000000-0005-0000-0000-0000CB4E0000}"/>
    <cellStyle name="40% - Accent6 13 2 2 4 2" xfId="14074" xr:uid="{00000000-0005-0000-0000-0000CC4E0000}"/>
    <cellStyle name="40% - Accent6 13 2 2 4 2 2" xfId="37917" xr:uid="{C38EAA28-E7F4-459E-A644-BD355214B00B}"/>
    <cellStyle name="40% - Accent6 13 2 2 4 3" xfId="22022" xr:uid="{00000000-0005-0000-0000-0000CD4E0000}"/>
    <cellStyle name="40% - Accent6 13 2 2 4 3 2" xfId="45854" xr:uid="{3C61CD33-ACA9-452D-8A7E-2452CA35CD76}"/>
    <cellStyle name="40% - Accent6 13 2 2 4 4" xfId="29976" xr:uid="{56C97C2C-ACBB-41A0-8C27-DF0085D4403B}"/>
    <cellStyle name="40% - Accent6 13 2 2 5" xfId="9643" xr:uid="{00000000-0005-0000-0000-0000CE4E0000}"/>
    <cellStyle name="40% - Accent6 13 2 2 5 2" xfId="17601" xr:uid="{00000000-0005-0000-0000-0000CF4E0000}"/>
    <cellStyle name="40% - Accent6 13 2 2 5 2 2" xfId="41441" xr:uid="{8BE12EFE-E946-48B5-B709-9DBAAAFD3F6B}"/>
    <cellStyle name="40% - Accent6 13 2 2 5 3" xfId="25545" xr:uid="{00000000-0005-0000-0000-0000D04E0000}"/>
    <cellStyle name="40% - Accent6 13 2 2 5 3 2" xfId="49377" xr:uid="{059EBFF4-65A3-404F-8318-5CEB1694C442}"/>
    <cellStyle name="40% - Accent6 13 2 2 5 4" xfId="33500" xr:uid="{7AE4A69B-EE44-4332-A540-FC75B7531B7C}"/>
    <cellStyle name="40% - Accent6 13 2 2 6" xfId="10539" xr:uid="{00000000-0005-0000-0000-0000D14E0000}"/>
    <cellStyle name="40% - Accent6 13 2 2 6 2" xfId="34388" xr:uid="{C0C87A0D-7C95-4926-B344-D08895F9CD95}"/>
    <cellStyle name="40% - Accent6 13 2 2 7" xfId="18494" xr:uid="{00000000-0005-0000-0000-0000D24E0000}"/>
    <cellStyle name="40% - Accent6 13 2 2 7 2" xfId="42326" xr:uid="{39871377-2FAA-4DBC-8C51-8E6756B7946A}"/>
    <cellStyle name="40% - Accent6 13 2 2 8" xfId="26446" xr:uid="{2C3E9769-00FB-474C-94E5-2CB0D5C34A95}"/>
    <cellStyle name="40% - Accent6 13 2 2_Exh G" xfId="3324" xr:uid="{00000000-0005-0000-0000-0000D34E0000}"/>
    <cellStyle name="40% - Accent6 13 2 3" xfId="1622" xr:uid="{00000000-0005-0000-0000-0000D44E0000}"/>
    <cellStyle name="40% - Accent6 13 2 3 2" xfId="5149" xr:uid="{00000000-0005-0000-0000-0000D54E0000}"/>
    <cellStyle name="40% - Accent6 13 2 3 2 2" xfId="8740" xr:uid="{00000000-0005-0000-0000-0000D64E0000}"/>
    <cellStyle name="40% - Accent6 13 2 3 2 2 2" xfId="16710" xr:uid="{00000000-0005-0000-0000-0000D74E0000}"/>
    <cellStyle name="40% - Accent6 13 2 3 2 2 2 2" xfId="40552" xr:uid="{110A90FC-FF9F-481C-8956-FFC0D8C9C9FA}"/>
    <cellStyle name="40% - Accent6 13 2 3 2 2 3" xfId="24656" xr:uid="{00000000-0005-0000-0000-0000D84E0000}"/>
    <cellStyle name="40% - Accent6 13 2 3 2 2 3 2" xfId="48488" xr:uid="{E30FAA49-BFA2-4494-B81A-46E5D778DE50}"/>
    <cellStyle name="40% - Accent6 13 2 3 2 2 4" xfId="32611" xr:uid="{8D85E1B2-5BEA-4737-B565-B0B6B81DD2DF}"/>
    <cellStyle name="40% - Accent6 13 2 3 2 3" xfId="13172" xr:uid="{00000000-0005-0000-0000-0000D94E0000}"/>
    <cellStyle name="40% - Accent6 13 2 3 2 3 2" xfId="37021" xr:uid="{22C1BC09-0FAF-413E-98F5-0166B3E0A228}"/>
    <cellStyle name="40% - Accent6 13 2 3 2 4" xfId="21127" xr:uid="{00000000-0005-0000-0000-0000DA4E0000}"/>
    <cellStyle name="40% - Accent6 13 2 3 2 4 2" xfId="44959" xr:uid="{8B8D96F7-9E84-4D69-9E4B-AD85710D1BA8}"/>
    <cellStyle name="40% - Accent6 13 2 3 2 5" xfId="29080" xr:uid="{8D95D218-8B60-40AF-8BF9-BD34F1C06675}"/>
    <cellStyle name="40% - Accent6 13 2 3 3" xfId="6981" xr:uid="{00000000-0005-0000-0000-0000DB4E0000}"/>
    <cellStyle name="40% - Accent6 13 2 3 3 2" xfId="14952" xr:uid="{00000000-0005-0000-0000-0000DC4E0000}"/>
    <cellStyle name="40% - Accent6 13 2 3 3 2 2" xfId="38794" xr:uid="{95E19137-B0A6-4ABD-8C68-D0E57EC03C65}"/>
    <cellStyle name="40% - Accent6 13 2 3 3 3" xfId="22899" xr:uid="{00000000-0005-0000-0000-0000DD4E0000}"/>
    <cellStyle name="40% - Accent6 13 2 3 3 3 2" xfId="46731" xr:uid="{D67DB538-4F33-4367-8D1C-B9F2844BD56E}"/>
    <cellStyle name="40% - Accent6 13 2 3 3 4" xfId="30853" xr:uid="{0DB19163-2E35-4805-BE9B-6CAEADE3A1FA}"/>
    <cellStyle name="40% - Accent6 13 2 3 4" xfId="11416" xr:uid="{00000000-0005-0000-0000-0000DE4E0000}"/>
    <cellStyle name="40% - Accent6 13 2 3 4 2" xfId="35265" xr:uid="{FA5A838B-0BDA-47E8-A96E-212258789F39}"/>
    <cellStyle name="40% - Accent6 13 2 3 5" xfId="19371" xr:uid="{00000000-0005-0000-0000-0000DF4E0000}"/>
    <cellStyle name="40% - Accent6 13 2 3 5 2" xfId="43203" xr:uid="{7CBC8007-D8FB-4D8F-BEBA-456FFF3A023B}"/>
    <cellStyle name="40% - Accent6 13 2 3 6" xfId="27323" xr:uid="{A8040863-0F5F-45DF-9001-79AE1BC918F7}"/>
    <cellStyle name="40% - Accent6 13 2 3_Exh G" xfId="3326" xr:uid="{00000000-0005-0000-0000-0000E04E0000}"/>
    <cellStyle name="40% - Accent6 13 2 4" xfId="4270" xr:uid="{00000000-0005-0000-0000-0000E14E0000}"/>
    <cellStyle name="40% - Accent6 13 2 4 2" xfId="7862" xr:uid="{00000000-0005-0000-0000-0000E24E0000}"/>
    <cellStyle name="40% - Accent6 13 2 4 2 2" xfId="15832" xr:uid="{00000000-0005-0000-0000-0000E34E0000}"/>
    <cellStyle name="40% - Accent6 13 2 4 2 2 2" xfId="39674" xr:uid="{2816BDFE-CD54-4DB3-B934-8BF063B26829}"/>
    <cellStyle name="40% - Accent6 13 2 4 2 3" xfId="23778" xr:uid="{00000000-0005-0000-0000-0000E44E0000}"/>
    <cellStyle name="40% - Accent6 13 2 4 2 3 2" xfId="47610" xr:uid="{602DE5AD-FD37-4217-94B0-C3DD46CFA56E}"/>
    <cellStyle name="40% - Accent6 13 2 4 2 4" xfId="31733" xr:uid="{0C1E4696-E4D3-42E7-B3DB-FB7BB875D22D}"/>
    <cellStyle name="40% - Accent6 13 2 4 3" xfId="12294" xr:uid="{00000000-0005-0000-0000-0000E54E0000}"/>
    <cellStyle name="40% - Accent6 13 2 4 3 2" xfId="36143" xr:uid="{F27BCF1B-30E3-4C1D-835C-22A19CE12B60}"/>
    <cellStyle name="40% - Accent6 13 2 4 4" xfId="20249" xr:uid="{00000000-0005-0000-0000-0000E64E0000}"/>
    <cellStyle name="40% - Accent6 13 2 4 4 2" xfId="44081" xr:uid="{A4158BB0-8443-4C1D-B094-9C76BEE0D57B}"/>
    <cellStyle name="40% - Accent6 13 2 4 5" xfId="28202" xr:uid="{A2F5B466-C202-4401-A182-1311D6543C0C}"/>
    <cellStyle name="40% - Accent6 13 2 5" xfId="6090" xr:uid="{00000000-0005-0000-0000-0000E74E0000}"/>
    <cellStyle name="40% - Accent6 13 2 5 2" xfId="14073" xr:uid="{00000000-0005-0000-0000-0000E84E0000}"/>
    <cellStyle name="40% - Accent6 13 2 5 2 2" xfId="37916" xr:uid="{812F4D51-B245-492F-8365-BF38E15EB70A}"/>
    <cellStyle name="40% - Accent6 13 2 5 3" xfId="22021" xr:uid="{00000000-0005-0000-0000-0000E94E0000}"/>
    <cellStyle name="40% - Accent6 13 2 5 3 2" xfId="45853" xr:uid="{CBEC5D54-9781-47F0-83D4-C7E3E8A37CF2}"/>
    <cellStyle name="40% - Accent6 13 2 5 4" xfId="29975" xr:uid="{F49092AF-383F-49D8-83FA-E0B741508A69}"/>
    <cellStyle name="40% - Accent6 13 2 6" xfId="9642" xr:uid="{00000000-0005-0000-0000-0000EA4E0000}"/>
    <cellStyle name="40% - Accent6 13 2 6 2" xfId="17600" xr:uid="{00000000-0005-0000-0000-0000EB4E0000}"/>
    <cellStyle name="40% - Accent6 13 2 6 2 2" xfId="41440" xr:uid="{49A21290-4701-4EAE-8297-F4264B873C01}"/>
    <cellStyle name="40% - Accent6 13 2 6 3" xfId="25544" xr:uid="{00000000-0005-0000-0000-0000EC4E0000}"/>
    <cellStyle name="40% - Accent6 13 2 6 3 2" xfId="49376" xr:uid="{A910BD7A-0C9F-4207-B119-B81A64D36330}"/>
    <cellStyle name="40% - Accent6 13 2 6 4" xfId="33499" xr:uid="{28330480-7CB3-4A66-8EB4-D4972F61A6B6}"/>
    <cellStyle name="40% - Accent6 13 2 7" xfId="10538" xr:uid="{00000000-0005-0000-0000-0000ED4E0000}"/>
    <cellStyle name="40% - Accent6 13 2 7 2" xfId="34387" xr:uid="{D28EDD39-AC1F-4207-AA45-BB7BB875963A}"/>
    <cellStyle name="40% - Accent6 13 2 8" xfId="18493" xr:uid="{00000000-0005-0000-0000-0000EE4E0000}"/>
    <cellStyle name="40% - Accent6 13 2 8 2" xfId="42325" xr:uid="{3C2FAE36-9334-4F7F-962C-4BFA8B8F4C1F}"/>
    <cellStyle name="40% - Accent6 13 2 9" xfId="26445" xr:uid="{26C618BB-D9C7-4BB1-BB95-8660F39E31CF}"/>
    <cellStyle name="40% - Accent6 13 2_Exh G" xfId="3323" xr:uid="{00000000-0005-0000-0000-0000EF4E0000}"/>
    <cellStyle name="40% - Accent6 13 3" xfId="598" xr:uid="{00000000-0005-0000-0000-0000F04E0000}"/>
    <cellStyle name="40% - Accent6 13 3 2" xfId="1624" xr:uid="{00000000-0005-0000-0000-0000F14E0000}"/>
    <cellStyle name="40% - Accent6 13 3 2 2" xfId="5151" xr:uid="{00000000-0005-0000-0000-0000F24E0000}"/>
    <cellStyle name="40% - Accent6 13 3 2 2 2" xfId="8742" xr:uid="{00000000-0005-0000-0000-0000F34E0000}"/>
    <cellStyle name="40% - Accent6 13 3 2 2 2 2" xfId="16712" xr:uid="{00000000-0005-0000-0000-0000F44E0000}"/>
    <cellStyle name="40% - Accent6 13 3 2 2 2 2 2" xfId="40554" xr:uid="{3C1B7537-8FAA-43F0-92AD-F51C1CE63A57}"/>
    <cellStyle name="40% - Accent6 13 3 2 2 2 3" xfId="24658" xr:uid="{00000000-0005-0000-0000-0000F54E0000}"/>
    <cellStyle name="40% - Accent6 13 3 2 2 2 3 2" xfId="48490" xr:uid="{E663D143-25B9-49CC-A927-00181DFEA14E}"/>
    <cellStyle name="40% - Accent6 13 3 2 2 2 4" xfId="32613" xr:uid="{A87CDEB4-40D1-40D8-B05A-87C504F58F72}"/>
    <cellStyle name="40% - Accent6 13 3 2 2 3" xfId="13174" xr:uid="{00000000-0005-0000-0000-0000F64E0000}"/>
    <cellStyle name="40% - Accent6 13 3 2 2 3 2" xfId="37023" xr:uid="{C1441AB9-446C-453D-9F29-9D02A501BE54}"/>
    <cellStyle name="40% - Accent6 13 3 2 2 4" xfId="21129" xr:uid="{00000000-0005-0000-0000-0000F74E0000}"/>
    <cellStyle name="40% - Accent6 13 3 2 2 4 2" xfId="44961" xr:uid="{1BD60D0E-2F1A-4AE7-A02C-A454DA985297}"/>
    <cellStyle name="40% - Accent6 13 3 2 2 5" xfId="29082" xr:uid="{B910B580-B0CE-447E-8446-3ABDC8858655}"/>
    <cellStyle name="40% - Accent6 13 3 2 3" xfId="6983" xr:uid="{00000000-0005-0000-0000-0000F84E0000}"/>
    <cellStyle name="40% - Accent6 13 3 2 3 2" xfId="14954" xr:uid="{00000000-0005-0000-0000-0000F94E0000}"/>
    <cellStyle name="40% - Accent6 13 3 2 3 2 2" xfId="38796" xr:uid="{810F274E-C2C6-498C-9C37-3D2010DCA6D8}"/>
    <cellStyle name="40% - Accent6 13 3 2 3 3" xfId="22901" xr:uid="{00000000-0005-0000-0000-0000FA4E0000}"/>
    <cellStyle name="40% - Accent6 13 3 2 3 3 2" xfId="46733" xr:uid="{FD0EB66C-C99F-4BD2-BD11-7B97DA66CCD5}"/>
    <cellStyle name="40% - Accent6 13 3 2 3 4" xfId="30855" xr:uid="{FD43B38B-9545-4350-8B18-709B8CFFBE62}"/>
    <cellStyle name="40% - Accent6 13 3 2 4" xfId="11418" xr:uid="{00000000-0005-0000-0000-0000FB4E0000}"/>
    <cellStyle name="40% - Accent6 13 3 2 4 2" xfId="35267" xr:uid="{6A7107C6-5DA5-4F5A-951A-456197BF25B3}"/>
    <cellStyle name="40% - Accent6 13 3 2 5" xfId="19373" xr:uid="{00000000-0005-0000-0000-0000FC4E0000}"/>
    <cellStyle name="40% - Accent6 13 3 2 5 2" xfId="43205" xr:uid="{5DE6EF7C-AFC4-47D7-9635-E4D99A41B6EA}"/>
    <cellStyle name="40% - Accent6 13 3 2 6" xfId="27325" xr:uid="{1EB46127-150F-4CEA-BB38-5B4D727FE063}"/>
    <cellStyle name="40% - Accent6 13 3 2_Exh G" xfId="3328" xr:uid="{00000000-0005-0000-0000-0000FD4E0000}"/>
    <cellStyle name="40% - Accent6 13 3 3" xfId="4272" xr:uid="{00000000-0005-0000-0000-0000FE4E0000}"/>
    <cellStyle name="40% - Accent6 13 3 3 2" xfId="7864" xr:uid="{00000000-0005-0000-0000-0000FF4E0000}"/>
    <cellStyle name="40% - Accent6 13 3 3 2 2" xfId="15834" xr:uid="{00000000-0005-0000-0000-0000004F0000}"/>
    <cellStyle name="40% - Accent6 13 3 3 2 2 2" xfId="39676" xr:uid="{881B940F-9F41-4F9B-B03F-B649D5A94573}"/>
    <cellStyle name="40% - Accent6 13 3 3 2 3" xfId="23780" xr:uid="{00000000-0005-0000-0000-0000014F0000}"/>
    <cellStyle name="40% - Accent6 13 3 3 2 3 2" xfId="47612" xr:uid="{30E0405D-6D35-4A87-8DAB-313D10DFF98A}"/>
    <cellStyle name="40% - Accent6 13 3 3 2 4" xfId="31735" xr:uid="{EFD8D327-3222-4656-85E1-32E65A78A164}"/>
    <cellStyle name="40% - Accent6 13 3 3 3" xfId="12296" xr:uid="{00000000-0005-0000-0000-0000024F0000}"/>
    <cellStyle name="40% - Accent6 13 3 3 3 2" xfId="36145" xr:uid="{F59FBCE7-6CC5-4A35-B946-489D177711E3}"/>
    <cellStyle name="40% - Accent6 13 3 3 4" xfId="20251" xr:uid="{00000000-0005-0000-0000-0000034F0000}"/>
    <cellStyle name="40% - Accent6 13 3 3 4 2" xfId="44083" xr:uid="{FACBB11D-D143-475D-B3D4-61042692E856}"/>
    <cellStyle name="40% - Accent6 13 3 3 5" xfId="28204" xr:uid="{A60B35C6-316F-45D7-B31A-70FC1623C15A}"/>
    <cellStyle name="40% - Accent6 13 3 4" xfId="6092" xr:uid="{00000000-0005-0000-0000-0000044F0000}"/>
    <cellStyle name="40% - Accent6 13 3 4 2" xfId="14075" xr:uid="{00000000-0005-0000-0000-0000054F0000}"/>
    <cellStyle name="40% - Accent6 13 3 4 2 2" xfId="37918" xr:uid="{CEA5ED9D-E4E7-4920-ABB8-FCDCA0EA6013}"/>
    <cellStyle name="40% - Accent6 13 3 4 3" xfId="22023" xr:uid="{00000000-0005-0000-0000-0000064F0000}"/>
    <cellStyle name="40% - Accent6 13 3 4 3 2" xfId="45855" xr:uid="{0070FAC9-6B0A-4423-A851-FF44EAB340EC}"/>
    <cellStyle name="40% - Accent6 13 3 4 4" xfId="29977" xr:uid="{D62880D8-5A93-4B13-8073-C0F2F1E09EC7}"/>
    <cellStyle name="40% - Accent6 13 3 5" xfId="9644" xr:uid="{00000000-0005-0000-0000-0000074F0000}"/>
    <cellStyle name="40% - Accent6 13 3 5 2" xfId="17602" xr:uid="{00000000-0005-0000-0000-0000084F0000}"/>
    <cellStyle name="40% - Accent6 13 3 5 2 2" xfId="41442" xr:uid="{4A36CB07-A234-4B76-BFB5-5E852B70ACFE}"/>
    <cellStyle name="40% - Accent6 13 3 5 3" xfId="25546" xr:uid="{00000000-0005-0000-0000-0000094F0000}"/>
    <cellStyle name="40% - Accent6 13 3 5 3 2" xfId="49378" xr:uid="{F72FDCD3-3848-489B-8737-9F58517AC825}"/>
    <cellStyle name="40% - Accent6 13 3 5 4" xfId="33501" xr:uid="{25566508-15B6-49E6-896E-1F065391EEF3}"/>
    <cellStyle name="40% - Accent6 13 3 6" xfId="10540" xr:uid="{00000000-0005-0000-0000-00000A4F0000}"/>
    <cellStyle name="40% - Accent6 13 3 6 2" xfId="34389" xr:uid="{799B287D-DEAA-4B83-A02B-4951B5552BD3}"/>
    <cellStyle name="40% - Accent6 13 3 7" xfId="18495" xr:uid="{00000000-0005-0000-0000-00000B4F0000}"/>
    <cellStyle name="40% - Accent6 13 3 7 2" xfId="42327" xr:uid="{42D6AF88-F634-44CE-B73C-E81C4F9ACE18}"/>
    <cellStyle name="40% - Accent6 13 3 8" xfId="26447" xr:uid="{E5D4DE1A-57CA-42D8-B5E2-06D2BD4DA666}"/>
    <cellStyle name="40% - Accent6 13 3_Exh G" xfId="3327" xr:uid="{00000000-0005-0000-0000-00000C4F0000}"/>
    <cellStyle name="40% - Accent6 13 4" xfId="1621" xr:uid="{00000000-0005-0000-0000-00000D4F0000}"/>
    <cellStyle name="40% - Accent6 13 4 2" xfId="5148" xr:uid="{00000000-0005-0000-0000-00000E4F0000}"/>
    <cellStyle name="40% - Accent6 13 4 2 2" xfId="8739" xr:uid="{00000000-0005-0000-0000-00000F4F0000}"/>
    <cellStyle name="40% - Accent6 13 4 2 2 2" xfId="16709" xr:uid="{00000000-0005-0000-0000-0000104F0000}"/>
    <cellStyle name="40% - Accent6 13 4 2 2 2 2" xfId="40551" xr:uid="{690885BE-9C09-4758-96F5-F08EA0448619}"/>
    <cellStyle name="40% - Accent6 13 4 2 2 3" xfId="24655" xr:uid="{00000000-0005-0000-0000-0000114F0000}"/>
    <cellStyle name="40% - Accent6 13 4 2 2 3 2" xfId="48487" xr:uid="{D7270F71-48B8-4535-8752-00863CD53D76}"/>
    <cellStyle name="40% - Accent6 13 4 2 2 4" xfId="32610" xr:uid="{8924E062-8451-43BD-B28B-1A3A768C565D}"/>
    <cellStyle name="40% - Accent6 13 4 2 3" xfId="13171" xr:uid="{00000000-0005-0000-0000-0000124F0000}"/>
    <cellStyle name="40% - Accent6 13 4 2 3 2" xfId="37020" xr:uid="{B2413D92-0A46-44BB-8ED8-59E31B0CBC0B}"/>
    <cellStyle name="40% - Accent6 13 4 2 4" xfId="21126" xr:uid="{00000000-0005-0000-0000-0000134F0000}"/>
    <cellStyle name="40% - Accent6 13 4 2 4 2" xfId="44958" xr:uid="{013A694F-8982-4248-AE73-4B7F0DC44091}"/>
    <cellStyle name="40% - Accent6 13 4 2 5" xfId="29079" xr:uid="{C909859D-4E66-406C-91D8-1C1F943A76DD}"/>
    <cellStyle name="40% - Accent6 13 4 3" xfId="6980" xr:uid="{00000000-0005-0000-0000-0000144F0000}"/>
    <cellStyle name="40% - Accent6 13 4 3 2" xfId="14951" xr:uid="{00000000-0005-0000-0000-0000154F0000}"/>
    <cellStyle name="40% - Accent6 13 4 3 2 2" xfId="38793" xr:uid="{4DA13CA1-DC9C-462D-9522-47B060D762E2}"/>
    <cellStyle name="40% - Accent6 13 4 3 3" xfId="22898" xr:uid="{00000000-0005-0000-0000-0000164F0000}"/>
    <cellStyle name="40% - Accent6 13 4 3 3 2" xfId="46730" xr:uid="{B67E7E79-C6F7-4B6B-8238-0B1BE4B89E60}"/>
    <cellStyle name="40% - Accent6 13 4 3 4" xfId="30852" xr:uid="{0ADCBF7D-2E71-4B19-980B-3F230E9B7F75}"/>
    <cellStyle name="40% - Accent6 13 4 4" xfId="11415" xr:uid="{00000000-0005-0000-0000-0000174F0000}"/>
    <cellStyle name="40% - Accent6 13 4 4 2" xfId="35264" xr:uid="{D7C634A9-ED30-4485-B310-3B005A3D456E}"/>
    <cellStyle name="40% - Accent6 13 4 5" xfId="19370" xr:uid="{00000000-0005-0000-0000-0000184F0000}"/>
    <cellStyle name="40% - Accent6 13 4 5 2" xfId="43202" xr:uid="{E990AC40-F40E-4A7C-8568-179DB737E745}"/>
    <cellStyle name="40% - Accent6 13 4 6" xfId="27322" xr:uid="{5138E3C7-6790-4E25-AD7F-92BDE872404C}"/>
    <cellStyle name="40% - Accent6 13 4_Exh G" xfId="3329" xr:uid="{00000000-0005-0000-0000-0000194F0000}"/>
    <cellStyle name="40% - Accent6 13 5" xfId="4269" xr:uid="{00000000-0005-0000-0000-00001A4F0000}"/>
    <cellStyle name="40% - Accent6 13 5 2" xfId="7861" xr:uid="{00000000-0005-0000-0000-00001B4F0000}"/>
    <cellStyle name="40% - Accent6 13 5 2 2" xfId="15831" xr:uid="{00000000-0005-0000-0000-00001C4F0000}"/>
    <cellStyle name="40% - Accent6 13 5 2 2 2" xfId="39673" xr:uid="{A347BF4B-A351-4F00-8A7B-E664D6AD9511}"/>
    <cellStyle name="40% - Accent6 13 5 2 3" xfId="23777" xr:uid="{00000000-0005-0000-0000-00001D4F0000}"/>
    <cellStyle name="40% - Accent6 13 5 2 3 2" xfId="47609" xr:uid="{1CD41C1B-B70E-41BB-B1F4-CF3C5892531C}"/>
    <cellStyle name="40% - Accent6 13 5 2 4" xfId="31732" xr:uid="{942E5366-B369-42B5-A160-808ECB6C6982}"/>
    <cellStyle name="40% - Accent6 13 5 3" xfId="12293" xr:uid="{00000000-0005-0000-0000-00001E4F0000}"/>
    <cellStyle name="40% - Accent6 13 5 3 2" xfId="36142" xr:uid="{2D78B08A-D6C2-4232-BFE3-F46676C0D0E8}"/>
    <cellStyle name="40% - Accent6 13 5 4" xfId="20248" xr:uid="{00000000-0005-0000-0000-00001F4F0000}"/>
    <cellStyle name="40% - Accent6 13 5 4 2" xfId="44080" xr:uid="{A8B528DB-5715-44A2-9390-3DE87149F61F}"/>
    <cellStyle name="40% - Accent6 13 5 5" xfId="28201" xr:uid="{08DAFFE3-5505-4A81-A0F3-B2F00BACCBFE}"/>
    <cellStyle name="40% - Accent6 13 6" xfId="6089" xr:uid="{00000000-0005-0000-0000-0000204F0000}"/>
    <cellStyle name="40% - Accent6 13 6 2" xfId="14072" xr:uid="{00000000-0005-0000-0000-0000214F0000}"/>
    <cellStyle name="40% - Accent6 13 6 2 2" xfId="37915" xr:uid="{E15EB9A4-CBB0-4190-BD4C-E23FB85AEC0D}"/>
    <cellStyle name="40% - Accent6 13 6 3" xfId="22020" xr:uid="{00000000-0005-0000-0000-0000224F0000}"/>
    <cellStyle name="40% - Accent6 13 6 3 2" xfId="45852" xr:uid="{18CA4BD7-1EEF-451B-8FDD-330B13C42230}"/>
    <cellStyle name="40% - Accent6 13 6 4" xfId="29974" xr:uid="{D3574647-1D60-424F-8011-DF8708B0607D}"/>
    <cellStyle name="40% - Accent6 13 7" xfId="9641" xr:uid="{00000000-0005-0000-0000-0000234F0000}"/>
    <cellStyle name="40% - Accent6 13 7 2" xfId="17599" xr:uid="{00000000-0005-0000-0000-0000244F0000}"/>
    <cellStyle name="40% - Accent6 13 7 2 2" xfId="41439" xr:uid="{D3A67D05-2DA0-4C58-AC75-0198A6D577C0}"/>
    <cellStyle name="40% - Accent6 13 7 3" xfId="25543" xr:uid="{00000000-0005-0000-0000-0000254F0000}"/>
    <cellStyle name="40% - Accent6 13 7 3 2" xfId="49375" xr:uid="{B11DBF0C-EF32-4F0D-AF73-B3889BA18105}"/>
    <cellStyle name="40% - Accent6 13 7 4" xfId="33498" xr:uid="{BCEA795E-FAFF-4B89-8573-C9E5DB8AC0EA}"/>
    <cellStyle name="40% - Accent6 13 8" xfId="10537" xr:uid="{00000000-0005-0000-0000-0000264F0000}"/>
    <cellStyle name="40% - Accent6 13 8 2" xfId="34386" xr:uid="{37C226D1-2EEE-4376-B5D0-C115088F04EE}"/>
    <cellStyle name="40% - Accent6 13 9" xfId="18492" xr:uid="{00000000-0005-0000-0000-0000274F0000}"/>
    <cellStyle name="40% - Accent6 13 9 2" xfId="42324" xr:uid="{93DEB3E3-1485-4313-AC37-E8042C74F228}"/>
    <cellStyle name="40% - Accent6 13_Exh G" xfId="3322" xr:uid="{00000000-0005-0000-0000-0000284F0000}"/>
    <cellStyle name="40% - Accent6 14" xfId="599" xr:uid="{00000000-0005-0000-0000-0000294F0000}"/>
    <cellStyle name="40% - Accent6 14 2" xfId="600" xr:uid="{00000000-0005-0000-0000-00002A4F0000}"/>
    <cellStyle name="40% - Accent6 14 2 2" xfId="1626" xr:uid="{00000000-0005-0000-0000-00002B4F0000}"/>
    <cellStyle name="40% - Accent6 14 2 2 2" xfId="5153" xr:uid="{00000000-0005-0000-0000-00002C4F0000}"/>
    <cellStyle name="40% - Accent6 14 2 2 2 2" xfId="8744" xr:uid="{00000000-0005-0000-0000-00002D4F0000}"/>
    <cellStyle name="40% - Accent6 14 2 2 2 2 2" xfId="16714" xr:uid="{00000000-0005-0000-0000-00002E4F0000}"/>
    <cellStyle name="40% - Accent6 14 2 2 2 2 2 2" xfId="40556" xr:uid="{54BE03F7-4747-43F1-8CFF-409227FB741F}"/>
    <cellStyle name="40% - Accent6 14 2 2 2 2 3" xfId="24660" xr:uid="{00000000-0005-0000-0000-00002F4F0000}"/>
    <cellStyle name="40% - Accent6 14 2 2 2 2 3 2" xfId="48492" xr:uid="{E0E54839-573F-4719-8F20-E86F7EC3B0DA}"/>
    <cellStyle name="40% - Accent6 14 2 2 2 2 4" xfId="32615" xr:uid="{F1F28B8B-5FF2-4C0A-8C04-0ADD01137F82}"/>
    <cellStyle name="40% - Accent6 14 2 2 2 3" xfId="13176" xr:uid="{00000000-0005-0000-0000-0000304F0000}"/>
    <cellStyle name="40% - Accent6 14 2 2 2 3 2" xfId="37025" xr:uid="{1AFC36B1-1870-41D4-AF6F-04259366DB06}"/>
    <cellStyle name="40% - Accent6 14 2 2 2 4" xfId="21131" xr:uid="{00000000-0005-0000-0000-0000314F0000}"/>
    <cellStyle name="40% - Accent6 14 2 2 2 4 2" xfId="44963" xr:uid="{A91D43CA-FB22-4128-AE59-71EFFA1B37CE}"/>
    <cellStyle name="40% - Accent6 14 2 2 2 5" xfId="29084" xr:uid="{CED1C5F0-60C8-42CC-B261-61A221B4256C}"/>
    <cellStyle name="40% - Accent6 14 2 2 3" xfId="6985" xr:uid="{00000000-0005-0000-0000-0000324F0000}"/>
    <cellStyle name="40% - Accent6 14 2 2 3 2" xfId="14956" xr:uid="{00000000-0005-0000-0000-0000334F0000}"/>
    <cellStyle name="40% - Accent6 14 2 2 3 2 2" xfId="38798" xr:uid="{5B17B0F7-136E-4902-AE72-E661C42F07EC}"/>
    <cellStyle name="40% - Accent6 14 2 2 3 3" xfId="22903" xr:uid="{00000000-0005-0000-0000-0000344F0000}"/>
    <cellStyle name="40% - Accent6 14 2 2 3 3 2" xfId="46735" xr:uid="{A086197B-74C6-4ECD-A13E-4F86234E7AC0}"/>
    <cellStyle name="40% - Accent6 14 2 2 3 4" xfId="30857" xr:uid="{05155DA2-9413-4311-8548-AAEEB25FD8C2}"/>
    <cellStyle name="40% - Accent6 14 2 2 4" xfId="11420" xr:uid="{00000000-0005-0000-0000-0000354F0000}"/>
    <cellStyle name="40% - Accent6 14 2 2 4 2" xfId="35269" xr:uid="{3B3667E2-A00C-4258-A91F-6C59C8B70277}"/>
    <cellStyle name="40% - Accent6 14 2 2 5" xfId="19375" xr:uid="{00000000-0005-0000-0000-0000364F0000}"/>
    <cellStyle name="40% - Accent6 14 2 2 5 2" xfId="43207" xr:uid="{5C12AEED-8178-418F-9446-57626B6B83F4}"/>
    <cellStyle name="40% - Accent6 14 2 2 6" xfId="27327" xr:uid="{A83373A6-948D-429C-BB50-AAB1F2F8E533}"/>
    <cellStyle name="40% - Accent6 14 2 2_Exh G" xfId="3332" xr:uid="{00000000-0005-0000-0000-0000374F0000}"/>
    <cellStyle name="40% - Accent6 14 2 3" xfId="4274" xr:uid="{00000000-0005-0000-0000-0000384F0000}"/>
    <cellStyle name="40% - Accent6 14 2 3 2" xfId="7866" xr:uid="{00000000-0005-0000-0000-0000394F0000}"/>
    <cellStyle name="40% - Accent6 14 2 3 2 2" xfId="15836" xr:uid="{00000000-0005-0000-0000-00003A4F0000}"/>
    <cellStyle name="40% - Accent6 14 2 3 2 2 2" xfId="39678" xr:uid="{6AC5FDE1-6B1D-41F4-ACFC-474F88A12427}"/>
    <cellStyle name="40% - Accent6 14 2 3 2 3" xfId="23782" xr:uid="{00000000-0005-0000-0000-00003B4F0000}"/>
    <cellStyle name="40% - Accent6 14 2 3 2 3 2" xfId="47614" xr:uid="{30A15886-A2F9-49FF-94EC-7AE3F502687D}"/>
    <cellStyle name="40% - Accent6 14 2 3 2 4" xfId="31737" xr:uid="{BBF962D8-65DB-4367-9974-6B7F3C546C65}"/>
    <cellStyle name="40% - Accent6 14 2 3 3" xfId="12298" xr:uid="{00000000-0005-0000-0000-00003C4F0000}"/>
    <cellStyle name="40% - Accent6 14 2 3 3 2" xfId="36147" xr:uid="{57C7C76D-61AA-4532-A447-2474CAE8B9BD}"/>
    <cellStyle name="40% - Accent6 14 2 3 4" xfId="20253" xr:uid="{00000000-0005-0000-0000-00003D4F0000}"/>
    <cellStyle name="40% - Accent6 14 2 3 4 2" xfId="44085" xr:uid="{A13C191F-0455-4B6A-88B5-9063C3C8CE4E}"/>
    <cellStyle name="40% - Accent6 14 2 3 5" xfId="28206" xr:uid="{7C67E300-5BE2-4CEA-BFD3-4AA074F0FE97}"/>
    <cellStyle name="40% - Accent6 14 2 4" xfId="6094" xr:uid="{00000000-0005-0000-0000-00003E4F0000}"/>
    <cellStyle name="40% - Accent6 14 2 4 2" xfId="14077" xr:uid="{00000000-0005-0000-0000-00003F4F0000}"/>
    <cellStyle name="40% - Accent6 14 2 4 2 2" xfId="37920" xr:uid="{FD1E5ECB-1131-4773-AD8D-D29DD9B9716F}"/>
    <cellStyle name="40% - Accent6 14 2 4 3" xfId="22025" xr:uid="{00000000-0005-0000-0000-0000404F0000}"/>
    <cellStyle name="40% - Accent6 14 2 4 3 2" xfId="45857" xr:uid="{A9127CDA-17DE-46F6-B1AC-E2864E0A5EF7}"/>
    <cellStyle name="40% - Accent6 14 2 4 4" xfId="29979" xr:uid="{64973D88-9E26-4B6F-A028-E1FE7DC1EED1}"/>
    <cellStyle name="40% - Accent6 14 2 5" xfId="9646" xr:uid="{00000000-0005-0000-0000-0000414F0000}"/>
    <cellStyle name="40% - Accent6 14 2 5 2" xfId="17604" xr:uid="{00000000-0005-0000-0000-0000424F0000}"/>
    <cellStyle name="40% - Accent6 14 2 5 2 2" xfId="41444" xr:uid="{ECB234DB-14E2-497B-B582-16E9BF3DF834}"/>
    <cellStyle name="40% - Accent6 14 2 5 3" xfId="25548" xr:uid="{00000000-0005-0000-0000-0000434F0000}"/>
    <cellStyle name="40% - Accent6 14 2 5 3 2" xfId="49380" xr:uid="{A37FDEAA-FB33-4FC5-B716-20FD06B760A7}"/>
    <cellStyle name="40% - Accent6 14 2 5 4" xfId="33503" xr:uid="{863817CC-6D18-4BD0-B12A-2A7E03D63110}"/>
    <cellStyle name="40% - Accent6 14 2 6" xfId="10542" xr:uid="{00000000-0005-0000-0000-0000444F0000}"/>
    <cellStyle name="40% - Accent6 14 2 6 2" xfId="34391" xr:uid="{03C49DEA-23C7-4899-A206-1FA84B75551D}"/>
    <cellStyle name="40% - Accent6 14 2 7" xfId="18497" xr:uid="{00000000-0005-0000-0000-0000454F0000}"/>
    <cellStyle name="40% - Accent6 14 2 7 2" xfId="42329" xr:uid="{E9077067-7074-4F02-87DA-815C5DEBDCB6}"/>
    <cellStyle name="40% - Accent6 14 2 8" xfId="26449" xr:uid="{1F8D13EE-859C-4088-B484-6B106A8A4757}"/>
    <cellStyle name="40% - Accent6 14 2_Exh G" xfId="3331" xr:uid="{00000000-0005-0000-0000-0000464F0000}"/>
    <cellStyle name="40% - Accent6 14 3" xfId="1625" xr:uid="{00000000-0005-0000-0000-0000474F0000}"/>
    <cellStyle name="40% - Accent6 14 3 2" xfId="5152" xr:uid="{00000000-0005-0000-0000-0000484F0000}"/>
    <cellStyle name="40% - Accent6 14 3 2 2" xfId="8743" xr:uid="{00000000-0005-0000-0000-0000494F0000}"/>
    <cellStyle name="40% - Accent6 14 3 2 2 2" xfId="16713" xr:uid="{00000000-0005-0000-0000-00004A4F0000}"/>
    <cellStyle name="40% - Accent6 14 3 2 2 2 2" xfId="40555" xr:uid="{84B68975-6A69-4297-B03C-6B9DEF8A5B5B}"/>
    <cellStyle name="40% - Accent6 14 3 2 2 3" xfId="24659" xr:uid="{00000000-0005-0000-0000-00004B4F0000}"/>
    <cellStyle name="40% - Accent6 14 3 2 2 3 2" xfId="48491" xr:uid="{6C82EB69-2341-48DD-AC16-5A79982982B9}"/>
    <cellStyle name="40% - Accent6 14 3 2 2 4" xfId="32614" xr:uid="{18B9A2EF-09F6-4B6B-8DFC-B74D95B9FD5A}"/>
    <cellStyle name="40% - Accent6 14 3 2 3" xfId="13175" xr:uid="{00000000-0005-0000-0000-00004C4F0000}"/>
    <cellStyle name="40% - Accent6 14 3 2 3 2" xfId="37024" xr:uid="{4D145607-E77E-4410-9975-16A4CA577A0B}"/>
    <cellStyle name="40% - Accent6 14 3 2 4" xfId="21130" xr:uid="{00000000-0005-0000-0000-00004D4F0000}"/>
    <cellStyle name="40% - Accent6 14 3 2 4 2" xfId="44962" xr:uid="{732D6C89-BB09-4381-B9D3-2070E54BAC5C}"/>
    <cellStyle name="40% - Accent6 14 3 2 5" xfId="29083" xr:uid="{ED4C7B5A-7CAF-43FD-9A88-B5F6A34BACB2}"/>
    <cellStyle name="40% - Accent6 14 3 3" xfId="6984" xr:uid="{00000000-0005-0000-0000-00004E4F0000}"/>
    <cellStyle name="40% - Accent6 14 3 3 2" xfId="14955" xr:uid="{00000000-0005-0000-0000-00004F4F0000}"/>
    <cellStyle name="40% - Accent6 14 3 3 2 2" xfId="38797" xr:uid="{712AB943-F848-4685-A18A-F76AF6039407}"/>
    <cellStyle name="40% - Accent6 14 3 3 3" xfId="22902" xr:uid="{00000000-0005-0000-0000-0000504F0000}"/>
    <cellStyle name="40% - Accent6 14 3 3 3 2" xfId="46734" xr:uid="{D89F9174-2688-4D8E-84F4-8308AFAD504F}"/>
    <cellStyle name="40% - Accent6 14 3 3 4" xfId="30856" xr:uid="{44920894-CB3D-4A49-90B4-1D9B592D6F15}"/>
    <cellStyle name="40% - Accent6 14 3 4" xfId="11419" xr:uid="{00000000-0005-0000-0000-0000514F0000}"/>
    <cellStyle name="40% - Accent6 14 3 4 2" xfId="35268" xr:uid="{0FC9706A-EAE3-4DB6-AEA4-E12C87E6C83B}"/>
    <cellStyle name="40% - Accent6 14 3 5" xfId="19374" xr:uid="{00000000-0005-0000-0000-0000524F0000}"/>
    <cellStyle name="40% - Accent6 14 3 5 2" xfId="43206" xr:uid="{48963939-FA55-4F67-93E9-53960190CE81}"/>
    <cellStyle name="40% - Accent6 14 3 6" xfId="27326" xr:uid="{361B0EDF-4B75-4904-A095-F068DCB050C1}"/>
    <cellStyle name="40% - Accent6 14 3_Exh G" xfId="3333" xr:uid="{00000000-0005-0000-0000-0000534F0000}"/>
    <cellStyle name="40% - Accent6 14 4" xfId="4273" xr:uid="{00000000-0005-0000-0000-0000544F0000}"/>
    <cellStyle name="40% - Accent6 14 4 2" xfId="7865" xr:uid="{00000000-0005-0000-0000-0000554F0000}"/>
    <cellStyle name="40% - Accent6 14 4 2 2" xfId="15835" xr:uid="{00000000-0005-0000-0000-0000564F0000}"/>
    <cellStyle name="40% - Accent6 14 4 2 2 2" xfId="39677" xr:uid="{8BCD82A1-C7E8-49EE-9A35-D34443EE3D9F}"/>
    <cellStyle name="40% - Accent6 14 4 2 3" xfId="23781" xr:uid="{00000000-0005-0000-0000-0000574F0000}"/>
    <cellStyle name="40% - Accent6 14 4 2 3 2" xfId="47613" xr:uid="{5B746F7B-64CA-4BE0-8348-273544489FC0}"/>
    <cellStyle name="40% - Accent6 14 4 2 4" xfId="31736" xr:uid="{8BFE80B6-84D7-45F7-B951-6CB5382ACE69}"/>
    <cellStyle name="40% - Accent6 14 4 3" xfId="12297" xr:uid="{00000000-0005-0000-0000-0000584F0000}"/>
    <cellStyle name="40% - Accent6 14 4 3 2" xfId="36146" xr:uid="{3501362A-BD02-4275-AD34-8344E02E1BD0}"/>
    <cellStyle name="40% - Accent6 14 4 4" xfId="20252" xr:uid="{00000000-0005-0000-0000-0000594F0000}"/>
    <cellStyle name="40% - Accent6 14 4 4 2" xfId="44084" xr:uid="{0D8E2ED4-8A17-4F60-A82A-0B54A08F9DB0}"/>
    <cellStyle name="40% - Accent6 14 4 5" xfId="28205" xr:uid="{512F533A-7D5F-4B11-93B9-1BB61B77D9E1}"/>
    <cellStyle name="40% - Accent6 14 5" xfId="6093" xr:uid="{00000000-0005-0000-0000-00005A4F0000}"/>
    <cellStyle name="40% - Accent6 14 5 2" xfId="14076" xr:uid="{00000000-0005-0000-0000-00005B4F0000}"/>
    <cellStyle name="40% - Accent6 14 5 2 2" xfId="37919" xr:uid="{D46EA710-869C-426E-A8FC-1B0F25906D8F}"/>
    <cellStyle name="40% - Accent6 14 5 3" xfId="22024" xr:uid="{00000000-0005-0000-0000-00005C4F0000}"/>
    <cellStyle name="40% - Accent6 14 5 3 2" xfId="45856" xr:uid="{BC5910F1-DA75-4DC8-ACB2-D27852F82319}"/>
    <cellStyle name="40% - Accent6 14 5 4" xfId="29978" xr:uid="{C91461BF-FB6E-47C2-9A7D-28AEAC96424C}"/>
    <cellStyle name="40% - Accent6 14 6" xfId="9645" xr:uid="{00000000-0005-0000-0000-00005D4F0000}"/>
    <cellStyle name="40% - Accent6 14 6 2" xfId="17603" xr:uid="{00000000-0005-0000-0000-00005E4F0000}"/>
    <cellStyle name="40% - Accent6 14 6 2 2" xfId="41443" xr:uid="{CDAC3103-B99F-439D-A582-D8D0F031F653}"/>
    <cellStyle name="40% - Accent6 14 6 3" xfId="25547" xr:uid="{00000000-0005-0000-0000-00005F4F0000}"/>
    <cellStyle name="40% - Accent6 14 6 3 2" xfId="49379" xr:uid="{092448B4-0F74-45A1-9C88-63A1FD717AB9}"/>
    <cellStyle name="40% - Accent6 14 6 4" xfId="33502" xr:uid="{488633EB-9FFD-40A1-8F87-363A71589E0E}"/>
    <cellStyle name="40% - Accent6 14 7" xfId="10541" xr:uid="{00000000-0005-0000-0000-0000604F0000}"/>
    <cellStyle name="40% - Accent6 14 7 2" xfId="34390" xr:uid="{061F3336-3CC0-462C-AE9C-AB57ACEA7425}"/>
    <cellStyle name="40% - Accent6 14 8" xfId="18496" xr:uid="{00000000-0005-0000-0000-0000614F0000}"/>
    <cellStyle name="40% - Accent6 14 8 2" xfId="42328" xr:uid="{5AC7B77C-827C-44D8-B7A8-80F80E282A17}"/>
    <cellStyle name="40% - Accent6 14 9" xfId="26448" xr:uid="{40684131-A3F8-439E-8783-81B604E60292}"/>
    <cellStyle name="40% - Accent6 14_Exh G" xfId="3330" xr:uid="{00000000-0005-0000-0000-0000624F0000}"/>
    <cellStyle name="40% - Accent6 15" xfId="601" xr:uid="{00000000-0005-0000-0000-0000634F0000}"/>
    <cellStyle name="40% - Accent6 15 2" xfId="1627" xr:uid="{00000000-0005-0000-0000-0000644F0000}"/>
    <cellStyle name="40% - Accent6 15 2 2" xfId="5154" xr:uid="{00000000-0005-0000-0000-0000654F0000}"/>
    <cellStyle name="40% - Accent6 15 2 2 2" xfId="8745" xr:uid="{00000000-0005-0000-0000-0000664F0000}"/>
    <cellStyle name="40% - Accent6 15 2 2 2 2" xfId="16715" xr:uid="{00000000-0005-0000-0000-0000674F0000}"/>
    <cellStyle name="40% - Accent6 15 2 2 2 2 2" xfId="40557" xr:uid="{AA0AF1E6-7D02-4AB8-8D4A-B76822EAFDD5}"/>
    <cellStyle name="40% - Accent6 15 2 2 2 3" xfId="24661" xr:uid="{00000000-0005-0000-0000-0000684F0000}"/>
    <cellStyle name="40% - Accent6 15 2 2 2 3 2" xfId="48493" xr:uid="{00134CBC-7960-4257-9EE5-19017FC49452}"/>
    <cellStyle name="40% - Accent6 15 2 2 2 4" xfId="32616" xr:uid="{BAE6E5DC-A89D-4533-A404-6F96BF2C9ABE}"/>
    <cellStyle name="40% - Accent6 15 2 2 3" xfId="13177" xr:uid="{00000000-0005-0000-0000-0000694F0000}"/>
    <cellStyle name="40% - Accent6 15 2 2 3 2" xfId="37026" xr:uid="{6E9CFC0D-C9C8-44B0-9533-579DCBF149A2}"/>
    <cellStyle name="40% - Accent6 15 2 2 4" xfId="21132" xr:uid="{00000000-0005-0000-0000-00006A4F0000}"/>
    <cellStyle name="40% - Accent6 15 2 2 4 2" xfId="44964" xr:uid="{1A37D55E-BC12-4FA3-AF31-DE12C95D5E68}"/>
    <cellStyle name="40% - Accent6 15 2 2 5" xfId="29085" xr:uid="{6C7DC56D-4102-420C-B30A-973FE0D7A609}"/>
    <cellStyle name="40% - Accent6 15 2 3" xfId="6986" xr:uid="{00000000-0005-0000-0000-00006B4F0000}"/>
    <cellStyle name="40% - Accent6 15 2 3 2" xfId="14957" xr:uid="{00000000-0005-0000-0000-00006C4F0000}"/>
    <cellStyle name="40% - Accent6 15 2 3 2 2" xfId="38799" xr:uid="{229CAE57-E992-4872-B826-EA1FD038A3FF}"/>
    <cellStyle name="40% - Accent6 15 2 3 3" xfId="22904" xr:uid="{00000000-0005-0000-0000-00006D4F0000}"/>
    <cellStyle name="40% - Accent6 15 2 3 3 2" xfId="46736" xr:uid="{E9D35DE3-8ACF-4508-BD52-EAB34B95ECB5}"/>
    <cellStyle name="40% - Accent6 15 2 3 4" xfId="30858" xr:uid="{6CE9CC83-687F-4442-A89D-EFCE65F0B244}"/>
    <cellStyle name="40% - Accent6 15 2 4" xfId="11421" xr:uid="{00000000-0005-0000-0000-00006E4F0000}"/>
    <cellStyle name="40% - Accent6 15 2 4 2" xfId="35270" xr:uid="{D0AC08A7-A5F0-4F2E-BD29-5BA2A3ACD69D}"/>
    <cellStyle name="40% - Accent6 15 2 5" xfId="19376" xr:uid="{00000000-0005-0000-0000-00006F4F0000}"/>
    <cellStyle name="40% - Accent6 15 2 5 2" xfId="43208" xr:uid="{02373AA5-BA7B-490E-ACC4-2034FE066633}"/>
    <cellStyle name="40% - Accent6 15 2 6" xfId="27328" xr:uid="{3439C69E-2669-4EE2-8131-29441448FABB}"/>
    <cellStyle name="40% - Accent6 15 2_Exh G" xfId="3335" xr:uid="{00000000-0005-0000-0000-0000704F0000}"/>
    <cellStyle name="40% - Accent6 15 3" xfId="4275" xr:uid="{00000000-0005-0000-0000-0000714F0000}"/>
    <cellStyle name="40% - Accent6 15 3 2" xfId="7867" xr:uid="{00000000-0005-0000-0000-0000724F0000}"/>
    <cellStyle name="40% - Accent6 15 3 2 2" xfId="15837" xr:uid="{00000000-0005-0000-0000-0000734F0000}"/>
    <cellStyle name="40% - Accent6 15 3 2 2 2" xfId="39679" xr:uid="{22B70888-0299-4C93-A87C-E9F63A9CAD9E}"/>
    <cellStyle name="40% - Accent6 15 3 2 3" xfId="23783" xr:uid="{00000000-0005-0000-0000-0000744F0000}"/>
    <cellStyle name="40% - Accent6 15 3 2 3 2" xfId="47615" xr:uid="{B7249B57-A007-4CBF-9267-69852F423A85}"/>
    <cellStyle name="40% - Accent6 15 3 2 4" xfId="31738" xr:uid="{FB5C66AF-EE0C-41C8-9843-5AFE8C815B6B}"/>
    <cellStyle name="40% - Accent6 15 3 3" xfId="12299" xr:uid="{00000000-0005-0000-0000-0000754F0000}"/>
    <cellStyle name="40% - Accent6 15 3 3 2" xfId="36148" xr:uid="{B23624E7-8C65-4D05-A448-CBE7CF8B2306}"/>
    <cellStyle name="40% - Accent6 15 3 4" xfId="20254" xr:uid="{00000000-0005-0000-0000-0000764F0000}"/>
    <cellStyle name="40% - Accent6 15 3 4 2" xfId="44086" xr:uid="{21B7BDB2-9EFB-41D2-AD97-08BB111299E0}"/>
    <cellStyle name="40% - Accent6 15 3 5" xfId="28207" xr:uid="{6AD5F9E5-4DCC-423C-A709-9016D6146C80}"/>
    <cellStyle name="40% - Accent6 15 4" xfId="6095" xr:uid="{00000000-0005-0000-0000-0000774F0000}"/>
    <cellStyle name="40% - Accent6 15 4 2" xfId="14078" xr:uid="{00000000-0005-0000-0000-0000784F0000}"/>
    <cellStyle name="40% - Accent6 15 4 2 2" xfId="37921" xr:uid="{16623FCC-D328-4D2C-999F-F49742044B22}"/>
    <cellStyle name="40% - Accent6 15 4 3" xfId="22026" xr:uid="{00000000-0005-0000-0000-0000794F0000}"/>
    <cellStyle name="40% - Accent6 15 4 3 2" xfId="45858" xr:uid="{D02C0ADC-69E5-48A9-AFBF-5E9A04EBBB51}"/>
    <cellStyle name="40% - Accent6 15 4 4" xfId="29980" xr:uid="{E4C4E25F-FDC5-4F8D-AB2F-F0178E70DB18}"/>
    <cellStyle name="40% - Accent6 15 5" xfId="9647" xr:uid="{00000000-0005-0000-0000-00007A4F0000}"/>
    <cellStyle name="40% - Accent6 15 5 2" xfId="17605" xr:uid="{00000000-0005-0000-0000-00007B4F0000}"/>
    <cellStyle name="40% - Accent6 15 5 2 2" xfId="41445" xr:uid="{2B64B88B-62C4-4186-8534-0DDB137B9CAF}"/>
    <cellStyle name="40% - Accent6 15 5 3" xfId="25549" xr:uid="{00000000-0005-0000-0000-00007C4F0000}"/>
    <cellStyle name="40% - Accent6 15 5 3 2" xfId="49381" xr:uid="{6F21AA96-4EDA-418E-A83E-EC3270AFBCFB}"/>
    <cellStyle name="40% - Accent6 15 5 4" xfId="33504" xr:uid="{3758FC94-F787-4319-92F8-AAD5402B03BE}"/>
    <cellStyle name="40% - Accent6 15 6" xfId="10543" xr:uid="{00000000-0005-0000-0000-00007D4F0000}"/>
    <cellStyle name="40% - Accent6 15 6 2" xfId="34392" xr:uid="{4084343F-DCD6-47D4-AAFA-19C010F925ED}"/>
    <cellStyle name="40% - Accent6 15 7" xfId="18498" xr:uid="{00000000-0005-0000-0000-00007E4F0000}"/>
    <cellStyle name="40% - Accent6 15 7 2" xfId="42330" xr:uid="{AABA78D8-FC27-4A78-BB06-D8CBDA99B2EA}"/>
    <cellStyle name="40% - Accent6 15 8" xfId="26450" xr:uid="{70597E3F-39ED-4FD9-8F58-5D904D1FEF6F}"/>
    <cellStyle name="40% - Accent6 15_Exh G" xfId="3334" xr:uid="{00000000-0005-0000-0000-00007F4F0000}"/>
    <cellStyle name="40% - Accent6 16" xfId="851" xr:uid="{00000000-0005-0000-0000-0000804F0000}"/>
    <cellStyle name="40% - Accent6 16 2" xfId="1786" xr:uid="{00000000-0005-0000-0000-0000814F0000}"/>
    <cellStyle name="40% - Accent6 16 2 2" xfId="5306" xr:uid="{00000000-0005-0000-0000-0000824F0000}"/>
    <cellStyle name="40% - Accent6 16 2 2 2" xfId="8897" xr:uid="{00000000-0005-0000-0000-0000834F0000}"/>
    <cellStyle name="40% - Accent6 16 2 2 2 2" xfId="16867" xr:uid="{00000000-0005-0000-0000-0000844F0000}"/>
    <cellStyle name="40% - Accent6 16 2 2 2 2 2" xfId="40709" xr:uid="{6BF90B9C-A18F-49CE-81A1-3002F59386E3}"/>
    <cellStyle name="40% - Accent6 16 2 2 2 3" xfId="24813" xr:uid="{00000000-0005-0000-0000-0000854F0000}"/>
    <cellStyle name="40% - Accent6 16 2 2 2 3 2" xfId="48645" xr:uid="{936EDFF9-E8EF-4A4D-862D-79397C6FB29B}"/>
    <cellStyle name="40% - Accent6 16 2 2 2 4" xfId="32768" xr:uid="{CB659100-3566-4DB6-8D22-F58A792C56B4}"/>
    <cellStyle name="40% - Accent6 16 2 2 3" xfId="13329" xr:uid="{00000000-0005-0000-0000-0000864F0000}"/>
    <cellStyle name="40% - Accent6 16 2 2 3 2" xfId="37178" xr:uid="{D49653FB-B60B-4C18-BA3E-3030DF37BC5C}"/>
    <cellStyle name="40% - Accent6 16 2 2 4" xfId="21284" xr:uid="{00000000-0005-0000-0000-0000874F0000}"/>
    <cellStyle name="40% - Accent6 16 2 2 4 2" xfId="45116" xr:uid="{D5FDCEEE-8AB2-45FA-9F67-07A6E1B64AB3}"/>
    <cellStyle name="40% - Accent6 16 2 2 5" xfId="29237" xr:uid="{307DC634-445D-4102-9271-FBA6F17811D2}"/>
    <cellStyle name="40% - Accent6 16 2 3" xfId="7138" xr:uid="{00000000-0005-0000-0000-0000884F0000}"/>
    <cellStyle name="40% - Accent6 16 2 3 2" xfId="15109" xr:uid="{00000000-0005-0000-0000-0000894F0000}"/>
    <cellStyle name="40% - Accent6 16 2 3 2 2" xfId="38951" xr:uid="{7D791E97-DF8F-4064-804B-DBE5FC8172D9}"/>
    <cellStyle name="40% - Accent6 16 2 3 3" xfId="23056" xr:uid="{00000000-0005-0000-0000-00008A4F0000}"/>
    <cellStyle name="40% - Accent6 16 2 3 3 2" xfId="46888" xr:uid="{90DE0E44-5670-4CB3-972E-8970B0717665}"/>
    <cellStyle name="40% - Accent6 16 2 3 4" xfId="31010" xr:uid="{A2CD1E5D-A3FE-429A-914F-3DB537D6CDC7}"/>
    <cellStyle name="40% - Accent6 16 2 4" xfId="11573" xr:uid="{00000000-0005-0000-0000-00008B4F0000}"/>
    <cellStyle name="40% - Accent6 16 2 4 2" xfId="35422" xr:uid="{AC325946-D885-4BA5-81DE-0DF8CE72AF6A}"/>
    <cellStyle name="40% - Accent6 16 2 5" xfId="19528" xr:uid="{00000000-0005-0000-0000-00008C4F0000}"/>
    <cellStyle name="40% - Accent6 16 2 5 2" xfId="43360" xr:uid="{2DFD7DB7-7535-4B1E-9EEB-222FBC8400BE}"/>
    <cellStyle name="40% - Accent6 16 2 6" xfId="27480" xr:uid="{16279FE3-0F97-4298-AE18-E81148E8AC10}"/>
    <cellStyle name="40% - Accent6 16 2_Exh G" xfId="3337" xr:uid="{00000000-0005-0000-0000-00008D4F0000}"/>
    <cellStyle name="40% - Accent6 16 3" xfId="4427" xr:uid="{00000000-0005-0000-0000-00008E4F0000}"/>
    <cellStyle name="40% - Accent6 16 3 2" xfId="8019" xr:uid="{00000000-0005-0000-0000-00008F4F0000}"/>
    <cellStyle name="40% - Accent6 16 3 2 2" xfId="15989" xr:uid="{00000000-0005-0000-0000-0000904F0000}"/>
    <cellStyle name="40% - Accent6 16 3 2 2 2" xfId="39831" xr:uid="{BFB5F1B5-0232-4C82-A44D-1B862F9A853F}"/>
    <cellStyle name="40% - Accent6 16 3 2 3" xfId="23935" xr:uid="{00000000-0005-0000-0000-0000914F0000}"/>
    <cellStyle name="40% - Accent6 16 3 2 3 2" xfId="47767" xr:uid="{9C0A2721-B9A1-4BC3-8588-6E598E8E03A6}"/>
    <cellStyle name="40% - Accent6 16 3 2 4" xfId="31890" xr:uid="{02E249AC-C630-46BA-A036-05B31966738D}"/>
    <cellStyle name="40% - Accent6 16 3 3" xfId="12451" xr:uid="{00000000-0005-0000-0000-0000924F0000}"/>
    <cellStyle name="40% - Accent6 16 3 3 2" xfId="36300" xr:uid="{3EDA14EE-963D-445C-9DBE-C515B1342758}"/>
    <cellStyle name="40% - Accent6 16 3 4" xfId="20406" xr:uid="{00000000-0005-0000-0000-0000934F0000}"/>
    <cellStyle name="40% - Accent6 16 3 4 2" xfId="44238" xr:uid="{666015CE-1FC3-472A-BDFB-5B06A1EECF26}"/>
    <cellStyle name="40% - Accent6 16 3 5" xfId="28359" xr:uid="{86865F4D-C901-4524-A01D-A4BF775494B3}"/>
    <cellStyle name="40% - Accent6 16 4" xfId="6257" xr:uid="{00000000-0005-0000-0000-0000944F0000}"/>
    <cellStyle name="40% - Accent6 16 4 2" xfId="14231" xr:uid="{00000000-0005-0000-0000-0000954F0000}"/>
    <cellStyle name="40% - Accent6 16 4 2 2" xfId="38073" xr:uid="{5C8C2345-D055-4EBD-B509-E89FBFF9A2AB}"/>
    <cellStyle name="40% - Accent6 16 4 3" xfId="22178" xr:uid="{00000000-0005-0000-0000-0000964F0000}"/>
    <cellStyle name="40% - Accent6 16 4 3 2" xfId="46010" xr:uid="{E6E3FBBA-C000-4499-BB9A-A69D3021D8A5}"/>
    <cellStyle name="40% - Accent6 16 4 4" xfId="30132" xr:uid="{62EC8CA9-E488-4ABF-AF71-DA56FD10A932}"/>
    <cellStyle name="40% - Accent6 16 5" xfId="9799" xr:uid="{00000000-0005-0000-0000-0000974F0000}"/>
    <cellStyle name="40% - Accent6 16 5 2" xfId="17757" xr:uid="{00000000-0005-0000-0000-0000984F0000}"/>
    <cellStyle name="40% - Accent6 16 5 2 2" xfId="41597" xr:uid="{52D17F3E-A79B-43B5-AFF6-3E023D04529E}"/>
    <cellStyle name="40% - Accent6 16 5 3" xfId="25701" xr:uid="{00000000-0005-0000-0000-0000994F0000}"/>
    <cellStyle name="40% - Accent6 16 5 3 2" xfId="49533" xr:uid="{DFC74780-16C6-4E7D-B766-7E3FAA5A037D}"/>
    <cellStyle name="40% - Accent6 16 5 4" xfId="33656" xr:uid="{2DEDE8C2-B90A-4A0D-8123-D5CCCF113DBD}"/>
    <cellStyle name="40% - Accent6 16 6" xfId="10695" xr:uid="{00000000-0005-0000-0000-00009A4F0000}"/>
    <cellStyle name="40% - Accent6 16 6 2" xfId="34544" xr:uid="{3D573962-D560-43A8-B2CF-C0918E93CFB5}"/>
    <cellStyle name="40% - Accent6 16 7" xfId="18650" xr:uid="{00000000-0005-0000-0000-00009B4F0000}"/>
    <cellStyle name="40% - Accent6 16 7 2" xfId="42482" xr:uid="{B0F578D6-AF57-40D4-A8D5-31D7B54337C3}"/>
    <cellStyle name="40% - Accent6 16 8" xfId="26602" xr:uid="{F4B5477C-01B5-40F9-B21D-F5D4045D6B8B}"/>
    <cellStyle name="40% - Accent6 16_Exh G" xfId="3336" xr:uid="{00000000-0005-0000-0000-00009C4F0000}"/>
    <cellStyle name="40% - Accent6 17" xfId="49794" xr:uid="{60AD41B5-0542-4FE1-8B26-83CEFE52DEAC}"/>
    <cellStyle name="40% - Accent6 18" xfId="49834" xr:uid="{B053EFAF-C35E-4EDC-9D6A-BFC5E9CAB3EB}"/>
    <cellStyle name="40% - Accent6 2" xfId="602" xr:uid="{00000000-0005-0000-0000-00009D4F0000}"/>
    <cellStyle name="40% - Accent6 2 10" xfId="18499" xr:uid="{00000000-0005-0000-0000-00009E4F0000}"/>
    <cellStyle name="40% - Accent6 2 10 2" xfId="42331" xr:uid="{5FF041EF-CE50-444F-A116-6F512827CA4F}"/>
    <cellStyle name="40% - Accent6 2 11" xfId="26451" xr:uid="{D93C9509-9238-4FC8-987E-CF1610111F58}"/>
    <cellStyle name="40% - Accent6 2 12" xfId="49779" xr:uid="{175283D7-0F46-41BF-8D02-EBBBCDC91C77}"/>
    <cellStyle name="40% - Accent6 2 13" xfId="49807" xr:uid="{E4A7DADC-2FAE-4279-B5E9-85ACB7F036E4}"/>
    <cellStyle name="40% - Accent6 2 14" xfId="49848" xr:uid="{6C5944FF-C688-4D9B-A4C2-7B16B905B80F}"/>
    <cellStyle name="40% - Accent6 2 2" xfId="603" xr:uid="{00000000-0005-0000-0000-00009F4F0000}"/>
    <cellStyle name="40% - Accent6 2 2 10" xfId="26452" xr:uid="{192F8296-3361-4498-ADE5-3F326A9B17D0}"/>
    <cellStyle name="40% - Accent6 2 2 2" xfId="604" xr:uid="{00000000-0005-0000-0000-0000A04F0000}"/>
    <cellStyle name="40% - Accent6 2 2 2 2" xfId="1630" xr:uid="{00000000-0005-0000-0000-0000A14F0000}"/>
    <cellStyle name="40% - Accent6 2 2 2 2 2" xfId="5157" xr:uid="{00000000-0005-0000-0000-0000A24F0000}"/>
    <cellStyle name="40% - Accent6 2 2 2 2 2 2" xfId="8748" xr:uid="{00000000-0005-0000-0000-0000A34F0000}"/>
    <cellStyle name="40% - Accent6 2 2 2 2 2 2 2" xfId="16718" xr:uid="{00000000-0005-0000-0000-0000A44F0000}"/>
    <cellStyle name="40% - Accent6 2 2 2 2 2 2 2 2" xfId="40560" xr:uid="{CD851387-620B-482D-AD05-65F956CAFAEA}"/>
    <cellStyle name="40% - Accent6 2 2 2 2 2 2 3" xfId="24664" xr:uid="{00000000-0005-0000-0000-0000A54F0000}"/>
    <cellStyle name="40% - Accent6 2 2 2 2 2 2 3 2" xfId="48496" xr:uid="{D5F4A459-4493-47CC-9870-72B5AD0EA324}"/>
    <cellStyle name="40% - Accent6 2 2 2 2 2 2 4" xfId="32619" xr:uid="{0B5C4C9D-A938-441A-89C8-49895E60807D}"/>
    <cellStyle name="40% - Accent6 2 2 2 2 2 3" xfId="13180" xr:uid="{00000000-0005-0000-0000-0000A64F0000}"/>
    <cellStyle name="40% - Accent6 2 2 2 2 2 3 2" xfId="37029" xr:uid="{C4E0D618-ACBE-460C-AFBC-8B94902F2D69}"/>
    <cellStyle name="40% - Accent6 2 2 2 2 2 4" xfId="21135" xr:uid="{00000000-0005-0000-0000-0000A74F0000}"/>
    <cellStyle name="40% - Accent6 2 2 2 2 2 4 2" xfId="44967" xr:uid="{E2DC602B-A25D-41F2-BDBB-61D8F716DD53}"/>
    <cellStyle name="40% - Accent6 2 2 2 2 2 5" xfId="29088" xr:uid="{EB1FDEA4-776C-46E9-89B0-9AAEC48575D4}"/>
    <cellStyle name="40% - Accent6 2 2 2 2 3" xfId="6989" xr:uid="{00000000-0005-0000-0000-0000A84F0000}"/>
    <cellStyle name="40% - Accent6 2 2 2 2 3 2" xfId="14960" xr:uid="{00000000-0005-0000-0000-0000A94F0000}"/>
    <cellStyle name="40% - Accent6 2 2 2 2 3 2 2" xfId="38802" xr:uid="{0D060449-CC96-4712-B232-375F149107C2}"/>
    <cellStyle name="40% - Accent6 2 2 2 2 3 3" xfId="22907" xr:uid="{00000000-0005-0000-0000-0000AA4F0000}"/>
    <cellStyle name="40% - Accent6 2 2 2 2 3 3 2" xfId="46739" xr:uid="{29520847-803C-4DE8-92C3-6505A1673F4B}"/>
    <cellStyle name="40% - Accent6 2 2 2 2 3 4" xfId="30861" xr:uid="{3384C2B0-0976-417F-B2F4-02F67FBEB379}"/>
    <cellStyle name="40% - Accent6 2 2 2 2 4" xfId="11424" xr:uid="{00000000-0005-0000-0000-0000AB4F0000}"/>
    <cellStyle name="40% - Accent6 2 2 2 2 4 2" xfId="35273" xr:uid="{016D12C0-64C8-4AC2-8372-DAED88AF549F}"/>
    <cellStyle name="40% - Accent6 2 2 2 2 5" xfId="19379" xr:uid="{00000000-0005-0000-0000-0000AC4F0000}"/>
    <cellStyle name="40% - Accent6 2 2 2 2 5 2" xfId="43211" xr:uid="{74737B67-2EFF-480B-B2F8-757682683FAB}"/>
    <cellStyle name="40% - Accent6 2 2 2 2 6" xfId="27331" xr:uid="{5974C96C-4F27-4F04-A453-DED02BC04EB8}"/>
    <cellStyle name="40% - Accent6 2 2 2 2_Exh G" xfId="3341" xr:uid="{00000000-0005-0000-0000-0000AD4F0000}"/>
    <cellStyle name="40% - Accent6 2 2 2 3" xfId="4278" xr:uid="{00000000-0005-0000-0000-0000AE4F0000}"/>
    <cellStyle name="40% - Accent6 2 2 2 3 2" xfId="7870" xr:uid="{00000000-0005-0000-0000-0000AF4F0000}"/>
    <cellStyle name="40% - Accent6 2 2 2 3 2 2" xfId="15840" xr:uid="{00000000-0005-0000-0000-0000B04F0000}"/>
    <cellStyle name="40% - Accent6 2 2 2 3 2 2 2" xfId="39682" xr:uid="{3C30CC71-2B3B-4964-AC6C-AE779AEBFF13}"/>
    <cellStyle name="40% - Accent6 2 2 2 3 2 3" xfId="23786" xr:uid="{00000000-0005-0000-0000-0000B14F0000}"/>
    <cellStyle name="40% - Accent6 2 2 2 3 2 3 2" xfId="47618" xr:uid="{49F6CE24-22FA-4426-A4B5-8A4E54E78C80}"/>
    <cellStyle name="40% - Accent6 2 2 2 3 2 4" xfId="31741" xr:uid="{A842E899-0C96-46D0-9336-B05C188129B8}"/>
    <cellStyle name="40% - Accent6 2 2 2 3 3" xfId="12302" xr:uid="{00000000-0005-0000-0000-0000B24F0000}"/>
    <cellStyle name="40% - Accent6 2 2 2 3 3 2" xfId="36151" xr:uid="{07896E57-A170-485F-9FD4-674DF250223B}"/>
    <cellStyle name="40% - Accent6 2 2 2 3 4" xfId="20257" xr:uid="{00000000-0005-0000-0000-0000B34F0000}"/>
    <cellStyle name="40% - Accent6 2 2 2 3 4 2" xfId="44089" xr:uid="{A577424B-C67E-4678-A700-61520A563DAE}"/>
    <cellStyle name="40% - Accent6 2 2 2 3 5" xfId="28210" xr:uid="{0A83A990-AAE3-4C3D-9FF6-6CD80957B2EF}"/>
    <cellStyle name="40% - Accent6 2 2 2 4" xfId="6098" xr:uid="{00000000-0005-0000-0000-0000B44F0000}"/>
    <cellStyle name="40% - Accent6 2 2 2 4 2" xfId="14081" xr:uid="{00000000-0005-0000-0000-0000B54F0000}"/>
    <cellStyle name="40% - Accent6 2 2 2 4 2 2" xfId="37924" xr:uid="{34A1DE59-0476-49B7-83E1-784F7DDC8339}"/>
    <cellStyle name="40% - Accent6 2 2 2 4 3" xfId="22029" xr:uid="{00000000-0005-0000-0000-0000B64F0000}"/>
    <cellStyle name="40% - Accent6 2 2 2 4 3 2" xfId="45861" xr:uid="{D2411554-DC84-484E-B22D-10ABBA0C1535}"/>
    <cellStyle name="40% - Accent6 2 2 2 4 4" xfId="29983" xr:uid="{15339FC7-EDAC-46D2-970D-627DDBC5A781}"/>
    <cellStyle name="40% - Accent6 2 2 2 5" xfId="9650" xr:uid="{00000000-0005-0000-0000-0000B74F0000}"/>
    <cellStyle name="40% - Accent6 2 2 2 5 2" xfId="17608" xr:uid="{00000000-0005-0000-0000-0000B84F0000}"/>
    <cellStyle name="40% - Accent6 2 2 2 5 2 2" xfId="41448" xr:uid="{818C43B5-FDA7-4AE1-BF15-41456CE398F0}"/>
    <cellStyle name="40% - Accent6 2 2 2 5 3" xfId="25552" xr:uid="{00000000-0005-0000-0000-0000B94F0000}"/>
    <cellStyle name="40% - Accent6 2 2 2 5 3 2" xfId="49384" xr:uid="{6FE336F7-37F5-457A-AFAD-D548CAE12F0A}"/>
    <cellStyle name="40% - Accent6 2 2 2 5 4" xfId="33507" xr:uid="{9BCB1B53-1B8F-457F-9CDA-DF6AD376C54B}"/>
    <cellStyle name="40% - Accent6 2 2 2 6" xfId="10546" xr:uid="{00000000-0005-0000-0000-0000BA4F0000}"/>
    <cellStyle name="40% - Accent6 2 2 2 6 2" xfId="34395" xr:uid="{79AD3B10-DBE0-4A2B-A246-B524883C887A}"/>
    <cellStyle name="40% - Accent6 2 2 2 7" xfId="18501" xr:uid="{00000000-0005-0000-0000-0000BB4F0000}"/>
    <cellStyle name="40% - Accent6 2 2 2 7 2" xfId="42333" xr:uid="{7488CE5A-DF2F-4254-BACA-2DBA64AF8D6D}"/>
    <cellStyle name="40% - Accent6 2 2 2 8" xfId="26453" xr:uid="{DC13BFFE-678B-4ED7-A92F-2535A0F7D071}"/>
    <cellStyle name="40% - Accent6 2 2 2_Exh G" xfId="3340" xr:uid="{00000000-0005-0000-0000-0000BC4F0000}"/>
    <cellStyle name="40% - Accent6 2 2 3" xfId="993" xr:uid="{00000000-0005-0000-0000-0000BD4F0000}"/>
    <cellStyle name="40% - Accent6 2 2 3 2" xfId="1903" xr:uid="{00000000-0005-0000-0000-0000BE4F0000}"/>
    <cellStyle name="40% - Accent6 2 2 3 2 2" xfId="5420" xr:uid="{00000000-0005-0000-0000-0000BF4F0000}"/>
    <cellStyle name="40% - Accent6 2 2 3 2 2 2" xfId="9011" xr:uid="{00000000-0005-0000-0000-0000C04F0000}"/>
    <cellStyle name="40% - Accent6 2 2 3 2 2 2 2" xfId="16981" xr:uid="{00000000-0005-0000-0000-0000C14F0000}"/>
    <cellStyle name="40% - Accent6 2 2 3 2 2 2 2 2" xfId="40823" xr:uid="{92E2F511-F3F2-485D-A089-68FB8BC4A8F8}"/>
    <cellStyle name="40% - Accent6 2 2 3 2 2 2 3" xfId="24927" xr:uid="{00000000-0005-0000-0000-0000C24F0000}"/>
    <cellStyle name="40% - Accent6 2 2 3 2 2 2 3 2" xfId="48759" xr:uid="{78E6C9EC-BD86-480C-8009-8A0F3B38A30A}"/>
    <cellStyle name="40% - Accent6 2 2 3 2 2 2 4" xfId="32882" xr:uid="{80A033E2-0752-49E6-B0B4-BF8EEB8F1F58}"/>
    <cellStyle name="40% - Accent6 2 2 3 2 2 3" xfId="13443" xr:uid="{00000000-0005-0000-0000-0000C34F0000}"/>
    <cellStyle name="40% - Accent6 2 2 3 2 2 3 2" xfId="37292" xr:uid="{92637EA3-13FE-4BFC-819D-5FD45230035F}"/>
    <cellStyle name="40% - Accent6 2 2 3 2 2 4" xfId="21398" xr:uid="{00000000-0005-0000-0000-0000C44F0000}"/>
    <cellStyle name="40% - Accent6 2 2 3 2 2 4 2" xfId="45230" xr:uid="{CEC2CED0-3E3A-4EAD-9A8D-7721DD242EDE}"/>
    <cellStyle name="40% - Accent6 2 2 3 2 2 5" xfId="29351" xr:uid="{6AEF02F6-B890-4D20-8253-F8A0A417714E}"/>
    <cellStyle name="40% - Accent6 2 2 3 2 3" xfId="7252" xr:uid="{00000000-0005-0000-0000-0000C54F0000}"/>
    <cellStyle name="40% - Accent6 2 2 3 2 3 2" xfId="15223" xr:uid="{00000000-0005-0000-0000-0000C64F0000}"/>
    <cellStyle name="40% - Accent6 2 2 3 2 3 2 2" xfId="39065" xr:uid="{5491F8B1-D9C1-412F-91C8-06521F97B2C3}"/>
    <cellStyle name="40% - Accent6 2 2 3 2 3 3" xfId="23170" xr:uid="{00000000-0005-0000-0000-0000C74F0000}"/>
    <cellStyle name="40% - Accent6 2 2 3 2 3 3 2" xfId="47002" xr:uid="{F469C348-AC8D-4D44-98B3-866EF090AB9D}"/>
    <cellStyle name="40% - Accent6 2 2 3 2 3 4" xfId="31124" xr:uid="{F1E47ABB-A6F0-4120-926A-1B8829852383}"/>
    <cellStyle name="40% - Accent6 2 2 3 2 4" xfId="11687" xr:uid="{00000000-0005-0000-0000-0000C84F0000}"/>
    <cellStyle name="40% - Accent6 2 2 3 2 4 2" xfId="35536" xr:uid="{2E65BC09-146B-4797-BCC5-9FB5824A8F6A}"/>
    <cellStyle name="40% - Accent6 2 2 3 2 5" xfId="19642" xr:uid="{00000000-0005-0000-0000-0000C94F0000}"/>
    <cellStyle name="40% - Accent6 2 2 3 2 5 2" xfId="43474" xr:uid="{C5E36A12-493C-4C9E-9758-06D936CD7B10}"/>
    <cellStyle name="40% - Accent6 2 2 3 2 6" xfId="27594" xr:uid="{AE59B789-7F96-4A44-B3B5-9A7777851519}"/>
    <cellStyle name="40% - Accent6 2 2 3 2_Exh G" xfId="3343" xr:uid="{00000000-0005-0000-0000-0000CA4F0000}"/>
    <cellStyle name="40% - Accent6 2 2 3 3" xfId="4541" xr:uid="{00000000-0005-0000-0000-0000CB4F0000}"/>
    <cellStyle name="40% - Accent6 2 2 3 3 2" xfId="8133" xr:uid="{00000000-0005-0000-0000-0000CC4F0000}"/>
    <cellStyle name="40% - Accent6 2 2 3 3 2 2" xfId="16103" xr:uid="{00000000-0005-0000-0000-0000CD4F0000}"/>
    <cellStyle name="40% - Accent6 2 2 3 3 2 2 2" xfId="39945" xr:uid="{597879F1-3B36-436C-AB2C-363A6A66B2EC}"/>
    <cellStyle name="40% - Accent6 2 2 3 3 2 3" xfId="24049" xr:uid="{00000000-0005-0000-0000-0000CE4F0000}"/>
    <cellStyle name="40% - Accent6 2 2 3 3 2 3 2" xfId="47881" xr:uid="{C6A46B81-64CA-42BC-95B3-0E115CB13CB5}"/>
    <cellStyle name="40% - Accent6 2 2 3 3 2 4" xfId="32004" xr:uid="{F3E44702-152D-4F44-BC18-18D8DA189E40}"/>
    <cellStyle name="40% - Accent6 2 2 3 3 3" xfId="12565" xr:uid="{00000000-0005-0000-0000-0000CF4F0000}"/>
    <cellStyle name="40% - Accent6 2 2 3 3 3 2" xfId="36414" xr:uid="{9DA805B0-238A-417A-9C16-FDB7AD0ED1A6}"/>
    <cellStyle name="40% - Accent6 2 2 3 3 4" xfId="20520" xr:uid="{00000000-0005-0000-0000-0000D04F0000}"/>
    <cellStyle name="40% - Accent6 2 2 3 3 4 2" xfId="44352" xr:uid="{1B5D4F49-D72A-4374-87C1-DD2254A2C2E5}"/>
    <cellStyle name="40% - Accent6 2 2 3 3 5" xfId="28473" xr:uid="{4E66315B-4C47-4074-AA44-29C9D8CF92CB}"/>
    <cellStyle name="40% - Accent6 2 2 3 4" xfId="6371" xr:uid="{00000000-0005-0000-0000-0000D14F0000}"/>
    <cellStyle name="40% - Accent6 2 2 3 4 2" xfId="14345" xr:uid="{00000000-0005-0000-0000-0000D24F0000}"/>
    <cellStyle name="40% - Accent6 2 2 3 4 2 2" xfId="38187" xr:uid="{C103F86B-D618-46F1-AF80-64FF97B10085}"/>
    <cellStyle name="40% - Accent6 2 2 3 4 3" xfId="22292" xr:uid="{00000000-0005-0000-0000-0000D34F0000}"/>
    <cellStyle name="40% - Accent6 2 2 3 4 3 2" xfId="46124" xr:uid="{AC009930-D884-4ECA-87AC-2EF16E0E034C}"/>
    <cellStyle name="40% - Accent6 2 2 3 4 4" xfId="30246" xr:uid="{2050C034-BA14-4424-B87B-F6CB04EFA1B9}"/>
    <cellStyle name="40% - Accent6 2 2 3 5" xfId="9913" xr:uid="{00000000-0005-0000-0000-0000D44F0000}"/>
    <cellStyle name="40% - Accent6 2 2 3 5 2" xfId="17871" xr:uid="{00000000-0005-0000-0000-0000D54F0000}"/>
    <cellStyle name="40% - Accent6 2 2 3 5 2 2" xfId="41711" xr:uid="{80638169-CF82-4C18-ADCE-14394A8831E0}"/>
    <cellStyle name="40% - Accent6 2 2 3 5 3" xfId="25815" xr:uid="{00000000-0005-0000-0000-0000D64F0000}"/>
    <cellStyle name="40% - Accent6 2 2 3 5 3 2" xfId="49647" xr:uid="{9576FAA3-B262-43B1-8617-D4A267D8FC18}"/>
    <cellStyle name="40% - Accent6 2 2 3 5 4" xfId="33770" xr:uid="{8810780F-F732-4D24-B31F-7ACC43211A08}"/>
    <cellStyle name="40% - Accent6 2 2 3 6" xfId="10809" xr:uid="{00000000-0005-0000-0000-0000D74F0000}"/>
    <cellStyle name="40% - Accent6 2 2 3 6 2" xfId="34658" xr:uid="{B389DA91-BEBF-467E-9BCE-8EEB0C7ED58B}"/>
    <cellStyle name="40% - Accent6 2 2 3 7" xfId="18764" xr:uid="{00000000-0005-0000-0000-0000D84F0000}"/>
    <cellStyle name="40% - Accent6 2 2 3 7 2" xfId="42596" xr:uid="{62B507EE-C278-4F20-A5C7-576CADA7AF5D}"/>
    <cellStyle name="40% - Accent6 2 2 3 8" xfId="26716" xr:uid="{7723A5CB-E822-45A9-B9D4-05EBCBD0A197}"/>
    <cellStyle name="40% - Accent6 2 2 3_Exh G" xfId="3342" xr:uid="{00000000-0005-0000-0000-0000D94F0000}"/>
    <cellStyle name="40% - Accent6 2 2 4" xfId="1629" xr:uid="{00000000-0005-0000-0000-0000DA4F0000}"/>
    <cellStyle name="40% - Accent6 2 2 4 2" xfId="5156" xr:uid="{00000000-0005-0000-0000-0000DB4F0000}"/>
    <cellStyle name="40% - Accent6 2 2 4 2 2" xfId="8747" xr:uid="{00000000-0005-0000-0000-0000DC4F0000}"/>
    <cellStyle name="40% - Accent6 2 2 4 2 2 2" xfId="16717" xr:uid="{00000000-0005-0000-0000-0000DD4F0000}"/>
    <cellStyle name="40% - Accent6 2 2 4 2 2 2 2" xfId="40559" xr:uid="{B34CF830-8DA6-4BEC-8530-9FDCAC5C081C}"/>
    <cellStyle name="40% - Accent6 2 2 4 2 2 3" xfId="24663" xr:uid="{00000000-0005-0000-0000-0000DE4F0000}"/>
    <cellStyle name="40% - Accent6 2 2 4 2 2 3 2" xfId="48495" xr:uid="{F04643DA-813A-4BBD-9B1D-06F155ACB946}"/>
    <cellStyle name="40% - Accent6 2 2 4 2 2 4" xfId="32618" xr:uid="{F3ED2823-828D-4D0C-817F-4BC69F1DF6EC}"/>
    <cellStyle name="40% - Accent6 2 2 4 2 3" xfId="13179" xr:uid="{00000000-0005-0000-0000-0000DF4F0000}"/>
    <cellStyle name="40% - Accent6 2 2 4 2 3 2" xfId="37028" xr:uid="{B2A00C70-25B0-4AD7-B6BF-37810F2364BC}"/>
    <cellStyle name="40% - Accent6 2 2 4 2 4" xfId="21134" xr:uid="{00000000-0005-0000-0000-0000E04F0000}"/>
    <cellStyle name="40% - Accent6 2 2 4 2 4 2" xfId="44966" xr:uid="{8FE7A1A2-F577-49C9-88B5-F258DC767E1D}"/>
    <cellStyle name="40% - Accent6 2 2 4 2 5" xfId="29087" xr:uid="{2F648A23-A6F9-4A3F-85F0-124F5BCD90C5}"/>
    <cellStyle name="40% - Accent6 2 2 4 3" xfId="6988" xr:uid="{00000000-0005-0000-0000-0000E14F0000}"/>
    <cellStyle name="40% - Accent6 2 2 4 3 2" xfId="14959" xr:uid="{00000000-0005-0000-0000-0000E24F0000}"/>
    <cellStyle name="40% - Accent6 2 2 4 3 2 2" xfId="38801" xr:uid="{1499494A-9196-4B7F-ACC3-5EE396617273}"/>
    <cellStyle name="40% - Accent6 2 2 4 3 3" xfId="22906" xr:uid="{00000000-0005-0000-0000-0000E34F0000}"/>
    <cellStyle name="40% - Accent6 2 2 4 3 3 2" xfId="46738" xr:uid="{FD882CC5-F33D-470A-A8D3-7CE628D8E0FA}"/>
    <cellStyle name="40% - Accent6 2 2 4 3 4" xfId="30860" xr:uid="{CDE861DC-C0DB-47FD-B0A5-57C1EBAF4A9C}"/>
    <cellStyle name="40% - Accent6 2 2 4 4" xfId="11423" xr:uid="{00000000-0005-0000-0000-0000E44F0000}"/>
    <cellStyle name="40% - Accent6 2 2 4 4 2" xfId="35272" xr:uid="{D2F3B6A6-60B8-480F-8804-2F3C977E1692}"/>
    <cellStyle name="40% - Accent6 2 2 4 5" xfId="19378" xr:uid="{00000000-0005-0000-0000-0000E54F0000}"/>
    <cellStyle name="40% - Accent6 2 2 4 5 2" xfId="43210" xr:uid="{75157F5D-C7D7-4E73-852F-5CED0E054D87}"/>
    <cellStyle name="40% - Accent6 2 2 4 6" xfId="27330" xr:uid="{DFE232E7-B9AE-4ECC-BE34-EAF6CED8C4E6}"/>
    <cellStyle name="40% - Accent6 2 2 4_Exh G" xfId="3344" xr:uid="{00000000-0005-0000-0000-0000E64F0000}"/>
    <cellStyle name="40% - Accent6 2 2 5" xfId="4277" xr:uid="{00000000-0005-0000-0000-0000E74F0000}"/>
    <cellStyle name="40% - Accent6 2 2 5 2" xfId="7869" xr:uid="{00000000-0005-0000-0000-0000E84F0000}"/>
    <cellStyle name="40% - Accent6 2 2 5 2 2" xfId="15839" xr:uid="{00000000-0005-0000-0000-0000E94F0000}"/>
    <cellStyle name="40% - Accent6 2 2 5 2 2 2" xfId="39681" xr:uid="{452C1CD2-A8F3-4286-80CB-F41779BD9AAB}"/>
    <cellStyle name="40% - Accent6 2 2 5 2 3" xfId="23785" xr:uid="{00000000-0005-0000-0000-0000EA4F0000}"/>
    <cellStyle name="40% - Accent6 2 2 5 2 3 2" xfId="47617" xr:uid="{3FA51536-9969-4CE8-B01E-8A164313662C}"/>
    <cellStyle name="40% - Accent6 2 2 5 2 4" xfId="31740" xr:uid="{DF88DD38-FC2F-4AD9-832D-FF3FDED351AB}"/>
    <cellStyle name="40% - Accent6 2 2 5 3" xfId="12301" xr:uid="{00000000-0005-0000-0000-0000EB4F0000}"/>
    <cellStyle name="40% - Accent6 2 2 5 3 2" xfId="36150" xr:uid="{4DEE56EA-3203-4833-868C-07AF9B75207B}"/>
    <cellStyle name="40% - Accent6 2 2 5 4" xfId="20256" xr:uid="{00000000-0005-0000-0000-0000EC4F0000}"/>
    <cellStyle name="40% - Accent6 2 2 5 4 2" xfId="44088" xr:uid="{8559EDAE-ADCA-44C0-93B7-9BE164874252}"/>
    <cellStyle name="40% - Accent6 2 2 5 5" xfId="28209" xr:uid="{7311A4F5-35E8-4B10-828B-863CAFA225CC}"/>
    <cellStyle name="40% - Accent6 2 2 6" xfId="6097" xr:uid="{00000000-0005-0000-0000-0000ED4F0000}"/>
    <cellStyle name="40% - Accent6 2 2 6 2" xfId="14080" xr:uid="{00000000-0005-0000-0000-0000EE4F0000}"/>
    <cellStyle name="40% - Accent6 2 2 6 2 2" xfId="37923" xr:uid="{A395C6A2-9368-45CF-B5E3-B1E90FC4B91B}"/>
    <cellStyle name="40% - Accent6 2 2 6 3" xfId="22028" xr:uid="{00000000-0005-0000-0000-0000EF4F0000}"/>
    <cellStyle name="40% - Accent6 2 2 6 3 2" xfId="45860" xr:uid="{A48B708C-8F68-4B50-B837-0B3D0F4AF2E8}"/>
    <cellStyle name="40% - Accent6 2 2 6 4" xfId="29982" xr:uid="{408E9FAF-BBF0-4908-BB32-593F94E54564}"/>
    <cellStyle name="40% - Accent6 2 2 7" xfId="9649" xr:uid="{00000000-0005-0000-0000-0000F04F0000}"/>
    <cellStyle name="40% - Accent6 2 2 7 2" xfId="17607" xr:uid="{00000000-0005-0000-0000-0000F14F0000}"/>
    <cellStyle name="40% - Accent6 2 2 7 2 2" xfId="41447" xr:uid="{89392616-BAB2-4AC1-929E-953123B352AA}"/>
    <cellStyle name="40% - Accent6 2 2 7 3" xfId="25551" xr:uid="{00000000-0005-0000-0000-0000F24F0000}"/>
    <cellStyle name="40% - Accent6 2 2 7 3 2" xfId="49383" xr:uid="{4640FED4-803A-4D2B-A6B6-B26FBFBE945A}"/>
    <cellStyle name="40% - Accent6 2 2 7 4" xfId="33506" xr:uid="{C3D0B778-7C89-4866-8112-D11E7145C04C}"/>
    <cellStyle name="40% - Accent6 2 2 8" xfId="10545" xr:uid="{00000000-0005-0000-0000-0000F34F0000}"/>
    <cellStyle name="40% - Accent6 2 2 8 2" xfId="34394" xr:uid="{D1C3ED96-2012-48E0-9B39-25FA37FB81A9}"/>
    <cellStyle name="40% - Accent6 2 2 9" xfId="18500" xr:uid="{00000000-0005-0000-0000-0000F44F0000}"/>
    <cellStyle name="40% - Accent6 2 2 9 2" xfId="42332" xr:uid="{B5200C83-FFA7-4353-889E-B1BE188E25F6}"/>
    <cellStyle name="40% - Accent6 2 2_Exh G" xfId="3339" xr:uid="{00000000-0005-0000-0000-0000F54F0000}"/>
    <cellStyle name="40% - Accent6 2 3" xfId="605" xr:uid="{00000000-0005-0000-0000-0000F64F0000}"/>
    <cellStyle name="40% - Accent6 2 3 2" xfId="1631" xr:uid="{00000000-0005-0000-0000-0000F74F0000}"/>
    <cellStyle name="40% - Accent6 2 3 2 2" xfId="5158" xr:uid="{00000000-0005-0000-0000-0000F84F0000}"/>
    <cellStyle name="40% - Accent6 2 3 2 2 2" xfId="8749" xr:uid="{00000000-0005-0000-0000-0000F94F0000}"/>
    <cellStyle name="40% - Accent6 2 3 2 2 2 2" xfId="16719" xr:uid="{00000000-0005-0000-0000-0000FA4F0000}"/>
    <cellStyle name="40% - Accent6 2 3 2 2 2 2 2" xfId="40561" xr:uid="{9A6D42DC-9AA5-487A-AE04-21D146EBD145}"/>
    <cellStyle name="40% - Accent6 2 3 2 2 2 3" xfId="24665" xr:uid="{00000000-0005-0000-0000-0000FB4F0000}"/>
    <cellStyle name="40% - Accent6 2 3 2 2 2 3 2" xfId="48497" xr:uid="{E910EE80-C296-4C81-9B36-634F08C3D0E1}"/>
    <cellStyle name="40% - Accent6 2 3 2 2 2 4" xfId="32620" xr:uid="{2A589C8C-720E-46B4-BCF0-1CD9073F4736}"/>
    <cellStyle name="40% - Accent6 2 3 2 2 3" xfId="13181" xr:uid="{00000000-0005-0000-0000-0000FC4F0000}"/>
    <cellStyle name="40% - Accent6 2 3 2 2 3 2" xfId="37030" xr:uid="{E7329E87-D2F3-4312-A91B-543732ED010F}"/>
    <cellStyle name="40% - Accent6 2 3 2 2 4" xfId="21136" xr:uid="{00000000-0005-0000-0000-0000FD4F0000}"/>
    <cellStyle name="40% - Accent6 2 3 2 2 4 2" xfId="44968" xr:uid="{31CD9FCE-E9B2-4EE2-BE90-B6F4507B4F55}"/>
    <cellStyle name="40% - Accent6 2 3 2 2 5" xfId="29089" xr:uid="{81D6DAB6-7D30-422B-AAF2-C297B0797BED}"/>
    <cellStyle name="40% - Accent6 2 3 2 3" xfId="6990" xr:uid="{00000000-0005-0000-0000-0000FE4F0000}"/>
    <cellStyle name="40% - Accent6 2 3 2 3 2" xfId="14961" xr:uid="{00000000-0005-0000-0000-0000FF4F0000}"/>
    <cellStyle name="40% - Accent6 2 3 2 3 2 2" xfId="38803" xr:uid="{125EEC2B-14F2-4FF4-ACB2-1EE76ECBE6F9}"/>
    <cellStyle name="40% - Accent6 2 3 2 3 3" xfId="22908" xr:uid="{00000000-0005-0000-0000-000000500000}"/>
    <cellStyle name="40% - Accent6 2 3 2 3 3 2" xfId="46740" xr:uid="{41105193-1125-459D-9004-A74B9C6D3054}"/>
    <cellStyle name="40% - Accent6 2 3 2 3 4" xfId="30862" xr:uid="{6D80BE45-78E8-4CE3-9FF9-B98EFCF695B1}"/>
    <cellStyle name="40% - Accent6 2 3 2 4" xfId="11425" xr:uid="{00000000-0005-0000-0000-000001500000}"/>
    <cellStyle name="40% - Accent6 2 3 2 4 2" xfId="35274" xr:uid="{7D613177-B954-4689-8330-DD11D0086EA6}"/>
    <cellStyle name="40% - Accent6 2 3 2 5" xfId="19380" xr:uid="{00000000-0005-0000-0000-000002500000}"/>
    <cellStyle name="40% - Accent6 2 3 2 5 2" xfId="43212" xr:uid="{4A17AEBA-FB61-4E6D-B7F3-B28220B8D55B}"/>
    <cellStyle name="40% - Accent6 2 3 2 6" xfId="27332" xr:uid="{53D0A9F6-41F1-4493-A7BF-5BFE1613EF95}"/>
    <cellStyle name="40% - Accent6 2 3 2_Exh G" xfId="3346" xr:uid="{00000000-0005-0000-0000-000003500000}"/>
    <cellStyle name="40% - Accent6 2 3 3" xfId="4279" xr:uid="{00000000-0005-0000-0000-000004500000}"/>
    <cellStyle name="40% - Accent6 2 3 3 2" xfId="7871" xr:uid="{00000000-0005-0000-0000-000005500000}"/>
    <cellStyle name="40% - Accent6 2 3 3 2 2" xfId="15841" xr:uid="{00000000-0005-0000-0000-000006500000}"/>
    <cellStyle name="40% - Accent6 2 3 3 2 2 2" xfId="39683" xr:uid="{3A13FAD6-16C1-4EE6-87E2-78A10D941A3A}"/>
    <cellStyle name="40% - Accent6 2 3 3 2 3" xfId="23787" xr:uid="{00000000-0005-0000-0000-000007500000}"/>
    <cellStyle name="40% - Accent6 2 3 3 2 3 2" xfId="47619" xr:uid="{559C39D7-9446-41FF-861E-DD9D9C275F26}"/>
    <cellStyle name="40% - Accent6 2 3 3 2 4" xfId="31742" xr:uid="{A229FEE6-FFC7-417A-8A8D-537E9D0A3316}"/>
    <cellStyle name="40% - Accent6 2 3 3 3" xfId="12303" xr:uid="{00000000-0005-0000-0000-000008500000}"/>
    <cellStyle name="40% - Accent6 2 3 3 3 2" xfId="36152" xr:uid="{B6F7C44F-E6E2-4539-BEA0-CAC75A7CCF88}"/>
    <cellStyle name="40% - Accent6 2 3 3 4" xfId="20258" xr:uid="{00000000-0005-0000-0000-000009500000}"/>
    <cellStyle name="40% - Accent6 2 3 3 4 2" xfId="44090" xr:uid="{78CD1330-3CA5-44B8-BA92-6416B47DC47F}"/>
    <cellStyle name="40% - Accent6 2 3 3 5" xfId="28211" xr:uid="{8ED40D9C-60B3-4AD4-B855-D73BB67D4252}"/>
    <cellStyle name="40% - Accent6 2 3 4" xfId="6099" xr:uid="{00000000-0005-0000-0000-00000A500000}"/>
    <cellStyle name="40% - Accent6 2 3 4 2" xfId="14082" xr:uid="{00000000-0005-0000-0000-00000B500000}"/>
    <cellStyle name="40% - Accent6 2 3 4 2 2" xfId="37925" xr:uid="{6DF4A13A-A008-4232-B30F-36B1C92C8027}"/>
    <cellStyle name="40% - Accent6 2 3 4 3" xfId="22030" xr:uid="{00000000-0005-0000-0000-00000C500000}"/>
    <cellStyle name="40% - Accent6 2 3 4 3 2" xfId="45862" xr:uid="{FCAFEE4B-FBD9-49EB-8248-509059A9625E}"/>
    <cellStyle name="40% - Accent6 2 3 4 4" xfId="29984" xr:uid="{7A581268-A1A0-4E1C-B1AF-C3203FA2C90B}"/>
    <cellStyle name="40% - Accent6 2 3 5" xfId="9651" xr:uid="{00000000-0005-0000-0000-00000D500000}"/>
    <cellStyle name="40% - Accent6 2 3 5 2" xfId="17609" xr:uid="{00000000-0005-0000-0000-00000E500000}"/>
    <cellStyle name="40% - Accent6 2 3 5 2 2" xfId="41449" xr:uid="{5A0463AB-62D5-4257-BFDD-FEC30ACD19E8}"/>
    <cellStyle name="40% - Accent6 2 3 5 3" xfId="25553" xr:uid="{00000000-0005-0000-0000-00000F500000}"/>
    <cellStyle name="40% - Accent6 2 3 5 3 2" xfId="49385" xr:uid="{094DAC3F-6478-4961-A89F-9AC5304F0A55}"/>
    <cellStyle name="40% - Accent6 2 3 5 4" xfId="33508" xr:uid="{EA425899-406D-42D6-8C83-7DCFA2B3C73F}"/>
    <cellStyle name="40% - Accent6 2 3 6" xfId="10547" xr:uid="{00000000-0005-0000-0000-000010500000}"/>
    <cellStyle name="40% - Accent6 2 3 6 2" xfId="34396" xr:uid="{8F14E62D-E6BF-4958-A462-3F3F8BEA5CF4}"/>
    <cellStyle name="40% - Accent6 2 3 7" xfId="18502" xr:uid="{00000000-0005-0000-0000-000011500000}"/>
    <cellStyle name="40% - Accent6 2 3 7 2" xfId="42334" xr:uid="{2AC5F2CD-364F-4DB4-85C0-B7909F3CD155}"/>
    <cellStyle name="40% - Accent6 2 3 8" xfId="26454" xr:uid="{26BBF15F-BF76-4564-AEBF-66E3CD6748C8}"/>
    <cellStyle name="40% - Accent6 2 3_Exh G" xfId="3345" xr:uid="{00000000-0005-0000-0000-000012500000}"/>
    <cellStyle name="40% - Accent6 2 4" xfId="992" xr:uid="{00000000-0005-0000-0000-000013500000}"/>
    <cellStyle name="40% - Accent6 2 4 2" xfId="1902" xr:uid="{00000000-0005-0000-0000-000014500000}"/>
    <cellStyle name="40% - Accent6 2 4 2 2" xfId="5419" xr:uid="{00000000-0005-0000-0000-000015500000}"/>
    <cellStyle name="40% - Accent6 2 4 2 2 2" xfId="9010" xr:uid="{00000000-0005-0000-0000-000016500000}"/>
    <cellStyle name="40% - Accent6 2 4 2 2 2 2" xfId="16980" xr:uid="{00000000-0005-0000-0000-000017500000}"/>
    <cellStyle name="40% - Accent6 2 4 2 2 2 2 2" xfId="40822" xr:uid="{EDE0A371-19F7-4092-9EA1-6A9565183AD7}"/>
    <cellStyle name="40% - Accent6 2 4 2 2 2 3" xfId="24926" xr:uid="{00000000-0005-0000-0000-000018500000}"/>
    <cellStyle name="40% - Accent6 2 4 2 2 2 3 2" xfId="48758" xr:uid="{9F7B1345-51EF-4AE5-9794-DDE550F8AD66}"/>
    <cellStyle name="40% - Accent6 2 4 2 2 2 4" xfId="32881" xr:uid="{12228A7D-CD85-40B5-8832-2942207CF734}"/>
    <cellStyle name="40% - Accent6 2 4 2 2 3" xfId="13442" xr:uid="{00000000-0005-0000-0000-000019500000}"/>
    <cellStyle name="40% - Accent6 2 4 2 2 3 2" xfId="37291" xr:uid="{F9C8D3CB-DB39-4803-9789-32397AF14A97}"/>
    <cellStyle name="40% - Accent6 2 4 2 2 4" xfId="21397" xr:uid="{00000000-0005-0000-0000-00001A500000}"/>
    <cellStyle name="40% - Accent6 2 4 2 2 4 2" xfId="45229" xr:uid="{2FC6A38C-099A-4F1C-87C4-996676514824}"/>
    <cellStyle name="40% - Accent6 2 4 2 2 5" xfId="29350" xr:uid="{9C6F60CA-EF5B-443B-B228-770ADDD8ED5F}"/>
    <cellStyle name="40% - Accent6 2 4 2 3" xfId="7251" xr:uid="{00000000-0005-0000-0000-00001B500000}"/>
    <cellStyle name="40% - Accent6 2 4 2 3 2" xfId="15222" xr:uid="{00000000-0005-0000-0000-00001C500000}"/>
    <cellStyle name="40% - Accent6 2 4 2 3 2 2" xfId="39064" xr:uid="{5DAC30A8-5AC1-40F7-8E98-22AFBD2195CA}"/>
    <cellStyle name="40% - Accent6 2 4 2 3 3" xfId="23169" xr:uid="{00000000-0005-0000-0000-00001D500000}"/>
    <cellStyle name="40% - Accent6 2 4 2 3 3 2" xfId="47001" xr:uid="{D03F8FA7-FCA6-4543-81F5-75CD8CC595F9}"/>
    <cellStyle name="40% - Accent6 2 4 2 3 4" xfId="31123" xr:uid="{AF13B4D7-2548-414B-9E1C-8E622A0992E0}"/>
    <cellStyle name="40% - Accent6 2 4 2 4" xfId="11686" xr:uid="{00000000-0005-0000-0000-00001E500000}"/>
    <cellStyle name="40% - Accent6 2 4 2 4 2" xfId="35535" xr:uid="{9136739B-9A55-44AD-8E58-F37A1A6F2001}"/>
    <cellStyle name="40% - Accent6 2 4 2 5" xfId="19641" xr:uid="{00000000-0005-0000-0000-00001F500000}"/>
    <cellStyle name="40% - Accent6 2 4 2 5 2" xfId="43473" xr:uid="{504F4D3C-4E02-4289-93C6-E0A287DD32B5}"/>
    <cellStyle name="40% - Accent6 2 4 2 6" xfId="27593" xr:uid="{4248D35E-A3F1-4629-BC8D-D247723D897E}"/>
    <cellStyle name="40% - Accent6 2 4 2_Exh G" xfId="3348" xr:uid="{00000000-0005-0000-0000-000020500000}"/>
    <cellStyle name="40% - Accent6 2 4 3" xfId="4540" xr:uid="{00000000-0005-0000-0000-000021500000}"/>
    <cellStyle name="40% - Accent6 2 4 3 2" xfId="8132" xr:uid="{00000000-0005-0000-0000-000022500000}"/>
    <cellStyle name="40% - Accent6 2 4 3 2 2" xfId="16102" xr:uid="{00000000-0005-0000-0000-000023500000}"/>
    <cellStyle name="40% - Accent6 2 4 3 2 2 2" xfId="39944" xr:uid="{E7D53730-549D-4C97-8AFB-006E33F88BDE}"/>
    <cellStyle name="40% - Accent6 2 4 3 2 3" xfId="24048" xr:uid="{00000000-0005-0000-0000-000024500000}"/>
    <cellStyle name="40% - Accent6 2 4 3 2 3 2" xfId="47880" xr:uid="{FC4BC907-799F-4A19-8F05-F57A7D800611}"/>
    <cellStyle name="40% - Accent6 2 4 3 2 4" xfId="32003" xr:uid="{D0F0FDFC-0382-4211-B531-EA24F89C0BF9}"/>
    <cellStyle name="40% - Accent6 2 4 3 3" xfId="12564" xr:uid="{00000000-0005-0000-0000-000025500000}"/>
    <cellStyle name="40% - Accent6 2 4 3 3 2" xfId="36413" xr:uid="{2202397F-D517-4BD2-BEA9-7F79B826E014}"/>
    <cellStyle name="40% - Accent6 2 4 3 4" xfId="20519" xr:uid="{00000000-0005-0000-0000-000026500000}"/>
    <cellStyle name="40% - Accent6 2 4 3 4 2" xfId="44351" xr:uid="{1A79527D-EF50-4E70-B7BD-DDCA575F246A}"/>
    <cellStyle name="40% - Accent6 2 4 3 5" xfId="28472" xr:uid="{5E32DAC9-3DF8-416E-8767-2CE6D1E27CB8}"/>
    <cellStyle name="40% - Accent6 2 4 4" xfId="6370" xr:uid="{00000000-0005-0000-0000-000027500000}"/>
    <cellStyle name="40% - Accent6 2 4 4 2" xfId="14344" xr:uid="{00000000-0005-0000-0000-000028500000}"/>
    <cellStyle name="40% - Accent6 2 4 4 2 2" xfId="38186" xr:uid="{A6457EA7-9880-411B-A1A8-6EABE80ADAF1}"/>
    <cellStyle name="40% - Accent6 2 4 4 3" xfId="22291" xr:uid="{00000000-0005-0000-0000-000029500000}"/>
    <cellStyle name="40% - Accent6 2 4 4 3 2" xfId="46123" xr:uid="{C33D3268-9F29-4458-AE15-61C071D76530}"/>
    <cellStyle name="40% - Accent6 2 4 4 4" xfId="30245" xr:uid="{B59C47C2-4618-47AB-99B2-1D8CA3DF2B74}"/>
    <cellStyle name="40% - Accent6 2 4 5" xfId="9912" xr:uid="{00000000-0005-0000-0000-00002A500000}"/>
    <cellStyle name="40% - Accent6 2 4 5 2" xfId="17870" xr:uid="{00000000-0005-0000-0000-00002B500000}"/>
    <cellStyle name="40% - Accent6 2 4 5 2 2" xfId="41710" xr:uid="{8ECF5975-E440-407E-96F8-67E573D94FC4}"/>
    <cellStyle name="40% - Accent6 2 4 5 3" xfId="25814" xr:uid="{00000000-0005-0000-0000-00002C500000}"/>
    <cellStyle name="40% - Accent6 2 4 5 3 2" xfId="49646" xr:uid="{BFEE44EB-CAA7-421E-8F60-059BEAAB6FD0}"/>
    <cellStyle name="40% - Accent6 2 4 5 4" xfId="33769" xr:uid="{A404773B-3DF5-4462-BA02-21F5FDCF5002}"/>
    <cellStyle name="40% - Accent6 2 4 6" xfId="10808" xr:uid="{00000000-0005-0000-0000-00002D500000}"/>
    <cellStyle name="40% - Accent6 2 4 6 2" xfId="34657" xr:uid="{0E82D043-0DA9-432B-965D-0E469A681C81}"/>
    <cellStyle name="40% - Accent6 2 4 7" xfId="18763" xr:uid="{00000000-0005-0000-0000-00002E500000}"/>
    <cellStyle name="40% - Accent6 2 4 7 2" xfId="42595" xr:uid="{3274C5A6-5F4B-4EE4-906B-AD5291DB2AA5}"/>
    <cellStyle name="40% - Accent6 2 4 8" xfId="26715" xr:uid="{E33FB468-A554-4B77-BC09-D842A5A59023}"/>
    <cellStyle name="40% - Accent6 2 4_Exh G" xfId="3347" xr:uid="{00000000-0005-0000-0000-00002F500000}"/>
    <cellStyle name="40% - Accent6 2 5" xfId="1628" xr:uid="{00000000-0005-0000-0000-000030500000}"/>
    <cellStyle name="40% - Accent6 2 5 2" xfId="5155" xr:uid="{00000000-0005-0000-0000-000031500000}"/>
    <cellStyle name="40% - Accent6 2 5 2 2" xfId="8746" xr:uid="{00000000-0005-0000-0000-000032500000}"/>
    <cellStyle name="40% - Accent6 2 5 2 2 2" xfId="16716" xr:uid="{00000000-0005-0000-0000-000033500000}"/>
    <cellStyle name="40% - Accent6 2 5 2 2 2 2" xfId="40558" xr:uid="{E8AF5AD7-E4F4-4A22-85BA-3FBABC14E012}"/>
    <cellStyle name="40% - Accent6 2 5 2 2 3" xfId="24662" xr:uid="{00000000-0005-0000-0000-000034500000}"/>
    <cellStyle name="40% - Accent6 2 5 2 2 3 2" xfId="48494" xr:uid="{2DF777C4-6799-41CB-9ABE-9C9EC13E834B}"/>
    <cellStyle name="40% - Accent6 2 5 2 2 4" xfId="32617" xr:uid="{15A5795F-BB17-49A4-8020-15800AA8B782}"/>
    <cellStyle name="40% - Accent6 2 5 2 3" xfId="13178" xr:uid="{00000000-0005-0000-0000-000035500000}"/>
    <cellStyle name="40% - Accent6 2 5 2 3 2" xfId="37027" xr:uid="{607789A1-84C4-4BCD-ABC8-2BB7E7702B93}"/>
    <cellStyle name="40% - Accent6 2 5 2 4" xfId="21133" xr:uid="{00000000-0005-0000-0000-000036500000}"/>
    <cellStyle name="40% - Accent6 2 5 2 4 2" xfId="44965" xr:uid="{72FECBC7-29E9-41DF-A7E4-3A9D09DCA2E7}"/>
    <cellStyle name="40% - Accent6 2 5 2 5" xfId="29086" xr:uid="{EF8BF902-EC45-435D-8E2B-0F1FD6915CDF}"/>
    <cellStyle name="40% - Accent6 2 5 3" xfId="6987" xr:uid="{00000000-0005-0000-0000-000037500000}"/>
    <cellStyle name="40% - Accent6 2 5 3 2" xfId="14958" xr:uid="{00000000-0005-0000-0000-000038500000}"/>
    <cellStyle name="40% - Accent6 2 5 3 2 2" xfId="38800" xr:uid="{41C672BB-7FB3-4EBD-8B92-8B93C97ADF01}"/>
    <cellStyle name="40% - Accent6 2 5 3 3" xfId="22905" xr:uid="{00000000-0005-0000-0000-000039500000}"/>
    <cellStyle name="40% - Accent6 2 5 3 3 2" xfId="46737" xr:uid="{1FDB1FE8-DCA5-46FE-B400-B238635A43A5}"/>
    <cellStyle name="40% - Accent6 2 5 3 4" xfId="30859" xr:uid="{F2649440-AF0B-43A4-A629-FD201D7D496F}"/>
    <cellStyle name="40% - Accent6 2 5 4" xfId="11422" xr:uid="{00000000-0005-0000-0000-00003A500000}"/>
    <cellStyle name="40% - Accent6 2 5 4 2" xfId="35271" xr:uid="{1D895AE6-EF32-4EE2-A6C4-8C4D1BE38C13}"/>
    <cellStyle name="40% - Accent6 2 5 5" xfId="19377" xr:uid="{00000000-0005-0000-0000-00003B500000}"/>
    <cellStyle name="40% - Accent6 2 5 5 2" xfId="43209" xr:uid="{56C2BB4A-FD3C-4570-B005-AECDD2148CF9}"/>
    <cellStyle name="40% - Accent6 2 5 6" xfId="27329" xr:uid="{0FDA655D-132B-4C8D-8DF5-49E396B1BD89}"/>
    <cellStyle name="40% - Accent6 2 5_Exh G" xfId="3349" xr:uid="{00000000-0005-0000-0000-00003C500000}"/>
    <cellStyle name="40% - Accent6 2 6" xfId="4276" xr:uid="{00000000-0005-0000-0000-00003D500000}"/>
    <cellStyle name="40% - Accent6 2 6 2" xfId="7868" xr:uid="{00000000-0005-0000-0000-00003E500000}"/>
    <cellStyle name="40% - Accent6 2 6 2 2" xfId="15838" xr:uid="{00000000-0005-0000-0000-00003F500000}"/>
    <cellStyle name="40% - Accent6 2 6 2 2 2" xfId="39680" xr:uid="{D7D99038-40B3-460E-A4B8-BCF83EC70D6B}"/>
    <cellStyle name="40% - Accent6 2 6 2 3" xfId="23784" xr:uid="{00000000-0005-0000-0000-000040500000}"/>
    <cellStyle name="40% - Accent6 2 6 2 3 2" xfId="47616" xr:uid="{8CB813BA-446B-47BD-A421-E367EE9ACCE9}"/>
    <cellStyle name="40% - Accent6 2 6 2 4" xfId="31739" xr:uid="{CD299C41-738D-4C84-9280-FB43282F0560}"/>
    <cellStyle name="40% - Accent6 2 6 3" xfId="12300" xr:uid="{00000000-0005-0000-0000-000041500000}"/>
    <cellStyle name="40% - Accent6 2 6 3 2" xfId="36149" xr:uid="{A06A3684-610B-4C0C-B148-FCB02E5C6F73}"/>
    <cellStyle name="40% - Accent6 2 6 4" xfId="20255" xr:uid="{00000000-0005-0000-0000-000042500000}"/>
    <cellStyle name="40% - Accent6 2 6 4 2" xfId="44087" xr:uid="{6679C25D-FE13-4141-8F7C-ED6A712CC6C0}"/>
    <cellStyle name="40% - Accent6 2 6 5" xfId="28208" xr:uid="{35FE7DD1-C5D1-4DE2-BD09-2DC7D7AEB43B}"/>
    <cellStyle name="40% - Accent6 2 7" xfId="6096" xr:uid="{00000000-0005-0000-0000-000043500000}"/>
    <cellStyle name="40% - Accent6 2 7 2" xfId="14079" xr:uid="{00000000-0005-0000-0000-000044500000}"/>
    <cellStyle name="40% - Accent6 2 7 2 2" xfId="37922" xr:uid="{365DB7C7-A70F-44C4-AE10-6163342C61CA}"/>
    <cellStyle name="40% - Accent6 2 7 3" xfId="22027" xr:uid="{00000000-0005-0000-0000-000045500000}"/>
    <cellStyle name="40% - Accent6 2 7 3 2" xfId="45859" xr:uid="{E1767211-2083-41FD-9958-19653FC43DDC}"/>
    <cellStyle name="40% - Accent6 2 7 4" xfId="29981" xr:uid="{0D7F0C37-9117-4C2D-9A44-B976FBC340E4}"/>
    <cellStyle name="40% - Accent6 2 8" xfId="9648" xr:uid="{00000000-0005-0000-0000-000046500000}"/>
    <cellStyle name="40% - Accent6 2 8 2" xfId="17606" xr:uid="{00000000-0005-0000-0000-000047500000}"/>
    <cellStyle name="40% - Accent6 2 8 2 2" xfId="41446" xr:uid="{53A74AB6-9A9A-4E6D-8ED5-1E1550DB4757}"/>
    <cellStyle name="40% - Accent6 2 8 3" xfId="25550" xr:uid="{00000000-0005-0000-0000-000048500000}"/>
    <cellStyle name="40% - Accent6 2 8 3 2" xfId="49382" xr:uid="{20F2414E-894F-4A99-9646-E4EF6BF9B1C5}"/>
    <cellStyle name="40% - Accent6 2 8 4" xfId="33505" xr:uid="{C38FBC85-C6D0-444E-95D2-2D3ADE60E08C}"/>
    <cellStyle name="40% - Accent6 2 9" xfId="10544" xr:uid="{00000000-0005-0000-0000-000049500000}"/>
    <cellStyle name="40% - Accent6 2 9 2" xfId="34393" xr:uid="{A6AB9402-D7E8-4FD4-BE12-288DAF134A1C}"/>
    <cellStyle name="40% - Accent6 2_Exh G" xfId="3338" xr:uid="{00000000-0005-0000-0000-00004A500000}"/>
    <cellStyle name="40% - Accent6 3" xfId="606" xr:uid="{00000000-0005-0000-0000-00004B500000}"/>
    <cellStyle name="40% - Accent6 3 10" xfId="18503" xr:uid="{00000000-0005-0000-0000-00004C500000}"/>
    <cellStyle name="40% - Accent6 3 10 2" xfId="42335" xr:uid="{ED179ECE-3E59-41C5-A925-5F9704E094A5}"/>
    <cellStyle name="40% - Accent6 3 11" xfId="26455" xr:uid="{DE378BB5-6DF7-4264-91FB-70CC211A16CD}"/>
    <cellStyle name="40% - Accent6 3 12" xfId="49765" xr:uid="{DC3A46B5-4EAF-4E11-8C9A-2EB334DF966A}"/>
    <cellStyle name="40% - Accent6 3 13" xfId="49819" xr:uid="{73E4ADF5-EEDD-49EB-9881-6910580C8D2B}"/>
    <cellStyle name="40% - Accent6 3 2" xfId="607" xr:uid="{00000000-0005-0000-0000-00004D500000}"/>
    <cellStyle name="40% - Accent6 3 2 10" xfId="26456" xr:uid="{FAF63C38-5226-4CC5-8863-29E3FDB6D3D9}"/>
    <cellStyle name="40% - Accent6 3 2 2" xfId="608" xr:uid="{00000000-0005-0000-0000-00004E500000}"/>
    <cellStyle name="40% - Accent6 3 2 2 2" xfId="1634" xr:uid="{00000000-0005-0000-0000-00004F500000}"/>
    <cellStyle name="40% - Accent6 3 2 2 2 2" xfId="5161" xr:uid="{00000000-0005-0000-0000-000050500000}"/>
    <cellStyle name="40% - Accent6 3 2 2 2 2 2" xfId="8752" xr:uid="{00000000-0005-0000-0000-000051500000}"/>
    <cellStyle name="40% - Accent6 3 2 2 2 2 2 2" xfId="16722" xr:uid="{00000000-0005-0000-0000-000052500000}"/>
    <cellStyle name="40% - Accent6 3 2 2 2 2 2 2 2" xfId="40564" xr:uid="{749B2BC3-3D98-4822-BFC5-9D824EA1E35A}"/>
    <cellStyle name="40% - Accent6 3 2 2 2 2 2 3" xfId="24668" xr:uid="{00000000-0005-0000-0000-000053500000}"/>
    <cellStyle name="40% - Accent6 3 2 2 2 2 2 3 2" xfId="48500" xr:uid="{7F6B221F-0D3F-4687-9925-64C2D9DD6A7A}"/>
    <cellStyle name="40% - Accent6 3 2 2 2 2 2 4" xfId="32623" xr:uid="{08E148C2-369E-4FE8-BE2F-197237C7B8F8}"/>
    <cellStyle name="40% - Accent6 3 2 2 2 2 3" xfId="13184" xr:uid="{00000000-0005-0000-0000-000054500000}"/>
    <cellStyle name="40% - Accent6 3 2 2 2 2 3 2" xfId="37033" xr:uid="{78B6D18B-0434-4BD9-BD92-7B49655C68F8}"/>
    <cellStyle name="40% - Accent6 3 2 2 2 2 4" xfId="21139" xr:uid="{00000000-0005-0000-0000-000055500000}"/>
    <cellStyle name="40% - Accent6 3 2 2 2 2 4 2" xfId="44971" xr:uid="{C13A035D-4978-45B6-93FE-765DD96A777D}"/>
    <cellStyle name="40% - Accent6 3 2 2 2 2 5" xfId="29092" xr:uid="{D0788C64-2BF3-43DB-9856-3AB165DCA994}"/>
    <cellStyle name="40% - Accent6 3 2 2 2 3" xfId="6993" xr:uid="{00000000-0005-0000-0000-000056500000}"/>
    <cellStyle name="40% - Accent6 3 2 2 2 3 2" xfId="14964" xr:uid="{00000000-0005-0000-0000-000057500000}"/>
    <cellStyle name="40% - Accent6 3 2 2 2 3 2 2" xfId="38806" xr:uid="{F549EE15-5AC0-438C-960C-5B727DF444DA}"/>
    <cellStyle name="40% - Accent6 3 2 2 2 3 3" xfId="22911" xr:uid="{00000000-0005-0000-0000-000058500000}"/>
    <cellStyle name="40% - Accent6 3 2 2 2 3 3 2" xfId="46743" xr:uid="{DA7BDE21-F895-48EB-A6E2-00EA9B4CFC0F}"/>
    <cellStyle name="40% - Accent6 3 2 2 2 3 4" xfId="30865" xr:uid="{0740F41B-A497-4235-B010-E0AF6A9117D2}"/>
    <cellStyle name="40% - Accent6 3 2 2 2 4" xfId="11428" xr:uid="{00000000-0005-0000-0000-000059500000}"/>
    <cellStyle name="40% - Accent6 3 2 2 2 4 2" xfId="35277" xr:uid="{4528134B-0C14-4EAF-A832-54E4B6DDB9B3}"/>
    <cellStyle name="40% - Accent6 3 2 2 2 5" xfId="19383" xr:uid="{00000000-0005-0000-0000-00005A500000}"/>
    <cellStyle name="40% - Accent6 3 2 2 2 5 2" xfId="43215" xr:uid="{A894472D-F649-4E97-AE7C-27C3D5CE8597}"/>
    <cellStyle name="40% - Accent6 3 2 2 2 6" xfId="27335" xr:uid="{82296D70-61AF-4BA4-89E1-AA44FA513770}"/>
    <cellStyle name="40% - Accent6 3 2 2 2_Exh G" xfId="3353" xr:uid="{00000000-0005-0000-0000-00005B500000}"/>
    <cellStyle name="40% - Accent6 3 2 2 3" xfId="4282" xr:uid="{00000000-0005-0000-0000-00005C500000}"/>
    <cellStyle name="40% - Accent6 3 2 2 3 2" xfId="7874" xr:uid="{00000000-0005-0000-0000-00005D500000}"/>
    <cellStyle name="40% - Accent6 3 2 2 3 2 2" xfId="15844" xr:uid="{00000000-0005-0000-0000-00005E500000}"/>
    <cellStyle name="40% - Accent6 3 2 2 3 2 2 2" xfId="39686" xr:uid="{7AE1AA2A-D2C2-447F-8DFD-2BE31608F989}"/>
    <cellStyle name="40% - Accent6 3 2 2 3 2 3" xfId="23790" xr:uid="{00000000-0005-0000-0000-00005F500000}"/>
    <cellStyle name="40% - Accent6 3 2 2 3 2 3 2" xfId="47622" xr:uid="{1B545B99-1CC5-4E1C-8342-AD7418EA5C39}"/>
    <cellStyle name="40% - Accent6 3 2 2 3 2 4" xfId="31745" xr:uid="{2EF6B657-FF2B-4A7A-9AB7-4BFA0BACEF81}"/>
    <cellStyle name="40% - Accent6 3 2 2 3 3" xfId="12306" xr:uid="{00000000-0005-0000-0000-000060500000}"/>
    <cellStyle name="40% - Accent6 3 2 2 3 3 2" xfId="36155" xr:uid="{02936483-CE93-4523-8866-95DC75E65DFB}"/>
    <cellStyle name="40% - Accent6 3 2 2 3 4" xfId="20261" xr:uid="{00000000-0005-0000-0000-000061500000}"/>
    <cellStyle name="40% - Accent6 3 2 2 3 4 2" xfId="44093" xr:uid="{5F67C393-FE36-48B5-9FFB-641509800990}"/>
    <cellStyle name="40% - Accent6 3 2 2 3 5" xfId="28214" xr:uid="{9D43893C-B068-4DDC-8BCA-CE481AC5635D}"/>
    <cellStyle name="40% - Accent6 3 2 2 4" xfId="6102" xr:uid="{00000000-0005-0000-0000-000062500000}"/>
    <cellStyle name="40% - Accent6 3 2 2 4 2" xfId="14085" xr:uid="{00000000-0005-0000-0000-000063500000}"/>
    <cellStyle name="40% - Accent6 3 2 2 4 2 2" xfId="37928" xr:uid="{7DC6A1E4-5C1D-40FD-93AE-CDE0CF5C5D55}"/>
    <cellStyle name="40% - Accent6 3 2 2 4 3" xfId="22033" xr:uid="{00000000-0005-0000-0000-000064500000}"/>
    <cellStyle name="40% - Accent6 3 2 2 4 3 2" xfId="45865" xr:uid="{F863B094-8B1B-4011-838E-99F2124D84D9}"/>
    <cellStyle name="40% - Accent6 3 2 2 4 4" xfId="29987" xr:uid="{0AEA1CB5-D804-497F-AE0B-97BA9AAC2619}"/>
    <cellStyle name="40% - Accent6 3 2 2 5" xfId="9654" xr:uid="{00000000-0005-0000-0000-000065500000}"/>
    <cellStyle name="40% - Accent6 3 2 2 5 2" xfId="17612" xr:uid="{00000000-0005-0000-0000-000066500000}"/>
    <cellStyle name="40% - Accent6 3 2 2 5 2 2" xfId="41452" xr:uid="{52F0A6D6-D107-463B-A675-64F1E66B4EAE}"/>
    <cellStyle name="40% - Accent6 3 2 2 5 3" xfId="25556" xr:uid="{00000000-0005-0000-0000-000067500000}"/>
    <cellStyle name="40% - Accent6 3 2 2 5 3 2" xfId="49388" xr:uid="{0A805B59-95EE-434E-910D-33E4F20CCA5B}"/>
    <cellStyle name="40% - Accent6 3 2 2 5 4" xfId="33511" xr:uid="{FE6DED5F-7118-47A5-BF79-D6EEF2830E68}"/>
    <cellStyle name="40% - Accent6 3 2 2 6" xfId="10550" xr:uid="{00000000-0005-0000-0000-000068500000}"/>
    <cellStyle name="40% - Accent6 3 2 2 6 2" xfId="34399" xr:uid="{5396B941-C847-4E79-A759-8E2941FEE7CD}"/>
    <cellStyle name="40% - Accent6 3 2 2 7" xfId="18505" xr:uid="{00000000-0005-0000-0000-000069500000}"/>
    <cellStyle name="40% - Accent6 3 2 2 7 2" xfId="42337" xr:uid="{81704ECA-6A14-4D46-A618-B1198BF6DAB5}"/>
    <cellStyle name="40% - Accent6 3 2 2 8" xfId="26457" xr:uid="{E6C63614-57CE-4020-925C-DD3A3DC8F593}"/>
    <cellStyle name="40% - Accent6 3 2 2_Exh G" xfId="3352" xr:uid="{00000000-0005-0000-0000-00006A500000}"/>
    <cellStyle name="40% - Accent6 3 2 3" xfId="995" xr:uid="{00000000-0005-0000-0000-00006B500000}"/>
    <cellStyle name="40% - Accent6 3 2 3 2" xfId="1905" xr:uid="{00000000-0005-0000-0000-00006C500000}"/>
    <cellStyle name="40% - Accent6 3 2 3 2 2" xfId="5422" xr:uid="{00000000-0005-0000-0000-00006D500000}"/>
    <cellStyle name="40% - Accent6 3 2 3 2 2 2" xfId="9013" xr:uid="{00000000-0005-0000-0000-00006E500000}"/>
    <cellStyle name="40% - Accent6 3 2 3 2 2 2 2" xfId="16983" xr:uid="{00000000-0005-0000-0000-00006F500000}"/>
    <cellStyle name="40% - Accent6 3 2 3 2 2 2 2 2" xfId="40825" xr:uid="{6F4300BB-3DBC-4CFA-9E45-B854E1A8375A}"/>
    <cellStyle name="40% - Accent6 3 2 3 2 2 2 3" xfId="24929" xr:uid="{00000000-0005-0000-0000-000070500000}"/>
    <cellStyle name="40% - Accent6 3 2 3 2 2 2 3 2" xfId="48761" xr:uid="{C19F4356-848B-4D83-9211-1C47AD21EDB5}"/>
    <cellStyle name="40% - Accent6 3 2 3 2 2 2 4" xfId="32884" xr:uid="{52F1AADE-C6B4-4E77-A71F-36B033A42CEF}"/>
    <cellStyle name="40% - Accent6 3 2 3 2 2 3" xfId="13445" xr:uid="{00000000-0005-0000-0000-000071500000}"/>
    <cellStyle name="40% - Accent6 3 2 3 2 2 3 2" xfId="37294" xr:uid="{8F27F693-B32B-4CD2-8F6F-4D18A2B27442}"/>
    <cellStyle name="40% - Accent6 3 2 3 2 2 4" xfId="21400" xr:uid="{00000000-0005-0000-0000-000072500000}"/>
    <cellStyle name="40% - Accent6 3 2 3 2 2 4 2" xfId="45232" xr:uid="{24225DF7-C4D2-4B03-B51B-FE49419706C1}"/>
    <cellStyle name="40% - Accent6 3 2 3 2 2 5" xfId="29353" xr:uid="{5EEBFF25-99D8-4077-B4F3-7BE9907590AF}"/>
    <cellStyle name="40% - Accent6 3 2 3 2 3" xfId="7254" xr:uid="{00000000-0005-0000-0000-000073500000}"/>
    <cellStyle name="40% - Accent6 3 2 3 2 3 2" xfId="15225" xr:uid="{00000000-0005-0000-0000-000074500000}"/>
    <cellStyle name="40% - Accent6 3 2 3 2 3 2 2" xfId="39067" xr:uid="{9B8127A8-603C-461C-AFFA-5F7FC1DDBBD8}"/>
    <cellStyle name="40% - Accent6 3 2 3 2 3 3" xfId="23172" xr:uid="{00000000-0005-0000-0000-000075500000}"/>
    <cellStyle name="40% - Accent6 3 2 3 2 3 3 2" xfId="47004" xr:uid="{5844FA93-BC8E-4707-A425-039CFC3C1CB5}"/>
    <cellStyle name="40% - Accent6 3 2 3 2 3 4" xfId="31126" xr:uid="{FFD75291-1380-4FA7-8D99-C21F1EAB6B7E}"/>
    <cellStyle name="40% - Accent6 3 2 3 2 4" xfId="11689" xr:uid="{00000000-0005-0000-0000-000076500000}"/>
    <cellStyle name="40% - Accent6 3 2 3 2 4 2" xfId="35538" xr:uid="{DECEE99C-1874-4D98-AAF6-DA1A29D9396E}"/>
    <cellStyle name="40% - Accent6 3 2 3 2 5" xfId="19644" xr:uid="{00000000-0005-0000-0000-000077500000}"/>
    <cellStyle name="40% - Accent6 3 2 3 2 5 2" xfId="43476" xr:uid="{8DBD2DE1-084C-4872-A4B5-102886F79E31}"/>
    <cellStyle name="40% - Accent6 3 2 3 2 6" xfId="27596" xr:uid="{19C76554-2680-4E69-95DF-D929305DB77F}"/>
    <cellStyle name="40% - Accent6 3 2 3 2_Exh G" xfId="3355" xr:uid="{00000000-0005-0000-0000-000078500000}"/>
    <cellStyle name="40% - Accent6 3 2 3 3" xfId="4543" xr:uid="{00000000-0005-0000-0000-000079500000}"/>
    <cellStyle name="40% - Accent6 3 2 3 3 2" xfId="8135" xr:uid="{00000000-0005-0000-0000-00007A500000}"/>
    <cellStyle name="40% - Accent6 3 2 3 3 2 2" xfId="16105" xr:uid="{00000000-0005-0000-0000-00007B500000}"/>
    <cellStyle name="40% - Accent6 3 2 3 3 2 2 2" xfId="39947" xr:uid="{C1ED38F7-8AD5-425F-B7F8-8715E534C4A9}"/>
    <cellStyle name="40% - Accent6 3 2 3 3 2 3" xfId="24051" xr:uid="{00000000-0005-0000-0000-00007C500000}"/>
    <cellStyle name="40% - Accent6 3 2 3 3 2 3 2" xfId="47883" xr:uid="{263E6A77-80C5-42E8-8D87-0D56510742BB}"/>
    <cellStyle name="40% - Accent6 3 2 3 3 2 4" xfId="32006" xr:uid="{705D4E86-4C1D-4947-9457-6DE6F9533708}"/>
    <cellStyle name="40% - Accent6 3 2 3 3 3" xfId="12567" xr:uid="{00000000-0005-0000-0000-00007D500000}"/>
    <cellStyle name="40% - Accent6 3 2 3 3 3 2" xfId="36416" xr:uid="{9BE98E0F-9A7E-466D-A8B8-EB4DCB0CC34E}"/>
    <cellStyle name="40% - Accent6 3 2 3 3 4" xfId="20522" xr:uid="{00000000-0005-0000-0000-00007E500000}"/>
    <cellStyle name="40% - Accent6 3 2 3 3 4 2" xfId="44354" xr:uid="{533CB998-2182-4F73-B49D-5AA63E801D5E}"/>
    <cellStyle name="40% - Accent6 3 2 3 3 5" xfId="28475" xr:uid="{9730647F-4EBA-4136-B95E-CAB849511F2B}"/>
    <cellStyle name="40% - Accent6 3 2 3 4" xfId="6373" xr:uid="{00000000-0005-0000-0000-00007F500000}"/>
    <cellStyle name="40% - Accent6 3 2 3 4 2" xfId="14347" xr:uid="{00000000-0005-0000-0000-000080500000}"/>
    <cellStyle name="40% - Accent6 3 2 3 4 2 2" xfId="38189" xr:uid="{8E4E2544-A3FD-49B2-AC06-274B486AE028}"/>
    <cellStyle name="40% - Accent6 3 2 3 4 3" xfId="22294" xr:uid="{00000000-0005-0000-0000-000081500000}"/>
    <cellStyle name="40% - Accent6 3 2 3 4 3 2" xfId="46126" xr:uid="{C488D37F-DA1D-4588-B3FD-4F5816A09E6D}"/>
    <cellStyle name="40% - Accent6 3 2 3 4 4" xfId="30248" xr:uid="{557451F0-6E16-4099-8FF2-374F27FE6B8E}"/>
    <cellStyle name="40% - Accent6 3 2 3 5" xfId="9915" xr:uid="{00000000-0005-0000-0000-000082500000}"/>
    <cellStyle name="40% - Accent6 3 2 3 5 2" xfId="17873" xr:uid="{00000000-0005-0000-0000-000083500000}"/>
    <cellStyle name="40% - Accent6 3 2 3 5 2 2" xfId="41713" xr:uid="{8B04EFBC-4DE8-400A-9AF7-E916BABF6816}"/>
    <cellStyle name="40% - Accent6 3 2 3 5 3" xfId="25817" xr:uid="{00000000-0005-0000-0000-000084500000}"/>
    <cellStyle name="40% - Accent6 3 2 3 5 3 2" xfId="49649" xr:uid="{6793384E-355E-47F6-BBA6-92DBD16F5A0F}"/>
    <cellStyle name="40% - Accent6 3 2 3 5 4" xfId="33772" xr:uid="{654C7F14-B192-40D5-B24B-2EC86A92B1D1}"/>
    <cellStyle name="40% - Accent6 3 2 3 6" xfId="10811" xr:uid="{00000000-0005-0000-0000-000085500000}"/>
    <cellStyle name="40% - Accent6 3 2 3 6 2" xfId="34660" xr:uid="{18113516-05D3-48FB-B321-6F73242C1AF3}"/>
    <cellStyle name="40% - Accent6 3 2 3 7" xfId="18766" xr:uid="{00000000-0005-0000-0000-000086500000}"/>
    <cellStyle name="40% - Accent6 3 2 3 7 2" xfId="42598" xr:uid="{F1011FE8-D421-4334-AD0C-A7DD01FCE605}"/>
    <cellStyle name="40% - Accent6 3 2 3 8" xfId="26718" xr:uid="{6FE996C2-504D-4F67-AC18-42423854B326}"/>
    <cellStyle name="40% - Accent6 3 2 3_Exh G" xfId="3354" xr:uid="{00000000-0005-0000-0000-000087500000}"/>
    <cellStyle name="40% - Accent6 3 2 4" xfId="1633" xr:uid="{00000000-0005-0000-0000-000088500000}"/>
    <cellStyle name="40% - Accent6 3 2 4 2" xfId="5160" xr:uid="{00000000-0005-0000-0000-000089500000}"/>
    <cellStyle name="40% - Accent6 3 2 4 2 2" xfId="8751" xr:uid="{00000000-0005-0000-0000-00008A500000}"/>
    <cellStyle name="40% - Accent6 3 2 4 2 2 2" xfId="16721" xr:uid="{00000000-0005-0000-0000-00008B500000}"/>
    <cellStyle name="40% - Accent6 3 2 4 2 2 2 2" xfId="40563" xr:uid="{1D8419A5-3FE4-42C3-9638-15906D1122B4}"/>
    <cellStyle name="40% - Accent6 3 2 4 2 2 3" xfId="24667" xr:uid="{00000000-0005-0000-0000-00008C500000}"/>
    <cellStyle name="40% - Accent6 3 2 4 2 2 3 2" xfId="48499" xr:uid="{C9F9FA28-90CC-4A69-A7A1-57100D7BE31B}"/>
    <cellStyle name="40% - Accent6 3 2 4 2 2 4" xfId="32622" xr:uid="{723A51AA-1535-4AD9-AE13-E9F4622F88C5}"/>
    <cellStyle name="40% - Accent6 3 2 4 2 3" xfId="13183" xr:uid="{00000000-0005-0000-0000-00008D500000}"/>
    <cellStyle name="40% - Accent6 3 2 4 2 3 2" xfId="37032" xr:uid="{B9EF425C-A607-4D31-AFA4-6D28D7D600A8}"/>
    <cellStyle name="40% - Accent6 3 2 4 2 4" xfId="21138" xr:uid="{00000000-0005-0000-0000-00008E500000}"/>
    <cellStyle name="40% - Accent6 3 2 4 2 4 2" xfId="44970" xr:uid="{B5D7490A-4F71-4E9D-8BE8-81089C4A735A}"/>
    <cellStyle name="40% - Accent6 3 2 4 2 5" xfId="29091" xr:uid="{B4B32EA0-362B-4E12-931D-672E5B7B71E3}"/>
    <cellStyle name="40% - Accent6 3 2 4 3" xfId="6992" xr:uid="{00000000-0005-0000-0000-00008F500000}"/>
    <cellStyle name="40% - Accent6 3 2 4 3 2" xfId="14963" xr:uid="{00000000-0005-0000-0000-000090500000}"/>
    <cellStyle name="40% - Accent6 3 2 4 3 2 2" xfId="38805" xr:uid="{73CEA714-7343-41A0-8FC0-FE08961DD6E9}"/>
    <cellStyle name="40% - Accent6 3 2 4 3 3" xfId="22910" xr:uid="{00000000-0005-0000-0000-000091500000}"/>
    <cellStyle name="40% - Accent6 3 2 4 3 3 2" xfId="46742" xr:uid="{C63B6FBF-A2A4-4B2C-81C5-CAFE35D80A45}"/>
    <cellStyle name="40% - Accent6 3 2 4 3 4" xfId="30864" xr:uid="{474C94AD-4330-45FC-94DA-3BF42A7A1C2D}"/>
    <cellStyle name="40% - Accent6 3 2 4 4" xfId="11427" xr:uid="{00000000-0005-0000-0000-000092500000}"/>
    <cellStyle name="40% - Accent6 3 2 4 4 2" xfId="35276" xr:uid="{55B8D664-4B02-4991-A185-F563856C525E}"/>
    <cellStyle name="40% - Accent6 3 2 4 5" xfId="19382" xr:uid="{00000000-0005-0000-0000-000093500000}"/>
    <cellStyle name="40% - Accent6 3 2 4 5 2" xfId="43214" xr:uid="{426C7735-C03E-46E2-BC3F-7DB2D4093422}"/>
    <cellStyle name="40% - Accent6 3 2 4 6" xfId="27334" xr:uid="{471BB871-9D53-401D-9B66-F526F94E19AD}"/>
    <cellStyle name="40% - Accent6 3 2 4_Exh G" xfId="3356" xr:uid="{00000000-0005-0000-0000-000094500000}"/>
    <cellStyle name="40% - Accent6 3 2 5" xfId="4281" xr:uid="{00000000-0005-0000-0000-000095500000}"/>
    <cellStyle name="40% - Accent6 3 2 5 2" xfId="7873" xr:uid="{00000000-0005-0000-0000-000096500000}"/>
    <cellStyle name="40% - Accent6 3 2 5 2 2" xfId="15843" xr:uid="{00000000-0005-0000-0000-000097500000}"/>
    <cellStyle name="40% - Accent6 3 2 5 2 2 2" xfId="39685" xr:uid="{04E63727-DF5F-4174-B731-4AB78412F36A}"/>
    <cellStyle name="40% - Accent6 3 2 5 2 3" xfId="23789" xr:uid="{00000000-0005-0000-0000-000098500000}"/>
    <cellStyle name="40% - Accent6 3 2 5 2 3 2" xfId="47621" xr:uid="{0756A74D-7E47-4BA5-8689-2140A39B92AF}"/>
    <cellStyle name="40% - Accent6 3 2 5 2 4" xfId="31744" xr:uid="{2A449A52-6BC2-433C-A506-105D67401A8C}"/>
    <cellStyle name="40% - Accent6 3 2 5 3" xfId="12305" xr:uid="{00000000-0005-0000-0000-000099500000}"/>
    <cellStyle name="40% - Accent6 3 2 5 3 2" xfId="36154" xr:uid="{C82A37F8-CD5A-48C9-AA84-CA6AFF7E6F1B}"/>
    <cellStyle name="40% - Accent6 3 2 5 4" xfId="20260" xr:uid="{00000000-0005-0000-0000-00009A500000}"/>
    <cellStyle name="40% - Accent6 3 2 5 4 2" xfId="44092" xr:uid="{A149329F-A0C7-4507-B603-BDDDFD1BDDEA}"/>
    <cellStyle name="40% - Accent6 3 2 5 5" xfId="28213" xr:uid="{4846405B-653B-4A51-BE7B-4835D9C9CA2A}"/>
    <cellStyle name="40% - Accent6 3 2 6" xfId="6101" xr:uid="{00000000-0005-0000-0000-00009B500000}"/>
    <cellStyle name="40% - Accent6 3 2 6 2" xfId="14084" xr:uid="{00000000-0005-0000-0000-00009C500000}"/>
    <cellStyle name="40% - Accent6 3 2 6 2 2" xfId="37927" xr:uid="{387253D6-48A9-405E-AFD7-A3E170144E1E}"/>
    <cellStyle name="40% - Accent6 3 2 6 3" xfId="22032" xr:uid="{00000000-0005-0000-0000-00009D500000}"/>
    <cellStyle name="40% - Accent6 3 2 6 3 2" xfId="45864" xr:uid="{48CE4A02-92FD-4FBF-AF17-27131132E9BF}"/>
    <cellStyle name="40% - Accent6 3 2 6 4" xfId="29986" xr:uid="{18303C00-509C-40AC-B0FB-92271C3320D8}"/>
    <cellStyle name="40% - Accent6 3 2 7" xfId="9653" xr:uid="{00000000-0005-0000-0000-00009E500000}"/>
    <cellStyle name="40% - Accent6 3 2 7 2" xfId="17611" xr:uid="{00000000-0005-0000-0000-00009F500000}"/>
    <cellStyle name="40% - Accent6 3 2 7 2 2" xfId="41451" xr:uid="{7DEA49FB-0A91-4598-A10D-0452ABA15142}"/>
    <cellStyle name="40% - Accent6 3 2 7 3" xfId="25555" xr:uid="{00000000-0005-0000-0000-0000A0500000}"/>
    <cellStyle name="40% - Accent6 3 2 7 3 2" xfId="49387" xr:uid="{D59F577D-5120-479F-BE4B-054F8AA196E0}"/>
    <cellStyle name="40% - Accent6 3 2 7 4" xfId="33510" xr:uid="{6D9E63DD-9F5D-4374-A430-21559AA8EC2C}"/>
    <cellStyle name="40% - Accent6 3 2 8" xfId="10549" xr:uid="{00000000-0005-0000-0000-0000A1500000}"/>
    <cellStyle name="40% - Accent6 3 2 8 2" xfId="34398" xr:uid="{E5B5EC6D-AE53-4F42-938D-4AE84FC3EE5F}"/>
    <cellStyle name="40% - Accent6 3 2 9" xfId="18504" xr:uid="{00000000-0005-0000-0000-0000A2500000}"/>
    <cellStyle name="40% - Accent6 3 2 9 2" xfId="42336" xr:uid="{E9B5F682-F820-40E3-861B-019D52086546}"/>
    <cellStyle name="40% - Accent6 3 2_Exh G" xfId="3351" xr:uid="{00000000-0005-0000-0000-0000A3500000}"/>
    <cellStyle name="40% - Accent6 3 3" xfId="609" xr:uid="{00000000-0005-0000-0000-0000A4500000}"/>
    <cellStyle name="40% - Accent6 3 3 2" xfId="1635" xr:uid="{00000000-0005-0000-0000-0000A5500000}"/>
    <cellStyle name="40% - Accent6 3 3 2 2" xfId="5162" xr:uid="{00000000-0005-0000-0000-0000A6500000}"/>
    <cellStyle name="40% - Accent6 3 3 2 2 2" xfId="8753" xr:uid="{00000000-0005-0000-0000-0000A7500000}"/>
    <cellStyle name="40% - Accent6 3 3 2 2 2 2" xfId="16723" xr:uid="{00000000-0005-0000-0000-0000A8500000}"/>
    <cellStyle name="40% - Accent6 3 3 2 2 2 2 2" xfId="40565" xr:uid="{0ED7A1BD-0402-419A-8ED1-3171841BF06A}"/>
    <cellStyle name="40% - Accent6 3 3 2 2 2 3" xfId="24669" xr:uid="{00000000-0005-0000-0000-0000A9500000}"/>
    <cellStyle name="40% - Accent6 3 3 2 2 2 3 2" xfId="48501" xr:uid="{6A194D71-05BE-46A2-98C4-E1E2599EC5AD}"/>
    <cellStyle name="40% - Accent6 3 3 2 2 2 4" xfId="32624" xr:uid="{3B70E7D7-DD9C-4EAB-B4AD-F13D7826401F}"/>
    <cellStyle name="40% - Accent6 3 3 2 2 3" xfId="13185" xr:uid="{00000000-0005-0000-0000-0000AA500000}"/>
    <cellStyle name="40% - Accent6 3 3 2 2 3 2" xfId="37034" xr:uid="{6BC675DE-5102-4074-9153-13A1A082F12D}"/>
    <cellStyle name="40% - Accent6 3 3 2 2 4" xfId="21140" xr:uid="{00000000-0005-0000-0000-0000AB500000}"/>
    <cellStyle name="40% - Accent6 3 3 2 2 4 2" xfId="44972" xr:uid="{1E0BAD41-E2B3-460B-859F-4C1C9EDE5F7C}"/>
    <cellStyle name="40% - Accent6 3 3 2 2 5" xfId="29093" xr:uid="{A7B7868B-82AF-443D-937B-E18EAB5C53BE}"/>
    <cellStyle name="40% - Accent6 3 3 2 3" xfId="6994" xr:uid="{00000000-0005-0000-0000-0000AC500000}"/>
    <cellStyle name="40% - Accent6 3 3 2 3 2" xfId="14965" xr:uid="{00000000-0005-0000-0000-0000AD500000}"/>
    <cellStyle name="40% - Accent6 3 3 2 3 2 2" xfId="38807" xr:uid="{C45EAD56-64BB-4C6B-ACDF-AC2A41F98FD5}"/>
    <cellStyle name="40% - Accent6 3 3 2 3 3" xfId="22912" xr:uid="{00000000-0005-0000-0000-0000AE500000}"/>
    <cellStyle name="40% - Accent6 3 3 2 3 3 2" xfId="46744" xr:uid="{FCF39C67-92AE-4B1E-9664-93B9E0DF38A6}"/>
    <cellStyle name="40% - Accent6 3 3 2 3 4" xfId="30866" xr:uid="{CA8436A2-4F03-4EBD-9CF9-E205F50BC975}"/>
    <cellStyle name="40% - Accent6 3 3 2 4" xfId="11429" xr:uid="{00000000-0005-0000-0000-0000AF500000}"/>
    <cellStyle name="40% - Accent6 3 3 2 4 2" xfId="35278" xr:uid="{D1B64DC0-EF99-4204-BCA7-09184676BAA8}"/>
    <cellStyle name="40% - Accent6 3 3 2 5" xfId="19384" xr:uid="{00000000-0005-0000-0000-0000B0500000}"/>
    <cellStyle name="40% - Accent6 3 3 2 5 2" xfId="43216" xr:uid="{760542C3-5A45-410D-B06D-B3804720AD72}"/>
    <cellStyle name="40% - Accent6 3 3 2 6" xfId="27336" xr:uid="{D2CE6724-E786-4128-866E-3AF6B1C71D59}"/>
    <cellStyle name="40% - Accent6 3 3 2_Exh G" xfId="3358" xr:uid="{00000000-0005-0000-0000-0000B1500000}"/>
    <cellStyle name="40% - Accent6 3 3 3" xfId="4283" xr:uid="{00000000-0005-0000-0000-0000B2500000}"/>
    <cellStyle name="40% - Accent6 3 3 3 2" xfId="7875" xr:uid="{00000000-0005-0000-0000-0000B3500000}"/>
    <cellStyle name="40% - Accent6 3 3 3 2 2" xfId="15845" xr:uid="{00000000-0005-0000-0000-0000B4500000}"/>
    <cellStyle name="40% - Accent6 3 3 3 2 2 2" xfId="39687" xr:uid="{C14CE241-34DB-43C3-AD9F-5508E28999D1}"/>
    <cellStyle name="40% - Accent6 3 3 3 2 3" xfId="23791" xr:uid="{00000000-0005-0000-0000-0000B5500000}"/>
    <cellStyle name="40% - Accent6 3 3 3 2 3 2" xfId="47623" xr:uid="{9535510F-4462-4C46-A5B6-251DD2C28AE6}"/>
    <cellStyle name="40% - Accent6 3 3 3 2 4" xfId="31746" xr:uid="{AA3BA393-EF3A-43BD-8416-1F34BE90F2FA}"/>
    <cellStyle name="40% - Accent6 3 3 3 3" xfId="12307" xr:uid="{00000000-0005-0000-0000-0000B6500000}"/>
    <cellStyle name="40% - Accent6 3 3 3 3 2" xfId="36156" xr:uid="{F88DC779-E2C2-4996-BCF9-A98C7928BE74}"/>
    <cellStyle name="40% - Accent6 3 3 3 4" xfId="20262" xr:uid="{00000000-0005-0000-0000-0000B7500000}"/>
    <cellStyle name="40% - Accent6 3 3 3 4 2" xfId="44094" xr:uid="{244997DF-802F-45BC-9A7C-BF685175EF20}"/>
    <cellStyle name="40% - Accent6 3 3 3 5" xfId="28215" xr:uid="{5A69778B-83F7-4300-8F8C-5CE6769684AB}"/>
    <cellStyle name="40% - Accent6 3 3 4" xfId="6103" xr:uid="{00000000-0005-0000-0000-0000B8500000}"/>
    <cellStyle name="40% - Accent6 3 3 4 2" xfId="14086" xr:uid="{00000000-0005-0000-0000-0000B9500000}"/>
    <cellStyle name="40% - Accent6 3 3 4 2 2" xfId="37929" xr:uid="{F0AA9854-55BA-475E-9FD8-C08E7B11FBA3}"/>
    <cellStyle name="40% - Accent6 3 3 4 3" xfId="22034" xr:uid="{00000000-0005-0000-0000-0000BA500000}"/>
    <cellStyle name="40% - Accent6 3 3 4 3 2" xfId="45866" xr:uid="{7738EAE0-9482-4A30-B758-FE675F8D6D1E}"/>
    <cellStyle name="40% - Accent6 3 3 4 4" xfId="29988" xr:uid="{DE453C16-632D-4DFE-AE11-B7A4ECAC5353}"/>
    <cellStyle name="40% - Accent6 3 3 5" xfId="9655" xr:uid="{00000000-0005-0000-0000-0000BB500000}"/>
    <cellStyle name="40% - Accent6 3 3 5 2" xfId="17613" xr:uid="{00000000-0005-0000-0000-0000BC500000}"/>
    <cellStyle name="40% - Accent6 3 3 5 2 2" xfId="41453" xr:uid="{38E4B7A4-8661-4A6A-AE9E-15AC8DC292EE}"/>
    <cellStyle name="40% - Accent6 3 3 5 3" xfId="25557" xr:uid="{00000000-0005-0000-0000-0000BD500000}"/>
    <cellStyle name="40% - Accent6 3 3 5 3 2" xfId="49389" xr:uid="{170CDDF6-C2A2-44C8-8A92-F357AA27BD7F}"/>
    <cellStyle name="40% - Accent6 3 3 5 4" xfId="33512" xr:uid="{109BB603-084C-4249-A2CD-A43F0BC5ABA4}"/>
    <cellStyle name="40% - Accent6 3 3 6" xfId="10551" xr:uid="{00000000-0005-0000-0000-0000BE500000}"/>
    <cellStyle name="40% - Accent6 3 3 6 2" xfId="34400" xr:uid="{B2ECA3B4-B5CA-476F-8BEC-30CBCB580F25}"/>
    <cellStyle name="40% - Accent6 3 3 7" xfId="18506" xr:uid="{00000000-0005-0000-0000-0000BF500000}"/>
    <cellStyle name="40% - Accent6 3 3 7 2" xfId="42338" xr:uid="{B7874429-3B7C-4867-BFA6-D7C24EC29928}"/>
    <cellStyle name="40% - Accent6 3 3 8" xfId="26458" xr:uid="{C5A2593A-A2DA-4DDC-96D8-348A23799574}"/>
    <cellStyle name="40% - Accent6 3 3_Exh G" xfId="3357" xr:uid="{00000000-0005-0000-0000-0000C0500000}"/>
    <cellStyle name="40% - Accent6 3 4" xfId="994" xr:uid="{00000000-0005-0000-0000-0000C1500000}"/>
    <cellStyle name="40% - Accent6 3 4 2" xfId="1904" xr:uid="{00000000-0005-0000-0000-0000C2500000}"/>
    <cellStyle name="40% - Accent6 3 4 2 2" xfId="5421" xr:uid="{00000000-0005-0000-0000-0000C3500000}"/>
    <cellStyle name="40% - Accent6 3 4 2 2 2" xfId="9012" xr:uid="{00000000-0005-0000-0000-0000C4500000}"/>
    <cellStyle name="40% - Accent6 3 4 2 2 2 2" xfId="16982" xr:uid="{00000000-0005-0000-0000-0000C5500000}"/>
    <cellStyle name="40% - Accent6 3 4 2 2 2 2 2" xfId="40824" xr:uid="{A65CA1A7-A7B6-4109-B6CD-9E3719BF2813}"/>
    <cellStyle name="40% - Accent6 3 4 2 2 2 3" xfId="24928" xr:uid="{00000000-0005-0000-0000-0000C6500000}"/>
    <cellStyle name="40% - Accent6 3 4 2 2 2 3 2" xfId="48760" xr:uid="{286788A1-24DE-4612-AFB4-89D58EED5A46}"/>
    <cellStyle name="40% - Accent6 3 4 2 2 2 4" xfId="32883" xr:uid="{1E6C2240-948B-4C95-B39B-5BAEF115CA2B}"/>
    <cellStyle name="40% - Accent6 3 4 2 2 3" xfId="13444" xr:uid="{00000000-0005-0000-0000-0000C7500000}"/>
    <cellStyle name="40% - Accent6 3 4 2 2 3 2" xfId="37293" xr:uid="{AA4EF23F-DFDC-4F06-8F2C-3D458697CCE0}"/>
    <cellStyle name="40% - Accent6 3 4 2 2 4" xfId="21399" xr:uid="{00000000-0005-0000-0000-0000C8500000}"/>
    <cellStyle name="40% - Accent6 3 4 2 2 4 2" xfId="45231" xr:uid="{EAE9E66C-C589-4DD4-8EF9-D5864291F7E7}"/>
    <cellStyle name="40% - Accent6 3 4 2 2 5" xfId="29352" xr:uid="{9B894ADE-2192-4E5E-AC4A-B34847B28281}"/>
    <cellStyle name="40% - Accent6 3 4 2 3" xfId="7253" xr:uid="{00000000-0005-0000-0000-0000C9500000}"/>
    <cellStyle name="40% - Accent6 3 4 2 3 2" xfId="15224" xr:uid="{00000000-0005-0000-0000-0000CA500000}"/>
    <cellStyle name="40% - Accent6 3 4 2 3 2 2" xfId="39066" xr:uid="{09E17CBD-7FBD-4BF7-8826-A1FDF95DEFE3}"/>
    <cellStyle name="40% - Accent6 3 4 2 3 3" xfId="23171" xr:uid="{00000000-0005-0000-0000-0000CB500000}"/>
    <cellStyle name="40% - Accent6 3 4 2 3 3 2" xfId="47003" xr:uid="{D4A622B2-4AB1-401C-B747-4C27243F79B0}"/>
    <cellStyle name="40% - Accent6 3 4 2 3 4" xfId="31125" xr:uid="{D951D9E9-7B7A-4A2A-AE83-F4DD15BE8A3F}"/>
    <cellStyle name="40% - Accent6 3 4 2 4" xfId="11688" xr:uid="{00000000-0005-0000-0000-0000CC500000}"/>
    <cellStyle name="40% - Accent6 3 4 2 4 2" xfId="35537" xr:uid="{23D9B7F2-1724-44B7-A282-8D2513165888}"/>
    <cellStyle name="40% - Accent6 3 4 2 5" xfId="19643" xr:uid="{00000000-0005-0000-0000-0000CD500000}"/>
    <cellStyle name="40% - Accent6 3 4 2 5 2" xfId="43475" xr:uid="{9A6A504B-4177-4B2F-B5F7-56F3B38AA224}"/>
    <cellStyle name="40% - Accent6 3 4 2 6" xfId="27595" xr:uid="{7165C0B1-AEE7-4BA7-9D61-8B3B6B64E8C5}"/>
    <cellStyle name="40% - Accent6 3 4 2_Exh G" xfId="3360" xr:uid="{00000000-0005-0000-0000-0000CE500000}"/>
    <cellStyle name="40% - Accent6 3 4 3" xfId="4542" xr:uid="{00000000-0005-0000-0000-0000CF500000}"/>
    <cellStyle name="40% - Accent6 3 4 3 2" xfId="8134" xr:uid="{00000000-0005-0000-0000-0000D0500000}"/>
    <cellStyle name="40% - Accent6 3 4 3 2 2" xfId="16104" xr:uid="{00000000-0005-0000-0000-0000D1500000}"/>
    <cellStyle name="40% - Accent6 3 4 3 2 2 2" xfId="39946" xr:uid="{E0E2F42E-AE47-4AC1-BAAD-459621D1FF23}"/>
    <cellStyle name="40% - Accent6 3 4 3 2 3" xfId="24050" xr:uid="{00000000-0005-0000-0000-0000D2500000}"/>
    <cellStyle name="40% - Accent6 3 4 3 2 3 2" xfId="47882" xr:uid="{92E3CF3F-00D7-4161-9E99-5019712E7461}"/>
    <cellStyle name="40% - Accent6 3 4 3 2 4" xfId="32005" xr:uid="{8D90DED0-7432-40C9-A8BF-1FEDE3D978C6}"/>
    <cellStyle name="40% - Accent6 3 4 3 3" xfId="12566" xr:uid="{00000000-0005-0000-0000-0000D3500000}"/>
    <cellStyle name="40% - Accent6 3 4 3 3 2" xfId="36415" xr:uid="{DB43D3B0-3BEC-4BDC-BAE5-6AB55196AD5A}"/>
    <cellStyle name="40% - Accent6 3 4 3 4" xfId="20521" xr:uid="{00000000-0005-0000-0000-0000D4500000}"/>
    <cellStyle name="40% - Accent6 3 4 3 4 2" xfId="44353" xr:uid="{E44066DA-160E-4F9F-918A-C010EC0FE611}"/>
    <cellStyle name="40% - Accent6 3 4 3 5" xfId="28474" xr:uid="{BCCF89CD-FD52-4CBF-99CD-F72BCD1DEE3F}"/>
    <cellStyle name="40% - Accent6 3 4 4" xfId="6372" xr:uid="{00000000-0005-0000-0000-0000D5500000}"/>
    <cellStyle name="40% - Accent6 3 4 4 2" xfId="14346" xr:uid="{00000000-0005-0000-0000-0000D6500000}"/>
    <cellStyle name="40% - Accent6 3 4 4 2 2" xfId="38188" xr:uid="{D86E8EA4-A502-4CDE-8B45-CEA2B8E7F19A}"/>
    <cellStyle name="40% - Accent6 3 4 4 3" xfId="22293" xr:uid="{00000000-0005-0000-0000-0000D7500000}"/>
    <cellStyle name="40% - Accent6 3 4 4 3 2" xfId="46125" xr:uid="{4EE29BA0-836F-4567-AFBD-EE60E712FF30}"/>
    <cellStyle name="40% - Accent6 3 4 4 4" xfId="30247" xr:uid="{A2FA0D9E-5361-48D9-B04B-AC0CDF019360}"/>
    <cellStyle name="40% - Accent6 3 4 5" xfId="9914" xr:uid="{00000000-0005-0000-0000-0000D8500000}"/>
    <cellStyle name="40% - Accent6 3 4 5 2" xfId="17872" xr:uid="{00000000-0005-0000-0000-0000D9500000}"/>
    <cellStyle name="40% - Accent6 3 4 5 2 2" xfId="41712" xr:uid="{5D6B915A-6509-4FAE-BD48-F98148C73371}"/>
    <cellStyle name="40% - Accent6 3 4 5 3" xfId="25816" xr:uid="{00000000-0005-0000-0000-0000DA500000}"/>
    <cellStyle name="40% - Accent6 3 4 5 3 2" xfId="49648" xr:uid="{76703A81-176F-4980-ADC0-FB4A53D1860C}"/>
    <cellStyle name="40% - Accent6 3 4 5 4" xfId="33771" xr:uid="{15F4340D-CE35-462A-902C-B22B5F36BDF3}"/>
    <cellStyle name="40% - Accent6 3 4 6" xfId="10810" xr:uid="{00000000-0005-0000-0000-0000DB500000}"/>
    <cellStyle name="40% - Accent6 3 4 6 2" xfId="34659" xr:uid="{D094C6E4-6072-4645-83C2-B8D40FC56FC6}"/>
    <cellStyle name="40% - Accent6 3 4 7" xfId="18765" xr:uid="{00000000-0005-0000-0000-0000DC500000}"/>
    <cellStyle name="40% - Accent6 3 4 7 2" xfId="42597" xr:uid="{FF9481D0-FAD5-4F9B-A0FE-C54E6067C4FD}"/>
    <cellStyle name="40% - Accent6 3 4 8" xfId="26717" xr:uid="{8030D0BF-2450-4DC6-9C15-B345708EFBB6}"/>
    <cellStyle name="40% - Accent6 3 4_Exh G" xfId="3359" xr:uid="{00000000-0005-0000-0000-0000DD500000}"/>
    <cellStyle name="40% - Accent6 3 5" xfId="1632" xr:uid="{00000000-0005-0000-0000-0000DE500000}"/>
    <cellStyle name="40% - Accent6 3 5 2" xfId="5159" xr:uid="{00000000-0005-0000-0000-0000DF500000}"/>
    <cellStyle name="40% - Accent6 3 5 2 2" xfId="8750" xr:uid="{00000000-0005-0000-0000-0000E0500000}"/>
    <cellStyle name="40% - Accent6 3 5 2 2 2" xfId="16720" xr:uid="{00000000-0005-0000-0000-0000E1500000}"/>
    <cellStyle name="40% - Accent6 3 5 2 2 2 2" xfId="40562" xr:uid="{746B1F3F-030D-4ED9-B6BA-46AF4D1391FD}"/>
    <cellStyle name="40% - Accent6 3 5 2 2 3" xfId="24666" xr:uid="{00000000-0005-0000-0000-0000E2500000}"/>
    <cellStyle name="40% - Accent6 3 5 2 2 3 2" xfId="48498" xr:uid="{025B0876-220C-4983-9F60-44CE49608308}"/>
    <cellStyle name="40% - Accent6 3 5 2 2 4" xfId="32621" xr:uid="{5C8D41BD-5B91-48B5-B003-43D43AA76649}"/>
    <cellStyle name="40% - Accent6 3 5 2 3" xfId="13182" xr:uid="{00000000-0005-0000-0000-0000E3500000}"/>
    <cellStyle name="40% - Accent6 3 5 2 3 2" xfId="37031" xr:uid="{99A8BA62-4E43-41D9-AF4A-410F4894DDD2}"/>
    <cellStyle name="40% - Accent6 3 5 2 4" xfId="21137" xr:uid="{00000000-0005-0000-0000-0000E4500000}"/>
    <cellStyle name="40% - Accent6 3 5 2 4 2" xfId="44969" xr:uid="{0828AC8A-BA82-4EC7-A6B2-DF4706F4E3D5}"/>
    <cellStyle name="40% - Accent6 3 5 2 5" xfId="29090" xr:uid="{6F3F733C-D738-4FB3-9520-CAEB64646592}"/>
    <cellStyle name="40% - Accent6 3 5 3" xfId="6991" xr:uid="{00000000-0005-0000-0000-0000E5500000}"/>
    <cellStyle name="40% - Accent6 3 5 3 2" xfId="14962" xr:uid="{00000000-0005-0000-0000-0000E6500000}"/>
    <cellStyle name="40% - Accent6 3 5 3 2 2" xfId="38804" xr:uid="{5D878F42-8883-4C17-849E-34167E57A17A}"/>
    <cellStyle name="40% - Accent6 3 5 3 3" xfId="22909" xr:uid="{00000000-0005-0000-0000-0000E7500000}"/>
    <cellStyle name="40% - Accent6 3 5 3 3 2" xfId="46741" xr:uid="{7DE609BB-43F2-4B17-A249-80E138DF02C2}"/>
    <cellStyle name="40% - Accent6 3 5 3 4" xfId="30863" xr:uid="{DDDDF15F-550A-4B9D-B7D6-A6934E796613}"/>
    <cellStyle name="40% - Accent6 3 5 4" xfId="11426" xr:uid="{00000000-0005-0000-0000-0000E8500000}"/>
    <cellStyle name="40% - Accent6 3 5 4 2" xfId="35275" xr:uid="{5C169740-BE9F-4484-8DAC-0A470E7AAED4}"/>
    <cellStyle name="40% - Accent6 3 5 5" xfId="19381" xr:uid="{00000000-0005-0000-0000-0000E9500000}"/>
    <cellStyle name="40% - Accent6 3 5 5 2" xfId="43213" xr:uid="{3AC271D7-1FD1-4E37-AF4D-EA1A64F6FCE0}"/>
    <cellStyle name="40% - Accent6 3 5 6" xfId="27333" xr:uid="{6D2F0A0F-F270-4066-9A6D-37CA3B8682D3}"/>
    <cellStyle name="40% - Accent6 3 5_Exh G" xfId="3361" xr:uid="{00000000-0005-0000-0000-0000EA500000}"/>
    <cellStyle name="40% - Accent6 3 6" xfId="4280" xr:uid="{00000000-0005-0000-0000-0000EB500000}"/>
    <cellStyle name="40% - Accent6 3 6 2" xfId="7872" xr:uid="{00000000-0005-0000-0000-0000EC500000}"/>
    <cellStyle name="40% - Accent6 3 6 2 2" xfId="15842" xr:uid="{00000000-0005-0000-0000-0000ED500000}"/>
    <cellStyle name="40% - Accent6 3 6 2 2 2" xfId="39684" xr:uid="{99BBEC8E-4CA1-4B50-92FF-15C3A681DC04}"/>
    <cellStyle name="40% - Accent6 3 6 2 3" xfId="23788" xr:uid="{00000000-0005-0000-0000-0000EE500000}"/>
    <cellStyle name="40% - Accent6 3 6 2 3 2" xfId="47620" xr:uid="{5F8892B0-4993-4D1B-9BF0-7DEF8F112C49}"/>
    <cellStyle name="40% - Accent6 3 6 2 4" xfId="31743" xr:uid="{C64F866A-B81A-46CB-A6FF-19C07F3A15AC}"/>
    <cellStyle name="40% - Accent6 3 6 3" xfId="12304" xr:uid="{00000000-0005-0000-0000-0000EF500000}"/>
    <cellStyle name="40% - Accent6 3 6 3 2" xfId="36153" xr:uid="{A6F43EB9-7EFB-4A2F-902E-EE9CC9B8592D}"/>
    <cellStyle name="40% - Accent6 3 6 4" xfId="20259" xr:uid="{00000000-0005-0000-0000-0000F0500000}"/>
    <cellStyle name="40% - Accent6 3 6 4 2" xfId="44091" xr:uid="{0FB52BE3-2D85-48BD-A47E-5D3A617280E3}"/>
    <cellStyle name="40% - Accent6 3 6 5" xfId="28212" xr:uid="{334693B9-03D7-4B4C-A76F-8378EBCB9004}"/>
    <cellStyle name="40% - Accent6 3 7" xfId="6100" xr:uid="{00000000-0005-0000-0000-0000F1500000}"/>
    <cellStyle name="40% - Accent6 3 7 2" xfId="14083" xr:uid="{00000000-0005-0000-0000-0000F2500000}"/>
    <cellStyle name="40% - Accent6 3 7 2 2" xfId="37926" xr:uid="{FCD519DE-5D39-4B65-8579-58263C6DF5F4}"/>
    <cellStyle name="40% - Accent6 3 7 3" xfId="22031" xr:uid="{00000000-0005-0000-0000-0000F3500000}"/>
    <cellStyle name="40% - Accent6 3 7 3 2" xfId="45863" xr:uid="{1D072422-C4E2-4102-B6AF-A6A87ECB5123}"/>
    <cellStyle name="40% - Accent6 3 7 4" xfId="29985" xr:uid="{DD1F0CB0-F99F-48B0-B417-05AAB11D43DA}"/>
    <cellStyle name="40% - Accent6 3 8" xfId="9652" xr:uid="{00000000-0005-0000-0000-0000F4500000}"/>
    <cellStyle name="40% - Accent6 3 8 2" xfId="17610" xr:uid="{00000000-0005-0000-0000-0000F5500000}"/>
    <cellStyle name="40% - Accent6 3 8 2 2" xfId="41450" xr:uid="{12709D2D-DA6B-4BEB-AA12-0AF45067312A}"/>
    <cellStyle name="40% - Accent6 3 8 3" xfId="25554" xr:uid="{00000000-0005-0000-0000-0000F6500000}"/>
    <cellStyle name="40% - Accent6 3 8 3 2" xfId="49386" xr:uid="{420F8A2E-AA5C-498B-BD9C-71CF6BB19423}"/>
    <cellStyle name="40% - Accent6 3 8 4" xfId="33509" xr:uid="{642681FD-17A6-4515-9180-2823C71F7A82}"/>
    <cellStyle name="40% - Accent6 3 9" xfId="10548" xr:uid="{00000000-0005-0000-0000-0000F7500000}"/>
    <cellStyle name="40% - Accent6 3 9 2" xfId="34397" xr:uid="{15DA9398-1414-4D97-A841-A68A5BC80A4B}"/>
    <cellStyle name="40% - Accent6 3_Exh G" xfId="3350" xr:uid="{00000000-0005-0000-0000-0000F8500000}"/>
    <cellStyle name="40% - Accent6 4" xfId="610" xr:uid="{00000000-0005-0000-0000-0000F9500000}"/>
    <cellStyle name="40% - Accent6 4 10" xfId="18507" xr:uid="{00000000-0005-0000-0000-0000FA500000}"/>
    <cellStyle name="40% - Accent6 4 10 2" xfId="42339" xr:uid="{6FD748B1-57EC-42E4-B019-2FD866D14311}"/>
    <cellStyle name="40% - Accent6 4 11" xfId="26459" xr:uid="{7B55A2BC-3896-4A20-9D70-CE149F7B9962}"/>
    <cellStyle name="40% - Accent6 4 2" xfId="611" xr:uid="{00000000-0005-0000-0000-0000FB500000}"/>
    <cellStyle name="40% - Accent6 4 2 10" xfId="26460" xr:uid="{28807FF4-B1D1-4A1F-A3F6-5473D5F27B28}"/>
    <cellStyle name="40% - Accent6 4 2 2" xfId="612" xr:uid="{00000000-0005-0000-0000-0000FC500000}"/>
    <cellStyle name="40% - Accent6 4 2 2 2" xfId="1638" xr:uid="{00000000-0005-0000-0000-0000FD500000}"/>
    <cellStyle name="40% - Accent6 4 2 2 2 2" xfId="5165" xr:uid="{00000000-0005-0000-0000-0000FE500000}"/>
    <cellStyle name="40% - Accent6 4 2 2 2 2 2" xfId="8756" xr:uid="{00000000-0005-0000-0000-0000FF500000}"/>
    <cellStyle name="40% - Accent6 4 2 2 2 2 2 2" xfId="16726" xr:uid="{00000000-0005-0000-0000-000000510000}"/>
    <cellStyle name="40% - Accent6 4 2 2 2 2 2 2 2" xfId="40568" xr:uid="{CC67D155-9288-44C3-BE67-0D982094A631}"/>
    <cellStyle name="40% - Accent6 4 2 2 2 2 2 3" xfId="24672" xr:uid="{00000000-0005-0000-0000-000001510000}"/>
    <cellStyle name="40% - Accent6 4 2 2 2 2 2 3 2" xfId="48504" xr:uid="{75F84C03-98A0-4F3A-9928-7B0DC338DD75}"/>
    <cellStyle name="40% - Accent6 4 2 2 2 2 2 4" xfId="32627" xr:uid="{C92E9FE8-B565-4E2D-969E-F76426A34598}"/>
    <cellStyle name="40% - Accent6 4 2 2 2 2 3" xfId="13188" xr:uid="{00000000-0005-0000-0000-000002510000}"/>
    <cellStyle name="40% - Accent6 4 2 2 2 2 3 2" xfId="37037" xr:uid="{D574968F-A7B9-4009-A937-6055A3E02618}"/>
    <cellStyle name="40% - Accent6 4 2 2 2 2 4" xfId="21143" xr:uid="{00000000-0005-0000-0000-000003510000}"/>
    <cellStyle name="40% - Accent6 4 2 2 2 2 4 2" xfId="44975" xr:uid="{A7B43D28-9B93-4C5B-BD34-469F4A58F137}"/>
    <cellStyle name="40% - Accent6 4 2 2 2 2 5" xfId="29096" xr:uid="{CB9DC330-7983-4A1E-9F0E-8E34B945CDFA}"/>
    <cellStyle name="40% - Accent6 4 2 2 2 3" xfId="6997" xr:uid="{00000000-0005-0000-0000-000004510000}"/>
    <cellStyle name="40% - Accent6 4 2 2 2 3 2" xfId="14968" xr:uid="{00000000-0005-0000-0000-000005510000}"/>
    <cellStyle name="40% - Accent6 4 2 2 2 3 2 2" xfId="38810" xr:uid="{D2E5409B-D0CB-46D1-AED2-5525FDEE5DEF}"/>
    <cellStyle name="40% - Accent6 4 2 2 2 3 3" xfId="22915" xr:uid="{00000000-0005-0000-0000-000006510000}"/>
    <cellStyle name="40% - Accent6 4 2 2 2 3 3 2" xfId="46747" xr:uid="{384D9D34-0276-4DB4-92B1-80769309C33C}"/>
    <cellStyle name="40% - Accent6 4 2 2 2 3 4" xfId="30869" xr:uid="{E52E9D89-1F18-429D-BEC3-DE2F88FD7492}"/>
    <cellStyle name="40% - Accent6 4 2 2 2 4" xfId="11432" xr:uid="{00000000-0005-0000-0000-000007510000}"/>
    <cellStyle name="40% - Accent6 4 2 2 2 4 2" xfId="35281" xr:uid="{286A73E7-6C6A-40CF-8199-FA5DCA8B7592}"/>
    <cellStyle name="40% - Accent6 4 2 2 2 5" xfId="19387" xr:uid="{00000000-0005-0000-0000-000008510000}"/>
    <cellStyle name="40% - Accent6 4 2 2 2 5 2" xfId="43219" xr:uid="{EF79CF26-1995-4328-81E8-E93BB9CB7D60}"/>
    <cellStyle name="40% - Accent6 4 2 2 2 6" xfId="27339" xr:uid="{A8D1B89B-9307-4DD2-8FED-ECDDD6FE4D90}"/>
    <cellStyle name="40% - Accent6 4 2 2 2_Exh G" xfId="3365" xr:uid="{00000000-0005-0000-0000-000009510000}"/>
    <cellStyle name="40% - Accent6 4 2 2 3" xfId="4286" xr:uid="{00000000-0005-0000-0000-00000A510000}"/>
    <cellStyle name="40% - Accent6 4 2 2 3 2" xfId="7878" xr:uid="{00000000-0005-0000-0000-00000B510000}"/>
    <cellStyle name="40% - Accent6 4 2 2 3 2 2" xfId="15848" xr:uid="{00000000-0005-0000-0000-00000C510000}"/>
    <cellStyle name="40% - Accent6 4 2 2 3 2 2 2" xfId="39690" xr:uid="{86C8958B-CBF2-4E0A-B137-5C364622391A}"/>
    <cellStyle name="40% - Accent6 4 2 2 3 2 3" xfId="23794" xr:uid="{00000000-0005-0000-0000-00000D510000}"/>
    <cellStyle name="40% - Accent6 4 2 2 3 2 3 2" xfId="47626" xr:uid="{617E82F5-01A6-46F3-A078-247EB7B35621}"/>
    <cellStyle name="40% - Accent6 4 2 2 3 2 4" xfId="31749" xr:uid="{0C5BA2F9-0E0F-42AD-B130-F1A5C4077376}"/>
    <cellStyle name="40% - Accent6 4 2 2 3 3" xfId="12310" xr:uid="{00000000-0005-0000-0000-00000E510000}"/>
    <cellStyle name="40% - Accent6 4 2 2 3 3 2" xfId="36159" xr:uid="{1CF0C9DB-2D8F-47DD-BDDC-6AFC57D45747}"/>
    <cellStyle name="40% - Accent6 4 2 2 3 4" xfId="20265" xr:uid="{00000000-0005-0000-0000-00000F510000}"/>
    <cellStyle name="40% - Accent6 4 2 2 3 4 2" xfId="44097" xr:uid="{B9772989-848C-4205-8654-5F0C26DE00E8}"/>
    <cellStyle name="40% - Accent6 4 2 2 3 5" xfId="28218" xr:uid="{96EDB814-A19E-4815-BFBF-7B63A3C43DFB}"/>
    <cellStyle name="40% - Accent6 4 2 2 4" xfId="6106" xr:uid="{00000000-0005-0000-0000-000010510000}"/>
    <cellStyle name="40% - Accent6 4 2 2 4 2" xfId="14089" xr:uid="{00000000-0005-0000-0000-000011510000}"/>
    <cellStyle name="40% - Accent6 4 2 2 4 2 2" xfId="37932" xr:uid="{E356F56D-CB0B-4535-AE61-6E87313D0C72}"/>
    <cellStyle name="40% - Accent6 4 2 2 4 3" xfId="22037" xr:uid="{00000000-0005-0000-0000-000012510000}"/>
    <cellStyle name="40% - Accent6 4 2 2 4 3 2" xfId="45869" xr:uid="{5A05A832-7F1E-45FD-BA5B-8CC0936573F5}"/>
    <cellStyle name="40% - Accent6 4 2 2 4 4" xfId="29991" xr:uid="{B35EC214-9FD6-41EE-B273-E2FB7585D7F8}"/>
    <cellStyle name="40% - Accent6 4 2 2 5" xfId="9658" xr:uid="{00000000-0005-0000-0000-000013510000}"/>
    <cellStyle name="40% - Accent6 4 2 2 5 2" xfId="17616" xr:uid="{00000000-0005-0000-0000-000014510000}"/>
    <cellStyle name="40% - Accent6 4 2 2 5 2 2" xfId="41456" xr:uid="{950D3116-4AE2-4A43-B460-598EC22CD971}"/>
    <cellStyle name="40% - Accent6 4 2 2 5 3" xfId="25560" xr:uid="{00000000-0005-0000-0000-000015510000}"/>
    <cellStyle name="40% - Accent6 4 2 2 5 3 2" xfId="49392" xr:uid="{EFC2C0AB-07AC-4B77-90DF-982E5D124726}"/>
    <cellStyle name="40% - Accent6 4 2 2 5 4" xfId="33515" xr:uid="{03BFBBD0-3B91-4C13-829F-5377492B9094}"/>
    <cellStyle name="40% - Accent6 4 2 2 6" xfId="10554" xr:uid="{00000000-0005-0000-0000-000016510000}"/>
    <cellStyle name="40% - Accent6 4 2 2 6 2" xfId="34403" xr:uid="{247ED26B-ECA3-41BC-978E-A920CFD6B000}"/>
    <cellStyle name="40% - Accent6 4 2 2 7" xfId="18509" xr:uid="{00000000-0005-0000-0000-000017510000}"/>
    <cellStyle name="40% - Accent6 4 2 2 7 2" xfId="42341" xr:uid="{7C61B77A-FD93-42C8-B79A-7059911228D7}"/>
    <cellStyle name="40% - Accent6 4 2 2 8" xfId="26461" xr:uid="{CCC29379-4847-4501-92F2-3D61C3C21989}"/>
    <cellStyle name="40% - Accent6 4 2 2_Exh G" xfId="3364" xr:uid="{00000000-0005-0000-0000-000018510000}"/>
    <cellStyle name="40% - Accent6 4 2 3" xfId="997" xr:uid="{00000000-0005-0000-0000-000019510000}"/>
    <cellStyle name="40% - Accent6 4 2 3 2" xfId="1907" xr:uid="{00000000-0005-0000-0000-00001A510000}"/>
    <cellStyle name="40% - Accent6 4 2 3 2 2" xfId="5424" xr:uid="{00000000-0005-0000-0000-00001B510000}"/>
    <cellStyle name="40% - Accent6 4 2 3 2 2 2" xfId="9015" xr:uid="{00000000-0005-0000-0000-00001C510000}"/>
    <cellStyle name="40% - Accent6 4 2 3 2 2 2 2" xfId="16985" xr:uid="{00000000-0005-0000-0000-00001D510000}"/>
    <cellStyle name="40% - Accent6 4 2 3 2 2 2 2 2" xfId="40827" xr:uid="{91CD2E98-1591-49B1-A326-FC0F50F7E53E}"/>
    <cellStyle name="40% - Accent6 4 2 3 2 2 2 3" xfId="24931" xr:uid="{00000000-0005-0000-0000-00001E510000}"/>
    <cellStyle name="40% - Accent6 4 2 3 2 2 2 3 2" xfId="48763" xr:uid="{8418CB0E-AE41-4A5E-A062-5AAAC39DF3AB}"/>
    <cellStyle name="40% - Accent6 4 2 3 2 2 2 4" xfId="32886" xr:uid="{1D0B6784-69F6-4B2C-A995-A5F48DED5EAB}"/>
    <cellStyle name="40% - Accent6 4 2 3 2 2 3" xfId="13447" xr:uid="{00000000-0005-0000-0000-00001F510000}"/>
    <cellStyle name="40% - Accent6 4 2 3 2 2 3 2" xfId="37296" xr:uid="{E3785634-BB82-47E4-9533-F5F6A3A5F2D1}"/>
    <cellStyle name="40% - Accent6 4 2 3 2 2 4" xfId="21402" xr:uid="{00000000-0005-0000-0000-000020510000}"/>
    <cellStyle name="40% - Accent6 4 2 3 2 2 4 2" xfId="45234" xr:uid="{86276A09-512E-464C-B350-2D6ACF1CFAEE}"/>
    <cellStyle name="40% - Accent6 4 2 3 2 2 5" xfId="29355" xr:uid="{166F25BF-36FE-43CD-AA84-BDB735030906}"/>
    <cellStyle name="40% - Accent6 4 2 3 2 3" xfId="7256" xr:uid="{00000000-0005-0000-0000-000021510000}"/>
    <cellStyle name="40% - Accent6 4 2 3 2 3 2" xfId="15227" xr:uid="{00000000-0005-0000-0000-000022510000}"/>
    <cellStyle name="40% - Accent6 4 2 3 2 3 2 2" xfId="39069" xr:uid="{F2FD4050-44F1-42A5-B100-BA186BD3A920}"/>
    <cellStyle name="40% - Accent6 4 2 3 2 3 3" xfId="23174" xr:uid="{00000000-0005-0000-0000-000023510000}"/>
    <cellStyle name="40% - Accent6 4 2 3 2 3 3 2" xfId="47006" xr:uid="{89339B6A-52F2-4A31-B90C-0ED0E830A171}"/>
    <cellStyle name="40% - Accent6 4 2 3 2 3 4" xfId="31128" xr:uid="{198AF271-53E4-495C-BE6E-DF5F638FADBB}"/>
    <cellStyle name="40% - Accent6 4 2 3 2 4" xfId="11691" xr:uid="{00000000-0005-0000-0000-000024510000}"/>
    <cellStyle name="40% - Accent6 4 2 3 2 4 2" xfId="35540" xr:uid="{E9AE5A61-2A37-496C-A6F8-08B45348DC1A}"/>
    <cellStyle name="40% - Accent6 4 2 3 2 5" xfId="19646" xr:uid="{00000000-0005-0000-0000-000025510000}"/>
    <cellStyle name="40% - Accent6 4 2 3 2 5 2" xfId="43478" xr:uid="{3241E2B3-1A0C-4B9E-B646-B1B62156812C}"/>
    <cellStyle name="40% - Accent6 4 2 3 2 6" xfId="27598" xr:uid="{04EED3E4-7966-4FF0-BA4A-888D68C9AD42}"/>
    <cellStyle name="40% - Accent6 4 2 3 2_Exh G" xfId="3367" xr:uid="{00000000-0005-0000-0000-000026510000}"/>
    <cellStyle name="40% - Accent6 4 2 3 3" xfId="4545" xr:uid="{00000000-0005-0000-0000-000027510000}"/>
    <cellStyle name="40% - Accent6 4 2 3 3 2" xfId="8137" xr:uid="{00000000-0005-0000-0000-000028510000}"/>
    <cellStyle name="40% - Accent6 4 2 3 3 2 2" xfId="16107" xr:uid="{00000000-0005-0000-0000-000029510000}"/>
    <cellStyle name="40% - Accent6 4 2 3 3 2 2 2" xfId="39949" xr:uid="{5DD8BCA8-FC1B-4A8B-B2CF-E7DD1B1D5252}"/>
    <cellStyle name="40% - Accent6 4 2 3 3 2 3" xfId="24053" xr:uid="{00000000-0005-0000-0000-00002A510000}"/>
    <cellStyle name="40% - Accent6 4 2 3 3 2 3 2" xfId="47885" xr:uid="{79956D53-E554-40BD-90AA-F891DB2F5AB2}"/>
    <cellStyle name="40% - Accent6 4 2 3 3 2 4" xfId="32008" xr:uid="{BC9EB1A6-CB73-4175-83C6-95674E1D48E2}"/>
    <cellStyle name="40% - Accent6 4 2 3 3 3" xfId="12569" xr:uid="{00000000-0005-0000-0000-00002B510000}"/>
    <cellStyle name="40% - Accent6 4 2 3 3 3 2" xfId="36418" xr:uid="{71D0DB59-DF12-472B-8568-46FA96407C81}"/>
    <cellStyle name="40% - Accent6 4 2 3 3 4" xfId="20524" xr:uid="{00000000-0005-0000-0000-00002C510000}"/>
    <cellStyle name="40% - Accent6 4 2 3 3 4 2" xfId="44356" xr:uid="{3DF12F93-ACF0-4F55-90FA-A01A8B43F17E}"/>
    <cellStyle name="40% - Accent6 4 2 3 3 5" xfId="28477" xr:uid="{C0183457-ADE3-4594-9A4D-45BCABE68985}"/>
    <cellStyle name="40% - Accent6 4 2 3 4" xfId="6375" xr:uid="{00000000-0005-0000-0000-00002D510000}"/>
    <cellStyle name="40% - Accent6 4 2 3 4 2" xfId="14349" xr:uid="{00000000-0005-0000-0000-00002E510000}"/>
    <cellStyle name="40% - Accent6 4 2 3 4 2 2" xfId="38191" xr:uid="{E57EBF2D-2F65-4D70-B4CC-A8F259F43A3B}"/>
    <cellStyle name="40% - Accent6 4 2 3 4 3" xfId="22296" xr:uid="{00000000-0005-0000-0000-00002F510000}"/>
    <cellStyle name="40% - Accent6 4 2 3 4 3 2" xfId="46128" xr:uid="{52A0D707-E0EE-43D4-A81E-ABC30254245D}"/>
    <cellStyle name="40% - Accent6 4 2 3 4 4" xfId="30250" xr:uid="{03A9F307-0E80-4613-83EF-409D05A8DC3A}"/>
    <cellStyle name="40% - Accent6 4 2 3 5" xfId="9917" xr:uid="{00000000-0005-0000-0000-000030510000}"/>
    <cellStyle name="40% - Accent6 4 2 3 5 2" xfId="17875" xr:uid="{00000000-0005-0000-0000-000031510000}"/>
    <cellStyle name="40% - Accent6 4 2 3 5 2 2" xfId="41715" xr:uid="{7C5DAC19-2DC5-4A13-92ED-A08B955B1825}"/>
    <cellStyle name="40% - Accent6 4 2 3 5 3" xfId="25819" xr:uid="{00000000-0005-0000-0000-000032510000}"/>
    <cellStyle name="40% - Accent6 4 2 3 5 3 2" xfId="49651" xr:uid="{219CE6D8-C23F-42CE-A81B-C181C6F59A43}"/>
    <cellStyle name="40% - Accent6 4 2 3 5 4" xfId="33774" xr:uid="{1B0DEC84-C4E6-4871-96EE-856EA9787F5B}"/>
    <cellStyle name="40% - Accent6 4 2 3 6" xfId="10813" xr:uid="{00000000-0005-0000-0000-000033510000}"/>
    <cellStyle name="40% - Accent6 4 2 3 6 2" xfId="34662" xr:uid="{C0D0A47F-9653-4543-A976-FDEEB25B176C}"/>
    <cellStyle name="40% - Accent6 4 2 3 7" xfId="18768" xr:uid="{00000000-0005-0000-0000-000034510000}"/>
    <cellStyle name="40% - Accent6 4 2 3 7 2" xfId="42600" xr:uid="{271D7E1F-35E6-412E-ABCE-4CC02283A7DE}"/>
    <cellStyle name="40% - Accent6 4 2 3 8" xfId="26720" xr:uid="{E46CE0CB-A0C8-46BE-8D67-EFAF91A3910E}"/>
    <cellStyle name="40% - Accent6 4 2 3_Exh G" xfId="3366" xr:uid="{00000000-0005-0000-0000-000035510000}"/>
    <cellStyle name="40% - Accent6 4 2 4" xfId="1637" xr:uid="{00000000-0005-0000-0000-000036510000}"/>
    <cellStyle name="40% - Accent6 4 2 4 2" xfId="5164" xr:uid="{00000000-0005-0000-0000-000037510000}"/>
    <cellStyle name="40% - Accent6 4 2 4 2 2" xfId="8755" xr:uid="{00000000-0005-0000-0000-000038510000}"/>
    <cellStyle name="40% - Accent6 4 2 4 2 2 2" xfId="16725" xr:uid="{00000000-0005-0000-0000-000039510000}"/>
    <cellStyle name="40% - Accent6 4 2 4 2 2 2 2" xfId="40567" xr:uid="{8A8BD9E8-1292-4A12-9E5A-ED13E830BB66}"/>
    <cellStyle name="40% - Accent6 4 2 4 2 2 3" xfId="24671" xr:uid="{00000000-0005-0000-0000-00003A510000}"/>
    <cellStyle name="40% - Accent6 4 2 4 2 2 3 2" xfId="48503" xr:uid="{C4D56E69-A13A-4D2A-9B7D-BBBD3973677A}"/>
    <cellStyle name="40% - Accent6 4 2 4 2 2 4" xfId="32626" xr:uid="{98DA9053-7573-4FD6-9A3B-D4D9F3FD6A9E}"/>
    <cellStyle name="40% - Accent6 4 2 4 2 3" xfId="13187" xr:uid="{00000000-0005-0000-0000-00003B510000}"/>
    <cellStyle name="40% - Accent6 4 2 4 2 3 2" xfId="37036" xr:uid="{1288F343-F8DE-48B1-AA47-1B2F7083CE83}"/>
    <cellStyle name="40% - Accent6 4 2 4 2 4" xfId="21142" xr:uid="{00000000-0005-0000-0000-00003C510000}"/>
    <cellStyle name="40% - Accent6 4 2 4 2 4 2" xfId="44974" xr:uid="{8F90FC45-C782-4D96-A1A5-58BE192B148A}"/>
    <cellStyle name="40% - Accent6 4 2 4 2 5" xfId="29095" xr:uid="{6401DC63-FB87-4EDD-9F5D-8154792D9601}"/>
    <cellStyle name="40% - Accent6 4 2 4 3" xfId="6996" xr:uid="{00000000-0005-0000-0000-00003D510000}"/>
    <cellStyle name="40% - Accent6 4 2 4 3 2" xfId="14967" xr:uid="{00000000-0005-0000-0000-00003E510000}"/>
    <cellStyle name="40% - Accent6 4 2 4 3 2 2" xfId="38809" xr:uid="{3664429A-9442-4248-ADAE-7E2B3C834EF2}"/>
    <cellStyle name="40% - Accent6 4 2 4 3 3" xfId="22914" xr:uid="{00000000-0005-0000-0000-00003F510000}"/>
    <cellStyle name="40% - Accent6 4 2 4 3 3 2" xfId="46746" xr:uid="{C3EB66D9-C7E2-4C2A-A13A-EFF15F745649}"/>
    <cellStyle name="40% - Accent6 4 2 4 3 4" xfId="30868" xr:uid="{37068026-9171-4739-A44A-E57505371614}"/>
    <cellStyle name="40% - Accent6 4 2 4 4" xfId="11431" xr:uid="{00000000-0005-0000-0000-000040510000}"/>
    <cellStyle name="40% - Accent6 4 2 4 4 2" xfId="35280" xr:uid="{0DE36DBA-E316-47AE-B518-1495578482FC}"/>
    <cellStyle name="40% - Accent6 4 2 4 5" xfId="19386" xr:uid="{00000000-0005-0000-0000-000041510000}"/>
    <cellStyle name="40% - Accent6 4 2 4 5 2" xfId="43218" xr:uid="{86223D2C-E639-48A5-A10D-BFCDFC01DBD4}"/>
    <cellStyle name="40% - Accent6 4 2 4 6" xfId="27338" xr:uid="{375A0B94-0EE5-4B35-94EC-9FB25EAD1299}"/>
    <cellStyle name="40% - Accent6 4 2 4_Exh G" xfId="3368" xr:uid="{00000000-0005-0000-0000-000042510000}"/>
    <cellStyle name="40% - Accent6 4 2 5" xfId="4285" xr:uid="{00000000-0005-0000-0000-000043510000}"/>
    <cellStyle name="40% - Accent6 4 2 5 2" xfId="7877" xr:uid="{00000000-0005-0000-0000-000044510000}"/>
    <cellStyle name="40% - Accent6 4 2 5 2 2" xfId="15847" xr:uid="{00000000-0005-0000-0000-000045510000}"/>
    <cellStyle name="40% - Accent6 4 2 5 2 2 2" xfId="39689" xr:uid="{A3F57EB8-A6A0-467A-A614-726B3EECE392}"/>
    <cellStyle name="40% - Accent6 4 2 5 2 3" xfId="23793" xr:uid="{00000000-0005-0000-0000-000046510000}"/>
    <cellStyle name="40% - Accent6 4 2 5 2 3 2" xfId="47625" xr:uid="{5074350D-7D84-458D-B4B9-508651E0DB32}"/>
    <cellStyle name="40% - Accent6 4 2 5 2 4" xfId="31748" xr:uid="{F8E30698-58A1-4BBB-AE98-16AD0FC10EAD}"/>
    <cellStyle name="40% - Accent6 4 2 5 3" xfId="12309" xr:uid="{00000000-0005-0000-0000-000047510000}"/>
    <cellStyle name="40% - Accent6 4 2 5 3 2" xfId="36158" xr:uid="{B96999A8-E909-4187-AB46-71AC49CF7016}"/>
    <cellStyle name="40% - Accent6 4 2 5 4" xfId="20264" xr:uid="{00000000-0005-0000-0000-000048510000}"/>
    <cellStyle name="40% - Accent6 4 2 5 4 2" xfId="44096" xr:uid="{0B21973A-0421-402C-ACCB-A616EA2113FF}"/>
    <cellStyle name="40% - Accent6 4 2 5 5" xfId="28217" xr:uid="{3E3EA5B8-B91E-4EBD-ACBC-C6BC4B4E253E}"/>
    <cellStyle name="40% - Accent6 4 2 6" xfId="6105" xr:uid="{00000000-0005-0000-0000-000049510000}"/>
    <cellStyle name="40% - Accent6 4 2 6 2" xfId="14088" xr:uid="{00000000-0005-0000-0000-00004A510000}"/>
    <cellStyle name="40% - Accent6 4 2 6 2 2" xfId="37931" xr:uid="{EB7AF977-5D4F-42C1-84C3-8444AF1C7458}"/>
    <cellStyle name="40% - Accent6 4 2 6 3" xfId="22036" xr:uid="{00000000-0005-0000-0000-00004B510000}"/>
    <cellStyle name="40% - Accent6 4 2 6 3 2" xfId="45868" xr:uid="{39E2EDCC-1703-4F85-8759-4709807A201A}"/>
    <cellStyle name="40% - Accent6 4 2 6 4" xfId="29990" xr:uid="{1659D7DE-CC8F-4402-8D78-63293F0744A5}"/>
    <cellStyle name="40% - Accent6 4 2 7" xfId="9657" xr:uid="{00000000-0005-0000-0000-00004C510000}"/>
    <cellStyle name="40% - Accent6 4 2 7 2" xfId="17615" xr:uid="{00000000-0005-0000-0000-00004D510000}"/>
    <cellStyle name="40% - Accent6 4 2 7 2 2" xfId="41455" xr:uid="{8C5FAA2B-ED75-4068-B482-B79118FC1459}"/>
    <cellStyle name="40% - Accent6 4 2 7 3" xfId="25559" xr:uid="{00000000-0005-0000-0000-00004E510000}"/>
    <cellStyle name="40% - Accent6 4 2 7 3 2" xfId="49391" xr:uid="{1E0ABE2E-0C86-41FA-99C8-55EF6750AF41}"/>
    <cellStyle name="40% - Accent6 4 2 7 4" xfId="33514" xr:uid="{133A5CB9-770F-4F8F-A4DD-6976CDC26EA4}"/>
    <cellStyle name="40% - Accent6 4 2 8" xfId="10553" xr:uid="{00000000-0005-0000-0000-00004F510000}"/>
    <cellStyle name="40% - Accent6 4 2 8 2" xfId="34402" xr:uid="{B6DFF1C6-8507-43A6-9281-E5113C794C28}"/>
    <cellStyle name="40% - Accent6 4 2 9" xfId="18508" xr:uid="{00000000-0005-0000-0000-000050510000}"/>
    <cellStyle name="40% - Accent6 4 2 9 2" xfId="42340" xr:uid="{B28EBB3A-F0AB-4B02-82B8-166EEFE9DB62}"/>
    <cellStyle name="40% - Accent6 4 2_Exh G" xfId="3363" xr:uid="{00000000-0005-0000-0000-000051510000}"/>
    <cellStyle name="40% - Accent6 4 3" xfId="613" xr:uid="{00000000-0005-0000-0000-000052510000}"/>
    <cellStyle name="40% - Accent6 4 3 2" xfId="1639" xr:uid="{00000000-0005-0000-0000-000053510000}"/>
    <cellStyle name="40% - Accent6 4 3 2 2" xfId="5166" xr:uid="{00000000-0005-0000-0000-000054510000}"/>
    <cellStyle name="40% - Accent6 4 3 2 2 2" xfId="8757" xr:uid="{00000000-0005-0000-0000-000055510000}"/>
    <cellStyle name="40% - Accent6 4 3 2 2 2 2" xfId="16727" xr:uid="{00000000-0005-0000-0000-000056510000}"/>
    <cellStyle name="40% - Accent6 4 3 2 2 2 2 2" xfId="40569" xr:uid="{2C2842CA-DB78-436F-A28A-CDFC8C76C52F}"/>
    <cellStyle name="40% - Accent6 4 3 2 2 2 3" xfId="24673" xr:uid="{00000000-0005-0000-0000-000057510000}"/>
    <cellStyle name="40% - Accent6 4 3 2 2 2 3 2" xfId="48505" xr:uid="{D556AB9D-0BAD-4E24-8300-153265407179}"/>
    <cellStyle name="40% - Accent6 4 3 2 2 2 4" xfId="32628" xr:uid="{EEA4AAE2-D7F8-4E80-921D-14B4714D399F}"/>
    <cellStyle name="40% - Accent6 4 3 2 2 3" xfId="13189" xr:uid="{00000000-0005-0000-0000-000058510000}"/>
    <cellStyle name="40% - Accent6 4 3 2 2 3 2" xfId="37038" xr:uid="{8A13B110-5740-44ED-8D58-16B06BA7BE9A}"/>
    <cellStyle name="40% - Accent6 4 3 2 2 4" xfId="21144" xr:uid="{00000000-0005-0000-0000-000059510000}"/>
    <cellStyle name="40% - Accent6 4 3 2 2 4 2" xfId="44976" xr:uid="{24AFE7E2-6229-46C2-93E6-AFE28912697D}"/>
    <cellStyle name="40% - Accent6 4 3 2 2 5" xfId="29097" xr:uid="{AB021C4E-768C-44D7-A0FC-293A7A77C30E}"/>
    <cellStyle name="40% - Accent6 4 3 2 3" xfId="6998" xr:uid="{00000000-0005-0000-0000-00005A510000}"/>
    <cellStyle name="40% - Accent6 4 3 2 3 2" xfId="14969" xr:uid="{00000000-0005-0000-0000-00005B510000}"/>
    <cellStyle name="40% - Accent6 4 3 2 3 2 2" xfId="38811" xr:uid="{6B227A1C-3D0F-4608-9633-EFE58A62B524}"/>
    <cellStyle name="40% - Accent6 4 3 2 3 3" xfId="22916" xr:uid="{00000000-0005-0000-0000-00005C510000}"/>
    <cellStyle name="40% - Accent6 4 3 2 3 3 2" xfId="46748" xr:uid="{5E4C1597-74F9-4773-9D91-DBBF83DA4320}"/>
    <cellStyle name="40% - Accent6 4 3 2 3 4" xfId="30870" xr:uid="{F1FAD473-724E-45DC-A94C-768C697D4A13}"/>
    <cellStyle name="40% - Accent6 4 3 2 4" xfId="11433" xr:uid="{00000000-0005-0000-0000-00005D510000}"/>
    <cellStyle name="40% - Accent6 4 3 2 4 2" xfId="35282" xr:uid="{8BF64AA1-2956-42BA-964D-913F309917AE}"/>
    <cellStyle name="40% - Accent6 4 3 2 5" xfId="19388" xr:uid="{00000000-0005-0000-0000-00005E510000}"/>
    <cellStyle name="40% - Accent6 4 3 2 5 2" xfId="43220" xr:uid="{7091D34F-4265-42A3-AB62-AACD95467A34}"/>
    <cellStyle name="40% - Accent6 4 3 2 6" xfId="27340" xr:uid="{226AAC2A-D63E-431F-8DCC-1F131D3F79E2}"/>
    <cellStyle name="40% - Accent6 4 3 2_Exh G" xfId="3370" xr:uid="{00000000-0005-0000-0000-00005F510000}"/>
    <cellStyle name="40% - Accent6 4 3 3" xfId="4287" xr:uid="{00000000-0005-0000-0000-000060510000}"/>
    <cellStyle name="40% - Accent6 4 3 3 2" xfId="7879" xr:uid="{00000000-0005-0000-0000-000061510000}"/>
    <cellStyle name="40% - Accent6 4 3 3 2 2" xfId="15849" xr:uid="{00000000-0005-0000-0000-000062510000}"/>
    <cellStyle name="40% - Accent6 4 3 3 2 2 2" xfId="39691" xr:uid="{751F0896-A620-45CC-BADC-A7748A8DFE7C}"/>
    <cellStyle name="40% - Accent6 4 3 3 2 3" xfId="23795" xr:uid="{00000000-0005-0000-0000-000063510000}"/>
    <cellStyle name="40% - Accent6 4 3 3 2 3 2" xfId="47627" xr:uid="{4166F0C6-3FFF-49B1-A950-D166D6CC09E6}"/>
    <cellStyle name="40% - Accent6 4 3 3 2 4" xfId="31750" xr:uid="{4C3A7090-A04B-4F8A-B0BB-18A19C4AEAB0}"/>
    <cellStyle name="40% - Accent6 4 3 3 3" xfId="12311" xr:uid="{00000000-0005-0000-0000-000064510000}"/>
    <cellStyle name="40% - Accent6 4 3 3 3 2" xfId="36160" xr:uid="{90970A1A-F41F-4686-97DE-DD635E68B9B1}"/>
    <cellStyle name="40% - Accent6 4 3 3 4" xfId="20266" xr:uid="{00000000-0005-0000-0000-000065510000}"/>
    <cellStyle name="40% - Accent6 4 3 3 4 2" xfId="44098" xr:uid="{140245DA-0D21-4404-992F-EA769505479B}"/>
    <cellStyle name="40% - Accent6 4 3 3 5" xfId="28219" xr:uid="{9B5CFE0B-070B-48E5-82F7-ECE221B7BF89}"/>
    <cellStyle name="40% - Accent6 4 3 4" xfId="6107" xr:uid="{00000000-0005-0000-0000-000066510000}"/>
    <cellStyle name="40% - Accent6 4 3 4 2" xfId="14090" xr:uid="{00000000-0005-0000-0000-000067510000}"/>
    <cellStyle name="40% - Accent6 4 3 4 2 2" xfId="37933" xr:uid="{7BD3EA6C-9DE0-4D86-B0E7-0FC490D927BB}"/>
    <cellStyle name="40% - Accent6 4 3 4 3" xfId="22038" xr:uid="{00000000-0005-0000-0000-000068510000}"/>
    <cellStyle name="40% - Accent6 4 3 4 3 2" xfId="45870" xr:uid="{78EA692A-05E0-4C1A-8D31-76046BE4705B}"/>
    <cellStyle name="40% - Accent6 4 3 4 4" xfId="29992" xr:uid="{613300C9-FFE7-439D-AE91-F8D270667233}"/>
    <cellStyle name="40% - Accent6 4 3 5" xfId="9659" xr:uid="{00000000-0005-0000-0000-000069510000}"/>
    <cellStyle name="40% - Accent6 4 3 5 2" xfId="17617" xr:uid="{00000000-0005-0000-0000-00006A510000}"/>
    <cellStyle name="40% - Accent6 4 3 5 2 2" xfId="41457" xr:uid="{177A6548-1F9F-40DB-A0AC-9F9EC1E31714}"/>
    <cellStyle name="40% - Accent6 4 3 5 3" xfId="25561" xr:uid="{00000000-0005-0000-0000-00006B510000}"/>
    <cellStyle name="40% - Accent6 4 3 5 3 2" xfId="49393" xr:uid="{73331CFC-DA5C-4895-8206-1719D2B610CF}"/>
    <cellStyle name="40% - Accent6 4 3 5 4" xfId="33516" xr:uid="{0BD9CFC8-C54E-4409-8E9F-236140B781CD}"/>
    <cellStyle name="40% - Accent6 4 3 6" xfId="10555" xr:uid="{00000000-0005-0000-0000-00006C510000}"/>
    <cellStyle name="40% - Accent6 4 3 6 2" xfId="34404" xr:uid="{EA32FA7D-420F-44F8-8742-81D12FDE7D54}"/>
    <cellStyle name="40% - Accent6 4 3 7" xfId="18510" xr:uid="{00000000-0005-0000-0000-00006D510000}"/>
    <cellStyle name="40% - Accent6 4 3 7 2" xfId="42342" xr:uid="{A8336C2D-2DEA-4A10-8C14-C523D2FAB0EF}"/>
    <cellStyle name="40% - Accent6 4 3 8" xfId="26462" xr:uid="{6F358A0F-80D9-48F8-A88B-B3CD91D13623}"/>
    <cellStyle name="40% - Accent6 4 3_Exh G" xfId="3369" xr:uid="{00000000-0005-0000-0000-00006E510000}"/>
    <cellStyle name="40% - Accent6 4 4" xfId="996" xr:uid="{00000000-0005-0000-0000-00006F510000}"/>
    <cellStyle name="40% - Accent6 4 4 2" xfId="1906" xr:uid="{00000000-0005-0000-0000-000070510000}"/>
    <cellStyle name="40% - Accent6 4 4 2 2" xfId="5423" xr:uid="{00000000-0005-0000-0000-000071510000}"/>
    <cellStyle name="40% - Accent6 4 4 2 2 2" xfId="9014" xr:uid="{00000000-0005-0000-0000-000072510000}"/>
    <cellStyle name="40% - Accent6 4 4 2 2 2 2" xfId="16984" xr:uid="{00000000-0005-0000-0000-000073510000}"/>
    <cellStyle name="40% - Accent6 4 4 2 2 2 2 2" xfId="40826" xr:uid="{8C52A7C4-8D4E-4C31-BF18-8AB71EC58590}"/>
    <cellStyle name="40% - Accent6 4 4 2 2 2 3" xfId="24930" xr:uid="{00000000-0005-0000-0000-000074510000}"/>
    <cellStyle name="40% - Accent6 4 4 2 2 2 3 2" xfId="48762" xr:uid="{FA886DBE-D3A8-4647-AF00-3266B8849AB4}"/>
    <cellStyle name="40% - Accent6 4 4 2 2 2 4" xfId="32885" xr:uid="{5F52844E-DA99-4352-B34E-283CAD09C5E0}"/>
    <cellStyle name="40% - Accent6 4 4 2 2 3" xfId="13446" xr:uid="{00000000-0005-0000-0000-000075510000}"/>
    <cellStyle name="40% - Accent6 4 4 2 2 3 2" xfId="37295" xr:uid="{BE4B989F-B40C-47ED-85B3-402155C74128}"/>
    <cellStyle name="40% - Accent6 4 4 2 2 4" xfId="21401" xr:uid="{00000000-0005-0000-0000-000076510000}"/>
    <cellStyle name="40% - Accent6 4 4 2 2 4 2" xfId="45233" xr:uid="{E1AB5766-5B25-4FE0-A622-9200F706F489}"/>
    <cellStyle name="40% - Accent6 4 4 2 2 5" xfId="29354" xr:uid="{DE678693-1B57-4339-845B-6ACB05CAB2D8}"/>
    <cellStyle name="40% - Accent6 4 4 2 3" xfId="7255" xr:uid="{00000000-0005-0000-0000-000077510000}"/>
    <cellStyle name="40% - Accent6 4 4 2 3 2" xfId="15226" xr:uid="{00000000-0005-0000-0000-000078510000}"/>
    <cellStyle name="40% - Accent6 4 4 2 3 2 2" xfId="39068" xr:uid="{F6023DC4-9CB2-4060-94E7-5CB5662EC88A}"/>
    <cellStyle name="40% - Accent6 4 4 2 3 3" xfId="23173" xr:uid="{00000000-0005-0000-0000-000079510000}"/>
    <cellStyle name="40% - Accent6 4 4 2 3 3 2" xfId="47005" xr:uid="{8A0F4DB4-49D0-482A-BA6C-5D41C64347A8}"/>
    <cellStyle name="40% - Accent6 4 4 2 3 4" xfId="31127" xr:uid="{AA668814-5B65-44B3-B00B-27B6DD616B03}"/>
    <cellStyle name="40% - Accent6 4 4 2 4" xfId="11690" xr:uid="{00000000-0005-0000-0000-00007A510000}"/>
    <cellStyle name="40% - Accent6 4 4 2 4 2" xfId="35539" xr:uid="{8D9D2AA7-FC09-42A4-8C4B-A25E21C6AAEC}"/>
    <cellStyle name="40% - Accent6 4 4 2 5" xfId="19645" xr:uid="{00000000-0005-0000-0000-00007B510000}"/>
    <cellStyle name="40% - Accent6 4 4 2 5 2" xfId="43477" xr:uid="{82239EC3-C2E1-478B-835D-579E69154C3A}"/>
    <cellStyle name="40% - Accent6 4 4 2 6" xfId="27597" xr:uid="{401863DC-95EC-44D1-B506-4DC1BDEB0094}"/>
    <cellStyle name="40% - Accent6 4 4 2_Exh G" xfId="3372" xr:uid="{00000000-0005-0000-0000-00007C510000}"/>
    <cellStyle name="40% - Accent6 4 4 3" xfId="4544" xr:uid="{00000000-0005-0000-0000-00007D510000}"/>
    <cellStyle name="40% - Accent6 4 4 3 2" xfId="8136" xr:uid="{00000000-0005-0000-0000-00007E510000}"/>
    <cellStyle name="40% - Accent6 4 4 3 2 2" xfId="16106" xr:uid="{00000000-0005-0000-0000-00007F510000}"/>
    <cellStyle name="40% - Accent6 4 4 3 2 2 2" xfId="39948" xr:uid="{1C059893-CCC8-4E58-9B1A-6DE14F86A6D5}"/>
    <cellStyle name="40% - Accent6 4 4 3 2 3" xfId="24052" xr:uid="{00000000-0005-0000-0000-000080510000}"/>
    <cellStyle name="40% - Accent6 4 4 3 2 3 2" xfId="47884" xr:uid="{BF51CFCD-ACCD-40A0-BAE0-C8C4713DA835}"/>
    <cellStyle name="40% - Accent6 4 4 3 2 4" xfId="32007" xr:uid="{35C187DE-0C59-4551-B360-E8C7095544D9}"/>
    <cellStyle name="40% - Accent6 4 4 3 3" xfId="12568" xr:uid="{00000000-0005-0000-0000-000081510000}"/>
    <cellStyle name="40% - Accent6 4 4 3 3 2" xfId="36417" xr:uid="{769B5352-B0B2-4E7F-9C5A-C07257D20CE8}"/>
    <cellStyle name="40% - Accent6 4 4 3 4" xfId="20523" xr:uid="{00000000-0005-0000-0000-000082510000}"/>
    <cellStyle name="40% - Accent6 4 4 3 4 2" xfId="44355" xr:uid="{21761440-07F1-4D4C-B98E-47F779BE1C44}"/>
    <cellStyle name="40% - Accent6 4 4 3 5" xfId="28476" xr:uid="{B21B985B-0D55-46B5-AA44-50848BD37218}"/>
    <cellStyle name="40% - Accent6 4 4 4" xfId="6374" xr:uid="{00000000-0005-0000-0000-000083510000}"/>
    <cellStyle name="40% - Accent6 4 4 4 2" xfId="14348" xr:uid="{00000000-0005-0000-0000-000084510000}"/>
    <cellStyle name="40% - Accent6 4 4 4 2 2" xfId="38190" xr:uid="{484387E5-B95A-4E82-828B-91D3586FC199}"/>
    <cellStyle name="40% - Accent6 4 4 4 3" xfId="22295" xr:uid="{00000000-0005-0000-0000-000085510000}"/>
    <cellStyle name="40% - Accent6 4 4 4 3 2" xfId="46127" xr:uid="{B54EBDED-EF5D-43C6-939A-050A0913EF04}"/>
    <cellStyle name="40% - Accent6 4 4 4 4" xfId="30249" xr:uid="{A0D9CEDE-E1DA-44F1-9FE0-7D3BB8D24BD6}"/>
    <cellStyle name="40% - Accent6 4 4 5" xfId="9916" xr:uid="{00000000-0005-0000-0000-000086510000}"/>
    <cellStyle name="40% - Accent6 4 4 5 2" xfId="17874" xr:uid="{00000000-0005-0000-0000-000087510000}"/>
    <cellStyle name="40% - Accent6 4 4 5 2 2" xfId="41714" xr:uid="{69885435-F8EA-4BF0-BCC9-DD8E680C75B9}"/>
    <cellStyle name="40% - Accent6 4 4 5 3" xfId="25818" xr:uid="{00000000-0005-0000-0000-000088510000}"/>
    <cellStyle name="40% - Accent6 4 4 5 3 2" xfId="49650" xr:uid="{05C88E38-F96F-4AFB-A3AA-CE11DC0DFF7A}"/>
    <cellStyle name="40% - Accent6 4 4 5 4" xfId="33773" xr:uid="{3DC0955C-D2AF-4DFA-AD1C-AE7C9C98459A}"/>
    <cellStyle name="40% - Accent6 4 4 6" xfId="10812" xr:uid="{00000000-0005-0000-0000-000089510000}"/>
    <cellStyle name="40% - Accent6 4 4 6 2" xfId="34661" xr:uid="{A29D26D2-9D74-4694-8D66-5EFDD384DF88}"/>
    <cellStyle name="40% - Accent6 4 4 7" xfId="18767" xr:uid="{00000000-0005-0000-0000-00008A510000}"/>
    <cellStyle name="40% - Accent6 4 4 7 2" xfId="42599" xr:uid="{CB3BBB67-6C93-4662-9D79-EB47EC965CE5}"/>
    <cellStyle name="40% - Accent6 4 4 8" xfId="26719" xr:uid="{0860BD92-2023-47EC-BD91-20406C0AE3B9}"/>
    <cellStyle name="40% - Accent6 4 4_Exh G" xfId="3371" xr:uid="{00000000-0005-0000-0000-00008B510000}"/>
    <cellStyle name="40% - Accent6 4 5" xfId="1636" xr:uid="{00000000-0005-0000-0000-00008C510000}"/>
    <cellStyle name="40% - Accent6 4 5 2" xfId="5163" xr:uid="{00000000-0005-0000-0000-00008D510000}"/>
    <cellStyle name="40% - Accent6 4 5 2 2" xfId="8754" xr:uid="{00000000-0005-0000-0000-00008E510000}"/>
    <cellStyle name="40% - Accent6 4 5 2 2 2" xfId="16724" xr:uid="{00000000-0005-0000-0000-00008F510000}"/>
    <cellStyle name="40% - Accent6 4 5 2 2 2 2" xfId="40566" xr:uid="{812A0F73-38BB-4EC4-AE96-D6F325743AC8}"/>
    <cellStyle name="40% - Accent6 4 5 2 2 3" xfId="24670" xr:uid="{00000000-0005-0000-0000-000090510000}"/>
    <cellStyle name="40% - Accent6 4 5 2 2 3 2" xfId="48502" xr:uid="{3A87966C-3D3A-4A54-9558-02B2329985AC}"/>
    <cellStyle name="40% - Accent6 4 5 2 2 4" xfId="32625" xr:uid="{9088373D-2E84-4641-9447-B5434B930576}"/>
    <cellStyle name="40% - Accent6 4 5 2 3" xfId="13186" xr:uid="{00000000-0005-0000-0000-000091510000}"/>
    <cellStyle name="40% - Accent6 4 5 2 3 2" xfId="37035" xr:uid="{FDF7316E-3160-4713-BAB3-83011891662D}"/>
    <cellStyle name="40% - Accent6 4 5 2 4" xfId="21141" xr:uid="{00000000-0005-0000-0000-000092510000}"/>
    <cellStyle name="40% - Accent6 4 5 2 4 2" xfId="44973" xr:uid="{60171DCA-2475-4F25-9A4F-3671770AD5B5}"/>
    <cellStyle name="40% - Accent6 4 5 2 5" xfId="29094" xr:uid="{8D8D56A1-0450-4DFB-BF25-06B1EAD6F34A}"/>
    <cellStyle name="40% - Accent6 4 5 3" xfId="6995" xr:uid="{00000000-0005-0000-0000-000093510000}"/>
    <cellStyle name="40% - Accent6 4 5 3 2" xfId="14966" xr:uid="{00000000-0005-0000-0000-000094510000}"/>
    <cellStyle name="40% - Accent6 4 5 3 2 2" xfId="38808" xr:uid="{D67B139D-BDC4-4B2B-9730-7238B6DEC2A6}"/>
    <cellStyle name="40% - Accent6 4 5 3 3" xfId="22913" xr:uid="{00000000-0005-0000-0000-000095510000}"/>
    <cellStyle name="40% - Accent6 4 5 3 3 2" xfId="46745" xr:uid="{E42B14B6-4F6F-4217-9839-8D1229768FA8}"/>
    <cellStyle name="40% - Accent6 4 5 3 4" xfId="30867" xr:uid="{ACFBED31-B8A9-426E-91F9-D12A67A33587}"/>
    <cellStyle name="40% - Accent6 4 5 4" xfId="11430" xr:uid="{00000000-0005-0000-0000-000096510000}"/>
    <cellStyle name="40% - Accent6 4 5 4 2" xfId="35279" xr:uid="{21488BEC-041A-4AA6-8588-9629E90C7CBC}"/>
    <cellStyle name="40% - Accent6 4 5 5" xfId="19385" xr:uid="{00000000-0005-0000-0000-000097510000}"/>
    <cellStyle name="40% - Accent6 4 5 5 2" xfId="43217" xr:uid="{8E6EA14F-1927-4591-B08D-49017EB2E34F}"/>
    <cellStyle name="40% - Accent6 4 5 6" xfId="27337" xr:uid="{4CFF39EC-BCEE-4034-B261-B1A5FBC4E5A0}"/>
    <cellStyle name="40% - Accent6 4 5_Exh G" xfId="3373" xr:uid="{00000000-0005-0000-0000-000098510000}"/>
    <cellStyle name="40% - Accent6 4 6" xfId="4284" xr:uid="{00000000-0005-0000-0000-000099510000}"/>
    <cellStyle name="40% - Accent6 4 6 2" xfId="7876" xr:uid="{00000000-0005-0000-0000-00009A510000}"/>
    <cellStyle name="40% - Accent6 4 6 2 2" xfId="15846" xr:uid="{00000000-0005-0000-0000-00009B510000}"/>
    <cellStyle name="40% - Accent6 4 6 2 2 2" xfId="39688" xr:uid="{F5FF0AB5-01BB-48D9-B81C-59147F2A5DC0}"/>
    <cellStyle name="40% - Accent6 4 6 2 3" xfId="23792" xr:uid="{00000000-0005-0000-0000-00009C510000}"/>
    <cellStyle name="40% - Accent6 4 6 2 3 2" xfId="47624" xr:uid="{148D30EC-ED5B-4D17-8891-498A08547CF2}"/>
    <cellStyle name="40% - Accent6 4 6 2 4" xfId="31747" xr:uid="{EC5EAFF1-C2CF-445A-A9E0-660955A6A00F}"/>
    <cellStyle name="40% - Accent6 4 6 3" xfId="12308" xr:uid="{00000000-0005-0000-0000-00009D510000}"/>
    <cellStyle name="40% - Accent6 4 6 3 2" xfId="36157" xr:uid="{67ED891F-09E1-4D7E-9ECC-6DB92B8EB97E}"/>
    <cellStyle name="40% - Accent6 4 6 4" xfId="20263" xr:uid="{00000000-0005-0000-0000-00009E510000}"/>
    <cellStyle name="40% - Accent6 4 6 4 2" xfId="44095" xr:uid="{8A8BFC45-2702-45E8-983F-3F799A11BD7C}"/>
    <cellStyle name="40% - Accent6 4 6 5" xfId="28216" xr:uid="{08A76233-F66C-4288-BD5C-D7206B3BB6EE}"/>
    <cellStyle name="40% - Accent6 4 7" xfId="6104" xr:uid="{00000000-0005-0000-0000-00009F510000}"/>
    <cellStyle name="40% - Accent6 4 7 2" xfId="14087" xr:uid="{00000000-0005-0000-0000-0000A0510000}"/>
    <cellStyle name="40% - Accent6 4 7 2 2" xfId="37930" xr:uid="{8A203E6D-1FD1-4964-A9AE-05F3BD70E44A}"/>
    <cellStyle name="40% - Accent6 4 7 3" xfId="22035" xr:uid="{00000000-0005-0000-0000-0000A1510000}"/>
    <cellStyle name="40% - Accent6 4 7 3 2" xfId="45867" xr:uid="{3FDD310A-7CC3-4996-B03F-51D93BA1CE32}"/>
    <cellStyle name="40% - Accent6 4 7 4" xfId="29989" xr:uid="{AC07AAF5-D272-44F1-B7C5-5D9E47EFA148}"/>
    <cellStyle name="40% - Accent6 4 8" xfId="9656" xr:uid="{00000000-0005-0000-0000-0000A2510000}"/>
    <cellStyle name="40% - Accent6 4 8 2" xfId="17614" xr:uid="{00000000-0005-0000-0000-0000A3510000}"/>
    <cellStyle name="40% - Accent6 4 8 2 2" xfId="41454" xr:uid="{6762E14E-8533-49AA-BE1B-3021FF17D19A}"/>
    <cellStyle name="40% - Accent6 4 8 3" xfId="25558" xr:uid="{00000000-0005-0000-0000-0000A4510000}"/>
    <cellStyle name="40% - Accent6 4 8 3 2" xfId="49390" xr:uid="{98CB8B15-7501-41FD-A188-6B68CD321CE2}"/>
    <cellStyle name="40% - Accent6 4 8 4" xfId="33513" xr:uid="{8C971A4C-E60B-4E55-9310-DE879948320C}"/>
    <cellStyle name="40% - Accent6 4 9" xfId="10552" xr:uid="{00000000-0005-0000-0000-0000A5510000}"/>
    <cellStyle name="40% - Accent6 4 9 2" xfId="34401" xr:uid="{A2EDB1AD-EDFF-4EA2-9988-AD330A1095FD}"/>
    <cellStyle name="40% - Accent6 4_Exh G" xfId="3362" xr:uid="{00000000-0005-0000-0000-0000A6510000}"/>
    <cellStyle name="40% - Accent6 5" xfId="614" xr:uid="{00000000-0005-0000-0000-0000A7510000}"/>
    <cellStyle name="40% - Accent6 5 10" xfId="18511" xr:uid="{00000000-0005-0000-0000-0000A8510000}"/>
    <cellStyle name="40% - Accent6 5 10 2" xfId="42343" xr:uid="{F79F55D0-98DB-4457-B5B4-7C9296AEBF71}"/>
    <cellStyle name="40% - Accent6 5 11" xfId="26463" xr:uid="{1016D9C5-AF62-466F-8BD5-EF8D60F20105}"/>
    <cellStyle name="40% - Accent6 5 2" xfId="615" xr:uid="{00000000-0005-0000-0000-0000A9510000}"/>
    <cellStyle name="40% - Accent6 5 2 2" xfId="616" xr:uid="{00000000-0005-0000-0000-0000AA510000}"/>
    <cellStyle name="40% - Accent6 5 2 2 2" xfId="1642" xr:uid="{00000000-0005-0000-0000-0000AB510000}"/>
    <cellStyle name="40% - Accent6 5 2 2 2 2" xfId="5169" xr:uid="{00000000-0005-0000-0000-0000AC510000}"/>
    <cellStyle name="40% - Accent6 5 2 2 2 2 2" xfId="8760" xr:uid="{00000000-0005-0000-0000-0000AD510000}"/>
    <cellStyle name="40% - Accent6 5 2 2 2 2 2 2" xfId="16730" xr:uid="{00000000-0005-0000-0000-0000AE510000}"/>
    <cellStyle name="40% - Accent6 5 2 2 2 2 2 2 2" xfId="40572" xr:uid="{65EBA95E-2C20-4EDC-B029-AC1F6F9373F4}"/>
    <cellStyle name="40% - Accent6 5 2 2 2 2 2 3" xfId="24676" xr:uid="{00000000-0005-0000-0000-0000AF510000}"/>
    <cellStyle name="40% - Accent6 5 2 2 2 2 2 3 2" xfId="48508" xr:uid="{7DA43E45-724F-431B-8D00-240A48C2B680}"/>
    <cellStyle name="40% - Accent6 5 2 2 2 2 2 4" xfId="32631" xr:uid="{D0C6EF1B-FB31-45DF-B3AE-211F271772C5}"/>
    <cellStyle name="40% - Accent6 5 2 2 2 2 3" xfId="13192" xr:uid="{00000000-0005-0000-0000-0000B0510000}"/>
    <cellStyle name="40% - Accent6 5 2 2 2 2 3 2" xfId="37041" xr:uid="{42679A0C-9B24-484C-B1F2-D25EDED51130}"/>
    <cellStyle name="40% - Accent6 5 2 2 2 2 4" xfId="21147" xr:uid="{00000000-0005-0000-0000-0000B1510000}"/>
    <cellStyle name="40% - Accent6 5 2 2 2 2 4 2" xfId="44979" xr:uid="{BDA0D92B-E619-457A-96BA-5981477A8F35}"/>
    <cellStyle name="40% - Accent6 5 2 2 2 2 5" xfId="29100" xr:uid="{F4C404BA-E089-4D74-A44A-B6574B12DB26}"/>
    <cellStyle name="40% - Accent6 5 2 2 2 3" xfId="7001" xr:uid="{00000000-0005-0000-0000-0000B2510000}"/>
    <cellStyle name="40% - Accent6 5 2 2 2 3 2" xfId="14972" xr:uid="{00000000-0005-0000-0000-0000B3510000}"/>
    <cellStyle name="40% - Accent6 5 2 2 2 3 2 2" xfId="38814" xr:uid="{04800E31-78B4-439D-A3D9-482308E72414}"/>
    <cellStyle name="40% - Accent6 5 2 2 2 3 3" xfId="22919" xr:uid="{00000000-0005-0000-0000-0000B4510000}"/>
    <cellStyle name="40% - Accent6 5 2 2 2 3 3 2" xfId="46751" xr:uid="{E18F9149-892E-4B77-8933-C8F7A0E284A1}"/>
    <cellStyle name="40% - Accent6 5 2 2 2 3 4" xfId="30873" xr:uid="{7E52851D-8831-4BE8-9550-C7FE8DB63CDA}"/>
    <cellStyle name="40% - Accent6 5 2 2 2 4" xfId="11436" xr:uid="{00000000-0005-0000-0000-0000B5510000}"/>
    <cellStyle name="40% - Accent6 5 2 2 2 4 2" xfId="35285" xr:uid="{4B9E1D13-942D-486E-948A-9FA968279DE6}"/>
    <cellStyle name="40% - Accent6 5 2 2 2 5" xfId="19391" xr:uid="{00000000-0005-0000-0000-0000B6510000}"/>
    <cellStyle name="40% - Accent6 5 2 2 2 5 2" xfId="43223" xr:uid="{79E19183-EA32-417B-8778-CA02A1E8D21C}"/>
    <cellStyle name="40% - Accent6 5 2 2 2 6" xfId="27343" xr:uid="{9A7D67E8-AC21-4378-B6CE-95618CD07EC1}"/>
    <cellStyle name="40% - Accent6 5 2 2 2_Exh G" xfId="3377" xr:uid="{00000000-0005-0000-0000-0000B7510000}"/>
    <cellStyle name="40% - Accent6 5 2 2 3" xfId="4290" xr:uid="{00000000-0005-0000-0000-0000B8510000}"/>
    <cellStyle name="40% - Accent6 5 2 2 3 2" xfId="7882" xr:uid="{00000000-0005-0000-0000-0000B9510000}"/>
    <cellStyle name="40% - Accent6 5 2 2 3 2 2" xfId="15852" xr:uid="{00000000-0005-0000-0000-0000BA510000}"/>
    <cellStyle name="40% - Accent6 5 2 2 3 2 2 2" xfId="39694" xr:uid="{07C386D6-51A9-481F-98E6-BC0B0C3FD924}"/>
    <cellStyle name="40% - Accent6 5 2 2 3 2 3" xfId="23798" xr:uid="{00000000-0005-0000-0000-0000BB510000}"/>
    <cellStyle name="40% - Accent6 5 2 2 3 2 3 2" xfId="47630" xr:uid="{5E454745-628F-43D0-BC3D-5724D4DD3ED4}"/>
    <cellStyle name="40% - Accent6 5 2 2 3 2 4" xfId="31753" xr:uid="{A1DB4942-DA34-4A44-BFB9-E972598CF576}"/>
    <cellStyle name="40% - Accent6 5 2 2 3 3" xfId="12314" xr:uid="{00000000-0005-0000-0000-0000BC510000}"/>
    <cellStyle name="40% - Accent6 5 2 2 3 3 2" xfId="36163" xr:uid="{7714105F-93A5-46D6-B1F7-6702F389E06D}"/>
    <cellStyle name="40% - Accent6 5 2 2 3 4" xfId="20269" xr:uid="{00000000-0005-0000-0000-0000BD510000}"/>
    <cellStyle name="40% - Accent6 5 2 2 3 4 2" xfId="44101" xr:uid="{7F398CBB-E660-464D-858F-CC8658C17E6C}"/>
    <cellStyle name="40% - Accent6 5 2 2 3 5" xfId="28222" xr:uid="{35E100E6-EF52-40F7-92EB-AC7BEADA574B}"/>
    <cellStyle name="40% - Accent6 5 2 2 4" xfId="6110" xr:uid="{00000000-0005-0000-0000-0000BE510000}"/>
    <cellStyle name="40% - Accent6 5 2 2 4 2" xfId="14093" xr:uid="{00000000-0005-0000-0000-0000BF510000}"/>
    <cellStyle name="40% - Accent6 5 2 2 4 2 2" xfId="37936" xr:uid="{7B27D2E7-883D-44DE-A5FB-E470FF88423F}"/>
    <cellStyle name="40% - Accent6 5 2 2 4 3" xfId="22041" xr:uid="{00000000-0005-0000-0000-0000C0510000}"/>
    <cellStyle name="40% - Accent6 5 2 2 4 3 2" xfId="45873" xr:uid="{D769D8ED-F910-45ED-BD46-6F11DF92D8BD}"/>
    <cellStyle name="40% - Accent6 5 2 2 4 4" xfId="29995" xr:uid="{4E09B309-761B-42D8-9D1B-55F282AF1569}"/>
    <cellStyle name="40% - Accent6 5 2 2 5" xfId="9662" xr:uid="{00000000-0005-0000-0000-0000C1510000}"/>
    <cellStyle name="40% - Accent6 5 2 2 5 2" xfId="17620" xr:uid="{00000000-0005-0000-0000-0000C2510000}"/>
    <cellStyle name="40% - Accent6 5 2 2 5 2 2" xfId="41460" xr:uid="{BB4A77A4-CB74-49C5-8559-11AACE15A921}"/>
    <cellStyle name="40% - Accent6 5 2 2 5 3" xfId="25564" xr:uid="{00000000-0005-0000-0000-0000C3510000}"/>
    <cellStyle name="40% - Accent6 5 2 2 5 3 2" xfId="49396" xr:uid="{74623320-E138-4008-ACF5-1A07CA58027B}"/>
    <cellStyle name="40% - Accent6 5 2 2 5 4" xfId="33519" xr:uid="{D640E451-C04F-434B-BC63-2B6A0FF44134}"/>
    <cellStyle name="40% - Accent6 5 2 2 6" xfId="10558" xr:uid="{00000000-0005-0000-0000-0000C4510000}"/>
    <cellStyle name="40% - Accent6 5 2 2 6 2" xfId="34407" xr:uid="{96281171-A8C3-4503-AF74-8CA3316F5DFF}"/>
    <cellStyle name="40% - Accent6 5 2 2 7" xfId="18513" xr:uid="{00000000-0005-0000-0000-0000C5510000}"/>
    <cellStyle name="40% - Accent6 5 2 2 7 2" xfId="42345" xr:uid="{CD458316-BB2E-4AEB-B64A-ACFB2CCA4C99}"/>
    <cellStyle name="40% - Accent6 5 2 2 8" xfId="26465" xr:uid="{667AFC6A-9173-46A0-8286-7D39DF772BF6}"/>
    <cellStyle name="40% - Accent6 5 2 2_Exh G" xfId="3376" xr:uid="{00000000-0005-0000-0000-0000C6510000}"/>
    <cellStyle name="40% - Accent6 5 2 3" xfId="1641" xr:uid="{00000000-0005-0000-0000-0000C7510000}"/>
    <cellStyle name="40% - Accent6 5 2 3 2" xfId="5168" xr:uid="{00000000-0005-0000-0000-0000C8510000}"/>
    <cellStyle name="40% - Accent6 5 2 3 2 2" xfId="8759" xr:uid="{00000000-0005-0000-0000-0000C9510000}"/>
    <cellStyle name="40% - Accent6 5 2 3 2 2 2" xfId="16729" xr:uid="{00000000-0005-0000-0000-0000CA510000}"/>
    <cellStyle name="40% - Accent6 5 2 3 2 2 2 2" xfId="40571" xr:uid="{AF951FC8-48F2-4A36-B7EE-489A0EA602A1}"/>
    <cellStyle name="40% - Accent6 5 2 3 2 2 3" xfId="24675" xr:uid="{00000000-0005-0000-0000-0000CB510000}"/>
    <cellStyle name="40% - Accent6 5 2 3 2 2 3 2" xfId="48507" xr:uid="{3BBD1C90-A614-4FBE-9456-DA36B5FA763D}"/>
    <cellStyle name="40% - Accent6 5 2 3 2 2 4" xfId="32630" xr:uid="{1DAB0C09-37F3-47E3-B09C-3C69D1B63FD4}"/>
    <cellStyle name="40% - Accent6 5 2 3 2 3" xfId="13191" xr:uid="{00000000-0005-0000-0000-0000CC510000}"/>
    <cellStyle name="40% - Accent6 5 2 3 2 3 2" xfId="37040" xr:uid="{8B6E7964-41BC-43F1-B697-72399C67FAE5}"/>
    <cellStyle name="40% - Accent6 5 2 3 2 4" xfId="21146" xr:uid="{00000000-0005-0000-0000-0000CD510000}"/>
    <cellStyle name="40% - Accent6 5 2 3 2 4 2" xfId="44978" xr:uid="{DD4E5D01-8C42-4BF2-8B16-473D0630D99E}"/>
    <cellStyle name="40% - Accent6 5 2 3 2 5" xfId="29099" xr:uid="{4CDF276A-B110-4DB7-942F-C10D01DBA25B}"/>
    <cellStyle name="40% - Accent6 5 2 3 3" xfId="7000" xr:uid="{00000000-0005-0000-0000-0000CE510000}"/>
    <cellStyle name="40% - Accent6 5 2 3 3 2" xfId="14971" xr:uid="{00000000-0005-0000-0000-0000CF510000}"/>
    <cellStyle name="40% - Accent6 5 2 3 3 2 2" xfId="38813" xr:uid="{F5E841AA-2F16-408F-82A2-0963F5A9CD93}"/>
    <cellStyle name="40% - Accent6 5 2 3 3 3" xfId="22918" xr:uid="{00000000-0005-0000-0000-0000D0510000}"/>
    <cellStyle name="40% - Accent6 5 2 3 3 3 2" xfId="46750" xr:uid="{9F88277F-9A9C-4FB4-A178-07E478B7444E}"/>
    <cellStyle name="40% - Accent6 5 2 3 3 4" xfId="30872" xr:uid="{769F6C96-65B2-4315-A853-07C46AFB20BF}"/>
    <cellStyle name="40% - Accent6 5 2 3 4" xfId="11435" xr:uid="{00000000-0005-0000-0000-0000D1510000}"/>
    <cellStyle name="40% - Accent6 5 2 3 4 2" xfId="35284" xr:uid="{FA17520A-540F-4894-BA6A-92BD57A1F9B3}"/>
    <cellStyle name="40% - Accent6 5 2 3 5" xfId="19390" xr:uid="{00000000-0005-0000-0000-0000D2510000}"/>
    <cellStyle name="40% - Accent6 5 2 3 5 2" xfId="43222" xr:uid="{234A79B8-01B6-4FCB-A36C-7533E195023C}"/>
    <cellStyle name="40% - Accent6 5 2 3 6" xfId="27342" xr:uid="{D8FDC847-1D3C-496F-8CB0-4EF14FC7DD38}"/>
    <cellStyle name="40% - Accent6 5 2 3_Exh G" xfId="3378" xr:uid="{00000000-0005-0000-0000-0000D3510000}"/>
    <cellStyle name="40% - Accent6 5 2 4" xfId="4289" xr:uid="{00000000-0005-0000-0000-0000D4510000}"/>
    <cellStyle name="40% - Accent6 5 2 4 2" xfId="7881" xr:uid="{00000000-0005-0000-0000-0000D5510000}"/>
    <cellStyle name="40% - Accent6 5 2 4 2 2" xfId="15851" xr:uid="{00000000-0005-0000-0000-0000D6510000}"/>
    <cellStyle name="40% - Accent6 5 2 4 2 2 2" xfId="39693" xr:uid="{3D355006-8617-433C-8AAF-330F2CB98C3D}"/>
    <cellStyle name="40% - Accent6 5 2 4 2 3" xfId="23797" xr:uid="{00000000-0005-0000-0000-0000D7510000}"/>
    <cellStyle name="40% - Accent6 5 2 4 2 3 2" xfId="47629" xr:uid="{A1E62EC4-F683-45E5-9820-9376B12F7168}"/>
    <cellStyle name="40% - Accent6 5 2 4 2 4" xfId="31752" xr:uid="{7C1FBC15-3EA7-4184-BA01-A2EA3F1FBD3D}"/>
    <cellStyle name="40% - Accent6 5 2 4 3" xfId="12313" xr:uid="{00000000-0005-0000-0000-0000D8510000}"/>
    <cellStyle name="40% - Accent6 5 2 4 3 2" xfId="36162" xr:uid="{AC1C8EE7-F149-4F05-B1AA-E7A9DBC8873D}"/>
    <cellStyle name="40% - Accent6 5 2 4 4" xfId="20268" xr:uid="{00000000-0005-0000-0000-0000D9510000}"/>
    <cellStyle name="40% - Accent6 5 2 4 4 2" xfId="44100" xr:uid="{C3747CD0-C9A9-422C-882F-96B6A68DED19}"/>
    <cellStyle name="40% - Accent6 5 2 4 5" xfId="28221" xr:uid="{BE062116-9625-4604-AD6A-A5A8C69DC84C}"/>
    <cellStyle name="40% - Accent6 5 2 5" xfId="6109" xr:uid="{00000000-0005-0000-0000-0000DA510000}"/>
    <cellStyle name="40% - Accent6 5 2 5 2" xfId="14092" xr:uid="{00000000-0005-0000-0000-0000DB510000}"/>
    <cellStyle name="40% - Accent6 5 2 5 2 2" xfId="37935" xr:uid="{E3341DA3-34A0-4983-9591-38A4365A3D62}"/>
    <cellStyle name="40% - Accent6 5 2 5 3" xfId="22040" xr:uid="{00000000-0005-0000-0000-0000DC510000}"/>
    <cellStyle name="40% - Accent6 5 2 5 3 2" xfId="45872" xr:uid="{9682DC8F-549E-4728-B3BE-B7C1827548E4}"/>
    <cellStyle name="40% - Accent6 5 2 5 4" xfId="29994" xr:uid="{C14B91F4-6AC7-4615-A29C-F10E3F65CED2}"/>
    <cellStyle name="40% - Accent6 5 2 6" xfId="9661" xr:uid="{00000000-0005-0000-0000-0000DD510000}"/>
    <cellStyle name="40% - Accent6 5 2 6 2" xfId="17619" xr:uid="{00000000-0005-0000-0000-0000DE510000}"/>
    <cellStyle name="40% - Accent6 5 2 6 2 2" xfId="41459" xr:uid="{9208EF40-0096-486C-84F4-7A226E43CF4C}"/>
    <cellStyle name="40% - Accent6 5 2 6 3" xfId="25563" xr:uid="{00000000-0005-0000-0000-0000DF510000}"/>
    <cellStyle name="40% - Accent6 5 2 6 3 2" xfId="49395" xr:uid="{DABF6CD8-5AAE-4C4D-A04B-59EFA18BAB31}"/>
    <cellStyle name="40% - Accent6 5 2 6 4" xfId="33518" xr:uid="{A0D7AED3-0962-4E7B-83F6-649EAE6F36B1}"/>
    <cellStyle name="40% - Accent6 5 2 7" xfId="10557" xr:uid="{00000000-0005-0000-0000-0000E0510000}"/>
    <cellStyle name="40% - Accent6 5 2 7 2" xfId="34406" xr:uid="{3A2ED33D-2D56-49A3-94EB-B0DBD9C67764}"/>
    <cellStyle name="40% - Accent6 5 2 8" xfId="18512" xr:uid="{00000000-0005-0000-0000-0000E1510000}"/>
    <cellStyle name="40% - Accent6 5 2 8 2" xfId="42344" xr:uid="{C2BF3B11-ACF4-40A3-9CC8-50FE3B68EBA7}"/>
    <cellStyle name="40% - Accent6 5 2 9" xfId="26464" xr:uid="{6E614F7D-40C4-4B54-A0E0-C468E2B763FC}"/>
    <cellStyle name="40% - Accent6 5 2_Exh G" xfId="3375" xr:uid="{00000000-0005-0000-0000-0000E2510000}"/>
    <cellStyle name="40% - Accent6 5 3" xfId="617" xr:uid="{00000000-0005-0000-0000-0000E3510000}"/>
    <cellStyle name="40% - Accent6 5 3 2" xfId="1643" xr:uid="{00000000-0005-0000-0000-0000E4510000}"/>
    <cellStyle name="40% - Accent6 5 3 2 2" xfId="5170" xr:uid="{00000000-0005-0000-0000-0000E5510000}"/>
    <cellStyle name="40% - Accent6 5 3 2 2 2" xfId="8761" xr:uid="{00000000-0005-0000-0000-0000E6510000}"/>
    <cellStyle name="40% - Accent6 5 3 2 2 2 2" xfId="16731" xr:uid="{00000000-0005-0000-0000-0000E7510000}"/>
    <cellStyle name="40% - Accent6 5 3 2 2 2 2 2" xfId="40573" xr:uid="{53FD9843-9E90-40DC-89C3-AFAF313A6047}"/>
    <cellStyle name="40% - Accent6 5 3 2 2 2 3" xfId="24677" xr:uid="{00000000-0005-0000-0000-0000E8510000}"/>
    <cellStyle name="40% - Accent6 5 3 2 2 2 3 2" xfId="48509" xr:uid="{339771B2-458D-4629-8573-1C8D78046A6B}"/>
    <cellStyle name="40% - Accent6 5 3 2 2 2 4" xfId="32632" xr:uid="{C3FFFFB7-E5C4-433F-9E76-713DC9D22019}"/>
    <cellStyle name="40% - Accent6 5 3 2 2 3" xfId="13193" xr:uid="{00000000-0005-0000-0000-0000E9510000}"/>
    <cellStyle name="40% - Accent6 5 3 2 2 3 2" xfId="37042" xr:uid="{2C41319B-A88A-4A65-A694-8AE2C1354FA1}"/>
    <cellStyle name="40% - Accent6 5 3 2 2 4" xfId="21148" xr:uid="{00000000-0005-0000-0000-0000EA510000}"/>
    <cellStyle name="40% - Accent6 5 3 2 2 4 2" xfId="44980" xr:uid="{CC169268-4E54-47A8-9925-3478844B8E2E}"/>
    <cellStyle name="40% - Accent6 5 3 2 2 5" xfId="29101" xr:uid="{77AB169C-7127-4147-8DBB-510D4BED18FA}"/>
    <cellStyle name="40% - Accent6 5 3 2 3" xfId="7002" xr:uid="{00000000-0005-0000-0000-0000EB510000}"/>
    <cellStyle name="40% - Accent6 5 3 2 3 2" xfId="14973" xr:uid="{00000000-0005-0000-0000-0000EC510000}"/>
    <cellStyle name="40% - Accent6 5 3 2 3 2 2" xfId="38815" xr:uid="{97E90F0F-E772-4515-ABFE-27CE52E1F984}"/>
    <cellStyle name="40% - Accent6 5 3 2 3 3" xfId="22920" xr:uid="{00000000-0005-0000-0000-0000ED510000}"/>
    <cellStyle name="40% - Accent6 5 3 2 3 3 2" xfId="46752" xr:uid="{E98FA80D-1515-4113-A1A4-22670A93E74E}"/>
    <cellStyle name="40% - Accent6 5 3 2 3 4" xfId="30874" xr:uid="{12FA24EE-4C6A-4B0E-86EF-EF2076056275}"/>
    <cellStyle name="40% - Accent6 5 3 2 4" xfId="11437" xr:uid="{00000000-0005-0000-0000-0000EE510000}"/>
    <cellStyle name="40% - Accent6 5 3 2 4 2" xfId="35286" xr:uid="{27F423DB-F9E9-4CF5-9ACC-5098EB46960C}"/>
    <cellStyle name="40% - Accent6 5 3 2 5" xfId="19392" xr:uid="{00000000-0005-0000-0000-0000EF510000}"/>
    <cellStyle name="40% - Accent6 5 3 2 5 2" xfId="43224" xr:uid="{BC92A851-D05D-4685-A54B-F2262D0728CA}"/>
    <cellStyle name="40% - Accent6 5 3 2 6" xfId="27344" xr:uid="{E83F4064-4AD4-49B6-81BD-A418F18390E6}"/>
    <cellStyle name="40% - Accent6 5 3 2_Exh G" xfId="3380" xr:uid="{00000000-0005-0000-0000-0000F0510000}"/>
    <cellStyle name="40% - Accent6 5 3 3" xfId="4291" xr:uid="{00000000-0005-0000-0000-0000F1510000}"/>
    <cellStyle name="40% - Accent6 5 3 3 2" xfId="7883" xr:uid="{00000000-0005-0000-0000-0000F2510000}"/>
    <cellStyle name="40% - Accent6 5 3 3 2 2" xfId="15853" xr:uid="{00000000-0005-0000-0000-0000F3510000}"/>
    <cellStyle name="40% - Accent6 5 3 3 2 2 2" xfId="39695" xr:uid="{E9A95342-48D5-4CF0-BAC2-4EF514ADC999}"/>
    <cellStyle name="40% - Accent6 5 3 3 2 3" xfId="23799" xr:uid="{00000000-0005-0000-0000-0000F4510000}"/>
    <cellStyle name="40% - Accent6 5 3 3 2 3 2" xfId="47631" xr:uid="{250BF221-D317-4499-A703-AFA9054C46D2}"/>
    <cellStyle name="40% - Accent6 5 3 3 2 4" xfId="31754" xr:uid="{EE68A53D-9691-4E94-B9C3-475661257987}"/>
    <cellStyle name="40% - Accent6 5 3 3 3" xfId="12315" xr:uid="{00000000-0005-0000-0000-0000F5510000}"/>
    <cellStyle name="40% - Accent6 5 3 3 3 2" xfId="36164" xr:uid="{B28AB2DA-7E55-484C-931B-10B633345DE5}"/>
    <cellStyle name="40% - Accent6 5 3 3 4" xfId="20270" xr:uid="{00000000-0005-0000-0000-0000F6510000}"/>
    <cellStyle name="40% - Accent6 5 3 3 4 2" xfId="44102" xr:uid="{CD49B216-03FC-4234-9E55-6669BEC06469}"/>
    <cellStyle name="40% - Accent6 5 3 3 5" xfId="28223" xr:uid="{226F8D40-FE9D-4F78-85E0-DF112066B6C5}"/>
    <cellStyle name="40% - Accent6 5 3 4" xfId="6111" xr:uid="{00000000-0005-0000-0000-0000F7510000}"/>
    <cellStyle name="40% - Accent6 5 3 4 2" xfId="14094" xr:uid="{00000000-0005-0000-0000-0000F8510000}"/>
    <cellStyle name="40% - Accent6 5 3 4 2 2" xfId="37937" xr:uid="{35F80CA9-075F-421D-9561-6CF1D2C3F5A9}"/>
    <cellStyle name="40% - Accent6 5 3 4 3" xfId="22042" xr:uid="{00000000-0005-0000-0000-0000F9510000}"/>
    <cellStyle name="40% - Accent6 5 3 4 3 2" xfId="45874" xr:uid="{D5E172BD-33C9-43B9-A7A9-60BD5564DFC2}"/>
    <cellStyle name="40% - Accent6 5 3 4 4" xfId="29996" xr:uid="{4C74D798-A91D-4803-9DA8-966CE1FD5B4E}"/>
    <cellStyle name="40% - Accent6 5 3 5" xfId="9663" xr:uid="{00000000-0005-0000-0000-0000FA510000}"/>
    <cellStyle name="40% - Accent6 5 3 5 2" xfId="17621" xr:uid="{00000000-0005-0000-0000-0000FB510000}"/>
    <cellStyle name="40% - Accent6 5 3 5 2 2" xfId="41461" xr:uid="{963214CA-0977-4F2A-8AC9-E3A84A590E05}"/>
    <cellStyle name="40% - Accent6 5 3 5 3" xfId="25565" xr:uid="{00000000-0005-0000-0000-0000FC510000}"/>
    <cellStyle name="40% - Accent6 5 3 5 3 2" xfId="49397" xr:uid="{6E2136C1-7D82-4257-8637-316E023C1678}"/>
    <cellStyle name="40% - Accent6 5 3 5 4" xfId="33520" xr:uid="{7ECCF8F5-79E0-48CE-BDE7-880377DD8D6E}"/>
    <cellStyle name="40% - Accent6 5 3 6" xfId="10559" xr:uid="{00000000-0005-0000-0000-0000FD510000}"/>
    <cellStyle name="40% - Accent6 5 3 6 2" xfId="34408" xr:uid="{6F45049C-1E1B-4616-86F1-31A331F04951}"/>
    <cellStyle name="40% - Accent6 5 3 7" xfId="18514" xr:uid="{00000000-0005-0000-0000-0000FE510000}"/>
    <cellStyle name="40% - Accent6 5 3 7 2" xfId="42346" xr:uid="{89F66773-AF9E-4FAB-8A7C-1F541B1C5B3F}"/>
    <cellStyle name="40% - Accent6 5 3 8" xfId="26466" xr:uid="{8DC43149-8768-4FF3-BACB-82A8518BEE55}"/>
    <cellStyle name="40% - Accent6 5 3_Exh G" xfId="3379" xr:uid="{00000000-0005-0000-0000-0000FF510000}"/>
    <cellStyle name="40% - Accent6 5 4" xfId="998" xr:uid="{00000000-0005-0000-0000-000000520000}"/>
    <cellStyle name="40% - Accent6 5 5" xfId="1640" xr:uid="{00000000-0005-0000-0000-000001520000}"/>
    <cellStyle name="40% - Accent6 5 5 2" xfId="5167" xr:uid="{00000000-0005-0000-0000-000002520000}"/>
    <cellStyle name="40% - Accent6 5 5 2 2" xfId="8758" xr:uid="{00000000-0005-0000-0000-000003520000}"/>
    <cellStyle name="40% - Accent6 5 5 2 2 2" xfId="16728" xr:uid="{00000000-0005-0000-0000-000004520000}"/>
    <cellStyle name="40% - Accent6 5 5 2 2 2 2" xfId="40570" xr:uid="{3C1BF84F-AB1C-471B-B805-D5700FC11219}"/>
    <cellStyle name="40% - Accent6 5 5 2 2 3" xfId="24674" xr:uid="{00000000-0005-0000-0000-000005520000}"/>
    <cellStyle name="40% - Accent6 5 5 2 2 3 2" xfId="48506" xr:uid="{E31C8676-30B1-45DD-93F1-E3C025F8858A}"/>
    <cellStyle name="40% - Accent6 5 5 2 2 4" xfId="32629" xr:uid="{779AB55E-3990-42FB-A433-41BFD860F7D0}"/>
    <cellStyle name="40% - Accent6 5 5 2 3" xfId="13190" xr:uid="{00000000-0005-0000-0000-000006520000}"/>
    <cellStyle name="40% - Accent6 5 5 2 3 2" xfId="37039" xr:uid="{BC12DE96-5D53-4DD6-9557-D062ACC28680}"/>
    <cellStyle name="40% - Accent6 5 5 2 4" xfId="21145" xr:uid="{00000000-0005-0000-0000-000007520000}"/>
    <cellStyle name="40% - Accent6 5 5 2 4 2" xfId="44977" xr:uid="{DBDD2BE6-0B37-47EE-828F-EFBBA2E1AB18}"/>
    <cellStyle name="40% - Accent6 5 5 2 5" xfId="29098" xr:uid="{F3F4E7E2-0C6D-4ECA-8627-55E379A14DD2}"/>
    <cellStyle name="40% - Accent6 5 5 3" xfId="6999" xr:uid="{00000000-0005-0000-0000-000008520000}"/>
    <cellStyle name="40% - Accent6 5 5 3 2" xfId="14970" xr:uid="{00000000-0005-0000-0000-000009520000}"/>
    <cellStyle name="40% - Accent6 5 5 3 2 2" xfId="38812" xr:uid="{198022B5-43F8-466D-8847-03CC9ED302E9}"/>
    <cellStyle name="40% - Accent6 5 5 3 3" xfId="22917" xr:uid="{00000000-0005-0000-0000-00000A520000}"/>
    <cellStyle name="40% - Accent6 5 5 3 3 2" xfId="46749" xr:uid="{9A97ACC9-41BD-4FE1-B43D-F99894309A52}"/>
    <cellStyle name="40% - Accent6 5 5 3 4" xfId="30871" xr:uid="{B85AA21A-B278-4E0A-B87F-B3DDFFD4F192}"/>
    <cellStyle name="40% - Accent6 5 5 4" xfId="11434" xr:uid="{00000000-0005-0000-0000-00000B520000}"/>
    <cellStyle name="40% - Accent6 5 5 4 2" xfId="35283" xr:uid="{D1639AD9-9918-441A-8841-C99E1180561C}"/>
    <cellStyle name="40% - Accent6 5 5 5" xfId="19389" xr:uid="{00000000-0005-0000-0000-00000C520000}"/>
    <cellStyle name="40% - Accent6 5 5 5 2" xfId="43221" xr:uid="{F26646E2-42CB-42F5-8601-149DFA497B66}"/>
    <cellStyle name="40% - Accent6 5 5 6" xfId="27341" xr:uid="{FD07E02C-5AB1-4BC4-A526-4165404A33C1}"/>
    <cellStyle name="40% - Accent6 5 5_Exh G" xfId="3381" xr:uid="{00000000-0005-0000-0000-00000D520000}"/>
    <cellStyle name="40% - Accent6 5 6" xfId="4288" xr:uid="{00000000-0005-0000-0000-00000E520000}"/>
    <cellStyle name="40% - Accent6 5 6 2" xfId="7880" xr:uid="{00000000-0005-0000-0000-00000F520000}"/>
    <cellStyle name="40% - Accent6 5 6 2 2" xfId="15850" xr:uid="{00000000-0005-0000-0000-000010520000}"/>
    <cellStyle name="40% - Accent6 5 6 2 2 2" xfId="39692" xr:uid="{7177AA40-7F85-4915-AF3D-20F339D615E3}"/>
    <cellStyle name="40% - Accent6 5 6 2 3" xfId="23796" xr:uid="{00000000-0005-0000-0000-000011520000}"/>
    <cellStyle name="40% - Accent6 5 6 2 3 2" xfId="47628" xr:uid="{94BDBECD-4A5F-4C24-BFB9-8C53C9D93166}"/>
    <cellStyle name="40% - Accent6 5 6 2 4" xfId="31751" xr:uid="{BBB9C8AA-13CB-4E00-9E1D-1AC504330FE9}"/>
    <cellStyle name="40% - Accent6 5 6 3" xfId="12312" xr:uid="{00000000-0005-0000-0000-000012520000}"/>
    <cellStyle name="40% - Accent6 5 6 3 2" xfId="36161" xr:uid="{0F4144A6-24DC-4717-8C13-E8E053DAACC6}"/>
    <cellStyle name="40% - Accent6 5 6 4" xfId="20267" xr:uid="{00000000-0005-0000-0000-000013520000}"/>
    <cellStyle name="40% - Accent6 5 6 4 2" xfId="44099" xr:uid="{AF23DF5B-A913-44C4-A5DF-42B08AB0C850}"/>
    <cellStyle name="40% - Accent6 5 6 5" xfId="28220" xr:uid="{589E11C1-7A3E-46CE-8817-D02C794D2D3D}"/>
    <cellStyle name="40% - Accent6 5 7" xfId="6108" xr:uid="{00000000-0005-0000-0000-000014520000}"/>
    <cellStyle name="40% - Accent6 5 7 2" xfId="14091" xr:uid="{00000000-0005-0000-0000-000015520000}"/>
    <cellStyle name="40% - Accent6 5 7 2 2" xfId="37934" xr:uid="{9811112C-75B7-4451-A667-BA2A01793E57}"/>
    <cellStyle name="40% - Accent6 5 7 3" xfId="22039" xr:uid="{00000000-0005-0000-0000-000016520000}"/>
    <cellStyle name="40% - Accent6 5 7 3 2" xfId="45871" xr:uid="{9B982EE7-F4F7-45CD-8F73-3BFB41624AD9}"/>
    <cellStyle name="40% - Accent6 5 7 4" xfId="29993" xr:uid="{B752CC31-B44E-4CB3-A883-BFAC2C6D8B83}"/>
    <cellStyle name="40% - Accent6 5 8" xfId="9660" xr:uid="{00000000-0005-0000-0000-000017520000}"/>
    <cellStyle name="40% - Accent6 5 8 2" xfId="17618" xr:uid="{00000000-0005-0000-0000-000018520000}"/>
    <cellStyle name="40% - Accent6 5 8 2 2" xfId="41458" xr:uid="{D14FE814-5058-4B28-9DE1-2B36955E61A1}"/>
    <cellStyle name="40% - Accent6 5 8 3" xfId="25562" xr:uid="{00000000-0005-0000-0000-000019520000}"/>
    <cellStyle name="40% - Accent6 5 8 3 2" xfId="49394" xr:uid="{F384E4B5-4CD2-409E-9830-041E839D3350}"/>
    <cellStyle name="40% - Accent6 5 8 4" xfId="33517" xr:uid="{6E781DF7-0951-4C8B-8C58-5B7368A4546E}"/>
    <cellStyle name="40% - Accent6 5 9" xfId="10556" xr:uid="{00000000-0005-0000-0000-00001A520000}"/>
    <cellStyle name="40% - Accent6 5 9 2" xfId="34405" xr:uid="{01F21F70-D01A-4E6E-91BD-EBCEB3CE61D0}"/>
    <cellStyle name="40% - Accent6 5_Exh G" xfId="3374" xr:uid="{00000000-0005-0000-0000-00001B520000}"/>
    <cellStyle name="40% - Accent6 6" xfId="618" xr:uid="{00000000-0005-0000-0000-00001C520000}"/>
    <cellStyle name="40% - Accent6 6 10" xfId="18515" xr:uid="{00000000-0005-0000-0000-00001D520000}"/>
    <cellStyle name="40% - Accent6 6 10 2" xfId="42347" xr:uid="{64760FFF-8209-4F04-8DC6-1AE65773EB0A}"/>
    <cellStyle name="40% - Accent6 6 11" xfId="26467" xr:uid="{EFEF5E6F-FDD9-4CE9-A1B7-409435026436}"/>
    <cellStyle name="40% - Accent6 6 2" xfId="619" xr:uid="{00000000-0005-0000-0000-00001E520000}"/>
    <cellStyle name="40% - Accent6 6 2 2" xfId="620" xr:uid="{00000000-0005-0000-0000-00001F520000}"/>
    <cellStyle name="40% - Accent6 6 2 2 2" xfId="1646" xr:uid="{00000000-0005-0000-0000-000020520000}"/>
    <cellStyle name="40% - Accent6 6 2 2 2 2" xfId="5173" xr:uid="{00000000-0005-0000-0000-000021520000}"/>
    <cellStyle name="40% - Accent6 6 2 2 2 2 2" xfId="8764" xr:uid="{00000000-0005-0000-0000-000022520000}"/>
    <cellStyle name="40% - Accent6 6 2 2 2 2 2 2" xfId="16734" xr:uid="{00000000-0005-0000-0000-000023520000}"/>
    <cellStyle name="40% - Accent6 6 2 2 2 2 2 2 2" xfId="40576" xr:uid="{8A54F2D4-FBFE-43BD-A9CC-82B46A7C7A72}"/>
    <cellStyle name="40% - Accent6 6 2 2 2 2 2 3" xfId="24680" xr:uid="{00000000-0005-0000-0000-000024520000}"/>
    <cellStyle name="40% - Accent6 6 2 2 2 2 2 3 2" xfId="48512" xr:uid="{61E122ED-A5B3-4123-B778-9BC7B96D214B}"/>
    <cellStyle name="40% - Accent6 6 2 2 2 2 2 4" xfId="32635" xr:uid="{DE2B9EA7-8DBC-42F0-AEB5-2D0431D7819B}"/>
    <cellStyle name="40% - Accent6 6 2 2 2 2 3" xfId="13196" xr:uid="{00000000-0005-0000-0000-000025520000}"/>
    <cellStyle name="40% - Accent6 6 2 2 2 2 3 2" xfId="37045" xr:uid="{AC2DDCA2-6675-46AC-A351-9FAF75604978}"/>
    <cellStyle name="40% - Accent6 6 2 2 2 2 4" xfId="21151" xr:uid="{00000000-0005-0000-0000-000026520000}"/>
    <cellStyle name="40% - Accent6 6 2 2 2 2 4 2" xfId="44983" xr:uid="{2F3154C8-CE14-4E26-B3EC-7C8B09AC6F34}"/>
    <cellStyle name="40% - Accent6 6 2 2 2 2 5" xfId="29104" xr:uid="{1159A6FD-94BA-477C-84E3-15D67415F805}"/>
    <cellStyle name="40% - Accent6 6 2 2 2 3" xfId="7005" xr:uid="{00000000-0005-0000-0000-000027520000}"/>
    <cellStyle name="40% - Accent6 6 2 2 2 3 2" xfId="14976" xr:uid="{00000000-0005-0000-0000-000028520000}"/>
    <cellStyle name="40% - Accent6 6 2 2 2 3 2 2" xfId="38818" xr:uid="{81342E33-247F-401F-B1E4-F69598252DB9}"/>
    <cellStyle name="40% - Accent6 6 2 2 2 3 3" xfId="22923" xr:uid="{00000000-0005-0000-0000-000029520000}"/>
    <cellStyle name="40% - Accent6 6 2 2 2 3 3 2" xfId="46755" xr:uid="{007852D3-92EB-4360-B62F-DA336A3DADBA}"/>
    <cellStyle name="40% - Accent6 6 2 2 2 3 4" xfId="30877" xr:uid="{DCE1B17D-09D5-43CC-AE90-A1E20A0F3641}"/>
    <cellStyle name="40% - Accent6 6 2 2 2 4" xfId="11440" xr:uid="{00000000-0005-0000-0000-00002A520000}"/>
    <cellStyle name="40% - Accent6 6 2 2 2 4 2" xfId="35289" xr:uid="{BE285B6D-37E2-4B03-897B-3600D217FEBB}"/>
    <cellStyle name="40% - Accent6 6 2 2 2 5" xfId="19395" xr:uid="{00000000-0005-0000-0000-00002B520000}"/>
    <cellStyle name="40% - Accent6 6 2 2 2 5 2" xfId="43227" xr:uid="{D9E8D121-F33B-4019-BE3C-BDA8F89E13B4}"/>
    <cellStyle name="40% - Accent6 6 2 2 2 6" xfId="27347" xr:uid="{543E3313-8A83-42A1-AFE5-6B2A34838E9E}"/>
    <cellStyle name="40% - Accent6 6 2 2 2_Exh G" xfId="3385" xr:uid="{00000000-0005-0000-0000-00002C520000}"/>
    <cellStyle name="40% - Accent6 6 2 2 3" xfId="4294" xr:uid="{00000000-0005-0000-0000-00002D520000}"/>
    <cellStyle name="40% - Accent6 6 2 2 3 2" xfId="7886" xr:uid="{00000000-0005-0000-0000-00002E520000}"/>
    <cellStyle name="40% - Accent6 6 2 2 3 2 2" xfId="15856" xr:uid="{00000000-0005-0000-0000-00002F520000}"/>
    <cellStyle name="40% - Accent6 6 2 2 3 2 2 2" xfId="39698" xr:uid="{CAAA3EAF-1F58-4A7C-9AFD-51C1EADE792C}"/>
    <cellStyle name="40% - Accent6 6 2 2 3 2 3" xfId="23802" xr:uid="{00000000-0005-0000-0000-000030520000}"/>
    <cellStyle name="40% - Accent6 6 2 2 3 2 3 2" xfId="47634" xr:uid="{FB1D9BEA-CB54-4809-8220-FB90036A41F9}"/>
    <cellStyle name="40% - Accent6 6 2 2 3 2 4" xfId="31757" xr:uid="{CDC2C5B4-743B-4A6E-8E28-75BF74BD0530}"/>
    <cellStyle name="40% - Accent6 6 2 2 3 3" xfId="12318" xr:uid="{00000000-0005-0000-0000-000031520000}"/>
    <cellStyle name="40% - Accent6 6 2 2 3 3 2" xfId="36167" xr:uid="{1D9D2583-5586-4E85-9419-410EB49433E8}"/>
    <cellStyle name="40% - Accent6 6 2 2 3 4" xfId="20273" xr:uid="{00000000-0005-0000-0000-000032520000}"/>
    <cellStyle name="40% - Accent6 6 2 2 3 4 2" xfId="44105" xr:uid="{3FF3BEFF-B0E9-4E24-B654-E4C33C4B7D13}"/>
    <cellStyle name="40% - Accent6 6 2 2 3 5" xfId="28226" xr:uid="{AD8409D9-EF5B-4C76-BF54-D339BAB410BE}"/>
    <cellStyle name="40% - Accent6 6 2 2 4" xfId="6114" xr:uid="{00000000-0005-0000-0000-000033520000}"/>
    <cellStyle name="40% - Accent6 6 2 2 4 2" xfId="14097" xr:uid="{00000000-0005-0000-0000-000034520000}"/>
    <cellStyle name="40% - Accent6 6 2 2 4 2 2" xfId="37940" xr:uid="{F0BB7BC9-0A62-4E0C-824A-C0628A152E0B}"/>
    <cellStyle name="40% - Accent6 6 2 2 4 3" xfId="22045" xr:uid="{00000000-0005-0000-0000-000035520000}"/>
    <cellStyle name="40% - Accent6 6 2 2 4 3 2" xfId="45877" xr:uid="{276E8A5C-679E-4107-B0BA-F725EAB12EDD}"/>
    <cellStyle name="40% - Accent6 6 2 2 4 4" xfId="29999" xr:uid="{00FB8557-C675-4934-8393-BBD925F0074F}"/>
    <cellStyle name="40% - Accent6 6 2 2 5" xfId="9666" xr:uid="{00000000-0005-0000-0000-000036520000}"/>
    <cellStyle name="40% - Accent6 6 2 2 5 2" xfId="17624" xr:uid="{00000000-0005-0000-0000-000037520000}"/>
    <cellStyle name="40% - Accent6 6 2 2 5 2 2" xfId="41464" xr:uid="{E33CF5EA-1C37-4D91-AC00-C329C3C1CBD0}"/>
    <cellStyle name="40% - Accent6 6 2 2 5 3" xfId="25568" xr:uid="{00000000-0005-0000-0000-000038520000}"/>
    <cellStyle name="40% - Accent6 6 2 2 5 3 2" xfId="49400" xr:uid="{DD2A3362-364D-40C4-A9BB-B58E9E07583C}"/>
    <cellStyle name="40% - Accent6 6 2 2 5 4" xfId="33523" xr:uid="{AB0E9D6E-BD14-402A-B760-43B73CC6BDD1}"/>
    <cellStyle name="40% - Accent6 6 2 2 6" xfId="10562" xr:uid="{00000000-0005-0000-0000-000039520000}"/>
    <cellStyle name="40% - Accent6 6 2 2 6 2" xfId="34411" xr:uid="{4B669610-16C9-4179-879D-A54C4C7C679B}"/>
    <cellStyle name="40% - Accent6 6 2 2 7" xfId="18517" xr:uid="{00000000-0005-0000-0000-00003A520000}"/>
    <cellStyle name="40% - Accent6 6 2 2 7 2" xfId="42349" xr:uid="{67A4EEB0-E8B9-429F-8981-3EB508DC9F61}"/>
    <cellStyle name="40% - Accent6 6 2 2 8" xfId="26469" xr:uid="{E93E42C0-77CF-45F3-BB41-337D4650D474}"/>
    <cellStyle name="40% - Accent6 6 2 2_Exh G" xfId="3384" xr:uid="{00000000-0005-0000-0000-00003B520000}"/>
    <cellStyle name="40% - Accent6 6 2 3" xfId="1645" xr:uid="{00000000-0005-0000-0000-00003C520000}"/>
    <cellStyle name="40% - Accent6 6 2 3 2" xfId="5172" xr:uid="{00000000-0005-0000-0000-00003D520000}"/>
    <cellStyle name="40% - Accent6 6 2 3 2 2" xfId="8763" xr:uid="{00000000-0005-0000-0000-00003E520000}"/>
    <cellStyle name="40% - Accent6 6 2 3 2 2 2" xfId="16733" xr:uid="{00000000-0005-0000-0000-00003F520000}"/>
    <cellStyle name="40% - Accent6 6 2 3 2 2 2 2" xfId="40575" xr:uid="{2D7D230C-BC9C-44DD-B79E-715E79F121A6}"/>
    <cellStyle name="40% - Accent6 6 2 3 2 2 3" xfId="24679" xr:uid="{00000000-0005-0000-0000-000040520000}"/>
    <cellStyle name="40% - Accent6 6 2 3 2 2 3 2" xfId="48511" xr:uid="{6743F740-C22D-4CD4-9FEF-E77E4F54E29E}"/>
    <cellStyle name="40% - Accent6 6 2 3 2 2 4" xfId="32634" xr:uid="{78FCBD3E-6E3D-4556-AA14-14EB450C03E6}"/>
    <cellStyle name="40% - Accent6 6 2 3 2 3" xfId="13195" xr:uid="{00000000-0005-0000-0000-000041520000}"/>
    <cellStyle name="40% - Accent6 6 2 3 2 3 2" xfId="37044" xr:uid="{F444CD6C-0644-4641-B64C-F524E1F50DEB}"/>
    <cellStyle name="40% - Accent6 6 2 3 2 4" xfId="21150" xr:uid="{00000000-0005-0000-0000-000042520000}"/>
    <cellStyle name="40% - Accent6 6 2 3 2 4 2" xfId="44982" xr:uid="{927AB0C8-4A39-40E7-BA5B-88427C9ECE6B}"/>
    <cellStyle name="40% - Accent6 6 2 3 2 5" xfId="29103" xr:uid="{DE66D92E-3F39-431F-A974-106CEE74BD37}"/>
    <cellStyle name="40% - Accent6 6 2 3 3" xfId="7004" xr:uid="{00000000-0005-0000-0000-000043520000}"/>
    <cellStyle name="40% - Accent6 6 2 3 3 2" xfId="14975" xr:uid="{00000000-0005-0000-0000-000044520000}"/>
    <cellStyle name="40% - Accent6 6 2 3 3 2 2" xfId="38817" xr:uid="{E6FA1E35-BBD7-462E-9665-74B0639704A2}"/>
    <cellStyle name="40% - Accent6 6 2 3 3 3" xfId="22922" xr:uid="{00000000-0005-0000-0000-000045520000}"/>
    <cellStyle name="40% - Accent6 6 2 3 3 3 2" xfId="46754" xr:uid="{39BABEF5-8EB8-4B56-9148-5B99CDA92912}"/>
    <cellStyle name="40% - Accent6 6 2 3 3 4" xfId="30876" xr:uid="{DDE5E50B-FC10-4402-9480-A6059891D41F}"/>
    <cellStyle name="40% - Accent6 6 2 3 4" xfId="11439" xr:uid="{00000000-0005-0000-0000-000046520000}"/>
    <cellStyle name="40% - Accent6 6 2 3 4 2" xfId="35288" xr:uid="{D8E21EFA-788B-4CC1-86C7-AFF1F8184A63}"/>
    <cellStyle name="40% - Accent6 6 2 3 5" xfId="19394" xr:uid="{00000000-0005-0000-0000-000047520000}"/>
    <cellStyle name="40% - Accent6 6 2 3 5 2" xfId="43226" xr:uid="{F09ED7DC-5798-456A-BE82-A53DB1E28802}"/>
    <cellStyle name="40% - Accent6 6 2 3 6" xfId="27346" xr:uid="{74761539-4D0F-4E0A-ABFE-6871BB009ED2}"/>
    <cellStyle name="40% - Accent6 6 2 3_Exh G" xfId="3386" xr:uid="{00000000-0005-0000-0000-000048520000}"/>
    <cellStyle name="40% - Accent6 6 2 4" xfId="4293" xr:uid="{00000000-0005-0000-0000-000049520000}"/>
    <cellStyle name="40% - Accent6 6 2 4 2" xfId="7885" xr:uid="{00000000-0005-0000-0000-00004A520000}"/>
    <cellStyle name="40% - Accent6 6 2 4 2 2" xfId="15855" xr:uid="{00000000-0005-0000-0000-00004B520000}"/>
    <cellStyle name="40% - Accent6 6 2 4 2 2 2" xfId="39697" xr:uid="{06082773-69AC-498F-ABD9-084BBF5C6373}"/>
    <cellStyle name="40% - Accent6 6 2 4 2 3" xfId="23801" xr:uid="{00000000-0005-0000-0000-00004C520000}"/>
    <cellStyle name="40% - Accent6 6 2 4 2 3 2" xfId="47633" xr:uid="{6FB77034-F445-420C-B4DD-C59071ECD85A}"/>
    <cellStyle name="40% - Accent6 6 2 4 2 4" xfId="31756" xr:uid="{D32D101C-32F6-4844-9E40-F92336ACBD77}"/>
    <cellStyle name="40% - Accent6 6 2 4 3" xfId="12317" xr:uid="{00000000-0005-0000-0000-00004D520000}"/>
    <cellStyle name="40% - Accent6 6 2 4 3 2" xfId="36166" xr:uid="{50797C2A-6D0D-4F88-9FCC-B471486F86AD}"/>
    <cellStyle name="40% - Accent6 6 2 4 4" xfId="20272" xr:uid="{00000000-0005-0000-0000-00004E520000}"/>
    <cellStyle name="40% - Accent6 6 2 4 4 2" xfId="44104" xr:uid="{72F904C2-2D8E-4FFF-8C0F-6BB74186B68D}"/>
    <cellStyle name="40% - Accent6 6 2 4 5" xfId="28225" xr:uid="{A7234789-A572-4AAE-9F35-10CE76F39BA7}"/>
    <cellStyle name="40% - Accent6 6 2 5" xfId="6113" xr:uid="{00000000-0005-0000-0000-00004F520000}"/>
    <cellStyle name="40% - Accent6 6 2 5 2" xfId="14096" xr:uid="{00000000-0005-0000-0000-000050520000}"/>
    <cellStyle name="40% - Accent6 6 2 5 2 2" xfId="37939" xr:uid="{6B253474-1755-4A94-A405-2CE7743E8134}"/>
    <cellStyle name="40% - Accent6 6 2 5 3" xfId="22044" xr:uid="{00000000-0005-0000-0000-000051520000}"/>
    <cellStyle name="40% - Accent6 6 2 5 3 2" xfId="45876" xr:uid="{8F59C27F-827D-4FD1-9C94-23A0240018CB}"/>
    <cellStyle name="40% - Accent6 6 2 5 4" xfId="29998" xr:uid="{8846FD7C-B270-42F5-B3ED-D4F0695F58F8}"/>
    <cellStyle name="40% - Accent6 6 2 6" xfId="9665" xr:uid="{00000000-0005-0000-0000-000052520000}"/>
    <cellStyle name="40% - Accent6 6 2 6 2" xfId="17623" xr:uid="{00000000-0005-0000-0000-000053520000}"/>
    <cellStyle name="40% - Accent6 6 2 6 2 2" xfId="41463" xr:uid="{B901C3EB-6D5E-4E0A-A2DD-204856DF7881}"/>
    <cellStyle name="40% - Accent6 6 2 6 3" xfId="25567" xr:uid="{00000000-0005-0000-0000-000054520000}"/>
    <cellStyle name="40% - Accent6 6 2 6 3 2" xfId="49399" xr:uid="{A9542B2F-CDB6-4E43-8954-0E0809F0188B}"/>
    <cellStyle name="40% - Accent6 6 2 6 4" xfId="33522" xr:uid="{CB76C7F6-F77C-4831-90B6-577A87A8428D}"/>
    <cellStyle name="40% - Accent6 6 2 7" xfId="10561" xr:uid="{00000000-0005-0000-0000-000055520000}"/>
    <cellStyle name="40% - Accent6 6 2 7 2" xfId="34410" xr:uid="{3A940529-77A7-4728-B84F-1C1AEE01DD86}"/>
    <cellStyle name="40% - Accent6 6 2 8" xfId="18516" xr:uid="{00000000-0005-0000-0000-000056520000}"/>
    <cellStyle name="40% - Accent6 6 2 8 2" xfId="42348" xr:uid="{892AB1A8-FD40-4AF2-84D9-8A28718E4C4B}"/>
    <cellStyle name="40% - Accent6 6 2 9" xfId="26468" xr:uid="{FEA5CB1A-FC5A-4BA8-92A2-D81C1CA6DAA9}"/>
    <cellStyle name="40% - Accent6 6 2_Exh G" xfId="3383" xr:uid="{00000000-0005-0000-0000-000057520000}"/>
    <cellStyle name="40% - Accent6 6 3" xfId="621" xr:uid="{00000000-0005-0000-0000-000058520000}"/>
    <cellStyle name="40% - Accent6 6 3 2" xfId="1647" xr:uid="{00000000-0005-0000-0000-000059520000}"/>
    <cellStyle name="40% - Accent6 6 3 2 2" xfId="5174" xr:uid="{00000000-0005-0000-0000-00005A520000}"/>
    <cellStyle name="40% - Accent6 6 3 2 2 2" xfId="8765" xr:uid="{00000000-0005-0000-0000-00005B520000}"/>
    <cellStyle name="40% - Accent6 6 3 2 2 2 2" xfId="16735" xr:uid="{00000000-0005-0000-0000-00005C520000}"/>
    <cellStyle name="40% - Accent6 6 3 2 2 2 2 2" xfId="40577" xr:uid="{A5AE6B38-3F43-48D0-A1A8-4FF4116AEE78}"/>
    <cellStyle name="40% - Accent6 6 3 2 2 2 3" xfId="24681" xr:uid="{00000000-0005-0000-0000-00005D520000}"/>
    <cellStyle name="40% - Accent6 6 3 2 2 2 3 2" xfId="48513" xr:uid="{1F94BC84-45D3-4FE0-A0AB-9C3FC9FCF99D}"/>
    <cellStyle name="40% - Accent6 6 3 2 2 2 4" xfId="32636" xr:uid="{33968656-9FFC-4E00-8D57-C882309DF23F}"/>
    <cellStyle name="40% - Accent6 6 3 2 2 3" xfId="13197" xr:uid="{00000000-0005-0000-0000-00005E520000}"/>
    <cellStyle name="40% - Accent6 6 3 2 2 3 2" xfId="37046" xr:uid="{1F4BBB3D-53F9-4161-B78D-D9A2E355B1D5}"/>
    <cellStyle name="40% - Accent6 6 3 2 2 4" xfId="21152" xr:uid="{00000000-0005-0000-0000-00005F520000}"/>
    <cellStyle name="40% - Accent6 6 3 2 2 4 2" xfId="44984" xr:uid="{6BE8DAB8-57AF-49B6-8F33-584B3EF41F73}"/>
    <cellStyle name="40% - Accent6 6 3 2 2 5" xfId="29105" xr:uid="{EB317FC4-5BCF-41A0-AAC7-A336A4ADD587}"/>
    <cellStyle name="40% - Accent6 6 3 2 3" xfId="7006" xr:uid="{00000000-0005-0000-0000-000060520000}"/>
    <cellStyle name="40% - Accent6 6 3 2 3 2" xfId="14977" xr:uid="{00000000-0005-0000-0000-000061520000}"/>
    <cellStyle name="40% - Accent6 6 3 2 3 2 2" xfId="38819" xr:uid="{072059A9-A01B-4CBE-89EE-F7188C09DEB2}"/>
    <cellStyle name="40% - Accent6 6 3 2 3 3" xfId="22924" xr:uid="{00000000-0005-0000-0000-000062520000}"/>
    <cellStyle name="40% - Accent6 6 3 2 3 3 2" xfId="46756" xr:uid="{E947436D-9E16-4451-93CA-4E691A4CB9B8}"/>
    <cellStyle name="40% - Accent6 6 3 2 3 4" xfId="30878" xr:uid="{17F6434E-7475-495C-A568-BABFC5CA03E3}"/>
    <cellStyle name="40% - Accent6 6 3 2 4" xfId="11441" xr:uid="{00000000-0005-0000-0000-000063520000}"/>
    <cellStyle name="40% - Accent6 6 3 2 4 2" xfId="35290" xr:uid="{D21E0E3C-F4D8-4905-A170-EE49C76525EC}"/>
    <cellStyle name="40% - Accent6 6 3 2 5" xfId="19396" xr:uid="{00000000-0005-0000-0000-000064520000}"/>
    <cellStyle name="40% - Accent6 6 3 2 5 2" xfId="43228" xr:uid="{AB05250B-9219-4C2D-AD6C-8131B2AAD17A}"/>
    <cellStyle name="40% - Accent6 6 3 2 6" xfId="27348" xr:uid="{5192968D-8BE0-478C-A3BC-1D5D0DE85C12}"/>
    <cellStyle name="40% - Accent6 6 3 2_Exh G" xfId="3388" xr:uid="{00000000-0005-0000-0000-000065520000}"/>
    <cellStyle name="40% - Accent6 6 3 3" xfId="4295" xr:uid="{00000000-0005-0000-0000-000066520000}"/>
    <cellStyle name="40% - Accent6 6 3 3 2" xfId="7887" xr:uid="{00000000-0005-0000-0000-000067520000}"/>
    <cellStyle name="40% - Accent6 6 3 3 2 2" xfId="15857" xr:uid="{00000000-0005-0000-0000-000068520000}"/>
    <cellStyle name="40% - Accent6 6 3 3 2 2 2" xfId="39699" xr:uid="{9450ECB9-14A3-41CA-8E2A-F28F26ACEEF7}"/>
    <cellStyle name="40% - Accent6 6 3 3 2 3" xfId="23803" xr:uid="{00000000-0005-0000-0000-000069520000}"/>
    <cellStyle name="40% - Accent6 6 3 3 2 3 2" xfId="47635" xr:uid="{EFA9FE92-7CAB-4658-BDB8-9473948EBFAA}"/>
    <cellStyle name="40% - Accent6 6 3 3 2 4" xfId="31758" xr:uid="{D57CE18D-8DCA-4EA2-B610-787D9CCCCD20}"/>
    <cellStyle name="40% - Accent6 6 3 3 3" xfId="12319" xr:uid="{00000000-0005-0000-0000-00006A520000}"/>
    <cellStyle name="40% - Accent6 6 3 3 3 2" xfId="36168" xr:uid="{7EBA56AD-D7F7-4801-AC48-3A2917B9EC4D}"/>
    <cellStyle name="40% - Accent6 6 3 3 4" xfId="20274" xr:uid="{00000000-0005-0000-0000-00006B520000}"/>
    <cellStyle name="40% - Accent6 6 3 3 4 2" xfId="44106" xr:uid="{11081EE4-305A-4090-8E9F-04E37DF70E32}"/>
    <cellStyle name="40% - Accent6 6 3 3 5" xfId="28227" xr:uid="{2853160F-DED3-42BB-B944-CA14EC2C37D0}"/>
    <cellStyle name="40% - Accent6 6 3 4" xfId="6115" xr:uid="{00000000-0005-0000-0000-00006C520000}"/>
    <cellStyle name="40% - Accent6 6 3 4 2" xfId="14098" xr:uid="{00000000-0005-0000-0000-00006D520000}"/>
    <cellStyle name="40% - Accent6 6 3 4 2 2" xfId="37941" xr:uid="{A0FE1713-1B3D-47EA-8EB4-1577B11FEA07}"/>
    <cellStyle name="40% - Accent6 6 3 4 3" xfId="22046" xr:uid="{00000000-0005-0000-0000-00006E520000}"/>
    <cellStyle name="40% - Accent6 6 3 4 3 2" xfId="45878" xr:uid="{251075B3-B484-4665-BC05-9091E99C1846}"/>
    <cellStyle name="40% - Accent6 6 3 4 4" xfId="30000" xr:uid="{626B8E04-64AC-4882-940B-4B33141663F8}"/>
    <cellStyle name="40% - Accent6 6 3 5" xfId="9667" xr:uid="{00000000-0005-0000-0000-00006F520000}"/>
    <cellStyle name="40% - Accent6 6 3 5 2" xfId="17625" xr:uid="{00000000-0005-0000-0000-000070520000}"/>
    <cellStyle name="40% - Accent6 6 3 5 2 2" xfId="41465" xr:uid="{C9FC4EEE-6D74-49A8-959E-31B259ACE0F9}"/>
    <cellStyle name="40% - Accent6 6 3 5 3" xfId="25569" xr:uid="{00000000-0005-0000-0000-000071520000}"/>
    <cellStyle name="40% - Accent6 6 3 5 3 2" xfId="49401" xr:uid="{D2BB9B17-901D-4C3C-AC28-FD4751C8DF6A}"/>
    <cellStyle name="40% - Accent6 6 3 5 4" xfId="33524" xr:uid="{73658309-4A1C-4A89-BC85-5A6DCCAAA23E}"/>
    <cellStyle name="40% - Accent6 6 3 6" xfId="10563" xr:uid="{00000000-0005-0000-0000-000072520000}"/>
    <cellStyle name="40% - Accent6 6 3 6 2" xfId="34412" xr:uid="{DB46F55B-D096-4619-BD1C-09470942A28F}"/>
    <cellStyle name="40% - Accent6 6 3 7" xfId="18518" xr:uid="{00000000-0005-0000-0000-000073520000}"/>
    <cellStyle name="40% - Accent6 6 3 7 2" xfId="42350" xr:uid="{0BFAD6D3-A5CF-4620-8306-9CE8923A36EA}"/>
    <cellStyle name="40% - Accent6 6 3 8" xfId="26470" xr:uid="{F1BF959A-9389-42A4-BE6A-8BFC2B052411}"/>
    <cellStyle name="40% - Accent6 6 3_Exh G" xfId="3387" xr:uid="{00000000-0005-0000-0000-000074520000}"/>
    <cellStyle name="40% - Accent6 6 4" xfId="999" xr:uid="{00000000-0005-0000-0000-000075520000}"/>
    <cellStyle name="40% - Accent6 6 4 2" xfId="1908" xr:uid="{00000000-0005-0000-0000-000076520000}"/>
    <cellStyle name="40% - Accent6 6 4 2 2" xfId="5425" xr:uid="{00000000-0005-0000-0000-000077520000}"/>
    <cellStyle name="40% - Accent6 6 4 2 2 2" xfId="9016" xr:uid="{00000000-0005-0000-0000-000078520000}"/>
    <cellStyle name="40% - Accent6 6 4 2 2 2 2" xfId="16986" xr:uid="{00000000-0005-0000-0000-000079520000}"/>
    <cellStyle name="40% - Accent6 6 4 2 2 2 2 2" xfId="40828" xr:uid="{713BC468-ECA9-47F9-8451-7823AC9719DB}"/>
    <cellStyle name="40% - Accent6 6 4 2 2 2 3" xfId="24932" xr:uid="{00000000-0005-0000-0000-00007A520000}"/>
    <cellStyle name="40% - Accent6 6 4 2 2 2 3 2" xfId="48764" xr:uid="{06CBA5A4-66CC-450D-B5DD-86BCE1F906D2}"/>
    <cellStyle name="40% - Accent6 6 4 2 2 2 4" xfId="32887" xr:uid="{34E77E67-9057-42B8-9074-C181A62115B1}"/>
    <cellStyle name="40% - Accent6 6 4 2 2 3" xfId="13448" xr:uid="{00000000-0005-0000-0000-00007B520000}"/>
    <cellStyle name="40% - Accent6 6 4 2 2 3 2" xfId="37297" xr:uid="{30C8680A-F845-4EF7-B8D7-53DE6B76A6E3}"/>
    <cellStyle name="40% - Accent6 6 4 2 2 4" xfId="21403" xr:uid="{00000000-0005-0000-0000-00007C520000}"/>
    <cellStyle name="40% - Accent6 6 4 2 2 4 2" xfId="45235" xr:uid="{CC2C53FF-F7B8-4181-8D11-D35C59ED4D67}"/>
    <cellStyle name="40% - Accent6 6 4 2 2 5" xfId="29356" xr:uid="{A134FA3E-3A74-486F-A8FE-3193D9474911}"/>
    <cellStyle name="40% - Accent6 6 4 2 3" xfId="7257" xr:uid="{00000000-0005-0000-0000-00007D520000}"/>
    <cellStyle name="40% - Accent6 6 4 2 3 2" xfId="15228" xr:uid="{00000000-0005-0000-0000-00007E520000}"/>
    <cellStyle name="40% - Accent6 6 4 2 3 2 2" xfId="39070" xr:uid="{CF3DC562-03D6-45B2-B843-8F7C7DB087EA}"/>
    <cellStyle name="40% - Accent6 6 4 2 3 3" xfId="23175" xr:uid="{00000000-0005-0000-0000-00007F520000}"/>
    <cellStyle name="40% - Accent6 6 4 2 3 3 2" xfId="47007" xr:uid="{1C63D0D7-A1D1-4056-B56E-46B09CDA6A99}"/>
    <cellStyle name="40% - Accent6 6 4 2 3 4" xfId="31129" xr:uid="{9C1EBD95-756C-459A-AA91-D696BDFEBE8C}"/>
    <cellStyle name="40% - Accent6 6 4 2 4" xfId="11692" xr:uid="{00000000-0005-0000-0000-000080520000}"/>
    <cellStyle name="40% - Accent6 6 4 2 4 2" xfId="35541" xr:uid="{311D93FB-416E-4B41-9CD0-C85CAE425F31}"/>
    <cellStyle name="40% - Accent6 6 4 2 5" xfId="19647" xr:uid="{00000000-0005-0000-0000-000081520000}"/>
    <cellStyle name="40% - Accent6 6 4 2 5 2" xfId="43479" xr:uid="{2B11E986-872E-4782-8B1F-5F6618B587BA}"/>
    <cellStyle name="40% - Accent6 6 4 2 6" xfId="27599" xr:uid="{B19046C8-2CFD-4085-938B-DFBC3D72F583}"/>
    <cellStyle name="40% - Accent6 6 4 2_Exh G" xfId="3390" xr:uid="{00000000-0005-0000-0000-000082520000}"/>
    <cellStyle name="40% - Accent6 6 4 3" xfId="4546" xr:uid="{00000000-0005-0000-0000-000083520000}"/>
    <cellStyle name="40% - Accent6 6 4 3 2" xfId="8138" xr:uid="{00000000-0005-0000-0000-000084520000}"/>
    <cellStyle name="40% - Accent6 6 4 3 2 2" xfId="16108" xr:uid="{00000000-0005-0000-0000-000085520000}"/>
    <cellStyle name="40% - Accent6 6 4 3 2 2 2" xfId="39950" xr:uid="{496C1135-E6E5-4096-95C2-7921035CE824}"/>
    <cellStyle name="40% - Accent6 6 4 3 2 3" xfId="24054" xr:uid="{00000000-0005-0000-0000-000086520000}"/>
    <cellStyle name="40% - Accent6 6 4 3 2 3 2" xfId="47886" xr:uid="{B69694E3-C16E-4044-B556-1187464731F4}"/>
    <cellStyle name="40% - Accent6 6 4 3 2 4" xfId="32009" xr:uid="{A05D9E42-24A9-4B25-9BF0-A7B3DF512396}"/>
    <cellStyle name="40% - Accent6 6 4 3 3" xfId="12570" xr:uid="{00000000-0005-0000-0000-000087520000}"/>
    <cellStyle name="40% - Accent6 6 4 3 3 2" xfId="36419" xr:uid="{7C74D53A-1A63-4A67-85D6-AC45BAA821EE}"/>
    <cellStyle name="40% - Accent6 6 4 3 4" xfId="20525" xr:uid="{00000000-0005-0000-0000-000088520000}"/>
    <cellStyle name="40% - Accent6 6 4 3 4 2" xfId="44357" xr:uid="{4986BFB2-6B27-4B8E-8979-6645FEB4E8D0}"/>
    <cellStyle name="40% - Accent6 6 4 3 5" xfId="28478" xr:uid="{23C05268-3AFC-4275-941E-C70A97DA604A}"/>
    <cellStyle name="40% - Accent6 6 4 4" xfId="6376" xr:uid="{00000000-0005-0000-0000-000089520000}"/>
    <cellStyle name="40% - Accent6 6 4 4 2" xfId="14350" xr:uid="{00000000-0005-0000-0000-00008A520000}"/>
    <cellStyle name="40% - Accent6 6 4 4 2 2" xfId="38192" xr:uid="{4A951FD7-3FFF-4009-8EB5-E2F0EDE4C59D}"/>
    <cellStyle name="40% - Accent6 6 4 4 3" xfId="22297" xr:uid="{00000000-0005-0000-0000-00008B520000}"/>
    <cellStyle name="40% - Accent6 6 4 4 3 2" xfId="46129" xr:uid="{546225AF-69E9-4B02-A521-1A4B7659EF61}"/>
    <cellStyle name="40% - Accent6 6 4 4 4" xfId="30251" xr:uid="{E2128103-AB2F-410B-B545-5AC93361CE73}"/>
    <cellStyle name="40% - Accent6 6 4 5" xfId="9918" xr:uid="{00000000-0005-0000-0000-00008C520000}"/>
    <cellStyle name="40% - Accent6 6 4 5 2" xfId="17876" xr:uid="{00000000-0005-0000-0000-00008D520000}"/>
    <cellStyle name="40% - Accent6 6 4 5 2 2" xfId="41716" xr:uid="{AD76DE82-C4BC-47CB-B8C8-E1F590D5099E}"/>
    <cellStyle name="40% - Accent6 6 4 5 3" xfId="25820" xr:uid="{00000000-0005-0000-0000-00008E520000}"/>
    <cellStyle name="40% - Accent6 6 4 5 3 2" xfId="49652" xr:uid="{FF048C67-9E0E-4CA6-8AE3-6C2B32A6CDAD}"/>
    <cellStyle name="40% - Accent6 6 4 5 4" xfId="33775" xr:uid="{4CD43B71-1E01-4FC7-B159-B2A008DDF283}"/>
    <cellStyle name="40% - Accent6 6 4 6" xfId="10814" xr:uid="{00000000-0005-0000-0000-00008F520000}"/>
    <cellStyle name="40% - Accent6 6 4 6 2" xfId="34663" xr:uid="{409F7511-0351-47B6-8FD7-3B8D1B2E72E2}"/>
    <cellStyle name="40% - Accent6 6 4 7" xfId="18769" xr:uid="{00000000-0005-0000-0000-000090520000}"/>
    <cellStyle name="40% - Accent6 6 4 7 2" xfId="42601" xr:uid="{39C1EC91-108C-42FE-A93E-D6A05A628B22}"/>
    <cellStyle name="40% - Accent6 6 4 8" xfId="26721" xr:uid="{EAF287BE-DF90-4BE9-BDCB-2BBBE79EF35A}"/>
    <cellStyle name="40% - Accent6 6 4_Exh G" xfId="3389" xr:uid="{00000000-0005-0000-0000-000091520000}"/>
    <cellStyle name="40% - Accent6 6 5" xfId="1644" xr:uid="{00000000-0005-0000-0000-000092520000}"/>
    <cellStyle name="40% - Accent6 6 5 2" xfId="5171" xr:uid="{00000000-0005-0000-0000-000093520000}"/>
    <cellStyle name="40% - Accent6 6 5 2 2" xfId="8762" xr:uid="{00000000-0005-0000-0000-000094520000}"/>
    <cellStyle name="40% - Accent6 6 5 2 2 2" xfId="16732" xr:uid="{00000000-0005-0000-0000-000095520000}"/>
    <cellStyle name="40% - Accent6 6 5 2 2 2 2" xfId="40574" xr:uid="{38384FA4-4D1F-4179-BAA9-1A653F2168F8}"/>
    <cellStyle name="40% - Accent6 6 5 2 2 3" xfId="24678" xr:uid="{00000000-0005-0000-0000-000096520000}"/>
    <cellStyle name="40% - Accent6 6 5 2 2 3 2" xfId="48510" xr:uid="{B91D17FB-3DE1-45ED-9603-64AED8E98259}"/>
    <cellStyle name="40% - Accent6 6 5 2 2 4" xfId="32633" xr:uid="{20FAC14E-73D1-4C8B-9C28-8A5398DE441D}"/>
    <cellStyle name="40% - Accent6 6 5 2 3" xfId="13194" xr:uid="{00000000-0005-0000-0000-000097520000}"/>
    <cellStyle name="40% - Accent6 6 5 2 3 2" xfId="37043" xr:uid="{A97B6DED-031F-46C0-9174-7C1A36F39A43}"/>
    <cellStyle name="40% - Accent6 6 5 2 4" xfId="21149" xr:uid="{00000000-0005-0000-0000-000098520000}"/>
    <cellStyle name="40% - Accent6 6 5 2 4 2" xfId="44981" xr:uid="{95B192E6-6137-403B-99FC-43AF5145AD80}"/>
    <cellStyle name="40% - Accent6 6 5 2 5" xfId="29102" xr:uid="{23E924BD-29E6-431C-A191-51BA6C871A5B}"/>
    <cellStyle name="40% - Accent6 6 5 3" xfId="7003" xr:uid="{00000000-0005-0000-0000-000099520000}"/>
    <cellStyle name="40% - Accent6 6 5 3 2" xfId="14974" xr:uid="{00000000-0005-0000-0000-00009A520000}"/>
    <cellStyle name="40% - Accent6 6 5 3 2 2" xfId="38816" xr:uid="{18FBE1C6-902A-418B-979A-405845E8CB31}"/>
    <cellStyle name="40% - Accent6 6 5 3 3" xfId="22921" xr:uid="{00000000-0005-0000-0000-00009B520000}"/>
    <cellStyle name="40% - Accent6 6 5 3 3 2" xfId="46753" xr:uid="{ACFB6C85-C57A-4F19-A9BC-50B84FF1F4CC}"/>
    <cellStyle name="40% - Accent6 6 5 3 4" xfId="30875" xr:uid="{E865A647-9848-4B24-8C28-8772A4FD9290}"/>
    <cellStyle name="40% - Accent6 6 5 4" xfId="11438" xr:uid="{00000000-0005-0000-0000-00009C520000}"/>
    <cellStyle name="40% - Accent6 6 5 4 2" xfId="35287" xr:uid="{6C6915E1-CA2B-4E38-905E-11215D6F2553}"/>
    <cellStyle name="40% - Accent6 6 5 5" xfId="19393" xr:uid="{00000000-0005-0000-0000-00009D520000}"/>
    <cellStyle name="40% - Accent6 6 5 5 2" xfId="43225" xr:uid="{229E196F-CCB5-4344-A58F-496BE8444841}"/>
    <cellStyle name="40% - Accent6 6 5 6" xfId="27345" xr:uid="{E12CC03D-26D0-4160-A13F-75CDF2B585B8}"/>
    <cellStyle name="40% - Accent6 6 5_Exh G" xfId="3391" xr:uid="{00000000-0005-0000-0000-00009E520000}"/>
    <cellStyle name="40% - Accent6 6 6" xfId="4292" xr:uid="{00000000-0005-0000-0000-00009F520000}"/>
    <cellStyle name="40% - Accent6 6 6 2" xfId="7884" xr:uid="{00000000-0005-0000-0000-0000A0520000}"/>
    <cellStyle name="40% - Accent6 6 6 2 2" xfId="15854" xr:uid="{00000000-0005-0000-0000-0000A1520000}"/>
    <cellStyle name="40% - Accent6 6 6 2 2 2" xfId="39696" xr:uid="{BE8D807B-5B30-469F-B251-775D7CE906EE}"/>
    <cellStyle name="40% - Accent6 6 6 2 3" xfId="23800" xr:uid="{00000000-0005-0000-0000-0000A2520000}"/>
    <cellStyle name="40% - Accent6 6 6 2 3 2" xfId="47632" xr:uid="{D6A23058-D9FC-4E64-B33E-449D003D91CA}"/>
    <cellStyle name="40% - Accent6 6 6 2 4" xfId="31755" xr:uid="{1A4703CA-C2B7-4376-A7B6-1634F00782AB}"/>
    <cellStyle name="40% - Accent6 6 6 3" xfId="12316" xr:uid="{00000000-0005-0000-0000-0000A3520000}"/>
    <cellStyle name="40% - Accent6 6 6 3 2" xfId="36165" xr:uid="{1E7BE054-80AA-45D9-B6D0-873ECB045BE9}"/>
    <cellStyle name="40% - Accent6 6 6 4" xfId="20271" xr:uid="{00000000-0005-0000-0000-0000A4520000}"/>
    <cellStyle name="40% - Accent6 6 6 4 2" xfId="44103" xr:uid="{38A6C5C7-13B7-4167-BE42-03A7220278E1}"/>
    <cellStyle name="40% - Accent6 6 6 5" xfId="28224" xr:uid="{A43C5D03-F37B-4797-9134-469A0C03AEA6}"/>
    <cellStyle name="40% - Accent6 6 7" xfId="6112" xr:uid="{00000000-0005-0000-0000-0000A5520000}"/>
    <cellStyle name="40% - Accent6 6 7 2" xfId="14095" xr:uid="{00000000-0005-0000-0000-0000A6520000}"/>
    <cellStyle name="40% - Accent6 6 7 2 2" xfId="37938" xr:uid="{0A941F70-F3DD-4998-81FB-90FA6783A34E}"/>
    <cellStyle name="40% - Accent6 6 7 3" xfId="22043" xr:uid="{00000000-0005-0000-0000-0000A7520000}"/>
    <cellStyle name="40% - Accent6 6 7 3 2" xfId="45875" xr:uid="{9E133B5F-C861-4889-ACF9-29B724B9851D}"/>
    <cellStyle name="40% - Accent6 6 7 4" xfId="29997" xr:uid="{33719CD8-FA54-4741-9380-75337CCC778D}"/>
    <cellStyle name="40% - Accent6 6 8" xfId="9664" xr:uid="{00000000-0005-0000-0000-0000A8520000}"/>
    <cellStyle name="40% - Accent6 6 8 2" xfId="17622" xr:uid="{00000000-0005-0000-0000-0000A9520000}"/>
    <cellStyle name="40% - Accent6 6 8 2 2" xfId="41462" xr:uid="{691EE2B5-1097-4FF5-84CE-98A32A97557D}"/>
    <cellStyle name="40% - Accent6 6 8 3" xfId="25566" xr:uid="{00000000-0005-0000-0000-0000AA520000}"/>
    <cellStyle name="40% - Accent6 6 8 3 2" xfId="49398" xr:uid="{25468608-12A0-44E2-B8C8-4D8153A22060}"/>
    <cellStyle name="40% - Accent6 6 8 4" xfId="33521" xr:uid="{BCC85719-FD52-4CEF-AE09-BC95B524D5D3}"/>
    <cellStyle name="40% - Accent6 6 9" xfId="10560" xr:uid="{00000000-0005-0000-0000-0000AB520000}"/>
    <cellStyle name="40% - Accent6 6 9 2" xfId="34409" xr:uid="{13FE85EC-5266-4EC3-8159-0603554368A5}"/>
    <cellStyle name="40% - Accent6 6_Exh G" xfId="3382" xr:uid="{00000000-0005-0000-0000-0000AC520000}"/>
    <cellStyle name="40% - Accent6 7" xfId="622" xr:uid="{00000000-0005-0000-0000-0000AD520000}"/>
    <cellStyle name="40% - Accent6 7 10" xfId="18519" xr:uid="{00000000-0005-0000-0000-0000AE520000}"/>
    <cellStyle name="40% - Accent6 7 10 2" xfId="42351" xr:uid="{4D248CB2-9EBF-4C7D-BCBA-4FD51DC97E91}"/>
    <cellStyle name="40% - Accent6 7 11" xfId="26471" xr:uid="{E8EB6987-1F15-47DA-989E-9C45600BE1D8}"/>
    <cellStyle name="40% - Accent6 7 2" xfId="623" xr:uid="{00000000-0005-0000-0000-0000AF520000}"/>
    <cellStyle name="40% - Accent6 7 2 2" xfId="624" xr:uid="{00000000-0005-0000-0000-0000B0520000}"/>
    <cellStyle name="40% - Accent6 7 2 2 2" xfId="1650" xr:uid="{00000000-0005-0000-0000-0000B1520000}"/>
    <cellStyle name="40% - Accent6 7 2 2 2 2" xfId="5177" xr:uid="{00000000-0005-0000-0000-0000B2520000}"/>
    <cellStyle name="40% - Accent6 7 2 2 2 2 2" xfId="8768" xr:uid="{00000000-0005-0000-0000-0000B3520000}"/>
    <cellStyle name="40% - Accent6 7 2 2 2 2 2 2" xfId="16738" xr:uid="{00000000-0005-0000-0000-0000B4520000}"/>
    <cellStyle name="40% - Accent6 7 2 2 2 2 2 2 2" xfId="40580" xr:uid="{401D4C7B-5AC7-4381-AE10-68420E1AF2F2}"/>
    <cellStyle name="40% - Accent6 7 2 2 2 2 2 3" xfId="24684" xr:uid="{00000000-0005-0000-0000-0000B5520000}"/>
    <cellStyle name="40% - Accent6 7 2 2 2 2 2 3 2" xfId="48516" xr:uid="{E7CF4023-C204-41DA-A0B3-EA496A2B9FFA}"/>
    <cellStyle name="40% - Accent6 7 2 2 2 2 2 4" xfId="32639" xr:uid="{9C883449-9AAF-4E4B-BBEA-D2498393F3A9}"/>
    <cellStyle name="40% - Accent6 7 2 2 2 2 3" xfId="13200" xr:uid="{00000000-0005-0000-0000-0000B6520000}"/>
    <cellStyle name="40% - Accent6 7 2 2 2 2 3 2" xfId="37049" xr:uid="{9C240C26-0DFA-4BB6-9DCF-C03F3A63B116}"/>
    <cellStyle name="40% - Accent6 7 2 2 2 2 4" xfId="21155" xr:uid="{00000000-0005-0000-0000-0000B7520000}"/>
    <cellStyle name="40% - Accent6 7 2 2 2 2 4 2" xfId="44987" xr:uid="{A2C066F7-40B1-4036-AA1E-1258841490FE}"/>
    <cellStyle name="40% - Accent6 7 2 2 2 2 5" xfId="29108" xr:uid="{7E1ECAEB-6D43-4BDB-8FAF-185654DAD315}"/>
    <cellStyle name="40% - Accent6 7 2 2 2 3" xfId="7009" xr:uid="{00000000-0005-0000-0000-0000B8520000}"/>
    <cellStyle name="40% - Accent6 7 2 2 2 3 2" xfId="14980" xr:uid="{00000000-0005-0000-0000-0000B9520000}"/>
    <cellStyle name="40% - Accent6 7 2 2 2 3 2 2" xfId="38822" xr:uid="{DA9AF116-CA54-4F7C-A977-11DA11C4E0F6}"/>
    <cellStyle name="40% - Accent6 7 2 2 2 3 3" xfId="22927" xr:uid="{00000000-0005-0000-0000-0000BA520000}"/>
    <cellStyle name="40% - Accent6 7 2 2 2 3 3 2" xfId="46759" xr:uid="{99701FFB-950F-475E-B19A-27003539D979}"/>
    <cellStyle name="40% - Accent6 7 2 2 2 3 4" xfId="30881" xr:uid="{E29BC28B-48BF-486D-A389-B3643C549011}"/>
    <cellStyle name="40% - Accent6 7 2 2 2 4" xfId="11444" xr:uid="{00000000-0005-0000-0000-0000BB520000}"/>
    <cellStyle name="40% - Accent6 7 2 2 2 4 2" xfId="35293" xr:uid="{7A5685CE-62B5-4307-A7BD-5BCEBC3BB228}"/>
    <cellStyle name="40% - Accent6 7 2 2 2 5" xfId="19399" xr:uid="{00000000-0005-0000-0000-0000BC520000}"/>
    <cellStyle name="40% - Accent6 7 2 2 2 5 2" xfId="43231" xr:uid="{7CC5435D-A528-475B-8F79-56DA628DC7D3}"/>
    <cellStyle name="40% - Accent6 7 2 2 2 6" xfId="27351" xr:uid="{F8716913-0102-4BB7-98F6-97AB07DD0837}"/>
    <cellStyle name="40% - Accent6 7 2 2 2_Exh G" xfId="3395" xr:uid="{00000000-0005-0000-0000-0000BD520000}"/>
    <cellStyle name="40% - Accent6 7 2 2 3" xfId="4298" xr:uid="{00000000-0005-0000-0000-0000BE520000}"/>
    <cellStyle name="40% - Accent6 7 2 2 3 2" xfId="7890" xr:uid="{00000000-0005-0000-0000-0000BF520000}"/>
    <cellStyle name="40% - Accent6 7 2 2 3 2 2" xfId="15860" xr:uid="{00000000-0005-0000-0000-0000C0520000}"/>
    <cellStyle name="40% - Accent6 7 2 2 3 2 2 2" xfId="39702" xr:uid="{24E08AC9-EB93-4553-84BF-2EDDC2A53285}"/>
    <cellStyle name="40% - Accent6 7 2 2 3 2 3" xfId="23806" xr:uid="{00000000-0005-0000-0000-0000C1520000}"/>
    <cellStyle name="40% - Accent6 7 2 2 3 2 3 2" xfId="47638" xr:uid="{3B1ED591-DAA9-4E66-A4D7-9DD2404AF301}"/>
    <cellStyle name="40% - Accent6 7 2 2 3 2 4" xfId="31761" xr:uid="{F56E655D-94DD-45D8-8FE1-D54B051493B3}"/>
    <cellStyle name="40% - Accent6 7 2 2 3 3" xfId="12322" xr:uid="{00000000-0005-0000-0000-0000C2520000}"/>
    <cellStyle name="40% - Accent6 7 2 2 3 3 2" xfId="36171" xr:uid="{8F1BF56C-8DEB-4ECC-BF89-FD5829A1C70B}"/>
    <cellStyle name="40% - Accent6 7 2 2 3 4" xfId="20277" xr:uid="{00000000-0005-0000-0000-0000C3520000}"/>
    <cellStyle name="40% - Accent6 7 2 2 3 4 2" xfId="44109" xr:uid="{46DDA9E2-5C9C-4AEA-B96C-8D814F43FE35}"/>
    <cellStyle name="40% - Accent6 7 2 2 3 5" xfId="28230" xr:uid="{80B31D67-DB66-4E3C-81B6-98A8E4CE6AF2}"/>
    <cellStyle name="40% - Accent6 7 2 2 4" xfId="6118" xr:uid="{00000000-0005-0000-0000-0000C4520000}"/>
    <cellStyle name="40% - Accent6 7 2 2 4 2" xfId="14101" xr:uid="{00000000-0005-0000-0000-0000C5520000}"/>
    <cellStyle name="40% - Accent6 7 2 2 4 2 2" xfId="37944" xr:uid="{05CBCAB1-3BE9-4A9F-8CE0-C8C207CE3A36}"/>
    <cellStyle name="40% - Accent6 7 2 2 4 3" xfId="22049" xr:uid="{00000000-0005-0000-0000-0000C6520000}"/>
    <cellStyle name="40% - Accent6 7 2 2 4 3 2" xfId="45881" xr:uid="{CFEAC9D1-13EF-4CBF-B875-16C34496724B}"/>
    <cellStyle name="40% - Accent6 7 2 2 4 4" xfId="30003" xr:uid="{C642579B-4A2C-4B99-B429-01DA3AA7A401}"/>
    <cellStyle name="40% - Accent6 7 2 2 5" xfId="9670" xr:uid="{00000000-0005-0000-0000-0000C7520000}"/>
    <cellStyle name="40% - Accent6 7 2 2 5 2" xfId="17628" xr:uid="{00000000-0005-0000-0000-0000C8520000}"/>
    <cellStyle name="40% - Accent6 7 2 2 5 2 2" xfId="41468" xr:uid="{5E775A26-ACED-4368-936C-CB3A607860F3}"/>
    <cellStyle name="40% - Accent6 7 2 2 5 3" xfId="25572" xr:uid="{00000000-0005-0000-0000-0000C9520000}"/>
    <cellStyle name="40% - Accent6 7 2 2 5 3 2" xfId="49404" xr:uid="{5EDBDDF5-43C4-4D53-81A0-4A0211BB5436}"/>
    <cellStyle name="40% - Accent6 7 2 2 5 4" xfId="33527" xr:uid="{F5FA72CE-FFC8-4618-9124-67AB0260EA29}"/>
    <cellStyle name="40% - Accent6 7 2 2 6" xfId="10566" xr:uid="{00000000-0005-0000-0000-0000CA520000}"/>
    <cellStyle name="40% - Accent6 7 2 2 6 2" xfId="34415" xr:uid="{058FA6DF-31DE-40A0-BDEF-8660B788B6C8}"/>
    <cellStyle name="40% - Accent6 7 2 2 7" xfId="18521" xr:uid="{00000000-0005-0000-0000-0000CB520000}"/>
    <cellStyle name="40% - Accent6 7 2 2 7 2" xfId="42353" xr:uid="{1EE9A87E-214C-4ADA-B4B5-A5C1F7B920D1}"/>
    <cellStyle name="40% - Accent6 7 2 2 8" xfId="26473" xr:uid="{9679DF56-8291-4984-A331-2B4036B71546}"/>
    <cellStyle name="40% - Accent6 7 2 2_Exh G" xfId="3394" xr:uid="{00000000-0005-0000-0000-0000CC520000}"/>
    <cellStyle name="40% - Accent6 7 2 3" xfId="1649" xr:uid="{00000000-0005-0000-0000-0000CD520000}"/>
    <cellStyle name="40% - Accent6 7 2 3 2" xfId="5176" xr:uid="{00000000-0005-0000-0000-0000CE520000}"/>
    <cellStyle name="40% - Accent6 7 2 3 2 2" xfId="8767" xr:uid="{00000000-0005-0000-0000-0000CF520000}"/>
    <cellStyle name="40% - Accent6 7 2 3 2 2 2" xfId="16737" xr:uid="{00000000-0005-0000-0000-0000D0520000}"/>
    <cellStyle name="40% - Accent6 7 2 3 2 2 2 2" xfId="40579" xr:uid="{CB11A3A9-10E7-4C89-8A9C-9F2912FE9D1D}"/>
    <cellStyle name="40% - Accent6 7 2 3 2 2 3" xfId="24683" xr:uid="{00000000-0005-0000-0000-0000D1520000}"/>
    <cellStyle name="40% - Accent6 7 2 3 2 2 3 2" xfId="48515" xr:uid="{BE766861-D668-4A10-B1B7-3A1C5B51CC77}"/>
    <cellStyle name="40% - Accent6 7 2 3 2 2 4" xfId="32638" xr:uid="{294D732A-4150-4103-BA41-96673A21B4F9}"/>
    <cellStyle name="40% - Accent6 7 2 3 2 3" xfId="13199" xr:uid="{00000000-0005-0000-0000-0000D2520000}"/>
    <cellStyle name="40% - Accent6 7 2 3 2 3 2" xfId="37048" xr:uid="{40016165-B208-42C9-8EA4-8FC0950578BF}"/>
    <cellStyle name="40% - Accent6 7 2 3 2 4" xfId="21154" xr:uid="{00000000-0005-0000-0000-0000D3520000}"/>
    <cellStyle name="40% - Accent6 7 2 3 2 4 2" xfId="44986" xr:uid="{5DB961CF-D7F4-4EEB-AF5B-D480A6D6EF81}"/>
    <cellStyle name="40% - Accent6 7 2 3 2 5" xfId="29107" xr:uid="{9B07247B-A486-43F2-85C5-BEF014EE6AAC}"/>
    <cellStyle name="40% - Accent6 7 2 3 3" xfId="7008" xr:uid="{00000000-0005-0000-0000-0000D4520000}"/>
    <cellStyle name="40% - Accent6 7 2 3 3 2" xfId="14979" xr:uid="{00000000-0005-0000-0000-0000D5520000}"/>
    <cellStyle name="40% - Accent6 7 2 3 3 2 2" xfId="38821" xr:uid="{01C9D880-262B-466A-8A9C-8272977BB438}"/>
    <cellStyle name="40% - Accent6 7 2 3 3 3" xfId="22926" xr:uid="{00000000-0005-0000-0000-0000D6520000}"/>
    <cellStyle name="40% - Accent6 7 2 3 3 3 2" xfId="46758" xr:uid="{F693EC24-1028-473C-B4F4-8D2328D0C8A5}"/>
    <cellStyle name="40% - Accent6 7 2 3 3 4" xfId="30880" xr:uid="{1E232974-4943-4313-B32A-0453EFAD87E6}"/>
    <cellStyle name="40% - Accent6 7 2 3 4" xfId="11443" xr:uid="{00000000-0005-0000-0000-0000D7520000}"/>
    <cellStyle name="40% - Accent6 7 2 3 4 2" xfId="35292" xr:uid="{933294FF-AA0A-46B6-8C35-1CBBA4C25943}"/>
    <cellStyle name="40% - Accent6 7 2 3 5" xfId="19398" xr:uid="{00000000-0005-0000-0000-0000D8520000}"/>
    <cellStyle name="40% - Accent6 7 2 3 5 2" xfId="43230" xr:uid="{CD3930BE-71A5-41E0-BB3E-2B3D39EA02A6}"/>
    <cellStyle name="40% - Accent6 7 2 3 6" xfId="27350" xr:uid="{1EBDC490-2EA4-4C8A-9239-DCBA40E04623}"/>
    <cellStyle name="40% - Accent6 7 2 3_Exh G" xfId="3396" xr:uid="{00000000-0005-0000-0000-0000D9520000}"/>
    <cellStyle name="40% - Accent6 7 2 4" xfId="4297" xr:uid="{00000000-0005-0000-0000-0000DA520000}"/>
    <cellStyle name="40% - Accent6 7 2 4 2" xfId="7889" xr:uid="{00000000-0005-0000-0000-0000DB520000}"/>
    <cellStyle name="40% - Accent6 7 2 4 2 2" xfId="15859" xr:uid="{00000000-0005-0000-0000-0000DC520000}"/>
    <cellStyle name="40% - Accent6 7 2 4 2 2 2" xfId="39701" xr:uid="{B5457F44-F70B-49D8-B6C2-68D851A6AE10}"/>
    <cellStyle name="40% - Accent6 7 2 4 2 3" xfId="23805" xr:uid="{00000000-0005-0000-0000-0000DD520000}"/>
    <cellStyle name="40% - Accent6 7 2 4 2 3 2" xfId="47637" xr:uid="{D47083DD-E96B-4258-A540-9BFD3B48AE11}"/>
    <cellStyle name="40% - Accent6 7 2 4 2 4" xfId="31760" xr:uid="{2F5F63AC-014D-44FF-98E0-3BE77433C21E}"/>
    <cellStyle name="40% - Accent6 7 2 4 3" xfId="12321" xr:uid="{00000000-0005-0000-0000-0000DE520000}"/>
    <cellStyle name="40% - Accent6 7 2 4 3 2" xfId="36170" xr:uid="{3AC6E39A-321E-4D98-BC65-50201E2C32CE}"/>
    <cellStyle name="40% - Accent6 7 2 4 4" xfId="20276" xr:uid="{00000000-0005-0000-0000-0000DF520000}"/>
    <cellStyle name="40% - Accent6 7 2 4 4 2" xfId="44108" xr:uid="{DF85237C-DE95-4307-B941-9A065B6709BB}"/>
    <cellStyle name="40% - Accent6 7 2 4 5" xfId="28229" xr:uid="{3784886C-E00D-429E-AC11-A5785F362134}"/>
    <cellStyle name="40% - Accent6 7 2 5" xfId="6117" xr:uid="{00000000-0005-0000-0000-0000E0520000}"/>
    <cellStyle name="40% - Accent6 7 2 5 2" xfId="14100" xr:uid="{00000000-0005-0000-0000-0000E1520000}"/>
    <cellStyle name="40% - Accent6 7 2 5 2 2" xfId="37943" xr:uid="{A5D93043-B096-4066-B05E-90A5771FD1B1}"/>
    <cellStyle name="40% - Accent6 7 2 5 3" xfId="22048" xr:uid="{00000000-0005-0000-0000-0000E2520000}"/>
    <cellStyle name="40% - Accent6 7 2 5 3 2" xfId="45880" xr:uid="{043C923C-83EC-48EC-88F9-947FCB8A01F4}"/>
    <cellStyle name="40% - Accent6 7 2 5 4" xfId="30002" xr:uid="{7BFD4888-11DC-44B6-BB83-4F8D5B836A96}"/>
    <cellStyle name="40% - Accent6 7 2 6" xfId="9669" xr:uid="{00000000-0005-0000-0000-0000E3520000}"/>
    <cellStyle name="40% - Accent6 7 2 6 2" xfId="17627" xr:uid="{00000000-0005-0000-0000-0000E4520000}"/>
    <cellStyle name="40% - Accent6 7 2 6 2 2" xfId="41467" xr:uid="{08036034-F9E0-47C6-BE9C-C53B0A623B29}"/>
    <cellStyle name="40% - Accent6 7 2 6 3" xfId="25571" xr:uid="{00000000-0005-0000-0000-0000E5520000}"/>
    <cellStyle name="40% - Accent6 7 2 6 3 2" xfId="49403" xr:uid="{679094EF-2F22-4449-A9C8-CCF2FFD9BE1E}"/>
    <cellStyle name="40% - Accent6 7 2 6 4" xfId="33526" xr:uid="{59B162A2-65CC-44B3-BAB8-B2415122F31F}"/>
    <cellStyle name="40% - Accent6 7 2 7" xfId="10565" xr:uid="{00000000-0005-0000-0000-0000E6520000}"/>
    <cellStyle name="40% - Accent6 7 2 7 2" xfId="34414" xr:uid="{A9BF1184-C681-435F-AA0C-BA79553D387E}"/>
    <cellStyle name="40% - Accent6 7 2 8" xfId="18520" xr:uid="{00000000-0005-0000-0000-0000E7520000}"/>
    <cellStyle name="40% - Accent6 7 2 8 2" xfId="42352" xr:uid="{D7FEFE1A-7447-46D3-B257-EA47C3CAEB11}"/>
    <cellStyle name="40% - Accent6 7 2 9" xfId="26472" xr:uid="{D7FD36D1-A6C6-492C-946A-FBE9870D502A}"/>
    <cellStyle name="40% - Accent6 7 2_Exh G" xfId="3393" xr:uid="{00000000-0005-0000-0000-0000E8520000}"/>
    <cellStyle name="40% - Accent6 7 3" xfId="625" xr:uid="{00000000-0005-0000-0000-0000E9520000}"/>
    <cellStyle name="40% - Accent6 7 3 2" xfId="1651" xr:uid="{00000000-0005-0000-0000-0000EA520000}"/>
    <cellStyle name="40% - Accent6 7 3 2 2" xfId="5178" xr:uid="{00000000-0005-0000-0000-0000EB520000}"/>
    <cellStyle name="40% - Accent6 7 3 2 2 2" xfId="8769" xr:uid="{00000000-0005-0000-0000-0000EC520000}"/>
    <cellStyle name="40% - Accent6 7 3 2 2 2 2" xfId="16739" xr:uid="{00000000-0005-0000-0000-0000ED520000}"/>
    <cellStyle name="40% - Accent6 7 3 2 2 2 2 2" xfId="40581" xr:uid="{4D9ADD71-F23F-4519-934D-F8233132FD01}"/>
    <cellStyle name="40% - Accent6 7 3 2 2 2 3" xfId="24685" xr:uid="{00000000-0005-0000-0000-0000EE520000}"/>
    <cellStyle name="40% - Accent6 7 3 2 2 2 3 2" xfId="48517" xr:uid="{CAE17EC5-6A51-472F-B3BE-6E7D4D0D46DA}"/>
    <cellStyle name="40% - Accent6 7 3 2 2 2 4" xfId="32640" xr:uid="{EDA88A5E-2BBB-49BB-9210-B6FFFB5C0B30}"/>
    <cellStyle name="40% - Accent6 7 3 2 2 3" xfId="13201" xr:uid="{00000000-0005-0000-0000-0000EF520000}"/>
    <cellStyle name="40% - Accent6 7 3 2 2 3 2" xfId="37050" xr:uid="{C7A12673-019E-46AF-BADC-C01A3D6F9187}"/>
    <cellStyle name="40% - Accent6 7 3 2 2 4" xfId="21156" xr:uid="{00000000-0005-0000-0000-0000F0520000}"/>
    <cellStyle name="40% - Accent6 7 3 2 2 4 2" xfId="44988" xr:uid="{F57887F7-1020-4A49-8AF1-41DDAFA66A27}"/>
    <cellStyle name="40% - Accent6 7 3 2 2 5" xfId="29109" xr:uid="{93A49C63-665B-43EB-8199-B2011E8D1F54}"/>
    <cellStyle name="40% - Accent6 7 3 2 3" xfId="7010" xr:uid="{00000000-0005-0000-0000-0000F1520000}"/>
    <cellStyle name="40% - Accent6 7 3 2 3 2" xfId="14981" xr:uid="{00000000-0005-0000-0000-0000F2520000}"/>
    <cellStyle name="40% - Accent6 7 3 2 3 2 2" xfId="38823" xr:uid="{09FDB7C2-0BB2-4454-BFB0-8A1CB72718ED}"/>
    <cellStyle name="40% - Accent6 7 3 2 3 3" xfId="22928" xr:uid="{00000000-0005-0000-0000-0000F3520000}"/>
    <cellStyle name="40% - Accent6 7 3 2 3 3 2" xfId="46760" xr:uid="{934FB91A-5086-48CE-8903-7E51C6D6916E}"/>
    <cellStyle name="40% - Accent6 7 3 2 3 4" xfId="30882" xr:uid="{0217C893-FFEF-4E0B-BA26-7474931056A2}"/>
    <cellStyle name="40% - Accent6 7 3 2 4" xfId="11445" xr:uid="{00000000-0005-0000-0000-0000F4520000}"/>
    <cellStyle name="40% - Accent6 7 3 2 4 2" xfId="35294" xr:uid="{2565C381-B7B4-4091-B195-7AB7E0F0D6D5}"/>
    <cellStyle name="40% - Accent6 7 3 2 5" xfId="19400" xr:uid="{00000000-0005-0000-0000-0000F5520000}"/>
    <cellStyle name="40% - Accent6 7 3 2 5 2" xfId="43232" xr:uid="{E47467C5-BB93-46C0-BAFC-2D9BA14F0E04}"/>
    <cellStyle name="40% - Accent6 7 3 2 6" xfId="27352" xr:uid="{9BDA7C22-9504-4236-A183-C787CD106EB4}"/>
    <cellStyle name="40% - Accent6 7 3 2_Exh G" xfId="3398" xr:uid="{00000000-0005-0000-0000-0000F6520000}"/>
    <cellStyle name="40% - Accent6 7 3 3" xfId="4299" xr:uid="{00000000-0005-0000-0000-0000F7520000}"/>
    <cellStyle name="40% - Accent6 7 3 3 2" xfId="7891" xr:uid="{00000000-0005-0000-0000-0000F8520000}"/>
    <cellStyle name="40% - Accent6 7 3 3 2 2" xfId="15861" xr:uid="{00000000-0005-0000-0000-0000F9520000}"/>
    <cellStyle name="40% - Accent6 7 3 3 2 2 2" xfId="39703" xr:uid="{B1F0FA3F-26AB-4A17-AA5B-9BB5CDE722FE}"/>
    <cellStyle name="40% - Accent6 7 3 3 2 3" xfId="23807" xr:uid="{00000000-0005-0000-0000-0000FA520000}"/>
    <cellStyle name="40% - Accent6 7 3 3 2 3 2" xfId="47639" xr:uid="{0DF253A0-750C-4490-89EC-CFD2E480B0E5}"/>
    <cellStyle name="40% - Accent6 7 3 3 2 4" xfId="31762" xr:uid="{C43C050F-FF53-4389-9C0E-1D6DFCF15AF7}"/>
    <cellStyle name="40% - Accent6 7 3 3 3" xfId="12323" xr:uid="{00000000-0005-0000-0000-0000FB520000}"/>
    <cellStyle name="40% - Accent6 7 3 3 3 2" xfId="36172" xr:uid="{7508CADE-42A6-4913-AA36-8AD5B66C47C4}"/>
    <cellStyle name="40% - Accent6 7 3 3 4" xfId="20278" xr:uid="{00000000-0005-0000-0000-0000FC520000}"/>
    <cellStyle name="40% - Accent6 7 3 3 4 2" xfId="44110" xr:uid="{0AB6D3BF-E219-4015-AA03-5F653966425D}"/>
    <cellStyle name="40% - Accent6 7 3 3 5" xfId="28231" xr:uid="{C1C4127D-D69C-4831-8F58-75FE2A149F5B}"/>
    <cellStyle name="40% - Accent6 7 3 4" xfId="6119" xr:uid="{00000000-0005-0000-0000-0000FD520000}"/>
    <cellStyle name="40% - Accent6 7 3 4 2" xfId="14102" xr:uid="{00000000-0005-0000-0000-0000FE520000}"/>
    <cellStyle name="40% - Accent6 7 3 4 2 2" xfId="37945" xr:uid="{1712B8AE-B335-4E21-A05E-A950FDCEF55A}"/>
    <cellStyle name="40% - Accent6 7 3 4 3" xfId="22050" xr:uid="{00000000-0005-0000-0000-0000FF520000}"/>
    <cellStyle name="40% - Accent6 7 3 4 3 2" xfId="45882" xr:uid="{07F60E94-CF62-408E-8B3D-2B162BD25587}"/>
    <cellStyle name="40% - Accent6 7 3 4 4" xfId="30004" xr:uid="{19960EAD-DD87-43B2-8EE8-D9A4A5DE13F2}"/>
    <cellStyle name="40% - Accent6 7 3 5" xfId="9671" xr:uid="{00000000-0005-0000-0000-000000530000}"/>
    <cellStyle name="40% - Accent6 7 3 5 2" xfId="17629" xr:uid="{00000000-0005-0000-0000-000001530000}"/>
    <cellStyle name="40% - Accent6 7 3 5 2 2" xfId="41469" xr:uid="{1C7D9D53-220A-4B3E-ADFE-5A9C1EDBC7C9}"/>
    <cellStyle name="40% - Accent6 7 3 5 3" xfId="25573" xr:uid="{00000000-0005-0000-0000-000002530000}"/>
    <cellStyle name="40% - Accent6 7 3 5 3 2" xfId="49405" xr:uid="{DA9EB19B-E782-403C-9470-36C07685C1F4}"/>
    <cellStyle name="40% - Accent6 7 3 5 4" xfId="33528" xr:uid="{61AF6BFA-24D4-435C-920A-9170032BB506}"/>
    <cellStyle name="40% - Accent6 7 3 6" xfId="10567" xr:uid="{00000000-0005-0000-0000-000003530000}"/>
    <cellStyle name="40% - Accent6 7 3 6 2" xfId="34416" xr:uid="{C5D03936-7BB5-45C2-B5A1-82291DD8F401}"/>
    <cellStyle name="40% - Accent6 7 3 7" xfId="18522" xr:uid="{00000000-0005-0000-0000-000004530000}"/>
    <cellStyle name="40% - Accent6 7 3 7 2" xfId="42354" xr:uid="{EBA46D7E-63D5-41AD-AF51-5B7714131E52}"/>
    <cellStyle name="40% - Accent6 7 3 8" xfId="26474" xr:uid="{866149C4-173C-4223-83F3-302AF65C9495}"/>
    <cellStyle name="40% - Accent6 7 3_Exh G" xfId="3397" xr:uid="{00000000-0005-0000-0000-000005530000}"/>
    <cellStyle name="40% - Accent6 7 4" xfId="1000" xr:uid="{00000000-0005-0000-0000-000006530000}"/>
    <cellStyle name="40% - Accent6 7 4 2" xfId="1909" xr:uid="{00000000-0005-0000-0000-000007530000}"/>
    <cellStyle name="40% - Accent6 7 4 2 2" xfId="5426" xr:uid="{00000000-0005-0000-0000-000008530000}"/>
    <cellStyle name="40% - Accent6 7 4 2 2 2" xfId="9017" xr:uid="{00000000-0005-0000-0000-000009530000}"/>
    <cellStyle name="40% - Accent6 7 4 2 2 2 2" xfId="16987" xr:uid="{00000000-0005-0000-0000-00000A530000}"/>
    <cellStyle name="40% - Accent6 7 4 2 2 2 2 2" xfId="40829" xr:uid="{36868620-F374-4F14-A4D0-2BAC46536A0C}"/>
    <cellStyle name="40% - Accent6 7 4 2 2 2 3" xfId="24933" xr:uid="{00000000-0005-0000-0000-00000B530000}"/>
    <cellStyle name="40% - Accent6 7 4 2 2 2 3 2" xfId="48765" xr:uid="{D27E3370-13F2-4125-A6FD-1BFE3F1D2773}"/>
    <cellStyle name="40% - Accent6 7 4 2 2 2 4" xfId="32888" xr:uid="{3F224E14-1608-4103-AB92-7291F5C5EB81}"/>
    <cellStyle name="40% - Accent6 7 4 2 2 3" xfId="13449" xr:uid="{00000000-0005-0000-0000-00000C530000}"/>
    <cellStyle name="40% - Accent6 7 4 2 2 3 2" xfId="37298" xr:uid="{7DECF6E1-DC6B-42D5-9D30-926D040BF7E0}"/>
    <cellStyle name="40% - Accent6 7 4 2 2 4" xfId="21404" xr:uid="{00000000-0005-0000-0000-00000D530000}"/>
    <cellStyle name="40% - Accent6 7 4 2 2 4 2" xfId="45236" xr:uid="{C16D3C54-07F4-41EF-98EF-7B4CD5F02445}"/>
    <cellStyle name="40% - Accent6 7 4 2 2 5" xfId="29357" xr:uid="{59E0A024-BD2E-47C5-8FC6-F562814639BF}"/>
    <cellStyle name="40% - Accent6 7 4 2 3" xfId="7258" xr:uid="{00000000-0005-0000-0000-00000E530000}"/>
    <cellStyle name="40% - Accent6 7 4 2 3 2" xfId="15229" xr:uid="{00000000-0005-0000-0000-00000F530000}"/>
    <cellStyle name="40% - Accent6 7 4 2 3 2 2" xfId="39071" xr:uid="{AE4982D9-4427-4E31-9237-AC1A83B7912A}"/>
    <cellStyle name="40% - Accent6 7 4 2 3 3" xfId="23176" xr:uid="{00000000-0005-0000-0000-000010530000}"/>
    <cellStyle name="40% - Accent6 7 4 2 3 3 2" xfId="47008" xr:uid="{BD745B8E-6CB3-4D41-8616-816AAC45CFE7}"/>
    <cellStyle name="40% - Accent6 7 4 2 3 4" xfId="31130" xr:uid="{BBF015E7-6AEA-4176-B2D5-8EC0730C7F09}"/>
    <cellStyle name="40% - Accent6 7 4 2 4" xfId="11693" xr:uid="{00000000-0005-0000-0000-000011530000}"/>
    <cellStyle name="40% - Accent6 7 4 2 4 2" xfId="35542" xr:uid="{80379948-D77B-49FC-AE83-E19F9E9DCEDE}"/>
    <cellStyle name="40% - Accent6 7 4 2 5" xfId="19648" xr:uid="{00000000-0005-0000-0000-000012530000}"/>
    <cellStyle name="40% - Accent6 7 4 2 5 2" xfId="43480" xr:uid="{D4A3EAFB-C268-4CAB-8258-A4BBDDBE632B}"/>
    <cellStyle name="40% - Accent6 7 4 2 6" xfId="27600" xr:uid="{6216B7C2-43AC-456C-A93E-4AEE0DC65187}"/>
    <cellStyle name="40% - Accent6 7 4 2_Exh G" xfId="3400" xr:uid="{00000000-0005-0000-0000-000013530000}"/>
    <cellStyle name="40% - Accent6 7 4 3" xfId="4547" xr:uid="{00000000-0005-0000-0000-000014530000}"/>
    <cellStyle name="40% - Accent6 7 4 3 2" xfId="8139" xr:uid="{00000000-0005-0000-0000-000015530000}"/>
    <cellStyle name="40% - Accent6 7 4 3 2 2" xfId="16109" xr:uid="{00000000-0005-0000-0000-000016530000}"/>
    <cellStyle name="40% - Accent6 7 4 3 2 2 2" xfId="39951" xr:uid="{20A8110E-2966-41EB-9414-5DC99911291A}"/>
    <cellStyle name="40% - Accent6 7 4 3 2 3" xfId="24055" xr:uid="{00000000-0005-0000-0000-000017530000}"/>
    <cellStyle name="40% - Accent6 7 4 3 2 3 2" xfId="47887" xr:uid="{934C2849-E329-4F1F-8EA0-319016702804}"/>
    <cellStyle name="40% - Accent6 7 4 3 2 4" xfId="32010" xr:uid="{F8C77F3E-9D98-423E-AF86-46D9221283BE}"/>
    <cellStyle name="40% - Accent6 7 4 3 3" xfId="12571" xr:uid="{00000000-0005-0000-0000-000018530000}"/>
    <cellStyle name="40% - Accent6 7 4 3 3 2" xfId="36420" xr:uid="{6534A2AD-C8F8-4A98-A80F-46FAEE2535EF}"/>
    <cellStyle name="40% - Accent6 7 4 3 4" xfId="20526" xr:uid="{00000000-0005-0000-0000-000019530000}"/>
    <cellStyle name="40% - Accent6 7 4 3 4 2" xfId="44358" xr:uid="{E49D161B-3387-4924-8707-8D96C714976C}"/>
    <cellStyle name="40% - Accent6 7 4 3 5" xfId="28479" xr:uid="{D698DB48-3AE9-49F4-A3FF-B89E435EE440}"/>
    <cellStyle name="40% - Accent6 7 4 4" xfId="6377" xr:uid="{00000000-0005-0000-0000-00001A530000}"/>
    <cellStyle name="40% - Accent6 7 4 4 2" xfId="14351" xr:uid="{00000000-0005-0000-0000-00001B530000}"/>
    <cellStyle name="40% - Accent6 7 4 4 2 2" xfId="38193" xr:uid="{1F0E3C86-6D8A-427E-8E33-87867F5B70A2}"/>
    <cellStyle name="40% - Accent6 7 4 4 3" xfId="22298" xr:uid="{00000000-0005-0000-0000-00001C530000}"/>
    <cellStyle name="40% - Accent6 7 4 4 3 2" xfId="46130" xr:uid="{70F582FA-F8EE-45C0-8C79-2810C7DFCA63}"/>
    <cellStyle name="40% - Accent6 7 4 4 4" xfId="30252" xr:uid="{438EDE3D-9480-4DF2-9493-C565F527D94C}"/>
    <cellStyle name="40% - Accent6 7 4 5" xfId="9919" xr:uid="{00000000-0005-0000-0000-00001D530000}"/>
    <cellStyle name="40% - Accent6 7 4 5 2" xfId="17877" xr:uid="{00000000-0005-0000-0000-00001E530000}"/>
    <cellStyle name="40% - Accent6 7 4 5 2 2" xfId="41717" xr:uid="{4570D772-0F40-4D40-85B9-1B4D2F0861D3}"/>
    <cellStyle name="40% - Accent6 7 4 5 3" xfId="25821" xr:uid="{00000000-0005-0000-0000-00001F530000}"/>
    <cellStyle name="40% - Accent6 7 4 5 3 2" xfId="49653" xr:uid="{3ACF9BB8-34AE-4F8B-A620-2B7AF07C27B0}"/>
    <cellStyle name="40% - Accent6 7 4 5 4" xfId="33776" xr:uid="{F7D68496-1475-4244-BEBE-79AF5166411D}"/>
    <cellStyle name="40% - Accent6 7 4 6" xfId="10815" xr:uid="{00000000-0005-0000-0000-000020530000}"/>
    <cellStyle name="40% - Accent6 7 4 6 2" xfId="34664" xr:uid="{64AE426F-FE3A-4C76-935C-EEBC1D386B16}"/>
    <cellStyle name="40% - Accent6 7 4 7" xfId="18770" xr:uid="{00000000-0005-0000-0000-000021530000}"/>
    <cellStyle name="40% - Accent6 7 4 7 2" xfId="42602" xr:uid="{19EEC012-C78B-43B1-B0E7-A84AE64E3A1C}"/>
    <cellStyle name="40% - Accent6 7 4 8" xfId="26722" xr:uid="{5C707D8E-CD6F-420E-A401-68BDF7A6427A}"/>
    <cellStyle name="40% - Accent6 7 4_Exh G" xfId="3399" xr:uid="{00000000-0005-0000-0000-000022530000}"/>
    <cellStyle name="40% - Accent6 7 5" xfId="1648" xr:uid="{00000000-0005-0000-0000-000023530000}"/>
    <cellStyle name="40% - Accent6 7 5 2" xfId="5175" xr:uid="{00000000-0005-0000-0000-000024530000}"/>
    <cellStyle name="40% - Accent6 7 5 2 2" xfId="8766" xr:uid="{00000000-0005-0000-0000-000025530000}"/>
    <cellStyle name="40% - Accent6 7 5 2 2 2" xfId="16736" xr:uid="{00000000-0005-0000-0000-000026530000}"/>
    <cellStyle name="40% - Accent6 7 5 2 2 2 2" xfId="40578" xr:uid="{6D621D88-2F48-4A2A-A951-1FFC3F0192B0}"/>
    <cellStyle name="40% - Accent6 7 5 2 2 3" xfId="24682" xr:uid="{00000000-0005-0000-0000-000027530000}"/>
    <cellStyle name="40% - Accent6 7 5 2 2 3 2" xfId="48514" xr:uid="{D628F54F-2FFC-4A25-A270-8A8083E24884}"/>
    <cellStyle name="40% - Accent6 7 5 2 2 4" xfId="32637" xr:uid="{851E5AE1-84C9-49C2-B7AB-89E2F030F66B}"/>
    <cellStyle name="40% - Accent6 7 5 2 3" xfId="13198" xr:uid="{00000000-0005-0000-0000-000028530000}"/>
    <cellStyle name="40% - Accent6 7 5 2 3 2" xfId="37047" xr:uid="{1FB1060B-7390-483C-BBD0-10AFE6FF7D21}"/>
    <cellStyle name="40% - Accent6 7 5 2 4" xfId="21153" xr:uid="{00000000-0005-0000-0000-000029530000}"/>
    <cellStyle name="40% - Accent6 7 5 2 4 2" xfId="44985" xr:uid="{D251FF5F-2B43-4E2E-8E59-F1200E4D166C}"/>
    <cellStyle name="40% - Accent6 7 5 2 5" xfId="29106" xr:uid="{970677A8-EB4F-4B83-AFC6-2081368BC488}"/>
    <cellStyle name="40% - Accent6 7 5 3" xfId="7007" xr:uid="{00000000-0005-0000-0000-00002A530000}"/>
    <cellStyle name="40% - Accent6 7 5 3 2" xfId="14978" xr:uid="{00000000-0005-0000-0000-00002B530000}"/>
    <cellStyle name="40% - Accent6 7 5 3 2 2" xfId="38820" xr:uid="{9D3F2F2D-61F6-46A2-82A1-A55CC78D2C06}"/>
    <cellStyle name="40% - Accent6 7 5 3 3" xfId="22925" xr:uid="{00000000-0005-0000-0000-00002C530000}"/>
    <cellStyle name="40% - Accent6 7 5 3 3 2" xfId="46757" xr:uid="{DDE1FDE1-5228-4087-B698-3B8DCE37418E}"/>
    <cellStyle name="40% - Accent6 7 5 3 4" xfId="30879" xr:uid="{A038F19C-90D3-4FD5-835B-36783A09F65C}"/>
    <cellStyle name="40% - Accent6 7 5 4" xfId="11442" xr:uid="{00000000-0005-0000-0000-00002D530000}"/>
    <cellStyle name="40% - Accent6 7 5 4 2" xfId="35291" xr:uid="{01792BE7-3261-4BED-B6FB-9BB6A1E9E0F1}"/>
    <cellStyle name="40% - Accent6 7 5 5" xfId="19397" xr:uid="{00000000-0005-0000-0000-00002E530000}"/>
    <cellStyle name="40% - Accent6 7 5 5 2" xfId="43229" xr:uid="{2F8116EF-CEF3-4A8C-8906-A7F61584E896}"/>
    <cellStyle name="40% - Accent6 7 5 6" xfId="27349" xr:uid="{FCCA90E8-A854-42BF-9E40-53A5601B96C5}"/>
    <cellStyle name="40% - Accent6 7 5_Exh G" xfId="3401" xr:uid="{00000000-0005-0000-0000-00002F530000}"/>
    <cellStyle name="40% - Accent6 7 6" xfId="4296" xr:uid="{00000000-0005-0000-0000-000030530000}"/>
    <cellStyle name="40% - Accent6 7 6 2" xfId="7888" xr:uid="{00000000-0005-0000-0000-000031530000}"/>
    <cellStyle name="40% - Accent6 7 6 2 2" xfId="15858" xr:uid="{00000000-0005-0000-0000-000032530000}"/>
    <cellStyle name="40% - Accent6 7 6 2 2 2" xfId="39700" xr:uid="{EBD6DE1B-C27B-43A2-8F42-96E66C336F96}"/>
    <cellStyle name="40% - Accent6 7 6 2 3" xfId="23804" xr:uid="{00000000-0005-0000-0000-000033530000}"/>
    <cellStyle name="40% - Accent6 7 6 2 3 2" xfId="47636" xr:uid="{8EC56B5E-DC8D-4BA9-95B1-67F6D9DB6774}"/>
    <cellStyle name="40% - Accent6 7 6 2 4" xfId="31759" xr:uid="{31BDC57F-A42D-49B8-B766-2B0955518AF9}"/>
    <cellStyle name="40% - Accent6 7 6 3" xfId="12320" xr:uid="{00000000-0005-0000-0000-000034530000}"/>
    <cellStyle name="40% - Accent6 7 6 3 2" xfId="36169" xr:uid="{6354A85F-29A2-4C9E-AB7A-BF5EDA78D6DF}"/>
    <cellStyle name="40% - Accent6 7 6 4" xfId="20275" xr:uid="{00000000-0005-0000-0000-000035530000}"/>
    <cellStyle name="40% - Accent6 7 6 4 2" xfId="44107" xr:uid="{BCD5DB45-2963-4D82-85C8-2B21019F4563}"/>
    <cellStyle name="40% - Accent6 7 6 5" xfId="28228" xr:uid="{06E63139-1DBA-4ABF-8790-620AF48D7D46}"/>
    <cellStyle name="40% - Accent6 7 7" xfId="6116" xr:uid="{00000000-0005-0000-0000-000036530000}"/>
    <cellStyle name="40% - Accent6 7 7 2" xfId="14099" xr:uid="{00000000-0005-0000-0000-000037530000}"/>
    <cellStyle name="40% - Accent6 7 7 2 2" xfId="37942" xr:uid="{3B9305E6-83A7-4E39-A7F6-8474B7B72618}"/>
    <cellStyle name="40% - Accent6 7 7 3" xfId="22047" xr:uid="{00000000-0005-0000-0000-000038530000}"/>
    <cellStyle name="40% - Accent6 7 7 3 2" xfId="45879" xr:uid="{A12C89CB-1B54-4644-B49B-552A18A8941B}"/>
    <cellStyle name="40% - Accent6 7 7 4" xfId="30001" xr:uid="{E27BF25C-FAC1-4277-AC03-FD3B70F58373}"/>
    <cellStyle name="40% - Accent6 7 8" xfId="9668" xr:uid="{00000000-0005-0000-0000-000039530000}"/>
    <cellStyle name="40% - Accent6 7 8 2" xfId="17626" xr:uid="{00000000-0005-0000-0000-00003A530000}"/>
    <cellStyle name="40% - Accent6 7 8 2 2" xfId="41466" xr:uid="{0F41E8D6-297E-4FBC-A191-0BAFF058B125}"/>
    <cellStyle name="40% - Accent6 7 8 3" xfId="25570" xr:uid="{00000000-0005-0000-0000-00003B530000}"/>
    <cellStyle name="40% - Accent6 7 8 3 2" xfId="49402" xr:uid="{B4634153-DECE-4036-889F-B802E4156BC4}"/>
    <cellStyle name="40% - Accent6 7 8 4" xfId="33525" xr:uid="{3FAF89EC-02B0-4623-B24A-FDC52BA50A77}"/>
    <cellStyle name="40% - Accent6 7 9" xfId="10564" xr:uid="{00000000-0005-0000-0000-00003C530000}"/>
    <cellStyle name="40% - Accent6 7 9 2" xfId="34413" xr:uid="{237FA92A-6452-446C-A6DC-224D5A74104A}"/>
    <cellStyle name="40% - Accent6 7_Exh G" xfId="3392" xr:uid="{00000000-0005-0000-0000-00003D530000}"/>
    <cellStyle name="40% - Accent6 8" xfId="626" xr:uid="{00000000-0005-0000-0000-00003E530000}"/>
    <cellStyle name="40% - Accent6 8 10" xfId="18523" xr:uid="{00000000-0005-0000-0000-00003F530000}"/>
    <cellStyle name="40% - Accent6 8 10 2" xfId="42355" xr:uid="{091449C7-0F0C-4E83-88B7-A52C47D957E7}"/>
    <cellStyle name="40% - Accent6 8 11" xfId="26475" xr:uid="{886BE811-F256-4988-8DE3-263E776DE2DE}"/>
    <cellStyle name="40% - Accent6 8 2" xfId="627" xr:uid="{00000000-0005-0000-0000-000040530000}"/>
    <cellStyle name="40% - Accent6 8 2 2" xfId="628" xr:uid="{00000000-0005-0000-0000-000041530000}"/>
    <cellStyle name="40% - Accent6 8 2 2 2" xfId="1654" xr:uid="{00000000-0005-0000-0000-000042530000}"/>
    <cellStyle name="40% - Accent6 8 2 2 2 2" xfId="5181" xr:uid="{00000000-0005-0000-0000-000043530000}"/>
    <cellStyle name="40% - Accent6 8 2 2 2 2 2" xfId="8772" xr:uid="{00000000-0005-0000-0000-000044530000}"/>
    <cellStyle name="40% - Accent6 8 2 2 2 2 2 2" xfId="16742" xr:uid="{00000000-0005-0000-0000-000045530000}"/>
    <cellStyle name="40% - Accent6 8 2 2 2 2 2 2 2" xfId="40584" xr:uid="{F312D4EC-A88E-4AAA-8EAE-5ACAC2F2BD43}"/>
    <cellStyle name="40% - Accent6 8 2 2 2 2 2 3" xfId="24688" xr:uid="{00000000-0005-0000-0000-000046530000}"/>
    <cellStyle name="40% - Accent6 8 2 2 2 2 2 3 2" xfId="48520" xr:uid="{C9501EA4-450C-4A49-A62C-6A4E9BD7E82A}"/>
    <cellStyle name="40% - Accent6 8 2 2 2 2 2 4" xfId="32643" xr:uid="{AFDA603C-D15B-4851-B619-CAAA1D0323FA}"/>
    <cellStyle name="40% - Accent6 8 2 2 2 2 3" xfId="13204" xr:uid="{00000000-0005-0000-0000-000047530000}"/>
    <cellStyle name="40% - Accent6 8 2 2 2 2 3 2" xfId="37053" xr:uid="{C5B9D1FC-8E19-4EDF-9700-0949109DEB97}"/>
    <cellStyle name="40% - Accent6 8 2 2 2 2 4" xfId="21159" xr:uid="{00000000-0005-0000-0000-000048530000}"/>
    <cellStyle name="40% - Accent6 8 2 2 2 2 4 2" xfId="44991" xr:uid="{8613F7AC-409D-4C09-9303-187803634667}"/>
    <cellStyle name="40% - Accent6 8 2 2 2 2 5" xfId="29112" xr:uid="{E905B5A9-3A3F-436B-A836-33638ACD39A6}"/>
    <cellStyle name="40% - Accent6 8 2 2 2 3" xfId="7013" xr:uid="{00000000-0005-0000-0000-000049530000}"/>
    <cellStyle name="40% - Accent6 8 2 2 2 3 2" xfId="14984" xr:uid="{00000000-0005-0000-0000-00004A530000}"/>
    <cellStyle name="40% - Accent6 8 2 2 2 3 2 2" xfId="38826" xr:uid="{DA4A02B4-6A1B-4F92-A14E-1F152DD5402C}"/>
    <cellStyle name="40% - Accent6 8 2 2 2 3 3" xfId="22931" xr:uid="{00000000-0005-0000-0000-00004B530000}"/>
    <cellStyle name="40% - Accent6 8 2 2 2 3 3 2" xfId="46763" xr:uid="{7C9076EC-1B41-4DC0-B5E5-D5E51AA55B17}"/>
    <cellStyle name="40% - Accent6 8 2 2 2 3 4" xfId="30885" xr:uid="{6A100320-77B3-4946-A22B-C271DDB35707}"/>
    <cellStyle name="40% - Accent6 8 2 2 2 4" xfId="11448" xr:uid="{00000000-0005-0000-0000-00004C530000}"/>
    <cellStyle name="40% - Accent6 8 2 2 2 4 2" xfId="35297" xr:uid="{2CD02E3A-8E93-4C85-8693-1301248F5534}"/>
    <cellStyle name="40% - Accent6 8 2 2 2 5" xfId="19403" xr:uid="{00000000-0005-0000-0000-00004D530000}"/>
    <cellStyle name="40% - Accent6 8 2 2 2 5 2" xfId="43235" xr:uid="{E8E0F6E1-00B6-4C15-964C-80D99E6ADC44}"/>
    <cellStyle name="40% - Accent6 8 2 2 2 6" xfId="27355" xr:uid="{7DD78881-9E80-4FA7-878C-064993220DE8}"/>
    <cellStyle name="40% - Accent6 8 2 2 2_Exh G" xfId="3405" xr:uid="{00000000-0005-0000-0000-00004E530000}"/>
    <cellStyle name="40% - Accent6 8 2 2 3" xfId="4302" xr:uid="{00000000-0005-0000-0000-00004F530000}"/>
    <cellStyle name="40% - Accent6 8 2 2 3 2" xfId="7894" xr:uid="{00000000-0005-0000-0000-000050530000}"/>
    <cellStyle name="40% - Accent6 8 2 2 3 2 2" xfId="15864" xr:uid="{00000000-0005-0000-0000-000051530000}"/>
    <cellStyle name="40% - Accent6 8 2 2 3 2 2 2" xfId="39706" xr:uid="{650F9D69-AE87-4ABE-B341-AE6F9F72E13B}"/>
    <cellStyle name="40% - Accent6 8 2 2 3 2 3" xfId="23810" xr:uid="{00000000-0005-0000-0000-000052530000}"/>
    <cellStyle name="40% - Accent6 8 2 2 3 2 3 2" xfId="47642" xr:uid="{8DA3723B-60B9-41E2-85D8-92903CCFD935}"/>
    <cellStyle name="40% - Accent6 8 2 2 3 2 4" xfId="31765" xr:uid="{7A111855-83BB-4204-8AE9-A269586DC4AE}"/>
    <cellStyle name="40% - Accent6 8 2 2 3 3" xfId="12326" xr:uid="{00000000-0005-0000-0000-000053530000}"/>
    <cellStyle name="40% - Accent6 8 2 2 3 3 2" xfId="36175" xr:uid="{C87E2A0B-88F2-4F7B-84BE-799F87D3196A}"/>
    <cellStyle name="40% - Accent6 8 2 2 3 4" xfId="20281" xr:uid="{00000000-0005-0000-0000-000054530000}"/>
    <cellStyle name="40% - Accent6 8 2 2 3 4 2" xfId="44113" xr:uid="{B29F3BFD-5B54-48B2-B3CB-74F71B4E359A}"/>
    <cellStyle name="40% - Accent6 8 2 2 3 5" xfId="28234" xr:uid="{1A0DBC36-24D9-4F56-A73E-B8523B377EA7}"/>
    <cellStyle name="40% - Accent6 8 2 2 4" xfId="6122" xr:uid="{00000000-0005-0000-0000-000055530000}"/>
    <cellStyle name="40% - Accent6 8 2 2 4 2" xfId="14105" xr:uid="{00000000-0005-0000-0000-000056530000}"/>
    <cellStyle name="40% - Accent6 8 2 2 4 2 2" xfId="37948" xr:uid="{B9CF8A29-87C0-46FC-905F-698B0EDE0383}"/>
    <cellStyle name="40% - Accent6 8 2 2 4 3" xfId="22053" xr:uid="{00000000-0005-0000-0000-000057530000}"/>
    <cellStyle name="40% - Accent6 8 2 2 4 3 2" xfId="45885" xr:uid="{0DDC1775-5A29-404C-BC9A-E7B5012B097A}"/>
    <cellStyle name="40% - Accent6 8 2 2 4 4" xfId="30007" xr:uid="{20817223-2A50-425C-AD55-15DE448FEC3C}"/>
    <cellStyle name="40% - Accent6 8 2 2 5" xfId="9674" xr:uid="{00000000-0005-0000-0000-000058530000}"/>
    <cellStyle name="40% - Accent6 8 2 2 5 2" xfId="17632" xr:uid="{00000000-0005-0000-0000-000059530000}"/>
    <cellStyle name="40% - Accent6 8 2 2 5 2 2" xfId="41472" xr:uid="{5CE3D41C-A514-4653-9580-CE84323DCED8}"/>
    <cellStyle name="40% - Accent6 8 2 2 5 3" xfId="25576" xr:uid="{00000000-0005-0000-0000-00005A530000}"/>
    <cellStyle name="40% - Accent6 8 2 2 5 3 2" xfId="49408" xr:uid="{59DE80DC-C785-4DEC-9613-5ED243DC56D1}"/>
    <cellStyle name="40% - Accent6 8 2 2 5 4" xfId="33531" xr:uid="{E1052FA5-A8E8-47A8-BDD8-A2DD125F5CF4}"/>
    <cellStyle name="40% - Accent6 8 2 2 6" xfId="10570" xr:uid="{00000000-0005-0000-0000-00005B530000}"/>
    <cellStyle name="40% - Accent6 8 2 2 6 2" xfId="34419" xr:uid="{E0773725-5AA2-46DC-88BE-D1312DA5DB58}"/>
    <cellStyle name="40% - Accent6 8 2 2 7" xfId="18525" xr:uid="{00000000-0005-0000-0000-00005C530000}"/>
    <cellStyle name="40% - Accent6 8 2 2 7 2" xfId="42357" xr:uid="{24200212-A585-4A0A-BE88-5A43A4ADE65B}"/>
    <cellStyle name="40% - Accent6 8 2 2 8" xfId="26477" xr:uid="{795755D9-60A5-4079-BBA5-B2FB3B46DA27}"/>
    <cellStyle name="40% - Accent6 8 2 2_Exh G" xfId="3404" xr:uid="{00000000-0005-0000-0000-00005D530000}"/>
    <cellStyle name="40% - Accent6 8 2 3" xfId="1653" xr:uid="{00000000-0005-0000-0000-00005E530000}"/>
    <cellStyle name="40% - Accent6 8 2 3 2" xfId="5180" xr:uid="{00000000-0005-0000-0000-00005F530000}"/>
    <cellStyle name="40% - Accent6 8 2 3 2 2" xfId="8771" xr:uid="{00000000-0005-0000-0000-000060530000}"/>
    <cellStyle name="40% - Accent6 8 2 3 2 2 2" xfId="16741" xr:uid="{00000000-0005-0000-0000-000061530000}"/>
    <cellStyle name="40% - Accent6 8 2 3 2 2 2 2" xfId="40583" xr:uid="{EFF57F98-4380-4A57-9BED-E7708563559B}"/>
    <cellStyle name="40% - Accent6 8 2 3 2 2 3" xfId="24687" xr:uid="{00000000-0005-0000-0000-000062530000}"/>
    <cellStyle name="40% - Accent6 8 2 3 2 2 3 2" xfId="48519" xr:uid="{C999205F-5015-407F-98B2-1897F052205C}"/>
    <cellStyle name="40% - Accent6 8 2 3 2 2 4" xfId="32642" xr:uid="{4B1C0A0C-580F-4B71-A0A6-383D14D85B33}"/>
    <cellStyle name="40% - Accent6 8 2 3 2 3" xfId="13203" xr:uid="{00000000-0005-0000-0000-000063530000}"/>
    <cellStyle name="40% - Accent6 8 2 3 2 3 2" xfId="37052" xr:uid="{D378BF39-052D-455A-8942-0F07F9DC92F8}"/>
    <cellStyle name="40% - Accent6 8 2 3 2 4" xfId="21158" xr:uid="{00000000-0005-0000-0000-000064530000}"/>
    <cellStyle name="40% - Accent6 8 2 3 2 4 2" xfId="44990" xr:uid="{4E7D3B1F-D552-4F6E-9619-3A5A4D78CBA5}"/>
    <cellStyle name="40% - Accent6 8 2 3 2 5" xfId="29111" xr:uid="{4B846FB9-4D6F-4982-8F0E-42CEC0DBF828}"/>
    <cellStyle name="40% - Accent6 8 2 3 3" xfId="7012" xr:uid="{00000000-0005-0000-0000-000065530000}"/>
    <cellStyle name="40% - Accent6 8 2 3 3 2" xfId="14983" xr:uid="{00000000-0005-0000-0000-000066530000}"/>
    <cellStyle name="40% - Accent6 8 2 3 3 2 2" xfId="38825" xr:uid="{8018BCAE-E042-4301-A049-407E3A9375D1}"/>
    <cellStyle name="40% - Accent6 8 2 3 3 3" xfId="22930" xr:uid="{00000000-0005-0000-0000-000067530000}"/>
    <cellStyle name="40% - Accent6 8 2 3 3 3 2" xfId="46762" xr:uid="{507FB522-273C-4BA7-9504-42DADCE40EC1}"/>
    <cellStyle name="40% - Accent6 8 2 3 3 4" xfId="30884" xr:uid="{20FF835D-9300-4D65-95DD-76E621A59CB0}"/>
    <cellStyle name="40% - Accent6 8 2 3 4" xfId="11447" xr:uid="{00000000-0005-0000-0000-000068530000}"/>
    <cellStyle name="40% - Accent6 8 2 3 4 2" xfId="35296" xr:uid="{2ED505B1-4A81-44F4-B7E3-F0A4AB926518}"/>
    <cellStyle name="40% - Accent6 8 2 3 5" xfId="19402" xr:uid="{00000000-0005-0000-0000-000069530000}"/>
    <cellStyle name="40% - Accent6 8 2 3 5 2" xfId="43234" xr:uid="{6D86ABE0-D19B-4699-91ED-13E757F71F1C}"/>
    <cellStyle name="40% - Accent6 8 2 3 6" xfId="27354" xr:uid="{ACD0771B-A8E9-4C25-A366-445116E9E496}"/>
    <cellStyle name="40% - Accent6 8 2 3_Exh G" xfId="3406" xr:uid="{00000000-0005-0000-0000-00006A530000}"/>
    <cellStyle name="40% - Accent6 8 2 4" xfId="4301" xr:uid="{00000000-0005-0000-0000-00006B530000}"/>
    <cellStyle name="40% - Accent6 8 2 4 2" xfId="7893" xr:uid="{00000000-0005-0000-0000-00006C530000}"/>
    <cellStyle name="40% - Accent6 8 2 4 2 2" xfId="15863" xr:uid="{00000000-0005-0000-0000-00006D530000}"/>
    <cellStyle name="40% - Accent6 8 2 4 2 2 2" xfId="39705" xr:uid="{1229996E-10C1-4648-A1A6-6757EB925336}"/>
    <cellStyle name="40% - Accent6 8 2 4 2 3" xfId="23809" xr:uid="{00000000-0005-0000-0000-00006E530000}"/>
    <cellStyle name="40% - Accent6 8 2 4 2 3 2" xfId="47641" xr:uid="{FF2E7091-99FA-40A8-B4B5-80F6158B2EDC}"/>
    <cellStyle name="40% - Accent6 8 2 4 2 4" xfId="31764" xr:uid="{FD09CE3C-30EA-41F9-984B-63062118771E}"/>
    <cellStyle name="40% - Accent6 8 2 4 3" xfId="12325" xr:uid="{00000000-0005-0000-0000-00006F530000}"/>
    <cellStyle name="40% - Accent6 8 2 4 3 2" xfId="36174" xr:uid="{C09AE707-3547-4D09-87BA-B7209D5D2ABF}"/>
    <cellStyle name="40% - Accent6 8 2 4 4" xfId="20280" xr:uid="{00000000-0005-0000-0000-000070530000}"/>
    <cellStyle name="40% - Accent6 8 2 4 4 2" xfId="44112" xr:uid="{07465E25-D42D-452C-BCCC-03430142D5F9}"/>
    <cellStyle name="40% - Accent6 8 2 4 5" xfId="28233" xr:uid="{4F698F21-E2E7-4BB1-9AFD-3D9104CED768}"/>
    <cellStyle name="40% - Accent6 8 2 5" xfId="6121" xr:uid="{00000000-0005-0000-0000-000071530000}"/>
    <cellStyle name="40% - Accent6 8 2 5 2" xfId="14104" xr:uid="{00000000-0005-0000-0000-000072530000}"/>
    <cellStyle name="40% - Accent6 8 2 5 2 2" xfId="37947" xr:uid="{41099B4A-97DE-4777-A6C5-F05192259C63}"/>
    <cellStyle name="40% - Accent6 8 2 5 3" xfId="22052" xr:uid="{00000000-0005-0000-0000-000073530000}"/>
    <cellStyle name="40% - Accent6 8 2 5 3 2" xfId="45884" xr:uid="{C8FA4A17-F304-4FBF-A006-27FC42F78391}"/>
    <cellStyle name="40% - Accent6 8 2 5 4" xfId="30006" xr:uid="{D68076E6-1C9F-4ED7-8C40-772094C34114}"/>
    <cellStyle name="40% - Accent6 8 2 6" xfId="9673" xr:uid="{00000000-0005-0000-0000-000074530000}"/>
    <cellStyle name="40% - Accent6 8 2 6 2" xfId="17631" xr:uid="{00000000-0005-0000-0000-000075530000}"/>
    <cellStyle name="40% - Accent6 8 2 6 2 2" xfId="41471" xr:uid="{4FC7CF2B-0159-44B6-963F-E71EB4542939}"/>
    <cellStyle name="40% - Accent6 8 2 6 3" xfId="25575" xr:uid="{00000000-0005-0000-0000-000076530000}"/>
    <cellStyle name="40% - Accent6 8 2 6 3 2" xfId="49407" xr:uid="{3BBED040-811F-4185-A118-A3A69A326F36}"/>
    <cellStyle name="40% - Accent6 8 2 6 4" xfId="33530" xr:uid="{0B33392D-D9E1-42F5-BCD5-BE33C152A435}"/>
    <cellStyle name="40% - Accent6 8 2 7" xfId="10569" xr:uid="{00000000-0005-0000-0000-000077530000}"/>
    <cellStyle name="40% - Accent6 8 2 7 2" xfId="34418" xr:uid="{DEF65C53-C226-47AF-ABD8-5EB52785FF62}"/>
    <cellStyle name="40% - Accent6 8 2 8" xfId="18524" xr:uid="{00000000-0005-0000-0000-000078530000}"/>
    <cellStyle name="40% - Accent6 8 2 8 2" xfId="42356" xr:uid="{9429A578-6164-411C-B43F-0ED317E4D27A}"/>
    <cellStyle name="40% - Accent6 8 2 9" xfId="26476" xr:uid="{EAB2596E-99EC-4702-A8F5-59282F1DFB8A}"/>
    <cellStyle name="40% - Accent6 8 2_Exh G" xfId="3403" xr:uid="{00000000-0005-0000-0000-000079530000}"/>
    <cellStyle name="40% - Accent6 8 3" xfId="629" xr:uid="{00000000-0005-0000-0000-00007A530000}"/>
    <cellStyle name="40% - Accent6 8 3 2" xfId="1655" xr:uid="{00000000-0005-0000-0000-00007B530000}"/>
    <cellStyle name="40% - Accent6 8 3 2 2" xfId="5182" xr:uid="{00000000-0005-0000-0000-00007C530000}"/>
    <cellStyle name="40% - Accent6 8 3 2 2 2" xfId="8773" xr:uid="{00000000-0005-0000-0000-00007D530000}"/>
    <cellStyle name="40% - Accent6 8 3 2 2 2 2" xfId="16743" xr:uid="{00000000-0005-0000-0000-00007E530000}"/>
    <cellStyle name="40% - Accent6 8 3 2 2 2 2 2" xfId="40585" xr:uid="{E99032C9-3433-4B68-9EF1-86315B8882B0}"/>
    <cellStyle name="40% - Accent6 8 3 2 2 2 3" xfId="24689" xr:uid="{00000000-0005-0000-0000-00007F530000}"/>
    <cellStyle name="40% - Accent6 8 3 2 2 2 3 2" xfId="48521" xr:uid="{F5B93F02-D2DF-42D8-A470-D662CAEEC097}"/>
    <cellStyle name="40% - Accent6 8 3 2 2 2 4" xfId="32644" xr:uid="{69143113-C345-4E7C-B6B4-B17EFFC1990B}"/>
    <cellStyle name="40% - Accent6 8 3 2 2 3" xfId="13205" xr:uid="{00000000-0005-0000-0000-000080530000}"/>
    <cellStyle name="40% - Accent6 8 3 2 2 3 2" xfId="37054" xr:uid="{3198FF04-80A2-44A8-AF04-3C613B0498F0}"/>
    <cellStyle name="40% - Accent6 8 3 2 2 4" xfId="21160" xr:uid="{00000000-0005-0000-0000-000081530000}"/>
    <cellStyle name="40% - Accent6 8 3 2 2 4 2" xfId="44992" xr:uid="{F5FC1FCE-1718-415D-8D27-A0B4A7CDFF69}"/>
    <cellStyle name="40% - Accent6 8 3 2 2 5" xfId="29113" xr:uid="{8075EBF2-3372-4779-B3E6-2111DEAB9BB7}"/>
    <cellStyle name="40% - Accent6 8 3 2 3" xfId="7014" xr:uid="{00000000-0005-0000-0000-000082530000}"/>
    <cellStyle name="40% - Accent6 8 3 2 3 2" xfId="14985" xr:uid="{00000000-0005-0000-0000-000083530000}"/>
    <cellStyle name="40% - Accent6 8 3 2 3 2 2" xfId="38827" xr:uid="{342505E9-C378-4549-BC70-40446B77C5AF}"/>
    <cellStyle name="40% - Accent6 8 3 2 3 3" xfId="22932" xr:uid="{00000000-0005-0000-0000-000084530000}"/>
    <cellStyle name="40% - Accent6 8 3 2 3 3 2" xfId="46764" xr:uid="{ADCDCC0F-E5A9-4C98-82B4-5A3D62C33313}"/>
    <cellStyle name="40% - Accent6 8 3 2 3 4" xfId="30886" xr:uid="{E60B2D23-1A14-436A-AE13-607A646E7D1C}"/>
    <cellStyle name="40% - Accent6 8 3 2 4" xfId="11449" xr:uid="{00000000-0005-0000-0000-000085530000}"/>
    <cellStyle name="40% - Accent6 8 3 2 4 2" xfId="35298" xr:uid="{F24DA323-7A80-433F-8B2F-D9FB582923C7}"/>
    <cellStyle name="40% - Accent6 8 3 2 5" xfId="19404" xr:uid="{00000000-0005-0000-0000-000086530000}"/>
    <cellStyle name="40% - Accent6 8 3 2 5 2" xfId="43236" xr:uid="{BE73F528-7E21-4629-9BAF-3C141C06D6BF}"/>
    <cellStyle name="40% - Accent6 8 3 2 6" xfId="27356" xr:uid="{B1361897-2732-46C5-A63D-1A4B9ED704C7}"/>
    <cellStyle name="40% - Accent6 8 3 2_Exh G" xfId="3408" xr:uid="{00000000-0005-0000-0000-000087530000}"/>
    <cellStyle name="40% - Accent6 8 3 3" xfId="4303" xr:uid="{00000000-0005-0000-0000-000088530000}"/>
    <cellStyle name="40% - Accent6 8 3 3 2" xfId="7895" xr:uid="{00000000-0005-0000-0000-000089530000}"/>
    <cellStyle name="40% - Accent6 8 3 3 2 2" xfId="15865" xr:uid="{00000000-0005-0000-0000-00008A530000}"/>
    <cellStyle name="40% - Accent6 8 3 3 2 2 2" xfId="39707" xr:uid="{6DC60885-0BC0-44F7-80DE-0258CF34E00F}"/>
    <cellStyle name="40% - Accent6 8 3 3 2 3" xfId="23811" xr:uid="{00000000-0005-0000-0000-00008B530000}"/>
    <cellStyle name="40% - Accent6 8 3 3 2 3 2" xfId="47643" xr:uid="{6A22A789-925F-45E9-936F-444994FF2650}"/>
    <cellStyle name="40% - Accent6 8 3 3 2 4" xfId="31766" xr:uid="{0964F6B1-C799-4FC2-8465-3D1C933C3672}"/>
    <cellStyle name="40% - Accent6 8 3 3 3" xfId="12327" xr:uid="{00000000-0005-0000-0000-00008C530000}"/>
    <cellStyle name="40% - Accent6 8 3 3 3 2" xfId="36176" xr:uid="{46B4D6B8-AD07-4AEF-A23F-03EDEE124550}"/>
    <cellStyle name="40% - Accent6 8 3 3 4" xfId="20282" xr:uid="{00000000-0005-0000-0000-00008D530000}"/>
    <cellStyle name="40% - Accent6 8 3 3 4 2" xfId="44114" xr:uid="{6ED40FE3-1F31-4953-8977-823C1AC09A0A}"/>
    <cellStyle name="40% - Accent6 8 3 3 5" xfId="28235" xr:uid="{C03CBA47-8228-406E-AFAB-28CA955B64F1}"/>
    <cellStyle name="40% - Accent6 8 3 4" xfId="6123" xr:uid="{00000000-0005-0000-0000-00008E530000}"/>
    <cellStyle name="40% - Accent6 8 3 4 2" xfId="14106" xr:uid="{00000000-0005-0000-0000-00008F530000}"/>
    <cellStyle name="40% - Accent6 8 3 4 2 2" xfId="37949" xr:uid="{455E0D02-AA46-460E-835B-613DFDD5DF1D}"/>
    <cellStyle name="40% - Accent6 8 3 4 3" xfId="22054" xr:uid="{00000000-0005-0000-0000-000090530000}"/>
    <cellStyle name="40% - Accent6 8 3 4 3 2" xfId="45886" xr:uid="{6989C29E-42D5-48C7-8D16-3CCD4E1387DA}"/>
    <cellStyle name="40% - Accent6 8 3 4 4" xfId="30008" xr:uid="{D1B1B797-B9B7-41C0-B0A5-A82A6DB1F3F6}"/>
    <cellStyle name="40% - Accent6 8 3 5" xfId="9675" xr:uid="{00000000-0005-0000-0000-000091530000}"/>
    <cellStyle name="40% - Accent6 8 3 5 2" xfId="17633" xr:uid="{00000000-0005-0000-0000-000092530000}"/>
    <cellStyle name="40% - Accent6 8 3 5 2 2" xfId="41473" xr:uid="{5C015A74-9870-425C-AEF5-DD0901D073D2}"/>
    <cellStyle name="40% - Accent6 8 3 5 3" xfId="25577" xr:uid="{00000000-0005-0000-0000-000093530000}"/>
    <cellStyle name="40% - Accent6 8 3 5 3 2" xfId="49409" xr:uid="{D7451EDE-B5AC-4AC4-B238-D3D017A58A98}"/>
    <cellStyle name="40% - Accent6 8 3 5 4" xfId="33532" xr:uid="{D529ED2B-D18A-4BCD-A6FA-493249FE158D}"/>
    <cellStyle name="40% - Accent6 8 3 6" xfId="10571" xr:uid="{00000000-0005-0000-0000-000094530000}"/>
    <cellStyle name="40% - Accent6 8 3 6 2" xfId="34420" xr:uid="{CBA9A93E-3D55-4927-BD81-009C4F3491B7}"/>
    <cellStyle name="40% - Accent6 8 3 7" xfId="18526" xr:uid="{00000000-0005-0000-0000-000095530000}"/>
    <cellStyle name="40% - Accent6 8 3 7 2" xfId="42358" xr:uid="{2E181C0F-D60F-429D-A576-0B936D1F9497}"/>
    <cellStyle name="40% - Accent6 8 3 8" xfId="26478" xr:uid="{A11C952D-A951-486B-91F2-7BE59B84C296}"/>
    <cellStyle name="40% - Accent6 8 3_Exh G" xfId="3407" xr:uid="{00000000-0005-0000-0000-000096530000}"/>
    <cellStyle name="40% - Accent6 8 4" xfId="1001" xr:uid="{00000000-0005-0000-0000-000097530000}"/>
    <cellStyle name="40% - Accent6 8 4 2" xfId="1910" xr:uid="{00000000-0005-0000-0000-000098530000}"/>
    <cellStyle name="40% - Accent6 8 4 2 2" xfId="5427" xr:uid="{00000000-0005-0000-0000-000099530000}"/>
    <cellStyle name="40% - Accent6 8 4 2 2 2" xfId="9018" xr:uid="{00000000-0005-0000-0000-00009A530000}"/>
    <cellStyle name="40% - Accent6 8 4 2 2 2 2" xfId="16988" xr:uid="{00000000-0005-0000-0000-00009B530000}"/>
    <cellStyle name="40% - Accent6 8 4 2 2 2 2 2" xfId="40830" xr:uid="{665E97BB-A197-4713-A314-B338B4052BEE}"/>
    <cellStyle name="40% - Accent6 8 4 2 2 2 3" xfId="24934" xr:uid="{00000000-0005-0000-0000-00009C530000}"/>
    <cellStyle name="40% - Accent6 8 4 2 2 2 3 2" xfId="48766" xr:uid="{431E24AA-15B3-462D-8958-361F7296C969}"/>
    <cellStyle name="40% - Accent6 8 4 2 2 2 4" xfId="32889" xr:uid="{907D6CF7-5477-46BB-B917-5B97ECEF454A}"/>
    <cellStyle name="40% - Accent6 8 4 2 2 3" xfId="13450" xr:uid="{00000000-0005-0000-0000-00009D530000}"/>
    <cellStyle name="40% - Accent6 8 4 2 2 3 2" xfId="37299" xr:uid="{DFAB198C-FC8D-4504-91EA-D5B8EA131BB2}"/>
    <cellStyle name="40% - Accent6 8 4 2 2 4" xfId="21405" xr:uid="{00000000-0005-0000-0000-00009E530000}"/>
    <cellStyle name="40% - Accent6 8 4 2 2 4 2" xfId="45237" xr:uid="{62FA47BF-BC18-4951-B409-8113D9D4D338}"/>
    <cellStyle name="40% - Accent6 8 4 2 2 5" xfId="29358" xr:uid="{9A1E7B90-64E6-444A-BA4A-F192C68A93B9}"/>
    <cellStyle name="40% - Accent6 8 4 2 3" xfId="7259" xr:uid="{00000000-0005-0000-0000-00009F530000}"/>
    <cellStyle name="40% - Accent6 8 4 2 3 2" xfId="15230" xr:uid="{00000000-0005-0000-0000-0000A0530000}"/>
    <cellStyle name="40% - Accent6 8 4 2 3 2 2" xfId="39072" xr:uid="{58B82B55-961C-433A-AD58-DCF1E0F04933}"/>
    <cellStyle name="40% - Accent6 8 4 2 3 3" xfId="23177" xr:uid="{00000000-0005-0000-0000-0000A1530000}"/>
    <cellStyle name="40% - Accent6 8 4 2 3 3 2" xfId="47009" xr:uid="{A0CFABC1-11C6-4D9D-98B6-8A26698D6867}"/>
    <cellStyle name="40% - Accent6 8 4 2 3 4" xfId="31131" xr:uid="{2194888E-9B4B-4CCD-9412-411876D0C7BE}"/>
    <cellStyle name="40% - Accent6 8 4 2 4" xfId="11694" xr:uid="{00000000-0005-0000-0000-0000A2530000}"/>
    <cellStyle name="40% - Accent6 8 4 2 4 2" xfId="35543" xr:uid="{2FADA401-D463-4E69-820A-1BBE6CF4FCC7}"/>
    <cellStyle name="40% - Accent6 8 4 2 5" xfId="19649" xr:uid="{00000000-0005-0000-0000-0000A3530000}"/>
    <cellStyle name="40% - Accent6 8 4 2 5 2" xfId="43481" xr:uid="{25973D6B-5C74-4CD1-BD8A-092D3181344C}"/>
    <cellStyle name="40% - Accent6 8 4 2 6" xfId="27601" xr:uid="{AC9EF199-451B-40EC-8125-5F0738AFFA19}"/>
    <cellStyle name="40% - Accent6 8 4 2_Exh G" xfId="3410" xr:uid="{00000000-0005-0000-0000-0000A4530000}"/>
    <cellStyle name="40% - Accent6 8 4 3" xfId="4548" xr:uid="{00000000-0005-0000-0000-0000A5530000}"/>
    <cellStyle name="40% - Accent6 8 4 3 2" xfId="8140" xr:uid="{00000000-0005-0000-0000-0000A6530000}"/>
    <cellStyle name="40% - Accent6 8 4 3 2 2" xfId="16110" xr:uid="{00000000-0005-0000-0000-0000A7530000}"/>
    <cellStyle name="40% - Accent6 8 4 3 2 2 2" xfId="39952" xr:uid="{9084BE5B-65CA-4CCC-A771-963FA27F100D}"/>
    <cellStyle name="40% - Accent6 8 4 3 2 3" xfId="24056" xr:uid="{00000000-0005-0000-0000-0000A8530000}"/>
    <cellStyle name="40% - Accent6 8 4 3 2 3 2" xfId="47888" xr:uid="{BE8790AA-2F1D-4805-ACA1-2E59F08C3D81}"/>
    <cellStyle name="40% - Accent6 8 4 3 2 4" xfId="32011" xr:uid="{0448FDC6-08E7-42D6-8EE4-1BEF609027DA}"/>
    <cellStyle name="40% - Accent6 8 4 3 3" xfId="12572" xr:uid="{00000000-0005-0000-0000-0000A9530000}"/>
    <cellStyle name="40% - Accent6 8 4 3 3 2" xfId="36421" xr:uid="{F87E9831-60E2-4AF9-8DD2-37272C9EE2AB}"/>
    <cellStyle name="40% - Accent6 8 4 3 4" xfId="20527" xr:uid="{00000000-0005-0000-0000-0000AA530000}"/>
    <cellStyle name="40% - Accent6 8 4 3 4 2" xfId="44359" xr:uid="{75751B56-FDFB-4ED1-899E-4A7BEAB2AE65}"/>
    <cellStyle name="40% - Accent6 8 4 3 5" xfId="28480" xr:uid="{F8E88D4F-E35F-41C0-B81F-F759C7D56291}"/>
    <cellStyle name="40% - Accent6 8 4 4" xfId="6378" xr:uid="{00000000-0005-0000-0000-0000AB530000}"/>
    <cellStyle name="40% - Accent6 8 4 4 2" xfId="14352" xr:uid="{00000000-0005-0000-0000-0000AC530000}"/>
    <cellStyle name="40% - Accent6 8 4 4 2 2" xfId="38194" xr:uid="{87790CAB-1A76-408F-A6C8-2584F1DE9E15}"/>
    <cellStyle name="40% - Accent6 8 4 4 3" xfId="22299" xr:uid="{00000000-0005-0000-0000-0000AD530000}"/>
    <cellStyle name="40% - Accent6 8 4 4 3 2" xfId="46131" xr:uid="{CC36D2A2-5BFB-4438-B954-93C0104C0A05}"/>
    <cellStyle name="40% - Accent6 8 4 4 4" xfId="30253" xr:uid="{2002A22D-3FA7-49A4-A501-C7AED9BB2DB9}"/>
    <cellStyle name="40% - Accent6 8 4 5" xfId="9920" xr:uid="{00000000-0005-0000-0000-0000AE530000}"/>
    <cellStyle name="40% - Accent6 8 4 5 2" xfId="17878" xr:uid="{00000000-0005-0000-0000-0000AF530000}"/>
    <cellStyle name="40% - Accent6 8 4 5 2 2" xfId="41718" xr:uid="{1721CC37-16BC-495B-A72B-AADC700ED5C5}"/>
    <cellStyle name="40% - Accent6 8 4 5 3" xfId="25822" xr:uid="{00000000-0005-0000-0000-0000B0530000}"/>
    <cellStyle name="40% - Accent6 8 4 5 3 2" xfId="49654" xr:uid="{7FA0A75B-FCF8-48D9-AF1E-E530E918DFA6}"/>
    <cellStyle name="40% - Accent6 8 4 5 4" xfId="33777" xr:uid="{067EEFCF-D3E2-47F5-BA15-C16C07B02D3E}"/>
    <cellStyle name="40% - Accent6 8 4 6" xfId="10816" xr:uid="{00000000-0005-0000-0000-0000B1530000}"/>
    <cellStyle name="40% - Accent6 8 4 6 2" xfId="34665" xr:uid="{61D9DAE1-6B19-499F-B14B-1AFF3424D2C8}"/>
    <cellStyle name="40% - Accent6 8 4 7" xfId="18771" xr:uid="{00000000-0005-0000-0000-0000B2530000}"/>
    <cellStyle name="40% - Accent6 8 4 7 2" xfId="42603" xr:uid="{0EF0A4A6-BD57-4F73-A9EE-8E80C3A1D3CD}"/>
    <cellStyle name="40% - Accent6 8 4 8" xfId="26723" xr:uid="{2F820DB0-FEC1-40C2-9A22-FF91BA55655E}"/>
    <cellStyle name="40% - Accent6 8 4_Exh G" xfId="3409" xr:uid="{00000000-0005-0000-0000-0000B3530000}"/>
    <cellStyle name="40% - Accent6 8 5" xfId="1652" xr:uid="{00000000-0005-0000-0000-0000B4530000}"/>
    <cellStyle name="40% - Accent6 8 5 2" xfId="5179" xr:uid="{00000000-0005-0000-0000-0000B5530000}"/>
    <cellStyle name="40% - Accent6 8 5 2 2" xfId="8770" xr:uid="{00000000-0005-0000-0000-0000B6530000}"/>
    <cellStyle name="40% - Accent6 8 5 2 2 2" xfId="16740" xr:uid="{00000000-0005-0000-0000-0000B7530000}"/>
    <cellStyle name="40% - Accent6 8 5 2 2 2 2" xfId="40582" xr:uid="{F245D009-9A28-4532-9A5A-E0703FCCD422}"/>
    <cellStyle name="40% - Accent6 8 5 2 2 3" xfId="24686" xr:uid="{00000000-0005-0000-0000-0000B8530000}"/>
    <cellStyle name="40% - Accent6 8 5 2 2 3 2" xfId="48518" xr:uid="{CFC7B5FC-E8BA-4BBB-BCD5-832373231B2D}"/>
    <cellStyle name="40% - Accent6 8 5 2 2 4" xfId="32641" xr:uid="{2B1E70E3-0738-4D21-907F-3D52DCB49E53}"/>
    <cellStyle name="40% - Accent6 8 5 2 3" xfId="13202" xr:uid="{00000000-0005-0000-0000-0000B9530000}"/>
    <cellStyle name="40% - Accent6 8 5 2 3 2" xfId="37051" xr:uid="{17E906D1-C9AA-4187-A705-BE6B3F88641F}"/>
    <cellStyle name="40% - Accent6 8 5 2 4" xfId="21157" xr:uid="{00000000-0005-0000-0000-0000BA530000}"/>
    <cellStyle name="40% - Accent6 8 5 2 4 2" xfId="44989" xr:uid="{F549A411-8DBB-49C2-B314-FD7FC22AA721}"/>
    <cellStyle name="40% - Accent6 8 5 2 5" xfId="29110" xr:uid="{B2ECDF2A-B77D-41B7-A90C-99ABF753653A}"/>
    <cellStyle name="40% - Accent6 8 5 3" xfId="7011" xr:uid="{00000000-0005-0000-0000-0000BB530000}"/>
    <cellStyle name="40% - Accent6 8 5 3 2" xfId="14982" xr:uid="{00000000-0005-0000-0000-0000BC530000}"/>
    <cellStyle name="40% - Accent6 8 5 3 2 2" xfId="38824" xr:uid="{6293DAFE-E083-45AD-8644-89B22B037100}"/>
    <cellStyle name="40% - Accent6 8 5 3 3" xfId="22929" xr:uid="{00000000-0005-0000-0000-0000BD530000}"/>
    <cellStyle name="40% - Accent6 8 5 3 3 2" xfId="46761" xr:uid="{52C6B5FE-8CD2-4C0E-AB20-2E983B458ED0}"/>
    <cellStyle name="40% - Accent6 8 5 3 4" xfId="30883" xr:uid="{BB883871-7E33-49AB-A5C2-737837ABCB77}"/>
    <cellStyle name="40% - Accent6 8 5 4" xfId="11446" xr:uid="{00000000-0005-0000-0000-0000BE530000}"/>
    <cellStyle name="40% - Accent6 8 5 4 2" xfId="35295" xr:uid="{490D3BCA-42A7-4607-9453-6C5631B153AB}"/>
    <cellStyle name="40% - Accent6 8 5 5" xfId="19401" xr:uid="{00000000-0005-0000-0000-0000BF530000}"/>
    <cellStyle name="40% - Accent6 8 5 5 2" xfId="43233" xr:uid="{19B4CF13-D76C-497E-9FA0-E1217822CDAC}"/>
    <cellStyle name="40% - Accent6 8 5 6" xfId="27353" xr:uid="{4899B4A1-91DB-4550-BC70-5023C1808496}"/>
    <cellStyle name="40% - Accent6 8 5_Exh G" xfId="3411" xr:uid="{00000000-0005-0000-0000-0000C0530000}"/>
    <cellStyle name="40% - Accent6 8 6" xfId="4300" xr:uid="{00000000-0005-0000-0000-0000C1530000}"/>
    <cellStyle name="40% - Accent6 8 6 2" xfId="7892" xr:uid="{00000000-0005-0000-0000-0000C2530000}"/>
    <cellStyle name="40% - Accent6 8 6 2 2" xfId="15862" xr:uid="{00000000-0005-0000-0000-0000C3530000}"/>
    <cellStyle name="40% - Accent6 8 6 2 2 2" xfId="39704" xr:uid="{D680F7B4-B1E7-4C0C-BFE0-0CF06733BD37}"/>
    <cellStyle name="40% - Accent6 8 6 2 3" xfId="23808" xr:uid="{00000000-0005-0000-0000-0000C4530000}"/>
    <cellStyle name="40% - Accent6 8 6 2 3 2" xfId="47640" xr:uid="{B480056B-F200-4B96-8597-32F91D782523}"/>
    <cellStyle name="40% - Accent6 8 6 2 4" xfId="31763" xr:uid="{FBBF7714-1A69-4657-862A-124BC04D9117}"/>
    <cellStyle name="40% - Accent6 8 6 3" xfId="12324" xr:uid="{00000000-0005-0000-0000-0000C5530000}"/>
    <cellStyle name="40% - Accent6 8 6 3 2" xfId="36173" xr:uid="{8732DA62-EDF3-489C-9BF7-96F5BA69D327}"/>
    <cellStyle name="40% - Accent6 8 6 4" xfId="20279" xr:uid="{00000000-0005-0000-0000-0000C6530000}"/>
    <cellStyle name="40% - Accent6 8 6 4 2" xfId="44111" xr:uid="{D9A18A03-2DB5-4EA0-ABCF-A5DF9296756F}"/>
    <cellStyle name="40% - Accent6 8 6 5" xfId="28232" xr:uid="{0B279F3B-D1C4-4ECA-BA24-0DA498FB6BE8}"/>
    <cellStyle name="40% - Accent6 8 7" xfId="6120" xr:uid="{00000000-0005-0000-0000-0000C7530000}"/>
    <cellStyle name="40% - Accent6 8 7 2" xfId="14103" xr:uid="{00000000-0005-0000-0000-0000C8530000}"/>
    <cellStyle name="40% - Accent6 8 7 2 2" xfId="37946" xr:uid="{F5D064A2-2C14-4EAB-8696-C1A12E3376BC}"/>
    <cellStyle name="40% - Accent6 8 7 3" xfId="22051" xr:uid="{00000000-0005-0000-0000-0000C9530000}"/>
    <cellStyle name="40% - Accent6 8 7 3 2" xfId="45883" xr:uid="{9223C36E-4273-4198-8AA5-5007E0A94C47}"/>
    <cellStyle name="40% - Accent6 8 7 4" xfId="30005" xr:uid="{BDF1DCF7-A498-49CF-8301-BCE7CABDB31F}"/>
    <cellStyle name="40% - Accent6 8 8" xfId="9672" xr:uid="{00000000-0005-0000-0000-0000CA530000}"/>
    <cellStyle name="40% - Accent6 8 8 2" xfId="17630" xr:uid="{00000000-0005-0000-0000-0000CB530000}"/>
    <cellStyle name="40% - Accent6 8 8 2 2" xfId="41470" xr:uid="{57451979-A5BD-410E-8832-EC2F6292899F}"/>
    <cellStyle name="40% - Accent6 8 8 3" xfId="25574" xr:uid="{00000000-0005-0000-0000-0000CC530000}"/>
    <cellStyle name="40% - Accent6 8 8 3 2" xfId="49406" xr:uid="{DE6EE7EB-4A8F-4E6C-BC94-CC687CB1712E}"/>
    <cellStyle name="40% - Accent6 8 8 4" xfId="33529" xr:uid="{50484575-3F9B-43A9-B9DB-2FDCF4D19A14}"/>
    <cellStyle name="40% - Accent6 8 9" xfId="10568" xr:uid="{00000000-0005-0000-0000-0000CD530000}"/>
    <cellStyle name="40% - Accent6 8 9 2" xfId="34417" xr:uid="{05DB6E8C-9885-4A3D-8C2B-8E8412C28AE5}"/>
    <cellStyle name="40% - Accent6 8_Exh G" xfId="3402" xr:uid="{00000000-0005-0000-0000-0000CE530000}"/>
    <cellStyle name="40% - Accent6 9" xfId="630" xr:uid="{00000000-0005-0000-0000-0000CF530000}"/>
    <cellStyle name="40% - Accent6 9 10" xfId="18527" xr:uid="{00000000-0005-0000-0000-0000D0530000}"/>
    <cellStyle name="40% - Accent6 9 10 2" xfId="42359" xr:uid="{571999CF-F652-4E3F-844E-6E272EA34978}"/>
    <cellStyle name="40% - Accent6 9 11" xfId="26479" xr:uid="{8A1F0043-0970-4D7C-85B0-BC853F79E368}"/>
    <cellStyle name="40% - Accent6 9 2" xfId="631" xr:uid="{00000000-0005-0000-0000-0000D1530000}"/>
    <cellStyle name="40% - Accent6 9 2 2" xfId="632" xr:uid="{00000000-0005-0000-0000-0000D2530000}"/>
    <cellStyle name="40% - Accent6 9 2 2 2" xfId="1658" xr:uid="{00000000-0005-0000-0000-0000D3530000}"/>
    <cellStyle name="40% - Accent6 9 2 2 2 2" xfId="5185" xr:uid="{00000000-0005-0000-0000-0000D4530000}"/>
    <cellStyle name="40% - Accent6 9 2 2 2 2 2" xfId="8776" xr:uid="{00000000-0005-0000-0000-0000D5530000}"/>
    <cellStyle name="40% - Accent6 9 2 2 2 2 2 2" xfId="16746" xr:uid="{00000000-0005-0000-0000-0000D6530000}"/>
    <cellStyle name="40% - Accent6 9 2 2 2 2 2 2 2" xfId="40588" xr:uid="{E1E87349-B95E-40AA-9288-368A83331521}"/>
    <cellStyle name="40% - Accent6 9 2 2 2 2 2 3" xfId="24692" xr:uid="{00000000-0005-0000-0000-0000D7530000}"/>
    <cellStyle name="40% - Accent6 9 2 2 2 2 2 3 2" xfId="48524" xr:uid="{9440CE7E-8E76-469B-9A7C-631EE7A0B3D3}"/>
    <cellStyle name="40% - Accent6 9 2 2 2 2 2 4" xfId="32647" xr:uid="{0E1DABBD-D211-4971-8280-65A808900C44}"/>
    <cellStyle name="40% - Accent6 9 2 2 2 2 3" xfId="13208" xr:uid="{00000000-0005-0000-0000-0000D8530000}"/>
    <cellStyle name="40% - Accent6 9 2 2 2 2 3 2" xfId="37057" xr:uid="{0A2DF928-FEFA-438A-9D53-D4A71B7B2A4F}"/>
    <cellStyle name="40% - Accent6 9 2 2 2 2 4" xfId="21163" xr:uid="{00000000-0005-0000-0000-0000D9530000}"/>
    <cellStyle name="40% - Accent6 9 2 2 2 2 4 2" xfId="44995" xr:uid="{000645C2-2ED3-46A8-B2BD-35E3611F5B06}"/>
    <cellStyle name="40% - Accent6 9 2 2 2 2 5" xfId="29116" xr:uid="{F8CAEEFC-1489-4B2D-B3AE-B4BB7DED7269}"/>
    <cellStyle name="40% - Accent6 9 2 2 2 3" xfId="7017" xr:uid="{00000000-0005-0000-0000-0000DA530000}"/>
    <cellStyle name="40% - Accent6 9 2 2 2 3 2" xfId="14988" xr:uid="{00000000-0005-0000-0000-0000DB530000}"/>
    <cellStyle name="40% - Accent6 9 2 2 2 3 2 2" xfId="38830" xr:uid="{DC084AAD-3881-43A2-92E3-AA2D38BA4514}"/>
    <cellStyle name="40% - Accent6 9 2 2 2 3 3" xfId="22935" xr:uid="{00000000-0005-0000-0000-0000DC530000}"/>
    <cellStyle name="40% - Accent6 9 2 2 2 3 3 2" xfId="46767" xr:uid="{59355269-8F49-4355-B757-03977A4A6729}"/>
    <cellStyle name="40% - Accent6 9 2 2 2 3 4" xfId="30889" xr:uid="{9190E271-BD6E-474C-95F9-B885F9F329C5}"/>
    <cellStyle name="40% - Accent6 9 2 2 2 4" xfId="11452" xr:uid="{00000000-0005-0000-0000-0000DD530000}"/>
    <cellStyle name="40% - Accent6 9 2 2 2 4 2" xfId="35301" xr:uid="{18F6B4D9-5116-48B1-BC7C-174839D77407}"/>
    <cellStyle name="40% - Accent6 9 2 2 2 5" xfId="19407" xr:uid="{00000000-0005-0000-0000-0000DE530000}"/>
    <cellStyle name="40% - Accent6 9 2 2 2 5 2" xfId="43239" xr:uid="{885E4B5E-EA41-4B97-A273-55B078054DE8}"/>
    <cellStyle name="40% - Accent6 9 2 2 2 6" xfId="27359" xr:uid="{716D65F1-F41D-46A3-A6BE-077434EDB6E6}"/>
    <cellStyle name="40% - Accent6 9 2 2 2_Exh G" xfId="3415" xr:uid="{00000000-0005-0000-0000-0000DF530000}"/>
    <cellStyle name="40% - Accent6 9 2 2 3" xfId="4306" xr:uid="{00000000-0005-0000-0000-0000E0530000}"/>
    <cellStyle name="40% - Accent6 9 2 2 3 2" xfId="7898" xr:uid="{00000000-0005-0000-0000-0000E1530000}"/>
    <cellStyle name="40% - Accent6 9 2 2 3 2 2" xfId="15868" xr:uid="{00000000-0005-0000-0000-0000E2530000}"/>
    <cellStyle name="40% - Accent6 9 2 2 3 2 2 2" xfId="39710" xr:uid="{6CC3C934-13D4-49BA-A1C0-F3FD284898A9}"/>
    <cellStyle name="40% - Accent6 9 2 2 3 2 3" xfId="23814" xr:uid="{00000000-0005-0000-0000-0000E3530000}"/>
    <cellStyle name="40% - Accent6 9 2 2 3 2 3 2" xfId="47646" xr:uid="{D399E77B-4A31-457D-80AC-19D64192B5AE}"/>
    <cellStyle name="40% - Accent6 9 2 2 3 2 4" xfId="31769" xr:uid="{7F625E15-17C8-4590-A0FE-51CF479760D8}"/>
    <cellStyle name="40% - Accent6 9 2 2 3 3" xfId="12330" xr:uid="{00000000-0005-0000-0000-0000E4530000}"/>
    <cellStyle name="40% - Accent6 9 2 2 3 3 2" xfId="36179" xr:uid="{93812450-9BC5-49A5-B258-8A6B01A73B69}"/>
    <cellStyle name="40% - Accent6 9 2 2 3 4" xfId="20285" xr:uid="{00000000-0005-0000-0000-0000E5530000}"/>
    <cellStyle name="40% - Accent6 9 2 2 3 4 2" xfId="44117" xr:uid="{9634EE8A-01BE-4B75-8A22-25D4D1A5D773}"/>
    <cellStyle name="40% - Accent6 9 2 2 3 5" xfId="28238" xr:uid="{516E8371-680C-4B62-A732-6D07340C4533}"/>
    <cellStyle name="40% - Accent6 9 2 2 4" xfId="6126" xr:uid="{00000000-0005-0000-0000-0000E6530000}"/>
    <cellStyle name="40% - Accent6 9 2 2 4 2" xfId="14109" xr:uid="{00000000-0005-0000-0000-0000E7530000}"/>
    <cellStyle name="40% - Accent6 9 2 2 4 2 2" xfId="37952" xr:uid="{849D227D-D535-46CE-9EDA-CACD7ADC49DF}"/>
    <cellStyle name="40% - Accent6 9 2 2 4 3" xfId="22057" xr:uid="{00000000-0005-0000-0000-0000E8530000}"/>
    <cellStyle name="40% - Accent6 9 2 2 4 3 2" xfId="45889" xr:uid="{2B1DC428-B2D6-425B-84F2-C4DC56EBEC3C}"/>
    <cellStyle name="40% - Accent6 9 2 2 4 4" xfId="30011" xr:uid="{9ECDEC03-4F6E-4BE9-95A9-A57D7C4C770D}"/>
    <cellStyle name="40% - Accent6 9 2 2 5" xfId="9678" xr:uid="{00000000-0005-0000-0000-0000E9530000}"/>
    <cellStyle name="40% - Accent6 9 2 2 5 2" xfId="17636" xr:uid="{00000000-0005-0000-0000-0000EA530000}"/>
    <cellStyle name="40% - Accent6 9 2 2 5 2 2" xfId="41476" xr:uid="{D3C44286-2B07-4A42-BDFC-9E9BA40744DB}"/>
    <cellStyle name="40% - Accent6 9 2 2 5 3" xfId="25580" xr:uid="{00000000-0005-0000-0000-0000EB530000}"/>
    <cellStyle name="40% - Accent6 9 2 2 5 3 2" xfId="49412" xr:uid="{2FC12F62-4965-4065-8B3B-74106582062E}"/>
    <cellStyle name="40% - Accent6 9 2 2 5 4" xfId="33535" xr:uid="{8F9EACAA-0528-4E51-9AAB-46D8C0F9BFC0}"/>
    <cellStyle name="40% - Accent6 9 2 2 6" xfId="10574" xr:uid="{00000000-0005-0000-0000-0000EC530000}"/>
    <cellStyle name="40% - Accent6 9 2 2 6 2" xfId="34423" xr:uid="{3FB167A1-4548-49C7-A16A-F346FBE85708}"/>
    <cellStyle name="40% - Accent6 9 2 2 7" xfId="18529" xr:uid="{00000000-0005-0000-0000-0000ED530000}"/>
    <cellStyle name="40% - Accent6 9 2 2 7 2" xfId="42361" xr:uid="{B01511F0-D656-4EE3-A2CF-6B11C1479C1F}"/>
    <cellStyle name="40% - Accent6 9 2 2 8" xfId="26481" xr:uid="{9BC1F673-8E47-4BD8-B38E-8E8CCF28E826}"/>
    <cellStyle name="40% - Accent6 9 2 2_Exh G" xfId="3414" xr:uid="{00000000-0005-0000-0000-0000EE530000}"/>
    <cellStyle name="40% - Accent6 9 2 3" xfId="1657" xr:uid="{00000000-0005-0000-0000-0000EF530000}"/>
    <cellStyle name="40% - Accent6 9 2 3 2" xfId="5184" xr:uid="{00000000-0005-0000-0000-0000F0530000}"/>
    <cellStyle name="40% - Accent6 9 2 3 2 2" xfId="8775" xr:uid="{00000000-0005-0000-0000-0000F1530000}"/>
    <cellStyle name="40% - Accent6 9 2 3 2 2 2" xfId="16745" xr:uid="{00000000-0005-0000-0000-0000F2530000}"/>
    <cellStyle name="40% - Accent6 9 2 3 2 2 2 2" xfId="40587" xr:uid="{D80309BD-B48C-40D5-BFEF-028AC7BA09EA}"/>
    <cellStyle name="40% - Accent6 9 2 3 2 2 3" xfId="24691" xr:uid="{00000000-0005-0000-0000-0000F3530000}"/>
    <cellStyle name="40% - Accent6 9 2 3 2 2 3 2" xfId="48523" xr:uid="{9440779A-6915-4612-8FFB-CC5ACFF2EEED}"/>
    <cellStyle name="40% - Accent6 9 2 3 2 2 4" xfId="32646" xr:uid="{59933F16-8F99-4296-8DCF-E3D497CCDA9E}"/>
    <cellStyle name="40% - Accent6 9 2 3 2 3" xfId="13207" xr:uid="{00000000-0005-0000-0000-0000F4530000}"/>
    <cellStyle name="40% - Accent6 9 2 3 2 3 2" xfId="37056" xr:uid="{A7B5B051-3B80-4F06-938D-3F49D7AA6B05}"/>
    <cellStyle name="40% - Accent6 9 2 3 2 4" xfId="21162" xr:uid="{00000000-0005-0000-0000-0000F5530000}"/>
    <cellStyle name="40% - Accent6 9 2 3 2 4 2" xfId="44994" xr:uid="{CDE0A4D9-5F69-418D-ABA6-D980BB8C6F57}"/>
    <cellStyle name="40% - Accent6 9 2 3 2 5" xfId="29115" xr:uid="{6B9E7745-CE5C-439C-8FB3-B088F95120D4}"/>
    <cellStyle name="40% - Accent6 9 2 3 3" xfId="7016" xr:uid="{00000000-0005-0000-0000-0000F6530000}"/>
    <cellStyle name="40% - Accent6 9 2 3 3 2" xfId="14987" xr:uid="{00000000-0005-0000-0000-0000F7530000}"/>
    <cellStyle name="40% - Accent6 9 2 3 3 2 2" xfId="38829" xr:uid="{63912BD4-DDF7-43BA-A2E8-68CCF1C1BA00}"/>
    <cellStyle name="40% - Accent6 9 2 3 3 3" xfId="22934" xr:uid="{00000000-0005-0000-0000-0000F8530000}"/>
    <cellStyle name="40% - Accent6 9 2 3 3 3 2" xfId="46766" xr:uid="{66CD058B-3D8F-4554-9BE4-D4A5910BAE3B}"/>
    <cellStyle name="40% - Accent6 9 2 3 3 4" xfId="30888" xr:uid="{71AE409B-8F59-404C-BB03-DEA33C91F906}"/>
    <cellStyle name="40% - Accent6 9 2 3 4" xfId="11451" xr:uid="{00000000-0005-0000-0000-0000F9530000}"/>
    <cellStyle name="40% - Accent6 9 2 3 4 2" xfId="35300" xr:uid="{DACE0F92-7935-4713-A599-31B3CFC5C821}"/>
    <cellStyle name="40% - Accent6 9 2 3 5" xfId="19406" xr:uid="{00000000-0005-0000-0000-0000FA530000}"/>
    <cellStyle name="40% - Accent6 9 2 3 5 2" xfId="43238" xr:uid="{416EE32E-3DE0-40E7-BC4C-A18A9010086B}"/>
    <cellStyle name="40% - Accent6 9 2 3 6" xfId="27358" xr:uid="{9CD5DD40-C10F-483A-8F83-012E5DABAFA4}"/>
    <cellStyle name="40% - Accent6 9 2 3_Exh G" xfId="3416" xr:uid="{00000000-0005-0000-0000-0000FB530000}"/>
    <cellStyle name="40% - Accent6 9 2 4" xfId="4305" xr:uid="{00000000-0005-0000-0000-0000FC530000}"/>
    <cellStyle name="40% - Accent6 9 2 4 2" xfId="7897" xr:uid="{00000000-0005-0000-0000-0000FD530000}"/>
    <cellStyle name="40% - Accent6 9 2 4 2 2" xfId="15867" xr:uid="{00000000-0005-0000-0000-0000FE530000}"/>
    <cellStyle name="40% - Accent6 9 2 4 2 2 2" xfId="39709" xr:uid="{2A8EC285-2CE5-4929-B9B1-61F81B5EDB5D}"/>
    <cellStyle name="40% - Accent6 9 2 4 2 3" xfId="23813" xr:uid="{00000000-0005-0000-0000-0000FF530000}"/>
    <cellStyle name="40% - Accent6 9 2 4 2 3 2" xfId="47645" xr:uid="{DA6AB1C0-4D2E-47BE-9279-99A93C04E8C7}"/>
    <cellStyle name="40% - Accent6 9 2 4 2 4" xfId="31768" xr:uid="{5709EE57-DA3F-4D6C-ADAA-7A1176F79C11}"/>
    <cellStyle name="40% - Accent6 9 2 4 3" xfId="12329" xr:uid="{00000000-0005-0000-0000-000000540000}"/>
    <cellStyle name="40% - Accent6 9 2 4 3 2" xfId="36178" xr:uid="{06CE907B-0D5C-4E7B-84CF-B22FA855D3A9}"/>
    <cellStyle name="40% - Accent6 9 2 4 4" xfId="20284" xr:uid="{00000000-0005-0000-0000-000001540000}"/>
    <cellStyle name="40% - Accent6 9 2 4 4 2" xfId="44116" xr:uid="{0994D0AF-85AF-4DB4-972D-4FEAFAD61FC9}"/>
    <cellStyle name="40% - Accent6 9 2 4 5" xfId="28237" xr:uid="{C692073F-ABDE-49AF-A217-A179734E9AAB}"/>
    <cellStyle name="40% - Accent6 9 2 5" xfId="6125" xr:uid="{00000000-0005-0000-0000-000002540000}"/>
    <cellStyle name="40% - Accent6 9 2 5 2" xfId="14108" xr:uid="{00000000-0005-0000-0000-000003540000}"/>
    <cellStyle name="40% - Accent6 9 2 5 2 2" xfId="37951" xr:uid="{E6D9A12B-4E32-4D4B-9028-727C99599CE7}"/>
    <cellStyle name="40% - Accent6 9 2 5 3" xfId="22056" xr:uid="{00000000-0005-0000-0000-000004540000}"/>
    <cellStyle name="40% - Accent6 9 2 5 3 2" xfId="45888" xr:uid="{F80856D9-F7C5-4D20-B31A-D49E9A33550D}"/>
    <cellStyle name="40% - Accent6 9 2 5 4" xfId="30010" xr:uid="{A53F95BB-98AD-459D-A5DA-1B29FD7C8988}"/>
    <cellStyle name="40% - Accent6 9 2 6" xfId="9677" xr:uid="{00000000-0005-0000-0000-000005540000}"/>
    <cellStyle name="40% - Accent6 9 2 6 2" xfId="17635" xr:uid="{00000000-0005-0000-0000-000006540000}"/>
    <cellStyle name="40% - Accent6 9 2 6 2 2" xfId="41475" xr:uid="{81619AB1-29B7-45DC-93AD-2BBF09AF5BE5}"/>
    <cellStyle name="40% - Accent6 9 2 6 3" xfId="25579" xr:uid="{00000000-0005-0000-0000-000007540000}"/>
    <cellStyle name="40% - Accent6 9 2 6 3 2" xfId="49411" xr:uid="{062A9F55-F674-4A28-9CD7-A87F11F7853C}"/>
    <cellStyle name="40% - Accent6 9 2 6 4" xfId="33534" xr:uid="{AEAAA64B-A6F1-408E-8DDC-3EFE7C94721E}"/>
    <cellStyle name="40% - Accent6 9 2 7" xfId="10573" xr:uid="{00000000-0005-0000-0000-000008540000}"/>
    <cellStyle name="40% - Accent6 9 2 7 2" xfId="34422" xr:uid="{2E5C212E-7BA3-4FEB-9DFF-641E8E9CFF41}"/>
    <cellStyle name="40% - Accent6 9 2 8" xfId="18528" xr:uid="{00000000-0005-0000-0000-000009540000}"/>
    <cellStyle name="40% - Accent6 9 2 8 2" xfId="42360" xr:uid="{B8C443B5-22AB-467A-B3D6-93047875CBEF}"/>
    <cellStyle name="40% - Accent6 9 2 9" xfId="26480" xr:uid="{806BD943-0158-452A-A9AF-48D164AFF7DA}"/>
    <cellStyle name="40% - Accent6 9 2_Exh G" xfId="3413" xr:uid="{00000000-0005-0000-0000-00000A540000}"/>
    <cellStyle name="40% - Accent6 9 3" xfId="633" xr:uid="{00000000-0005-0000-0000-00000B540000}"/>
    <cellStyle name="40% - Accent6 9 3 2" xfId="1659" xr:uid="{00000000-0005-0000-0000-00000C540000}"/>
    <cellStyle name="40% - Accent6 9 3 2 2" xfId="5186" xr:uid="{00000000-0005-0000-0000-00000D540000}"/>
    <cellStyle name="40% - Accent6 9 3 2 2 2" xfId="8777" xr:uid="{00000000-0005-0000-0000-00000E540000}"/>
    <cellStyle name="40% - Accent6 9 3 2 2 2 2" xfId="16747" xr:uid="{00000000-0005-0000-0000-00000F540000}"/>
    <cellStyle name="40% - Accent6 9 3 2 2 2 2 2" xfId="40589" xr:uid="{781E2256-CD8C-403F-A80F-E9571343338E}"/>
    <cellStyle name="40% - Accent6 9 3 2 2 2 3" xfId="24693" xr:uid="{00000000-0005-0000-0000-000010540000}"/>
    <cellStyle name="40% - Accent6 9 3 2 2 2 3 2" xfId="48525" xr:uid="{6B1E233E-3AE7-479B-A8FE-FED4BCBA9ED2}"/>
    <cellStyle name="40% - Accent6 9 3 2 2 2 4" xfId="32648" xr:uid="{1FDFA2B6-024B-4F84-AEFE-C83277414455}"/>
    <cellStyle name="40% - Accent6 9 3 2 2 3" xfId="13209" xr:uid="{00000000-0005-0000-0000-000011540000}"/>
    <cellStyle name="40% - Accent6 9 3 2 2 3 2" xfId="37058" xr:uid="{FAFC21CA-7D3B-4747-B390-462873EEB2A0}"/>
    <cellStyle name="40% - Accent6 9 3 2 2 4" xfId="21164" xr:uid="{00000000-0005-0000-0000-000012540000}"/>
    <cellStyle name="40% - Accent6 9 3 2 2 4 2" xfId="44996" xr:uid="{B5AD502A-2AD6-4DC2-809F-FA06DF295EDA}"/>
    <cellStyle name="40% - Accent6 9 3 2 2 5" xfId="29117" xr:uid="{FED52A87-7AF8-4C9F-8EA0-699862FBADF6}"/>
    <cellStyle name="40% - Accent6 9 3 2 3" xfId="7018" xr:uid="{00000000-0005-0000-0000-000013540000}"/>
    <cellStyle name="40% - Accent6 9 3 2 3 2" xfId="14989" xr:uid="{00000000-0005-0000-0000-000014540000}"/>
    <cellStyle name="40% - Accent6 9 3 2 3 2 2" xfId="38831" xr:uid="{F3760F94-B591-4981-BC67-2AA865C96C37}"/>
    <cellStyle name="40% - Accent6 9 3 2 3 3" xfId="22936" xr:uid="{00000000-0005-0000-0000-000015540000}"/>
    <cellStyle name="40% - Accent6 9 3 2 3 3 2" xfId="46768" xr:uid="{6EFAD090-4A23-4EA6-917C-16EE2F292839}"/>
    <cellStyle name="40% - Accent6 9 3 2 3 4" xfId="30890" xr:uid="{ECF2372B-03B0-443B-BB89-6DCF76D2714E}"/>
    <cellStyle name="40% - Accent6 9 3 2 4" xfId="11453" xr:uid="{00000000-0005-0000-0000-000016540000}"/>
    <cellStyle name="40% - Accent6 9 3 2 4 2" xfId="35302" xr:uid="{EFFDFF41-3661-46A2-9620-A2C68D190F2E}"/>
    <cellStyle name="40% - Accent6 9 3 2 5" xfId="19408" xr:uid="{00000000-0005-0000-0000-000017540000}"/>
    <cellStyle name="40% - Accent6 9 3 2 5 2" xfId="43240" xr:uid="{53B5D3D6-0ED8-4FE7-BE40-3766EED28226}"/>
    <cellStyle name="40% - Accent6 9 3 2 6" xfId="27360" xr:uid="{287A8F1D-01F7-44E3-BA0D-53A4D5ADC4F1}"/>
    <cellStyle name="40% - Accent6 9 3 2_Exh G" xfId="3418" xr:uid="{00000000-0005-0000-0000-000018540000}"/>
    <cellStyle name="40% - Accent6 9 3 3" xfId="4307" xr:uid="{00000000-0005-0000-0000-000019540000}"/>
    <cellStyle name="40% - Accent6 9 3 3 2" xfId="7899" xr:uid="{00000000-0005-0000-0000-00001A540000}"/>
    <cellStyle name="40% - Accent6 9 3 3 2 2" xfId="15869" xr:uid="{00000000-0005-0000-0000-00001B540000}"/>
    <cellStyle name="40% - Accent6 9 3 3 2 2 2" xfId="39711" xr:uid="{68063BDB-07E1-4CE8-9B8B-970FEF309FEC}"/>
    <cellStyle name="40% - Accent6 9 3 3 2 3" xfId="23815" xr:uid="{00000000-0005-0000-0000-00001C540000}"/>
    <cellStyle name="40% - Accent6 9 3 3 2 3 2" xfId="47647" xr:uid="{60847256-1FFD-4216-AB0B-8A3B3DAFD578}"/>
    <cellStyle name="40% - Accent6 9 3 3 2 4" xfId="31770" xr:uid="{85410899-EF75-4935-A789-1CAFAE362601}"/>
    <cellStyle name="40% - Accent6 9 3 3 3" xfId="12331" xr:uid="{00000000-0005-0000-0000-00001D540000}"/>
    <cellStyle name="40% - Accent6 9 3 3 3 2" xfId="36180" xr:uid="{C5AE9B09-6D49-46D1-80F0-9C1FA9A18D6B}"/>
    <cellStyle name="40% - Accent6 9 3 3 4" xfId="20286" xr:uid="{00000000-0005-0000-0000-00001E540000}"/>
    <cellStyle name="40% - Accent6 9 3 3 4 2" xfId="44118" xr:uid="{82905B4E-1F3F-47D4-A36A-03AB297ED7FC}"/>
    <cellStyle name="40% - Accent6 9 3 3 5" xfId="28239" xr:uid="{EB087CFA-7492-4EA7-A173-848089EF0513}"/>
    <cellStyle name="40% - Accent6 9 3 4" xfId="6127" xr:uid="{00000000-0005-0000-0000-00001F540000}"/>
    <cellStyle name="40% - Accent6 9 3 4 2" xfId="14110" xr:uid="{00000000-0005-0000-0000-000020540000}"/>
    <cellStyle name="40% - Accent6 9 3 4 2 2" xfId="37953" xr:uid="{E1A09004-2F9B-4725-8174-2282BB9FDB1F}"/>
    <cellStyle name="40% - Accent6 9 3 4 3" xfId="22058" xr:uid="{00000000-0005-0000-0000-000021540000}"/>
    <cellStyle name="40% - Accent6 9 3 4 3 2" xfId="45890" xr:uid="{BA67195B-416E-4FF4-8A2E-8EA40B5BBF97}"/>
    <cellStyle name="40% - Accent6 9 3 4 4" xfId="30012" xr:uid="{6099165E-672E-4C21-8D4A-1058D7D4BB91}"/>
    <cellStyle name="40% - Accent6 9 3 5" xfId="9679" xr:uid="{00000000-0005-0000-0000-000022540000}"/>
    <cellStyle name="40% - Accent6 9 3 5 2" xfId="17637" xr:uid="{00000000-0005-0000-0000-000023540000}"/>
    <cellStyle name="40% - Accent6 9 3 5 2 2" xfId="41477" xr:uid="{4B800651-EBF5-4FD5-BBC3-99524354239A}"/>
    <cellStyle name="40% - Accent6 9 3 5 3" xfId="25581" xr:uid="{00000000-0005-0000-0000-000024540000}"/>
    <cellStyle name="40% - Accent6 9 3 5 3 2" xfId="49413" xr:uid="{D1DBD442-AD66-4D97-8445-791CBA4CDBE7}"/>
    <cellStyle name="40% - Accent6 9 3 5 4" xfId="33536" xr:uid="{D471B2FC-D2EA-41F8-86FB-58B8105D8CDD}"/>
    <cellStyle name="40% - Accent6 9 3 6" xfId="10575" xr:uid="{00000000-0005-0000-0000-000025540000}"/>
    <cellStyle name="40% - Accent6 9 3 6 2" xfId="34424" xr:uid="{8F24490D-7241-4CAA-87F6-C9B7F84F0459}"/>
    <cellStyle name="40% - Accent6 9 3 7" xfId="18530" xr:uid="{00000000-0005-0000-0000-000026540000}"/>
    <cellStyle name="40% - Accent6 9 3 7 2" xfId="42362" xr:uid="{E034BC37-F647-4220-8E26-6B2169617E13}"/>
    <cellStyle name="40% - Accent6 9 3 8" xfId="26482" xr:uid="{4601917D-1324-4845-863E-2E361C0D2F8D}"/>
    <cellStyle name="40% - Accent6 9 3_Exh G" xfId="3417" xr:uid="{00000000-0005-0000-0000-000027540000}"/>
    <cellStyle name="40% - Accent6 9 4" xfId="1002" xr:uid="{00000000-0005-0000-0000-000028540000}"/>
    <cellStyle name="40% - Accent6 9 4 2" xfId="1911" xr:uid="{00000000-0005-0000-0000-000029540000}"/>
    <cellStyle name="40% - Accent6 9 4 2 2" xfId="5428" xr:uid="{00000000-0005-0000-0000-00002A540000}"/>
    <cellStyle name="40% - Accent6 9 4 2 2 2" xfId="9019" xr:uid="{00000000-0005-0000-0000-00002B540000}"/>
    <cellStyle name="40% - Accent6 9 4 2 2 2 2" xfId="16989" xr:uid="{00000000-0005-0000-0000-00002C540000}"/>
    <cellStyle name="40% - Accent6 9 4 2 2 2 2 2" xfId="40831" xr:uid="{1D9FB0B5-D0F0-4A6A-BF27-901B07F80BBE}"/>
    <cellStyle name="40% - Accent6 9 4 2 2 2 3" xfId="24935" xr:uid="{00000000-0005-0000-0000-00002D540000}"/>
    <cellStyle name="40% - Accent6 9 4 2 2 2 3 2" xfId="48767" xr:uid="{75E6E11E-1D66-4635-9AF1-BA89284FD95C}"/>
    <cellStyle name="40% - Accent6 9 4 2 2 2 4" xfId="32890" xr:uid="{EB9DE136-F266-457E-BC13-DC07CB94517B}"/>
    <cellStyle name="40% - Accent6 9 4 2 2 3" xfId="13451" xr:uid="{00000000-0005-0000-0000-00002E540000}"/>
    <cellStyle name="40% - Accent6 9 4 2 2 3 2" xfId="37300" xr:uid="{F9FE3374-E32D-4C26-828D-92D1CAE70BE8}"/>
    <cellStyle name="40% - Accent6 9 4 2 2 4" xfId="21406" xr:uid="{00000000-0005-0000-0000-00002F540000}"/>
    <cellStyle name="40% - Accent6 9 4 2 2 4 2" xfId="45238" xr:uid="{35608D4C-9FDF-41C5-9A34-C5C2E6B6255D}"/>
    <cellStyle name="40% - Accent6 9 4 2 2 5" xfId="29359" xr:uid="{D8868A12-7558-496D-803B-364F6D7A3819}"/>
    <cellStyle name="40% - Accent6 9 4 2 3" xfId="7260" xr:uid="{00000000-0005-0000-0000-000030540000}"/>
    <cellStyle name="40% - Accent6 9 4 2 3 2" xfId="15231" xr:uid="{00000000-0005-0000-0000-000031540000}"/>
    <cellStyle name="40% - Accent6 9 4 2 3 2 2" xfId="39073" xr:uid="{0B924937-7CF4-4C74-8433-B8F9599476E4}"/>
    <cellStyle name="40% - Accent6 9 4 2 3 3" xfId="23178" xr:uid="{00000000-0005-0000-0000-000032540000}"/>
    <cellStyle name="40% - Accent6 9 4 2 3 3 2" xfId="47010" xr:uid="{D9DD0A52-D589-4715-BA9A-5947921298CD}"/>
    <cellStyle name="40% - Accent6 9 4 2 3 4" xfId="31132" xr:uid="{51090985-F5A3-4527-9AE4-2B930A564105}"/>
    <cellStyle name="40% - Accent6 9 4 2 4" xfId="11695" xr:uid="{00000000-0005-0000-0000-000033540000}"/>
    <cellStyle name="40% - Accent6 9 4 2 4 2" xfId="35544" xr:uid="{EA165F09-A955-4154-AB39-C3949192D5AD}"/>
    <cellStyle name="40% - Accent6 9 4 2 5" xfId="19650" xr:uid="{00000000-0005-0000-0000-000034540000}"/>
    <cellStyle name="40% - Accent6 9 4 2 5 2" xfId="43482" xr:uid="{EE65C04F-4893-4A8A-8A6B-B48BE879CCBD}"/>
    <cellStyle name="40% - Accent6 9 4 2 6" xfId="27602" xr:uid="{7D0C3E57-D9D3-4D4A-93A1-4FC48BEB5745}"/>
    <cellStyle name="40% - Accent6 9 4 2_Exh G" xfId="3420" xr:uid="{00000000-0005-0000-0000-000035540000}"/>
    <cellStyle name="40% - Accent6 9 4 3" xfId="4549" xr:uid="{00000000-0005-0000-0000-000036540000}"/>
    <cellStyle name="40% - Accent6 9 4 3 2" xfId="8141" xr:uid="{00000000-0005-0000-0000-000037540000}"/>
    <cellStyle name="40% - Accent6 9 4 3 2 2" xfId="16111" xr:uid="{00000000-0005-0000-0000-000038540000}"/>
    <cellStyle name="40% - Accent6 9 4 3 2 2 2" xfId="39953" xr:uid="{101113E4-FC83-4C96-857C-614599C1AE5D}"/>
    <cellStyle name="40% - Accent6 9 4 3 2 3" xfId="24057" xr:uid="{00000000-0005-0000-0000-000039540000}"/>
    <cellStyle name="40% - Accent6 9 4 3 2 3 2" xfId="47889" xr:uid="{24458DC7-7476-4495-A5FB-634F5FDE8597}"/>
    <cellStyle name="40% - Accent6 9 4 3 2 4" xfId="32012" xr:uid="{E5931E2C-F8BE-46C0-AD16-B820194CB545}"/>
    <cellStyle name="40% - Accent6 9 4 3 3" xfId="12573" xr:uid="{00000000-0005-0000-0000-00003A540000}"/>
    <cellStyle name="40% - Accent6 9 4 3 3 2" xfId="36422" xr:uid="{C2FDB07F-5F0D-4DF0-B57A-3855B21108BB}"/>
    <cellStyle name="40% - Accent6 9 4 3 4" xfId="20528" xr:uid="{00000000-0005-0000-0000-00003B540000}"/>
    <cellStyle name="40% - Accent6 9 4 3 4 2" xfId="44360" xr:uid="{39979104-5FC2-453C-AC0B-040996967439}"/>
    <cellStyle name="40% - Accent6 9 4 3 5" xfId="28481" xr:uid="{E1C81416-85C5-4ECE-98EF-B98342721DE1}"/>
    <cellStyle name="40% - Accent6 9 4 4" xfId="6379" xr:uid="{00000000-0005-0000-0000-00003C540000}"/>
    <cellStyle name="40% - Accent6 9 4 4 2" xfId="14353" xr:uid="{00000000-0005-0000-0000-00003D540000}"/>
    <cellStyle name="40% - Accent6 9 4 4 2 2" xfId="38195" xr:uid="{A078E35D-BAC3-4E01-8033-C36BCBFFD3C5}"/>
    <cellStyle name="40% - Accent6 9 4 4 3" xfId="22300" xr:uid="{00000000-0005-0000-0000-00003E540000}"/>
    <cellStyle name="40% - Accent6 9 4 4 3 2" xfId="46132" xr:uid="{64E8BF9B-5EB1-476C-B07B-B4C12402BA91}"/>
    <cellStyle name="40% - Accent6 9 4 4 4" xfId="30254" xr:uid="{46AD3705-758E-4D54-8512-F4E8977470FC}"/>
    <cellStyle name="40% - Accent6 9 4 5" xfId="9921" xr:uid="{00000000-0005-0000-0000-00003F540000}"/>
    <cellStyle name="40% - Accent6 9 4 5 2" xfId="17879" xr:uid="{00000000-0005-0000-0000-000040540000}"/>
    <cellStyle name="40% - Accent6 9 4 5 2 2" xfId="41719" xr:uid="{B8CC4DC1-C7A3-4990-A7A6-47CD306BCA5E}"/>
    <cellStyle name="40% - Accent6 9 4 5 3" xfId="25823" xr:uid="{00000000-0005-0000-0000-000041540000}"/>
    <cellStyle name="40% - Accent6 9 4 5 3 2" xfId="49655" xr:uid="{99FCED04-F0C6-4635-AA36-F7A26346DA01}"/>
    <cellStyle name="40% - Accent6 9 4 5 4" xfId="33778" xr:uid="{54925D68-AB6A-44F2-8036-E744C7A2BA57}"/>
    <cellStyle name="40% - Accent6 9 4 6" xfId="10817" xr:uid="{00000000-0005-0000-0000-000042540000}"/>
    <cellStyle name="40% - Accent6 9 4 6 2" xfId="34666" xr:uid="{02E77701-5561-42AF-94A9-ED5B3A03826C}"/>
    <cellStyle name="40% - Accent6 9 4 7" xfId="18772" xr:uid="{00000000-0005-0000-0000-000043540000}"/>
    <cellStyle name="40% - Accent6 9 4 7 2" xfId="42604" xr:uid="{33FF3037-27DB-4428-A86F-A4442624E17B}"/>
    <cellStyle name="40% - Accent6 9 4 8" xfId="26724" xr:uid="{1D971A93-5D8F-4248-AC59-0101FC98B21F}"/>
    <cellStyle name="40% - Accent6 9 4_Exh G" xfId="3419" xr:uid="{00000000-0005-0000-0000-000044540000}"/>
    <cellStyle name="40% - Accent6 9 5" xfId="1656" xr:uid="{00000000-0005-0000-0000-000045540000}"/>
    <cellStyle name="40% - Accent6 9 5 2" xfId="5183" xr:uid="{00000000-0005-0000-0000-000046540000}"/>
    <cellStyle name="40% - Accent6 9 5 2 2" xfId="8774" xr:uid="{00000000-0005-0000-0000-000047540000}"/>
    <cellStyle name="40% - Accent6 9 5 2 2 2" xfId="16744" xr:uid="{00000000-0005-0000-0000-000048540000}"/>
    <cellStyle name="40% - Accent6 9 5 2 2 2 2" xfId="40586" xr:uid="{5F2DC413-B515-4887-B096-18BD0ED74AC9}"/>
    <cellStyle name="40% - Accent6 9 5 2 2 3" xfId="24690" xr:uid="{00000000-0005-0000-0000-000049540000}"/>
    <cellStyle name="40% - Accent6 9 5 2 2 3 2" xfId="48522" xr:uid="{A8D4A075-C76A-4461-8967-088537A1723E}"/>
    <cellStyle name="40% - Accent6 9 5 2 2 4" xfId="32645" xr:uid="{BD8CF0F7-D204-45D4-A620-4BE30C42A405}"/>
    <cellStyle name="40% - Accent6 9 5 2 3" xfId="13206" xr:uid="{00000000-0005-0000-0000-00004A540000}"/>
    <cellStyle name="40% - Accent6 9 5 2 3 2" xfId="37055" xr:uid="{449953BB-8CF6-4E28-B098-979783388960}"/>
    <cellStyle name="40% - Accent6 9 5 2 4" xfId="21161" xr:uid="{00000000-0005-0000-0000-00004B540000}"/>
    <cellStyle name="40% - Accent6 9 5 2 4 2" xfId="44993" xr:uid="{28E15F34-4AEF-40C9-8AC5-36DE7F892386}"/>
    <cellStyle name="40% - Accent6 9 5 2 5" xfId="29114" xr:uid="{3D634E57-4876-484C-ACFC-6DB1BA501939}"/>
    <cellStyle name="40% - Accent6 9 5 3" xfId="7015" xr:uid="{00000000-0005-0000-0000-00004C540000}"/>
    <cellStyle name="40% - Accent6 9 5 3 2" xfId="14986" xr:uid="{00000000-0005-0000-0000-00004D540000}"/>
    <cellStyle name="40% - Accent6 9 5 3 2 2" xfId="38828" xr:uid="{BA159AAC-C0E7-426F-B251-B933F2702ECC}"/>
    <cellStyle name="40% - Accent6 9 5 3 3" xfId="22933" xr:uid="{00000000-0005-0000-0000-00004E540000}"/>
    <cellStyle name="40% - Accent6 9 5 3 3 2" xfId="46765" xr:uid="{ACAE56DB-3094-4134-9D7E-D4EC490E133F}"/>
    <cellStyle name="40% - Accent6 9 5 3 4" xfId="30887" xr:uid="{097DB99B-1C9F-42A2-8FEC-1097FAC954C2}"/>
    <cellStyle name="40% - Accent6 9 5 4" xfId="11450" xr:uid="{00000000-0005-0000-0000-00004F540000}"/>
    <cellStyle name="40% - Accent6 9 5 4 2" xfId="35299" xr:uid="{11EBF595-342D-4736-A807-CAA5A1AC57D1}"/>
    <cellStyle name="40% - Accent6 9 5 5" xfId="19405" xr:uid="{00000000-0005-0000-0000-000050540000}"/>
    <cellStyle name="40% - Accent6 9 5 5 2" xfId="43237" xr:uid="{7E596FDD-108C-422D-AF3A-89826F8BAD9C}"/>
    <cellStyle name="40% - Accent6 9 5 6" xfId="27357" xr:uid="{2EA73A1A-29B4-4814-BC82-1D8418A4E712}"/>
    <cellStyle name="40% - Accent6 9 5_Exh G" xfId="3421" xr:uid="{00000000-0005-0000-0000-000051540000}"/>
    <cellStyle name="40% - Accent6 9 6" xfId="4304" xr:uid="{00000000-0005-0000-0000-000052540000}"/>
    <cellStyle name="40% - Accent6 9 6 2" xfId="7896" xr:uid="{00000000-0005-0000-0000-000053540000}"/>
    <cellStyle name="40% - Accent6 9 6 2 2" xfId="15866" xr:uid="{00000000-0005-0000-0000-000054540000}"/>
    <cellStyle name="40% - Accent6 9 6 2 2 2" xfId="39708" xr:uid="{9A4B1DF8-A034-4B56-B45E-B4296FE690B6}"/>
    <cellStyle name="40% - Accent6 9 6 2 3" xfId="23812" xr:uid="{00000000-0005-0000-0000-000055540000}"/>
    <cellStyle name="40% - Accent6 9 6 2 3 2" xfId="47644" xr:uid="{CE6476B7-A3DB-43E6-8D8F-39272B89546F}"/>
    <cellStyle name="40% - Accent6 9 6 2 4" xfId="31767" xr:uid="{7CEA809B-0017-493A-9D84-616DB4A11193}"/>
    <cellStyle name="40% - Accent6 9 6 3" xfId="12328" xr:uid="{00000000-0005-0000-0000-000056540000}"/>
    <cellStyle name="40% - Accent6 9 6 3 2" xfId="36177" xr:uid="{2752B14A-D109-481B-B26A-B6603AF9864E}"/>
    <cellStyle name="40% - Accent6 9 6 4" xfId="20283" xr:uid="{00000000-0005-0000-0000-000057540000}"/>
    <cellStyle name="40% - Accent6 9 6 4 2" xfId="44115" xr:uid="{4884793A-3B45-46E0-9CAE-E59197FE0894}"/>
    <cellStyle name="40% - Accent6 9 6 5" xfId="28236" xr:uid="{445416E8-9879-4B09-90C7-F05AAD32EC65}"/>
    <cellStyle name="40% - Accent6 9 7" xfId="6124" xr:uid="{00000000-0005-0000-0000-000058540000}"/>
    <cellStyle name="40% - Accent6 9 7 2" xfId="14107" xr:uid="{00000000-0005-0000-0000-000059540000}"/>
    <cellStyle name="40% - Accent6 9 7 2 2" xfId="37950" xr:uid="{6592A85F-9586-4E4B-AB6B-020F9B8D1B3E}"/>
    <cellStyle name="40% - Accent6 9 7 3" xfId="22055" xr:uid="{00000000-0005-0000-0000-00005A540000}"/>
    <cellStyle name="40% - Accent6 9 7 3 2" xfId="45887" xr:uid="{AB8EA80A-AB1E-441C-8BFC-E19CB8C492ED}"/>
    <cellStyle name="40% - Accent6 9 7 4" xfId="30009" xr:uid="{4BF375CC-EDF1-4978-94EF-5F2B7579046C}"/>
    <cellStyle name="40% - Accent6 9 8" xfId="9676" xr:uid="{00000000-0005-0000-0000-00005B540000}"/>
    <cellStyle name="40% - Accent6 9 8 2" xfId="17634" xr:uid="{00000000-0005-0000-0000-00005C540000}"/>
    <cellStyle name="40% - Accent6 9 8 2 2" xfId="41474" xr:uid="{024646B5-E000-465B-960D-FCFD1A45645C}"/>
    <cellStyle name="40% - Accent6 9 8 3" xfId="25578" xr:uid="{00000000-0005-0000-0000-00005D540000}"/>
    <cellStyle name="40% - Accent6 9 8 3 2" xfId="49410" xr:uid="{18E30E00-28A2-47B7-AE66-75B231D71679}"/>
    <cellStyle name="40% - Accent6 9 8 4" xfId="33533" xr:uid="{1445B0EE-8122-4C0A-84D8-1849528AE5F8}"/>
    <cellStyle name="40% - Accent6 9 9" xfId="10572" xr:uid="{00000000-0005-0000-0000-00005E540000}"/>
    <cellStyle name="40% - Accent6 9 9 2" xfId="34421" xr:uid="{26027ED1-A7C8-4180-92C6-E9B97FBFE13C}"/>
    <cellStyle name="40% - Accent6 9_Exh G" xfId="3412" xr:uid="{00000000-0005-0000-0000-00005F540000}"/>
    <cellStyle name="60% - Accent1 2" xfId="739" xr:uid="{00000000-0005-0000-0000-000060540000}"/>
    <cellStyle name="60% - Accent1 3" xfId="740" xr:uid="{00000000-0005-0000-0000-000061540000}"/>
    <cellStyle name="60% - Accent1 4" xfId="741" xr:uid="{00000000-0005-0000-0000-000062540000}"/>
    <cellStyle name="60% - Accent2 2" xfId="742" xr:uid="{00000000-0005-0000-0000-000063540000}"/>
    <cellStyle name="60% - Accent2 3" xfId="743" xr:uid="{00000000-0005-0000-0000-000064540000}"/>
    <cellStyle name="60% - Accent2 4" xfId="744" xr:uid="{00000000-0005-0000-0000-000065540000}"/>
    <cellStyle name="60% - Accent3 2" xfId="745" xr:uid="{00000000-0005-0000-0000-000066540000}"/>
    <cellStyle name="60% - Accent3 3" xfId="746" xr:uid="{00000000-0005-0000-0000-000067540000}"/>
    <cellStyle name="60% - Accent3 4" xfId="747" xr:uid="{00000000-0005-0000-0000-000068540000}"/>
    <cellStyle name="60% - Accent4 2" xfId="748" xr:uid="{00000000-0005-0000-0000-000069540000}"/>
    <cellStyle name="60% - Accent4 3" xfId="749" xr:uid="{00000000-0005-0000-0000-00006A540000}"/>
    <cellStyle name="60% - Accent4 4" xfId="750" xr:uid="{00000000-0005-0000-0000-00006B540000}"/>
    <cellStyle name="60% - Accent5 2" xfId="751" xr:uid="{00000000-0005-0000-0000-00006C540000}"/>
    <cellStyle name="60% - Accent5 3" xfId="752" xr:uid="{00000000-0005-0000-0000-00006D540000}"/>
    <cellStyle name="60% - Accent5 4" xfId="753" xr:uid="{00000000-0005-0000-0000-00006E540000}"/>
    <cellStyle name="60% - Accent6 2" xfId="754" xr:uid="{00000000-0005-0000-0000-00006F540000}"/>
    <cellStyle name="60% - Accent6 3" xfId="755" xr:uid="{00000000-0005-0000-0000-000070540000}"/>
    <cellStyle name="60% - Accent6 4" xfId="756" xr:uid="{00000000-0005-0000-0000-000071540000}"/>
    <cellStyle name="Accent1 2" xfId="757" xr:uid="{00000000-0005-0000-0000-000072540000}"/>
    <cellStyle name="Accent1 3" xfId="758" xr:uid="{00000000-0005-0000-0000-000073540000}"/>
    <cellStyle name="Accent1 4" xfId="759" xr:uid="{00000000-0005-0000-0000-000074540000}"/>
    <cellStyle name="Accent2 2" xfId="760" xr:uid="{00000000-0005-0000-0000-000075540000}"/>
    <cellStyle name="Accent2 3" xfId="761" xr:uid="{00000000-0005-0000-0000-000076540000}"/>
    <cellStyle name="Accent2 4" xfId="762" xr:uid="{00000000-0005-0000-0000-000077540000}"/>
    <cellStyle name="Accent3 2" xfId="763" xr:uid="{00000000-0005-0000-0000-000078540000}"/>
    <cellStyle name="Accent3 3" xfId="764" xr:uid="{00000000-0005-0000-0000-000079540000}"/>
    <cellStyle name="Accent3 4" xfId="765" xr:uid="{00000000-0005-0000-0000-00007A540000}"/>
    <cellStyle name="Accent4 2" xfId="766" xr:uid="{00000000-0005-0000-0000-00007B540000}"/>
    <cellStyle name="Accent4 3" xfId="767" xr:uid="{00000000-0005-0000-0000-00007C540000}"/>
    <cellStyle name="Accent4 4" xfId="768" xr:uid="{00000000-0005-0000-0000-00007D540000}"/>
    <cellStyle name="Accent5 2" xfId="769" xr:uid="{00000000-0005-0000-0000-00007E540000}"/>
    <cellStyle name="Accent5 3" xfId="770" xr:uid="{00000000-0005-0000-0000-00007F540000}"/>
    <cellStyle name="Accent5 4" xfId="771" xr:uid="{00000000-0005-0000-0000-000080540000}"/>
    <cellStyle name="Accent6 2" xfId="772" xr:uid="{00000000-0005-0000-0000-000081540000}"/>
    <cellStyle name="Accent6 3" xfId="773" xr:uid="{00000000-0005-0000-0000-000082540000}"/>
    <cellStyle name="Accent6 4" xfId="774" xr:uid="{00000000-0005-0000-0000-000083540000}"/>
    <cellStyle name="Bad 2" xfId="775" xr:uid="{00000000-0005-0000-0000-000084540000}"/>
    <cellStyle name="Bad 3" xfId="776" xr:uid="{00000000-0005-0000-0000-000085540000}"/>
    <cellStyle name="Bad 4" xfId="777" xr:uid="{00000000-0005-0000-0000-000086540000}"/>
    <cellStyle name="C00A" xfId="49698" xr:uid="{651E60E2-5F16-4971-B758-5E1DB5D226C5}"/>
    <cellStyle name="C00B" xfId="49699" xr:uid="{D7A9A9E8-AD47-4B47-9C8B-19F346E1F606}"/>
    <cellStyle name="C00L" xfId="49700" xr:uid="{972D11D0-E098-4593-B08F-41EFD348E95A}"/>
    <cellStyle name="C01A" xfId="49701" xr:uid="{373A0D2D-F697-43FA-8B25-0BE173B4FA7D}"/>
    <cellStyle name="C01B" xfId="49702" xr:uid="{C4782731-6FA2-4EE0-B720-0CAD77B50ADF}"/>
    <cellStyle name="C01H" xfId="49703" xr:uid="{BE517F0B-DB1B-49BB-BCDE-A6AC4BBD2A79}"/>
    <cellStyle name="C01L" xfId="49704" xr:uid="{5786AC69-F3E4-4899-A40D-FC463116F031}"/>
    <cellStyle name="C02A" xfId="49705" xr:uid="{1BCDA1EB-D915-4765-A23E-DCDB9977D44B}"/>
    <cellStyle name="C02B" xfId="49706" xr:uid="{5E3E6CDD-2FC2-4FCB-AABC-1E67F9133BA0}"/>
    <cellStyle name="C02H" xfId="49707" xr:uid="{167DFFC2-9900-410D-B8BB-2E3CBD12A30E}"/>
    <cellStyle name="C02L" xfId="49708" xr:uid="{A4C1EBB3-67A6-485B-9573-4658D738D0FE}"/>
    <cellStyle name="C03A" xfId="49709" xr:uid="{08EC0611-1AD1-44E7-A718-90876E55854B}"/>
    <cellStyle name="C03B" xfId="49710" xr:uid="{4D73D23E-B894-4527-A4F8-DB11C4EB11B7}"/>
    <cellStyle name="C03H" xfId="49711" xr:uid="{E21B60C1-1062-4305-A4AD-70C0ABFA318D}"/>
    <cellStyle name="C03L" xfId="49712" xr:uid="{C417BB95-5CD3-42F0-89F1-F039F1658FF7}"/>
    <cellStyle name="C04A" xfId="49713" xr:uid="{58D0B77C-3A42-4B8C-A801-FDBB76597CA1}"/>
    <cellStyle name="C04B" xfId="49714" xr:uid="{10E70545-BAC4-4740-A525-974712F0FEC1}"/>
    <cellStyle name="C04H" xfId="49715" xr:uid="{7DDA02B7-5DA4-4E6C-B6D9-C34698E33A0E}"/>
    <cellStyle name="C04L" xfId="49716" xr:uid="{492D8597-D88B-4399-8714-14B414A5AB67}"/>
    <cellStyle name="C05A" xfId="49717" xr:uid="{1C20608B-0408-43FC-8277-80C453594AEE}"/>
    <cellStyle name="C05B" xfId="49718" xr:uid="{E55CF831-5429-485F-9C11-1581956DB610}"/>
    <cellStyle name="C05H" xfId="49719" xr:uid="{1810EA43-ECCE-45E7-989D-F6E0C218F4BF}"/>
    <cellStyle name="C05L" xfId="49720" xr:uid="{5088F11A-1BF3-4CD0-8E88-363147E86014}"/>
    <cellStyle name="C05L 2" xfId="49780" xr:uid="{31623C7F-A7CA-4C0D-9001-73A280F914CC}"/>
    <cellStyle name="C05L 3" xfId="49766" xr:uid="{8D89F559-5BAB-4253-AEF6-9ABC7DD8000B}"/>
    <cellStyle name="C06A" xfId="49721" xr:uid="{E39FCB18-6B11-4E9E-88C5-DE06CD1AF104}"/>
    <cellStyle name="C06B" xfId="49722" xr:uid="{35ED561A-B862-45A5-BA57-A07AAAD0B5BC}"/>
    <cellStyle name="C06H" xfId="49723" xr:uid="{E1ED3CD1-7FEA-4B81-AA48-73529559A72E}"/>
    <cellStyle name="C06L" xfId="49724" xr:uid="{67E30422-E94B-492A-AED2-F3B045EA9115}"/>
    <cellStyle name="C07A" xfId="49725" xr:uid="{0BE651D3-CDBA-4999-A05C-ADD85E64B371}"/>
    <cellStyle name="C07B" xfId="49726" xr:uid="{B895DDF3-8628-453D-8D49-74EE6C29468A}"/>
    <cellStyle name="C07H" xfId="49727" xr:uid="{76E5E761-5C38-4800-B034-9D8C2BCFC0B3}"/>
    <cellStyle name="C07L" xfId="49728" xr:uid="{4348BC1E-7A9B-45B9-89B4-F8DBE411C33B}"/>
    <cellStyle name="Calculation 2" xfId="778" xr:uid="{00000000-0005-0000-0000-000087540000}"/>
    <cellStyle name="Calculation 3" xfId="779" xr:uid="{00000000-0005-0000-0000-000088540000}"/>
    <cellStyle name="Calculation 3 2" xfId="6230" xr:uid="{00000000-0005-0000-0000-000089540000}"/>
    <cellStyle name="Calculation 4" xfId="780" xr:uid="{00000000-0005-0000-0000-00008A540000}"/>
    <cellStyle name="Calculation 4 2" xfId="6231" xr:uid="{00000000-0005-0000-0000-00008B540000}"/>
    <cellStyle name="Check Cell 2" xfId="781" xr:uid="{00000000-0005-0000-0000-00008C540000}"/>
    <cellStyle name="Check Cell 3" xfId="782" xr:uid="{00000000-0005-0000-0000-00008D540000}"/>
    <cellStyle name="Check Cell 4" xfId="783" xr:uid="{00000000-0005-0000-0000-00008E540000}"/>
    <cellStyle name="Comma" xfId="17915" builtinId="3"/>
    <cellStyle name="Comma 11" xfId="25859" xr:uid="{00000000-0005-0000-0000-000091540000}"/>
    <cellStyle name="Comma 12" xfId="49795" xr:uid="{7DC7A0B4-4AB1-4302-A0E7-A2839EBF1C1B}"/>
    <cellStyle name="Comma 2 2" xfId="738" xr:uid="{00000000-0005-0000-0000-000093540000}"/>
    <cellStyle name="Comma 2 2 2" xfId="830" xr:uid="{00000000-0005-0000-0000-000094540000}"/>
    <cellStyle name="Comma 2 2 3" xfId="1004" xr:uid="{00000000-0005-0000-0000-000096540000}"/>
    <cellStyle name="Comma 2 3" xfId="831" xr:uid="{00000000-0005-0000-0000-000097540000}"/>
    <cellStyle name="Comma 2 3 2" xfId="1767" xr:uid="{00000000-0005-0000-0000-000098540000}"/>
    <cellStyle name="Comma 2 4" xfId="832" xr:uid="{00000000-0005-0000-0000-000099540000}"/>
    <cellStyle name="Comma 2 4 2" xfId="1768" xr:uid="{00000000-0005-0000-0000-00009A540000}"/>
    <cellStyle name="Comma 2 5" xfId="854" xr:uid="{00000000-0005-0000-0000-00009B540000}"/>
    <cellStyle name="Comma 2 5 2" xfId="1789" xr:uid="{00000000-0005-0000-0000-00009C540000}"/>
    <cellStyle name="Comma 2 6" xfId="1003" xr:uid="{00000000-0005-0000-0000-00009D540000}"/>
    <cellStyle name="Comma 2 7" xfId="1041" xr:uid="{00000000-0005-0000-0000-00009E540000}"/>
    <cellStyle name="Comma 2 8" xfId="5459" xr:uid="{00000000-0005-0000-0000-00009F540000}"/>
    <cellStyle name="Comma 2 9" xfId="5489" xr:uid="{00000000-0005-0000-0000-0000A0540000}"/>
    <cellStyle name="Comma 2 9 2" xfId="5506" xr:uid="{00000000-0005-0000-0000-0000A1540000}"/>
    <cellStyle name="Comma 3" xfId="4" xr:uid="{00000000-0005-0000-0000-0000A2540000}"/>
    <cellStyle name="Comma 3 2" xfId="1005" xr:uid="{00000000-0005-0000-0000-0000A3540000}"/>
    <cellStyle name="Comma 3 2 2" xfId="1912" xr:uid="{00000000-0005-0000-0000-0000A4540000}"/>
    <cellStyle name="Comma 3 2 2 2" xfId="5429" xr:uid="{00000000-0005-0000-0000-0000A5540000}"/>
    <cellStyle name="Comma 3 2 2 2 2" xfId="9020" xr:uid="{00000000-0005-0000-0000-0000A6540000}"/>
    <cellStyle name="Comma 3 2 2 2 2 2" xfId="16990" xr:uid="{00000000-0005-0000-0000-0000A7540000}"/>
    <cellStyle name="Comma 3 2 2 2 2 2 2" xfId="40832" xr:uid="{2128CBE7-3446-4289-BA6E-3A5C169A7DC6}"/>
    <cellStyle name="Comma 3 2 2 2 2 3" xfId="24936" xr:uid="{00000000-0005-0000-0000-0000A8540000}"/>
    <cellStyle name="Comma 3 2 2 2 2 3 2" xfId="48768" xr:uid="{6A57AC74-2235-4808-8DF8-2E22174EE811}"/>
    <cellStyle name="Comma 3 2 2 2 2 4" xfId="32891" xr:uid="{91D42DBC-6632-40D5-95CA-0B8890498074}"/>
    <cellStyle name="Comma 3 2 2 2 3" xfId="13452" xr:uid="{00000000-0005-0000-0000-0000A9540000}"/>
    <cellStyle name="Comma 3 2 2 2 3 2" xfId="37301" xr:uid="{BE295E30-6A34-4D3B-B50D-1D4F5CD45996}"/>
    <cellStyle name="Comma 3 2 2 2 4" xfId="21407" xr:uid="{00000000-0005-0000-0000-0000AA540000}"/>
    <cellStyle name="Comma 3 2 2 2 4 2" xfId="45239" xr:uid="{D24D354D-A0B1-46A7-AFD6-B32B9B2F4312}"/>
    <cellStyle name="Comma 3 2 2 2 5" xfId="29360" xr:uid="{43DCEF07-3130-4241-90B7-603F7417C52C}"/>
    <cellStyle name="Comma 3 2 2 3" xfId="7261" xr:uid="{00000000-0005-0000-0000-0000AB540000}"/>
    <cellStyle name="Comma 3 2 2 3 2" xfId="15232" xr:uid="{00000000-0005-0000-0000-0000AC540000}"/>
    <cellStyle name="Comma 3 2 2 3 2 2" xfId="39074" xr:uid="{E91FA95E-151F-462B-83FD-48104353866F}"/>
    <cellStyle name="Comma 3 2 2 3 3" xfId="23179" xr:uid="{00000000-0005-0000-0000-0000AD540000}"/>
    <cellStyle name="Comma 3 2 2 3 3 2" xfId="47011" xr:uid="{AC25DA99-4578-4987-9081-47F0DFCCDEA5}"/>
    <cellStyle name="Comma 3 2 2 3 4" xfId="31133" xr:uid="{1BAC6860-C771-405F-ABD6-D010ADB19AB5}"/>
    <cellStyle name="Comma 3 2 2 4" xfId="11696" xr:uid="{00000000-0005-0000-0000-0000AE540000}"/>
    <cellStyle name="Comma 3 2 2 4 2" xfId="35545" xr:uid="{90FB4BD2-B308-4FD7-B5E5-DB26FD00ED43}"/>
    <cellStyle name="Comma 3 2 2 5" xfId="19651" xr:uid="{00000000-0005-0000-0000-0000AF540000}"/>
    <cellStyle name="Comma 3 2 2 5 2" xfId="43483" xr:uid="{8BDEDD4C-E4CA-4460-84CF-48E31C4637AF}"/>
    <cellStyle name="Comma 3 2 2 6" xfId="27603" xr:uid="{EF99BFCC-CE2E-43FD-BDD6-367B3E306D41}"/>
    <cellStyle name="Comma 3 2 3" xfId="4550" xr:uid="{00000000-0005-0000-0000-0000B0540000}"/>
    <cellStyle name="Comma 3 2 3 2" xfId="8142" xr:uid="{00000000-0005-0000-0000-0000B1540000}"/>
    <cellStyle name="Comma 3 2 3 2 2" xfId="16112" xr:uid="{00000000-0005-0000-0000-0000B2540000}"/>
    <cellStyle name="Comma 3 2 3 2 2 2" xfId="39954" xr:uid="{15F0685C-0A5D-4FB9-853F-DF58BDBCC810}"/>
    <cellStyle name="Comma 3 2 3 2 3" xfId="24058" xr:uid="{00000000-0005-0000-0000-0000B3540000}"/>
    <cellStyle name="Comma 3 2 3 2 3 2" xfId="47890" xr:uid="{1F0A1D3F-94EB-4CA8-AE1B-45418A0FC04A}"/>
    <cellStyle name="Comma 3 2 3 2 4" xfId="32013" xr:uid="{0D2244B5-57A8-4FD0-B74E-B5A481C4F671}"/>
    <cellStyle name="Comma 3 2 3 3" xfId="12574" xr:uid="{00000000-0005-0000-0000-0000B4540000}"/>
    <cellStyle name="Comma 3 2 3 3 2" xfId="36423" xr:uid="{5A50534E-7FC1-4BD2-83E1-7FEF2347447F}"/>
    <cellStyle name="Comma 3 2 3 4" xfId="20529" xr:uid="{00000000-0005-0000-0000-0000B5540000}"/>
    <cellStyle name="Comma 3 2 3 4 2" xfId="44361" xr:uid="{BC302ACA-3097-43D3-9B77-BFBB4D7F44E6}"/>
    <cellStyle name="Comma 3 2 3 5" xfId="28482" xr:uid="{32B2B8BF-4316-422A-AC2A-D918A3FF1D26}"/>
    <cellStyle name="Comma 3 2 4" xfId="5465" xr:uid="{00000000-0005-0000-0000-0000B6540000}"/>
    <cellStyle name="Comma 3 2 5" xfId="6380" xr:uid="{00000000-0005-0000-0000-0000B7540000}"/>
    <cellStyle name="Comma 3 2 5 2" xfId="14354" xr:uid="{00000000-0005-0000-0000-0000B8540000}"/>
    <cellStyle name="Comma 3 2 5 2 2" xfId="38196" xr:uid="{1FB349CC-CBF6-4D55-8C92-527244605AC6}"/>
    <cellStyle name="Comma 3 2 5 3" xfId="22301" xr:uid="{00000000-0005-0000-0000-0000B9540000}"/>
    <cellStyle name="Comma 3 2 5 3 2" xfId="46133" xr:uid="{F2A6B503-0170-4F39-B571-CAC5F99496FD}"/>
    <cellStyle name="Comma 3 2 5 4" xfId="30255" xr:uid="{982A00D8-7856-4E7A-A521-16CB2D2AA47D}"/>
    <cellStyle name="Comma 3 2 6" xfId="9922" xr:uid="{00000000-0005-0000-0000-0000BA540000}"/>
    <cellStyle name="Comma 3 2 6 2" xfId="17880" xr:uid="{00000000-0005-0000-0000-0000BB540000}"/>
    <cellStyle name="Comma 3 2 6 2 2" xfId="41720" xr:uid="{38BF0FEA-891C-410E-B5E0-CE1E32AF8658}"/>
    <cellStyle name="Comma 3 2 6 3" xfId="25824" xr:uid="{00000000-0005-0000-0000-0000BC540000}"/>
    <cellStyle name="Comma 3 2 6 3 2" xfId="49656" xr:uid="{4FD36C75-9FAF-492C-896C-23B647D34F76}"/>
    <cellStyle name="Comma 3 2 6 4" xfId="33779" xr:uid="{9CF5DEFA-81B2-47F5-99BB-963DC289A239}"/>
    <cellStyle name="Comma 3 2 7" xfId="10818" xr:uid="{00000000-0005-0000-0000-0000BD540000}"/>
    <cellStyle name="Comma 3 2 7 2" xfId="34667" xr:uid="{A953117F-C892-4559-B41E-A769DFAA7FC3}"/>
    <cellStyle name="Comma 3 2 8" xfId="18773" xr:uid="{00000000-0005-0000-0000-0000BE540000}"/>
    <cellStyle name="Comma 3 2 8 2" xfId="42605" xr:uid="{39B6EC71-44A2-4890-ADA2-BC79608A1E11}"/>
    <cellStyle name="Comma 3 2 9" xfId="26725" xr:uid="{20B27E88-5E40-43F1-912F-F77472CE2200}"/>
    <cellStyle name="Comma 3 3" xfId="1043" xr:uid="{00000000-0005-0000-0000-0000BF540000}"/>
    <cellStyle name="Comma 3 4" xfId="5461" xr:uid="{00000000-0005-0000-0000-0000C0540000}"/>
    <cellStyle name="Comma 3 5" xfId="5510" xr:uid="{00000000-0005-0000-0000-0000C1540000}"/>
    <cellStyle name="Comma 4" xfId="6" xr:uid="{00000000-0005-0000-0000-0000C2540000}"/>
    <cellStyle name="Comma 4 2" xfId="1006" xr:uid="{00000000-0005-0000-0000-0000C3540000}"/>
    <cellStyle name="Comma 5" xfId="8" xr:uid="{00000000-0005-0000-0000-0000C4540000}"/>
    <cellStyle name="Comma 6" xfId="18" xr:uid="{00000000-0005-0000-0000-0000C5540000}"/>
    <cellStyle name="Comma 6 2" xfId="1046" xr:uid="{00000000-0005-0000-0000-0000C6540000}"/>
    <cellStyle name="Comma 6 2 2" xfId="4573" xr:uid="{00000000-0005-0000-0000-0000C7540000}"/>
    <cellStyle name="Comma 6 2 2 2" xfId="8164" xr:uid="{00000000-0005-0000-0000-0000C8540000}"/>
    <cellStyle name="Comma 6 2 2 2 2" xfId="16134" xr:uid="{00000000-0005-0000-0000-0000C9540000}"/>
    <cellStyle name="Comma 6 2 2 2 2 2" xfId="39976" xr:uid="{3DA24009-E1C0-4018-9DFA-56CD5EE0643F}"/>
    <cellStyle name="Comma 6 2 2 2 3" xfId="24080" xr:uid="{00000000-0005-0000-0000-0000CA540000}"/>
    <cellStyle name="Comma 6 2 2 2 3 2" xfId="47912" xr:uid="{EF0CA107-5946-434F-B0B1-ACECF19093AC}"/>
    <cellStyle name="Comma 6 2 2 2 4" xfId="32035" xr:uid="{22D59179-F457-4619-8A53-912787861120}"/>
    <cellStyle name="Comma 6 2 2 3" xfId="12596" xr:uid="{00000000-0005-0000-0000-0000CB540000}"/>
    <cellStyle name="Comma 6 2 2 3 2" xfId="36445" xr:uid="{FDC14E04-4EBF-4997-8464-179A1E15EF72}"/>
    <cellStyle name="Comma 6 2 2 4" xfId="20551" xr:uid="{00000000-0005-0000-0000-0000CC540000}"/>
    <cellStyle name="Comma 6 2 2 4 2" xfId="44383" xr:uid="{95864417-4BF3-4670-B20A-0D72AF4E75FD}"/>
    <cellStyle name="Comma 6 2 2 5" xfId="28504" xr:uid="{7FFDF6D6-6DC0-4242-A017-33A2E3E43A28}"/>
    <cellStyle name="Comma 6 2 3" xfId="6405" xr:uid="{00000000-0005-0000-0000-0000CD540000}"/>
    <cellStyle name="Comma 6 2 3 2" xfId="14376" xr:uid="{00000000-0005-0000-0000-0000CE540000}"/>
    <cellStyle name="Comma 6 2 3 2 2" xfId="38218" xr:uid="{F368D5B7-9625-4480-8893-320D4DB76FCC}"/>
    <cellStyle name="Comma 6 2 3 3" xfId="22323" xr:uid="{00000000-0005-0000-0000-0000CF540000}"/>
    <cellStyle name="Comma 6 2 3 3 2" xfId="46155" xr:uid="{307228D4-7436-4DA9-96C8-17C2B071BE96}"/>
    <cellStyle name="Comma 6 2 3 4" xfId="30277" xr:uid="{8D8503A1-D10A-4CBD-91E5-D3944F0EF55F}"/>
    <cellStyle name="Comma 6 2 4" xfId="10840" xr:uid="{00000000-0005-0000-0000-0000D0540000}"/>
    <cellStyle name="Comma 6 2 4 2" xfId="34689" xr:uid="{AF9DEA65-EA1A-4E75-B46F-26A2B01F4EAA}"/>
    <cellStyle name="Comma 6 2 5" xfId="18795" xr:uid="{00000000-0005-0000-0000-0000D1540000}"/>
    <cellStyle name="Comma 6 2 5 2" xfId="42627" xr:uid="{5EA10542-D6EC-4ABF-AC14-306BADEE5DBF}"/>
    <cellStyle name="Comma 6 2 6" xfId="26747" xr:uid="{3323436B-583A-4AA5-A258-807E7D2EA79F}"/>
    <cellStyle name="Comma 6 3" xfId="3694" xr:uid="{00000000-0005-0000-0000-0000D2540000}"/>
    <cellStyle name="Comma 6 3 2" xfId="7286" xr:uid="{00000000-0005-0000-0000-0000D3540000}"/>
    <cellStyle name="Comma 6 3 2 2" xfId="15256" xr:uid="{00000000-0005-0000-0000-0000D4540000}"/>
    <cellStyle name="Comma 6 3 2 2 2" xfId="39098" xr:uid="{96233E1A-C59D-49E6-ACAD-D90EC01C1BD3}"/>
    <cellStyle name="Comma 6 3 2 3" xfId="23202" xr:uid="{00000000-0005-0000-0000-0000D5540000}"/>
    <cellStyle name="Comma 6 3 2 3 2" xfId="47034" xr:uid="{950E093E-7AA0-4F35-923A-A1DE8669159C}"/>
    <cellStyle name="Comma 6 3 2 4" xfId="31157" xr:uid="{AC009CB1-7FF1-48A0-943D-DA244FC74042}"/>
    <cellStyle name="Comma 6 3 3" xfId="11718" xr:uid="{00000000-0005-0000-0000-0000D6540000}"/>
    <cellStyle name="Comma 6 3 3 2" xfId="35567" xr:uid="{92FCF4CA-93D1-49C5-947D-2C6568901C1E}"/>
    <cellStyle name="Comma 6 3 4" xfId="19673" xr:uid="{00000000-0005-0000-0000-0000D7540000}"/>
    <cellStyle name="Comma 6 3 4 2" xfId="43505" xr:uid="{6297DF48-9C1B-49E7-9C24-3753DE6178A0}"/>
    <cellStyle name="Comma 6 3 5" xfId="27626" xr:uid="{5FB9AC37-665A-4295-A9F8-FC413FB0682D}"/>
    <cellStyle name="Comma 6 4" xfId="5514" xr:uid="{00000000-0005-0000-0000-0000D8540000}"/>
    <cellStyle name="Comma 6 4 2" xfId="13497" xr:uid="{00000000-0005-0000-0000-0000D9540000}"/>
    <cellStyle name="Comma 6 4 2 2" xfId="37340" xr:uid="{78FA54E1-2474-43C7-995C-BBFAD35879F7}"/>
    <cellStyle name="Comma 6 4 3" xfId="21445" xr:uid="{00000000-0005-0000-0000-0000DA540000}"/>
    <cellStyle name="Comma 6 4 3 2" xfId="45277" xr:uid="{444713C9-7E23-45A9-A1F2-409A3EB01897}"/>
    <cellStyle name="Comma 6 4 4" xfId="29399" xr:uid="{BE07D250-24BB-4323-91FF-606C8630D95C}"/>
    <cellStyle name="Comma 6 5" xfId="9066" xr:uid="{00000000-0005-0000-0000-0000DB540000}"/>
    <cellStyle name="Comma 6 5 2" xfId="17024" xr:uid="{00000000-0005-0000-0000-0000DC540000}"/>
    <cellStyle name="Comma 6 5 2 2" xfId="40864" xr:uid="{02702603-92D5-4F76-8735-BAF41723D890}"/>
    <cellStyle name="Comma 6 5 3" xfId="24968" xr:uid="{00000000-0005-0000-0000-0000DD540000}"/>
    <cellStyle name="Comma 6 5 3 2" xfId="48800" xr:uid="{937A0269-3B58-4E4A-86C7-69B9A0005962}"/>
    <cellStyle name="Comma 6 5 4" xfId="32923" xr:uid="{CB6E3369-D249-4796-AFE8-1F189713B5E6}"/>
    <cellStyle name="Comma 6 6" xfId="9962" xr:uid="{00000000-0005-0000-0000-0000DE540000}"/>
    <cellStyle name="Comma 6 6 2" xfId="33811" xr:uid="{B52161C4-A6E8-4DC9-B901-1065E12AC022}"/>
    <cellStyle name="Comma 6 7" xfId="17917" xr:uid="{00000000-0005-0000-0000-0000DF540000}"/>
    <cellStyle name="Comma 6 7 2" xfId="41749" xr:uid="{E5FFEF3A-C61A-4125-A253-856C4B62C8C9}"/>
    <cellStyle name="Comma 6 8" xfId="25869" xr:uid="{C629B76B-859E-4F27-9EA3-738E7BD1F810}"/>
    <cellStyle name="Comma 7" xfId="21" xr:uid="{00000000-0005-0000-0000-0000E0540000}"/>
    <cellStyle name="Comma 8" xfId="829" xr:uid="{00000000-0005-0000-0000-0000E1540000}"/>
    <cellStyle name="Comma 8 2" xfId="1766" xr:uid="{00000000-0005-0000-0000-0000E2540000}"/>
    <cellStyle name="Comma 8 2 2" xfId="5292" xr:uid="{00000000-0005-0000-0000-0000E3540000}"/>
    <cellStyle name="Comma 8 2 2 2" xfId="8883" xr:uid="{00000000-0005-0000-0000-0000E4540000}"/>
    <cellStyle name="Comma 8 2 2 2 2" xfId="16853" xr:uid="{00000000-0005-0000-0000-0000E5540000}"/>
    <cellStyle name="Comma 8 2 2 2 2 2" xfId="40695" xr:uid="{B716F429-1DAB-4460-B786-192FFE1BD0EA}"/>
    <cellStyle name="Comma 8 2 2 2 3" xfId="24799" xr:uid="{00000000-0005-0000-0000-0000E6540000}"/>
    <cellStyle name="Comma 8 2 2 2 3 2" xfId="48631" xr:uid="{CFFC9ADA-07F8-4A04-8B54-EDF89A15B501}"/>
    <cellStyle name="Comma 8 2 2 2 4" xfId="32754" xr:uid="{F2115FBA-30C0-4963-B738-EE6C2412B00D}"/>
    <cellStyle name="Comma 8 2 2 3" xfId="13315" xr:uid="{00000000-0005-0000-0000-0000E7540000}"/>
    <cellStyle name="Comma 8 2 2 3 2" xfId="37164" xr:uid="{D0629531-BAEF-4DBC-AFBB-550FEBF85C05}"/>
    <cellStyle name="Comma 8 2 2 4" xfId="21270" xr:uid="{00000000-0005-0000-0000-0000E8540000}"/>
    <cellStyle name="Comma 8 2 2 4 2" xfId="45102" xr:uid="{16E8894A-3FE5-494D-B320-384564957F89}"/>
    <cellStyle name="Comma 8 2 2 5" xfId="29223" xr:uid="{72EC5D99-1D65-4E89-92B0-3C76B2CABFC5}"/>
    <cellStyle name="Comma 8 2 3" xfId="7124" xr:uid="{00000000-0005-0000-0000-0000E9540000}"/>
    <cellStyle name="Comma 8 2 3 2" xfId="15095" xr:uid="{00000000-0005-0000-0000-0000EA540000}"/>
    <cellStyle name="Comma 8 2 3 2 2" xfId="38937" xr:uid="{9EED6D67-B9B0-44DA-BAEC-2F335154F776}"/>
    <cellStyle name="Comma 8 2 3 3" xfId="23042" xr:uid="{00000000-0005-0000-0000-0000EB540000}"/>
    <cellStyle name="Comma 8 2 3 3 2" xfId="46874" xr:uid="{E7ADA89D-FA84-4FC1-965D-5B3532C26BFC}"/>
    <cellStyle name="Comma 8 2 3 4" xfId="30996" xr:uid="{ED4C0669-2D2D-43BD-9BE2-E091E854FAB8}"/>
    <cellStyle name="Comma 8 2 4" xfId="11559" xr:uid="{00000000-0005-0000-0000-0000EC540000}"/>
    <cellStyle name="Comma 8 2 4 2" xfId="35408" xr:uid="{14810BD4-BA09-4D2E-AAA1-0842082D3FCF}"/>
    <cellStyle name="Comma 8 2 5" xfId="19514" xr:uid="{00000000-0005-0000-0000-0000ED540000}"/>
    <cellStyle name="Comma 8 2 5 2" xfId="43346" xr:uid="{B248174A-3F52-462D-B83E-4CBD24E29F6A}"/>
    <cellStyle name="Comma 8 2 6" xfId="27466" xr:uid="{ED3E1462-4EFE-4340-AADE-A4E007A68FDB}"/>
    <cellStyle name="Comma 8 3" xfId="4413" xr:uid="{00000000-0005-0000-0000-0000EE540000}"/>
    <cellStyle name="Comma 8 3 2" xfId="8005" xr:uid="{00000000-0005-0000-0000-0000EF540000}"/>
    <cellStyle name="Comma 8 3 2 2" xfId="15975" xr:uid="{00000000-0005-0000-0000-0000F0540000}"/>
    <cellStyle name="Comma 8 3 2 2 2" xfId="39817" xr:uid="{719E92B5-4951-4D83-B51D-1D2CBD800BD9}"/>
    <cellStyle name="Comma 8 3 2 3" xfId="23921" xr:uid="{00000000-0005-0000-0000-0000F1540000}"/>
    <cellStyle name="Comma 8 3 2 3 2" xfId="47753" xr:uid="{5EF1A71E-55E0-471A-8CDF-D482C0C9EFCA}"/>
    <cellStyle name="Comma 8 3 2 4" xfId="31876" xr:uid="{0563B285-E5D2-4917-AB0D-E62CA6B16AE1}"/>
    <cellStyle name="Comma 8 3 3" xfId="12437" xr:uid="{00000000-0005-0000-0000-0000F2540000}"/>
    <cellStyle name="Comma 8 3 3 2" xfId="36286" xr:uid="{B9745409-9235-43AC-9923-FC80DD786CB2}"/>
    <cellStyle name="Comma 8 3 4" xfId="20392" xr:uid="{00000000-0005-0000-0000-0000F3540000}"/>
    <cellStyle name="Comma 8 3 4 2" xfId="44224" xr:uid="{C1C711DD-A2FA-47AC-8862-DFB0E0CC12B2}"/>
    <cellStyle name="Comma 8 3 5" xfId="28345" xr:uid="{C2FDFBEF-94A0-48DF-88DB-DFD8283A5573}"/>
    <cellStyle name="Comma 8 4" xfId="6243" xr:uid="{00000000-0005-0000-0000-0000F4540000}"/>
    <cellStyle name="Comma 8 4 2" xfId="14217" xr:uid="{00000000-0005-0000-0000-0000F5540000}"/>
    <cellStyle name="Comma 8 4 2 2" xfId="38059" xr:uid="{B22C9563-7D9C-4DD2-8805-12D018433BE1}"/>
    <cellStyle name="Comma 8 4 3" xfId="22164" xr:uid="{00000000-0005-0000-0000-0000F6540000}"/>
    <cellStyle name="Comma 8 4 3 2" xfId="45996" xr:uid="{4EF0651A-9BDB-48DB-8E3D-1824C1C2415A}"/>
    <cellStyle name="Comma 8 4 4" xfId="30118" xr:uid="{E2AB2BAA-55EE-4D0E-A94B-18F54FC55B41}"/>
    <cellStyle name="Comma 8 5" xfId="9785" xr:uid="{00000000-0005-0000-0000-0000F7540000}"/>
    <cellStyle name="Comma 8 5 2" xfId="17743" xr:uid="{00000000-0005-0000-0000-0000F8540000}"/>
    <cellStyle name="Comma 8 5 2 2" xfId="41583" xr:uid="{B9129AE9-E6E3-4B56-905F-D36DC61453A2}"/>
    <cellStyle name="Comma 8 5 3" xfId="25687" xr:uid="{00000000-0005-0000-0000-0000F9540000}"/>
    <cellStyle name="Comma 8 5 3 2" xfId="49519" xr:uid="{74B36869-51FA-4F47-887C-E9710C78EA76}"/>
    <cellStyle name="Comma 8 5 4" xfId="33642" xr:uid="{276E09B6-E1F0-4796-89B9-A730C8F33268}"/>
    <cellStyle name="Comma 8 6" xfId="10681" xr:uid="{00000000-0005-0000-0000-0000FA540000}"/>
    <cellStyle name="Comma 8 6 2" xfId="34530" xr:uid="{6CEDB4FC-6BC0-4835-B942-D429B4CDCD84}"/>
    <cellStyle name="Comma 8 7" xfId="18636" xr:uid="{00000000-0005-0000-0000-0000FB540000}"/>
    <cellStyle name="Comma 8 7 2" xfId="42468" xr:uid="{7A20DFF4-5E24-4045-AE4B-E909B13ABDBA}"/>
    <cellStyle name="Comma 8 8" xfId="25863" xr:uid="{00000000-0005-0000-0000-0000FC540000}"/>
    <cellStyle name="Comma 8 9" xfId="26588" xr:uid="{DB0E4FDA-B8B6-4050-A501-B50CE82404E4}"/>
    <cellStyle name="Comma 9" xfId="839" xr:uid="{00000000-0005-0000-0000-0000FD540000}"/>
    <cellStyle name="Comma 9 2" xfId="1774" xr:uid="{00000000-0005-0000-0000-0000FE540000}"/>
    <cellStyle name="Comma 9 2 2" xfId="5294" xr:uid="{00000000-0005-0000-0000-0000FF540000}"/>
    <cellStyle name="Comma 9 2 2 2" xfId="8885" xr:uid="{00000000-0005-0000-0000-000000550000}"/>
    <cellStyle name="Comma 9 2 2 2 2" xfId="16855" xr:uid="{00000000-0005-0000-0000-000001550000}"/>
    <cellStyle name="Comma 9 2 2 2 2 2" xfId="40697" xr:uid="{C64310D1-5AFE-4FA2-9FCE-EB4AC0FB8459}"/>
    <cellStyle name="Comma 9 2 2 2 3" xfId="24801" xr:uid="{00000000-0005-0000-0000-000002550000}"/>
    <cellStyle name="Comma 9 2 2 2 3 2" xfId="48633" xr:uid="{A25FD85D-D78A-4BF5-9C6C-7617B2C02AD4}"/>
    <cellStyle name="Comma 9 2 2 2 4" xfId="32756" xr:uid="{ACCD8FA6-9925-40EC-82C8-996D55EB6EFA}"/>
    <cellStyle name="Comma 9 2 2 3" xfId="13317" xr:uid="{00000000-0005-0000-0000-000003550000}"/>
    <cellStyle name="Comma 9 2 2 3 2" xfId="37166" xr:uid="{F1247F0B-DCB7-425E-A04E-6B511FB20EAE}"/>
    <cellStyle name="Comma 9 2 2 4" xfId="21272" xr:uid="{00000000-0005-0000-0000-000004550000}"/>
    <cellStyle name="Comma 9 2 2 4 2" xfId="45104" xr:uid="{506B9BC9-15F6-4C84-A793-F0206E7A6701}"/>
    <cellStyle name="Comma 9 2 2 5" xfId="29225" xr:uid="{20CC605C-4827-4040-8452-CDD8D767DEBD}"/>
    <cellStyle name="Comma 9 2 3" xfId="7126" xr:uid="{00000000-0005-0000-0000-000005550000}"/>
    <cellStyle name="Comma 9 2 3 2" xfId="15097" xr:uid="{00000000-0005-0000-0000-000006550000}"/>
    <cellStyle name="Comma 9 2 3 2 2" xfId="38939" xr:uid="{5A676071-BDE9-4557-A16A-F736C373BEC4}"/>
    <cellStyle name="Comma 9 2 3 3" xfId="23044" xr:uid="{00000000-0005-0000-0000-000007550000}"/>
    <cellStyle name="Comma 9 2 3 3 2" xfId="46876" xr:uid="{545E92D1-9118-403B-B458-286BDF169250}"/>
    <cellStyle name="Comma 9 2 3 4" xfId="30998" xr:uid="{9EC32253-DA66-4D54-BA25-E6E287B7A0F0}"/>
    <cellStyle name="Comma 9 2 4" xfId="11561" xr:uid="{00000000-0005-0000-0000-000008550000}"/>
    <cellStyle name="Comma 9 2 4 2" xfId="35410" xr:uid="{B63A9056-6995-4BD4-B6D9-77EC69DA2677}"/>
    <cellStyle name="Comma 9 2 5" xfId="19516" xr:uid="{00000000-0005-0000-0000-000009550000}"/>
    <cellStyle name="Comma 9 2 5 2" xfId="43348" xr:uid="{38A84370-E6F7-4001-A0AF-E82EDCA0CF91}"/>
    <cellStyle name="Comma 9 2 6" xfId="27468" xr:uid="{7F765011-244C-4FA1-BD77-0093180E5BC0}"/>
    <cellStyle name="Comma 9 3" xfId="4415" xr:uid="{00000000-0005-0000-0000-00000A550000}"/>
    <cellStyle name="Comma 9 3 2" xfId="8007" xr:uid="{00000000-0005-0000-0000-00000B550000}"/>
    <cellStyle name="Comma 9 3 2 2" xfId="15977" xr:uid="{00000000-0005-0000-0000-00000C550000}"/>
    <cellStyle name="Comma 9 3 2 2 2" xfId="39819" xr:uid="{308C8439-434D-421F-958E-5C81501AA0E8}"/>
    <cellStyle name="Comma 9 3 2 3" xfId="23923" xr:uid="{00000000-0005-0000-0000-00000D550000}"/>
    <cellStyle name="Comma 9 3 2 3 2" xfId="47755" xr:uid="{F305002B-49F7-4CD4-8348-78B5D925A7C0}"/>
    <cellStyle name="Comma 9 3 2 4" xfId="31878" xr:uid="{0DCC0B0E-4A3E-4953-A9A7-271BD33194A7}"/>
    <cellStyle name="Comma 9 3 3" xfId="12439" xr:uid="{00000000-0005-0000-0000-00000E550000}"/>
    <cellStyle name="Comma 9 3 3 2" xfId="36288" xr:uid="{81EE3CAE-F6BA-44CC-BE04-E77DDD1C4E0F}"/>
    <cellStyle name="Comma 9 3 4" xfId="20394" xr:uid="{00000000-0005-0000-0000-00000F550000}"/>
    <cellStyle name="Comma 9 3 4 2" xfId="44226" xr:uid="{904FCA4B-5CB2-41D7-9F17-9BFC0F9C770B}"/>
    <cellStyle name="Comma 9 3 5" xfId="28347" xr:uid="{0286B787-E1FE-49D6-A866-5C4CF259F609}"/>
    <cellStyle name="Comma 9 4" xfId="6245" xr:uid="{00000000-0005-0000-0000-000010550000}"/>
    <cellStyle name="Comma 9 4 2" xfId="14219" xr:uid="{00000000-0005-0000-0000-000011550000}"/>
    <cellStyle name="Comma 9 4 2 2" xfId="38061" xr:uid="{2F05F03C-3123-42D8-90FF-FFED3614EAE5}"/>
    <cellStyle name="Comma 9 4 3" xfId="22166" xr:uid="{00000000-0005-0000-0000-000012550000}"/>
    <cellStyle name="Comma 9 4 3 2" xfId="45998" xr:uid="{F8D8BB9E-5C94-4CD3-8998-9528AA1D318C}"/>
    <cellStyle name="Comma 9 4 4" xfId="30120" xr:uid="{8788ECC4-A1E4-4CC2-9D2D-B79472B10C34}"/>
    <cellStyle name="Comma 9 5" xfId="9787" xr:uid="{00000000-0005-0000-0000-000013550000}"/>
    <cellStyle name="Comma 9 5 2" xfId="17745" xr:uid="{00000000-0005-0000-0000-000014550000}"/>
    <cellStyle name="Comma 9 5 2 2" xfId="41585" xr:uid="{9133BC1D-5069-4919-9461-4DAD33303C01}"/>
    <cellStyle name="Comma 9 5 3" xfId="25689" xr:uid="{00000000-0005-0000-0000-000015550000}"/>
    <cellStyle name="Comma 9 5 3 2" xfId="49521" xr:uid="{E1994D8A-03BD-41BD-B08D-884CC1F9BD25}"/>
    <cellStyle name="Comma 9 5 4" xfId="33644" xr:uid="{80ABFFCF-319A-4FD7-8606-2A5D71FB8CAE}"/>
    <cellStyle name="Comma 9 6" xfId="10683" xr:uid="{00000000-0005-0000-0000-000016550000}"/>
    <cellStyle name="Comma 9 6 2" xfId="34532" xr:uid="{F9737597-DC56-4D30-9062-205832782F4C}"/>
    <cellStyle name="Comma 9 7" xfId="18638" xr:uid="{00000000-0005-0000-0000-000017550000}"/>
    <cellStyle name="Comma 9 7 2" xfId="42470" xr:uid="{D5DFE61B-F1C9-49C2-A6E3-75D85ED29D1F}"/>
    <cellStyle name="Comma 9 8" xfId="26590" xr:uid="{D7F788D2-E939-4D1B-8EA7-421E7D53883E}"/>
    <cellStyle name="Currency" xfId="49849" builtinId="4"/>
    <cellStyle name="Currency 2 2" xfId="1007" xr:uid="{00000000-0005-0000-0000-00001A550000}"/>
    <cellStyle name="Currency 3" xfId="735" xr:uid="{00000000-0005-0000-0000-00001C550000}"/>
    <cellStyle name="Currency 3 2" xfId="1008" xr:uid="{00000000-0005-0000-0000-00001D550000}"/>
    <cellStyle name="Currency 3 3" xfId="1761" xr:uid="{00000000-0005-0000-0000-00001E550000}"/>
    <cellStyle name="Currency 3 3 2" xfId="5288" xr:uid="{00000000-0005-0000-0000-00001F550000}"/>
    <cellStyle name="Currency 3 3 2 2" xfId="8879" xr:uid="{00000000-0005-0000-0000-000020550000}"/>
    <cellStyle name="Currency 3 3 2 2 2" xfId="16849" xr:uid="{00000000-0005-0000-0000-000021550000}"/>
    <cellStyle name="Currency 3 3 2 2 2 2" xfId="40691" xr:uid="{EA472BB2-55CB-4EE7-B0D8-0D466479A0CE}"/>
    <cellStyle name="Currency 3 3 2 2 3" xfId="24795" xr:uid="{00000000-0005-0000-0000-000022550000}"/>
    <cellStyle name="Currency 3 3 2 2 3 2" xfId="48627" xr:uid="{8FDAB535-DFB6-4F31-AD80-8B7B0172D5F7}"/>
    <cellStyle name="Currency 3 3 2 2 4" xfId="32750" xr:uid="{40132057-41D7-47F3-B5A5-914A2B9F41B9}"/>
    <cellStyle name="Currency 3 3 2 3" xfId="13311" xr:uid="{00000000-0005-0000-0000-000023550000}"/>
    <cellStyle name="Currency 3 3 2 3 2" xfId="37160" xr:uid="{27BCEB9A-F074-428B-B001-55BEDC9BDD82}"/>
    <cellStyle name="Currency 3 3 2 4" xfId="21266" xr:uid="{00000000-0005-0000-0000-000024550000}"/>
    <cellStyle name="Currency 3 3 2 4 2" xfId="45098" xr:uid="{D95A5B87-26C7-4AB7-9A9B-BE7AFB0F5938}"/>
    <cellStyle name="Currency 3 3 2 5" xfId="29219" xr:uid="{99867459-6A9C-4DE4-90F0-FEC3B4A6080E}"/>
    <cellStyle name="Currency 3 3 3" xfId="7120" xr:uid="{00000000-0005-0000-0000-000025550000}"/>
    <cellStyle name="Currency 3 3 3 2" xfId="15091" xr:uid="{00000000-0005-0000-0000-000026550000}"/>
    <cellStyle name="Currency 3 3 3 2 2" xfId="38933" xr:uid="{6FB7396D-802A-4FF9-81B0-5728A39A3D5D}"/>
    <cellStyle name="Currency 3 3 3 3" xfId="23038" xr:uid="{00000000-0005-0000-0000-000027550000}"/>
    <cellStyle name="Currency 3 3 3 3 2" xfId="46870" xr:uid="{74FBC1DD-E616-423B-98C8-9351D1AAF58E}"/>
    <cellStyle name="Currency 3 3 3 4" xfId="30992" xr:uid="{9FE46DF2-02A1-4128-B70D-88D4A020F707}"/>
    <cellStyle name="Currency 3 3 4" xfId="11555" xr:uid="{00000000-0005-0000-0000-000028550000}"/>
    <cellStyle name="Currency 3 3 4 2" xfId="35404" xr:uid="{9BFF75A6-82ED-49CE-8A73-459822B49255}"/>
    <cellStyle name="Currency 3 3 5" xfId="19510" xr:uid="{00000000-0005-0000-0000-000029550000}"/>
    <cellStyle name="Currency 3 3 5 2" xfId="43342" xr:uid="{789AB769-D43C-4520-8218-9B1F5B6C496D}"/>
    <cellStyle name="Currency 3 3 6" xfId="27462" xr:uid="{8C1EF308-B8AA-4D10-900B-C2CBBFF760BF}"/>
    <cellStyle name="Currency 3 4" xfId="4409" xr:uid="{00000000-0005-0000-0000-00002A550000}"/>
    <cellStyle name="Currency 3 4 2" xfId="8001" xr:uid="{00000000-0005-0000-0000-00002B550000}"/>
    <cellStyle name="Currency 3 4 2 2" xfId="15971" xr:uid="{00000000-0005-0000-0000-00002C550000}"/>
    <cellStyle name="Currency 3 4 2 2 2" xfId="39813" xr:uid="{27571641-1CC0-4246-B552-7E2127F82548}"/>
    <cellStyle name="Currency 3 4 2 3" xfId="23917" xr:uid="{00000000-0005-0000-0000-00002D550000}"/>
    <cellStyle name="Currency 3 4 2 3 2" xfId="47749" xr:uid="{DCD6B89A-B7C1-4221-A920-E834208EC438}"/>
    <cellStyle name="Currency 3 4 2 4" xfId="31872" xr:uid="{262FFA34-38BF-45F9-9F46-1CF79372B6D8}"/>
    <cellStyle name="Currency 3 4 3" xfId="12433" xr:uid="{00000000-0005-0000-0000-00002E550000}"/>
    <cellStyle name="Currency 3 4 3 2" xfId="36282" xr:uid="{C9EEB68A-433C-4E65-A057-368E96D7036B}"/>
    <cellStyle name="Currency 3 4 4" xfId="20388" xr:uid="{00000000-0005-0000-0000-00002F550000}"/>
    <cellStyle name="Currency 3 4 4 2" xfId="44220" xr:uid="{691C43CB-A38A-49EB-9BC5-8A1C927F8564}"/>
    <cellStyle name="Currency 3 4 5" xfId="28341" xr:uid="{937E3829-5182-4A36-B4EE-A81117C54678}"/>
    <cellStyle name="Currency 3 5" xfId="6229" xr:uid="{00000000-0005-0000-0000-000030550000}"/>
    <cellStyle name="Currency 3 5 2" xfId="14212" xr:uid="{00000000-0005-0000-0000-000031550000}"/>
    <cellStyle name="Currency 3 5 2 2" xfId="38055" xr:uid="{C079D5F6-326E-4BC8-813F-DDD32AB6D734}"/>
    <cellStyle name="Currency 3 5 3" xfId="22160" xr:uid="{00000000-0005-0000-0000-000032550000}"/>
    <cellStyle name="Currency 3 5 3 2" xfId="45992" xr:uid="{D9411BB0-17E0-411F-B47B-665010639D41}"/>
    <cellStyle name="Currency 3 5 4" xfId="30114" xr:uid="{1112B925-C2E4-40DA-9734-A200FDEDC524}"/>
    <cellStyle name="Currency 3 6" xfId="9781" xr:uid="{00000000-0005-0000-0000-000033550000}"/>
    <cellStyle name="Currency 3 6 2" xfId="17739" xr:uid="{00000000-0005-0000-0000-000034550000}"/>
    <cellStyle name="Currency 3 6 2 2" xfId="41579" xr:uid="{2CA33AD9-B27C-447D-BE0A-A8B1C751C8C7}"/>
    <cellStyle name="Currency 3 6 3" xfId="25683" xr:uid="{00000000-0005-0000-0000-000035550000}"/>
    <cellStyle name="Currency 3 6 3 2" xfId="49515" xr:uid="{AA14994E-0551-426D-84F5-E4931AB7B3C8}"/>
    <cellStyle name="Currency 3 6 4" xfId="33638" xr:uid="{0487A313-86EA-404E-BD1D-A0B3F3AD14D5}"/>
    <cellStyle name="Currency 3 7" xfId="10677" xr:uid="{00000000-0005-0000-0000-000036550000}"/>
    <cellStyle name="Currency 3 7 2" xfId="34526" xr:uid="{A4A2494C-5E8B-4461-AB07-965CB5C72F80}"/>
    <cellStyle name="Currency 3 8" xfId="18632" xr:uid="{00000000-0005-0000-0000-000037550000}"/>
    <cellStyle name="Currency 3 8 2" xfId="42464" xr:uid="{D195841E-0ACB-43F4-9035-F42AD7C65AD7}"/>
    <cellStyle name="Currency 3 9" xfId="26584" xr:uid="{2EAA38F5-A220-445D-9EB4-C211CDF0A1D1}"/>
    <cellStyle name="Currency 4" xfId="853" xr:uid="{00000000-0005-0000-0000-000038550000}"/>
    <cellStyle name="Currency 4 2" xfId="1788" xr:uid="{00000000-0005-0000-0000-000039550000}"/>
    <cellStyle name="Currency 4 2 2" xfId="5308" xr:uid="{00000000-0005-0000-0000-00003A550000}"/>
    <cellStyle name="Currency 4 2 2 2" xfId="8899" xr:uid="{00000000-0005-0000-0000-00003B550000}"/>
    <cellStyle name="Currency 4 2 2 2 2" xfId="16869" xr:uid="{00000000-0005-0000-0000-00003C550000}"/>
    <cellStyle name="Currency 4 2 2 2 2 2" xfId="40711" xr:uid="{1CF14D70-53B2-4E99-A32E-8FBDC50FB881}"/>
    <cellStyle name="Currency 4 2 2 2 3" xfId="24815" xr:uid="{00000000-0005-0000-0000-00003D550000}"/>
    <cellStyle name="Currency 4 2 2 2 3 2" xfId="48647" xr:uid="{40D930AE-8B3A-451C-9C8B-6F06168C53A1}"/>
    <cellStyle name="Currency 4 2 2 2 4" xfId="32770" xr:uid="{9670DE16-3690-4F9E-A365-05DE3991F427}"/>
    <cellStyle name="Currency 4 2 2 3" xfId="13331" xr:uid="{00000000-0005-0000-0000-00003E550000}"/>
    <cellStyle name="Currency 4 2 2 3 2" xfId="37180" xr:uid="{48446424-924C-4BE2-B941-A2485A380B2F}"/>
    <cellStyle name="Currency 4 2 2 4" xfId="21286" xr:uid="{00000000-0005-0000-0000-00003F550000}"/>
    <cellStyle name="Currency 4 2 2 4 2" xfId="45118" xr:uid="{13ECE452-4A9C-4F8F-BC14-7099E00B2612}"/>
    <cellStyle name="Currency 4 2 2 5" xfId="29239" xr:uid="{F778B105-BCE7-4C09-B43E-8D5535928E39}"/>
    <cellStyle name="Currency 4 2 3" xfId="7140" xr:uid="{00000000-0005-0000-0000-000040550000}"/>
    <cellStyle name="Currency 4 2 3 2" xfId="15111" xr:uid="{00000000-0005-0000-0000-000041550000}"/>
    <cellStyle name="Currency 4 2 3 2 2" xfId="38953" xr:uid="{204C97A7-A419-4D14-909D-8968E01E4E67}"/>
    <cellStyle name="Currency 4 2 3 3" xfId="23058" xr:uid="{00000000-0005-0000-0000-000042550000}"/>
    <cellStyle name="Currency 4 2 3 3 2" xfId="46890" xr:uid="{9910C7AD-93C0-493A-9B02-F2AB54F6FB1B}"/>
    <cellStyle name="Currency 4 2 3 4" xfId="31012" xr:uid="{0A29C8D5-18ED-4C21-9D08-DC1BA3CB2067}"/>
    <cellStyle name="Currency 4 2 4" xfId="11575" xr:uid="{00000000-0005-0000-0000-000043550000}"/>
    <cellStyle name="Currency 4 2 4 2" xfId="35424" xr:uid="{D1C73544-57FD-4C88-AD1D-79C80DB162DC}"/>
    <cellStyle name="Currency 4 2 5" xfId="19530" xr:uid="{00000000-0005-0000-0000-000044550000}"/>
    <cellStyle name="Currency 4 2 5 2" xfId="43362" xr:uid="{A8B24106-2C2C-4EDF-881D-CC9FC1492581}"/>
    <cellStyle name="Currency 4 2 6" xfId="27482" xr:uid="{8AFEE362-71B3-422D-A709-D34CFB393F96}"/>
    <cellStyle name="Currency 4 3" xfId="4429" xr:uid="{00000000-0005-0000-0000-000045550000}"/>
    <cellStyle name="Currency 4 3 2" xfId="8021" xr:uid="{00000000-0005-0000-0000-000046550000}"/>
    <cellStyle name="Currency 4 3 2 2" xfId="15991" xr:uid="{00000000-0005-0000-0000-000047550000}"/>
    <cellStyle name="Currency 4 3 2 2 2" xfId="39833" xr:uid="{82C300E8-1F1C-4644-BB6B-DF8CD8579AD8}"/>
    <cellStyle name="Currency 4 3 2 3" xfId="23937" xr:uid="{00000000-0005-0000-0000-000048550000}"/>
    <cellStyle name="Currency 4 3 2 3 2" xfId="47769" xr:uid="{4309BD43-5C52-4EB2-AE2D-DC0C98B103C4}"/>
    <cellStyle name="Currency 4 3 2 4" xfId="31892" xr:uid="{ECDFA803-B63D-45A8-982B-78D720D1A4E3}"/>
    <cellStyle name="Currency 4 3 3" xfId="12453" xr:uid="{00000000-0005-0000-0000-000049550000}"/>
    <cellStyle name="Currency 4 3 3 2" xfId="36302" xr:uid="{3B97CACB-1516-4CC6-B039-4BB0BB216B0B}"/>
    <cellStyle name="Currency 4 3 4" xfId="20408" xr:uid="{00000000-0005-0000-0000-00004A550000}"/>
    <cellStyle name="Currency 4 3 4 2" xfId="44240" xr:uid="{85A31EE6-B6C2-4D07-AE35-43D4A03798B0}"/>
    <cellStyle name="Currency 4 3 5" xfId="28361" xr:uid="{443E8320-94BF-43D9-A80A-77AC9B286358}"/>
    <cellStyle name="Currency 4 4" xfId="6259" xr:uid="{00000000-0005-0000-0000-00004B550000}"/>
    <cellStyle name="Currency 4 4 2" xfId="14233" xr:uid="{00000000-0005-0000-0000-00004C550000}"/>
    <cellStyle name="Currency 4 4 2 2" xfId="38075" xr:uid="{55EBBA84-8DC2-43D5-A5DE-CF0DA0571D3F}"/>
    <cellStyle name="Currency 4 4 3" xfId="22180" xr:uid="{00000000-0005-0000-0000-00004D550000}"/>
    <cellStyle name="Currency 4 4 3 2" xfId="46012" xr:uid="{1373C0CF-A5D9-49DD-A9E7-766792E9020B}"/>
    <cellStyle name="Currency 4 4 4" xfId="30134" xr:uid="{A148A315-71DC-42BB-BFA5-371C5F4CA498}"/>
    <cellStyle name="Currency 4 5" xfId="9801" xr:uid="{00000000-0005-0000-0000-00004E550000}"/>
    <cellStyle name="Currency 4 5 2" xfId="17759" xr:uid="{00000000-0005-0000-0000-00004F550000}"/>
    <cellStyle name="Currency 4 5 2 2" xfId="41599" xr:uid="{91C95C67-6FD2-4DE3-B3B7-71E1BE178C48}"/>
    <cellStyle name="Currency 4 5 3" xfId="25703" xr:uid="{00000000-0005-0000-0000-000050550000}"/>
    <cellStyle name="Currency 4 5 3 2" xfId="49535" xr:uid="{11E94B8A-A94C-4C02-9883-52A430E59E2E}"/>
    <cellStyle name="Currency 4 5 4" xfId="33658" xr:uid="{687E51A9-C155-450E-B6A0-2F5A07D47737}"/>
    <cellStyle name="Currency 4 6" xfId="10697" xr:uid="{00000000-0005-0000-0000-000051550000}"/>
    <cellStyle name="Currency 4 6 2" xfId="34546" xr:uid="{A7C07787-9449-499E-9420-C82EE56B1432}"/>
    <cellStyle name="Currency 4 7" xfId="18652" xr:uid="{00000000-0005-0000-0000-000052550000}"/>
    <cellStyle name="Currency 4 7 2" xfId="42484" xr:uid="{15733223-3EA7-4A12-9EB8-7497A38B71D4}"/>
    <cellStyle name="Currency 4 8" xfId="26604" xr:uid="{EF7A05FB-48A3-42CC-8BE0-C7BDBD5BB694}"/>
    <cellStyle name="Currency 5" xfId="25858" xr:uid="{00000000-0005-0000-0000-000053550000}"/>
    <cellStyle name="Currency 8" xfId="25864" xr:uid="{00000000-0005-0000-0000-000054550000}"/>
    <cellStyle name="Explanatory Text 2" xfId="784" xr:uid="{00000000-0005-0000-0000-000055550000}"/>
    <cellStyle name="Explanatory Text 3" xfId="785" xr:uid="{00000000-0005-0000-0000-000056550000}"/>
    <cellStyle name="Explanatory Text 4" xfId="786" xr:uid="{00000000-0005-0000-0000-000057550000}"/>
    <cellStyle name="Good 2" xfId="787" xr:uid="{00000000-0005-0000-0000-000058550000}"/>
    <cellStyle name="Good 3" xfId="788" xr:uid="{00000000-0005-0000-0000-000059550000}"/>
    <cellStyle name="Good 4" xfId="789" xr:uid="{00000000-0005-0000-0000-00005A550000}"/>
    <cellStyle name="Heading 1 2" xfId="790" xr:uid="{00000000-0005-0000-0000-00005B550000}"/>
    <cellStyle name="Heading 1 3" xfId="791" xr:uid="{00000000-0005-0000-0000-00005C550000}"/>
    <cellStyle name="Heading 1 4" xfId="792" xr:uid="{00000000-0005-0000-0000-00005D550000}"/>
    <cellStyle name="Heading 2 2" xfId="793" xr:uid="{00000000-0005-0000-0000-00005E550000}"/>
    <cellStyle name="Heading 2 3" xfId="794" xr:uid="{00000000-0005-0000-0000-00005F550000}"/>
    <cellStyle name="Heading 2 4" xfId="795" xr:uid="{00000000-0005-0000-0000-000060550000}"/>
    <cellStyle name="Heading 3 2" xfId="796" xr:uid="{00000000-0005-0000-0000-000061550000}"/>
    <cellStyle name="Heading 3 3" xfId="797" xr:uid="{00000000-0005-0000-0000-000062550000}"/>
    <cellStyle name="Heading 3 4" xfId="798" xr:uid="{00000000-0005-0000-0000-000063550000}"/>
    <cellStyle name="Heading 4 2" xfId="799" xr:uid="{00000000-0005-0000-0000-000064550000}"/>
    <cellStyle name="Heading 4 3" xfId="800" xr:uid="{00000000-0005-0000-0000-000065550000}"/>
    <cellStyle name="Heading 4 4" xfId="801" xr:uid="{00000000-0005-0000-0000-000066550000}"/>
    <cellStyle name="Hyperlink" xfId="858" builtinId="8" customBuiltin="1"/>
    <cellStyle name="Input 2" xfId="802" xr:uid="{00000000-0005-0000-0000-000068550000}"/>
    <cellStyle name="Input 3" xfId="803" xr:uid="{00000000-0005-0000-0000-000069550000}"/>
    <cellStyle name="Input 3 2" xfId="6232" xr:uid="{00000000-0005-0000-0000-00006A550000}"/>
    <cellStyle name="Input 4" xfId="804" xr:uid="{00000000-0005-0000-0000-00006B550000}"/>
    <cellStyle name="Input 4 2" xfId="6233" xr:uid="{00000000-0005-0000-0000-00006C550000}"/>
    <cellStyle name="Linked Cell 2" xfId="805" xr:uid="{00000000-0005-0000-0000-00006D550000}"/>
    <cellStyle name="Linked Cell 3" xfId="806" xr:uid="{00000000-0005-0000-0000-00006E550000}"/>
    <cellStyle name="Linked Cell 4" xfId="807" xr:uid="{00000000-0005-0000-0000-00006F550000}"/>
    <cellStyle name="Neutral 2" xfId="808" xr:uid="{00000000-0005-0000-0000-000070550000}"/>
    <cellStyle name="Neutral 3" xfId="809" xr:uid="{00000000-0005-0000-0000-000071550000}"/>
    <cellStyle name="Neutral 4" xfId="810" xr:uid="{00000000-0005-0000-0000-000072550000}"/>
    <cellStyle name="Normal" xfId="0" builtinId="0"/>
    <cellStyle name="Normal 10" xfId="634" xr:uid="{00000000-0005-0000-0000-000074550000}"/>
    <cellStyle name="Normal 10 10" xfId="18531" xr:uid="{00000000-0005-0000-0000-000075550000}"/>
    <cellStyle name="Normal 10 10 2" xfId="42363" xr:uid="{57746921-BD69-4D6C-9FD1-492BE3D3DF84}"/>
    <cellStyle name="Normal 10 11" xfId="26483" xr:uid="{46CC67B4-9435-4AC9-9CDB-F39241915F28}"/>
    <cellStyle name="Normal 10 2" xfId="635" xr:uid="{00000000-0005-0000-0000-000076550000}"/>
    <cellStyle name="Normal 10 2 2" xfId="636" xr:uid="{00000000-0005-0000-0000-000077550000}"/>
    <cellStyle name="Normal 10 2 2 2" xfId="1662" xr:uid="{00000000-0005-0000-0000-000078550000}"/>
    <cellStyle name="Normal 10 2 2 2 2" xfId="5189" xr:uid="{00000000-0005-0000-0000-000079550000}"/>
    <cellStyle name="Normal 10 2 2 2 2 2" xfId="8780" xr:uid="{00000000-0005-0000-0000-00007A550000}"/>
    <cellStyle name="Normal 10 2 2 2 2 2 2" xfId="16750" xr:uid="{00000000-0005-0000-0000-00007B550000}"/>
    <cellStyle name="Normal 10 2 2 2 2 2 2 2" xfId="40592" xr:uid="{E6D73B67-D217-4F30-A4A7-60DB1C5EBD21}"/>
    <cellStyle name="Normal 10 2 2 2 2 2 3" xfId="24696" xr:uid="{00000000-0005-0000-0000-00007C550000}"/>
    <cellStyle name="Normal 10 2 2 2 2 2 3 2" xfId="48528" xr:uid="{A89197A8-1F9E-4C4C-A265-B7830CB17DD0}"/>
    <cellStyle name="Normal 10 2 2 2 2 2 4" xfId="32651" xr:uid="{598B85F2-1803-4144-9F27-A02A87B12DC7}"/>
    <cellStyle name="Normal 10 2 2 2 2 3" xfId="13212" xr:uid="{00000000-0005-0000-0000-00007D550000}"/>
    <cellStyle name="Normal 10 2 2 2 2 3 2" xfId="37061" xr:uid="{B8AB697E-3AA4-49C9-A315-6AA8CCEB65B9}"/>
    <cellStyle name="Normal 10 2 2 2 2 4" xfId="21167" xr:uid="{00000000-0005-0000-0000-00007E550000}"/>
    <cellStyle name="Normal 10 2 2 2 2 4 2" xfId="44999" xr:uid="{A08CECA7-28FC-451E-99EA-A10E5B6F92B5}"/>
    <cellStyle name="Normal 10 2 2 2 2 5" xfId="29120" xr:uid="{9BC0FC25-FE68-4674-ACDB-6D898614E39F}"/>
    <cellStyle name="Normal 10 2 2 2 3" xfId="7021" xr:uid="{00000000-0005-0000-0000-00007F550000}"/>
    <cellStyle name="Normal 10 2 2 2 3 2" xfId="14992" xr:uid="{00000000-0005-0000-0000-000080550000}"/>
    <cellStyle name="Normal 10 2 2 2 3 2 2" xfId="38834" xr:uid="{22328719-8F6D-4409-8158-3656D1BC05C4}"/>
    <cellStyle name="Normal 10 2 2 2 3 3" xfId="22939" xr:uid="{00000000-0005-0000-0000-000081550000}"/>
    <cellStyle name="Normal 10 2 2 2 3 3 2" xfId="46771" xr:uid="{6D9D20A2-1171-4169-A9FE-F3A7A211F1B6}"/>
    <cellStyle name="Normal 10 2 2 2 3 4" xfId="30893" xr:uid="{8E7AB1CB-74A4-42F9-867C-C3A98CADD984}"/>
    <cellStyle name="Normal 10 2 2 2 4" xfId="11456" xr:uid="{00000000-0005-0000-0000-000082550000}"/>
    <cellStyle name="Normal 10 2 2 2 4 2" xfId="35305" xr:uid="{FD9FEA27-4699-410C-B5EA-04E00DE7D00B}"/>
    <cellStyle name="Normal 10 2 2 2 5" xfId="19411" xr:uid="{00000000-0005-0000-0000-000083550000}"/>
    <cellStyle name="Normal 10 2 2 2 5 2" xfId="43243" xr:uid="{AB2551EC-AD49-46E6-A49C-3284AC7E8495}"/>
    <cellStyle name="Normal 10 2 2 2 6" xfId="27363" xr:uid="{8D420A1D-6F02-4297-9DD0-C58DB909C318}"/>
    <cellStyle name="Normal 10 2 2 2_Exh G" xfId="3425" xr:uid="{00000000-0005-0000-0000-000084550000}"/>
    <cellStyle name="Normal 10 2 2 3" xfId="4310" xr:uid="{00000000-0005-0000-0000-000085550000}"/>
    <cellStyle name="Normal 10 2 2 3 2" xfId="7902" xr:uid="{00000000-0005-0000-0000-000086550000}"/>
    <cellStyle name="Normal 10 2 2 3 2 2" xfId="15872" xr:uid="{00000000-0005-0000-0000-000087550000}"/>
    <cellStyle name="Normal 10 2 2 3 2 2 2" xfId="39714" xr:uid="{FD83B70D-F960-40C9-8DDB-4FBCC149D08E}"/>
    <cellStyle name="Normal 10 2 2 3 2 3" xfId="23818" xr:uid="{00000000-0005-0000-0000-000088550000}"/>
    <cellStyle name="Normal 10 2 2 3 2 3 2" xfId="47650" xr:uid="{D9C61633-0706-4768-AB1E-76280C568829}"/>
    <cellStyle name="Normal 10 2 2 3 2 4" xfId="31773" xr:uid="{40AFAA35-C8C1-41E9-AB2E-2935CB78FB8A}"/>
    <cellStyle name="Normal 10 2 2 3 3" xfId="12334" xr:uid="{00000000-0005-0000-0000-000089550000}"/>
    <cellStyle name="Normal 10 2 2 3 3 2" xfId="36183" xr:uid="{5FB21842-81D1-4E65-BD60-D6608DB74E16}"/>
    <cellStyle name="Normal 10 2 2 3 4" xfId="20289" xr:uid="{00000000-0005-0000-0000-00008A550000}"/>
    <cellStyle name="Normal 10 2 2 3 4 2" xfId="44121" xr:uid="{463CF005-F70D-4FC9-B1D3-E889D0153FC1}"/>
    <cellStyle name="Normal 10 2 2 3 5" xfId="28242" xr:uid="{517925E0-346E-4AD6-A2A3-62FE40EB256A}"/>
    <cellStyle name="Normal 10 2 2 4" xfId="6130" xr:uid="{00000000-0005-0000-0000-00008B550000}"/>
    <cellStyle name="Normal 10 2 2 4 2" xfId="14113" xr:uid="{00000000-0005-0000-0000-00008C550000}"/>
    <cellStyle name="Normal 10 2 2 4 2 2" xfId="37956" xr:uid="{291FED6B-68CB-4E2A-9528-14F5EDA72929}"/>
    <cellStyle name="Normal 10 2 2 4 3" xfId="22061" xr:uid="{00000000-0005-0000-0000-00008D550000}"/>
    <cellStyle name="Normal 10 2 2 4 3 2" xfId="45893" xr:uid="{0B4EB633-CEE0-45F0-A010-C46684A740C2}"/>
    <cellStyle name="Normal 10 2 2 4 4" xfId="30015" xr:uid="{0B23D911-7AF7-4992-B124-61FB85D85FB2}"/>
    <cellStyle name="Normal 10 2 2 5" xfId="9682" xr:uid="{00000000-0005-0000-0000-00008E550000}"/>
    <cellStyle name="Normal 10 2 2 5 2" xfId="17640" xr:uid="{00000000-0005-0000-0000-00008F550000}"/>
    <cellStyle name="Normal 10 2 2 5 2 2" xfId="41480" xr:uid="{14FA5479-8A0E-49DC-9820-2FAF7F340A46}"/>
    <cellStyle name="Normal 10 2 2 5 3" xfId="25584" xr:uid="{00000000-0005-0000-0000-000090550000}"/>
    <cellStyle name="Normal 10 2 2 5 3 2" xfId="49416" xr:uid="{23D7EFCC-081F-4AF9-90A4-BD383F1E9EB7}"/>
    <cellStyle name="Normal 10 2 2 5 4" xfId="33539" xr:uid="{708A5EDC-34B7-4B93-9B20-906C912AAA9C}"/>
    <cellStyle name="Normal 10 2 2 6" xfId="10578" xr:uid="{00000000-0005-0000-0000-000091550000}"/>
    <cellStyle name="Normal 10 2 2 6 2" xfId="34427" xr:uid="{B521DABD-C4FD-46D7-8AB8-2C4B6783D41E}"/>
    <cellStyle name="Normal 10 2 2 7" xfId="18533" xr:uid="{00000000-0005-0000-0000-000092550000}"/>
    <cellStyle name="Normal 10 2 2 7 2" xfId="42365" xr:uid="{2970B194-2BA3-4647-8BA0-D44AC6F0B24D}"/>
    <cellStyle name="Normal 10 2 2 8" xfId="26485" xr:uid="{A8C6CEF6-39C4-4CD6-A6A3-7AB3A9717C9D}"/>
    <cellStyle name="Normal 10 2 2_Exh G" xfId="3424" xr:uid="{00000000-0005-0000-0000-000093550000}"/>
    <cellStyle name="Normal 10 2 3" xfId="1661" xr:uid="{00000000-0005-0000-0000-000094550000}"/>
    <cellStyle name="Normal 10 2 3 2" xfId="5188" xr:uid="{00000000-0005-0000-0000-000095550000}"/>
    <cellStyle name="Normal 10 2 3 2 2" xfId="8779" xr:uid="{00000000-0005-0000-0000-000096550000}"/>
    <cellStyle name="Normal 10 2 3 2 2 2" xfId="16749" xr:uid="{00000000-0005-0000-0000-000097550000}"/>
    <cellStyle name="Normal 10 2 3 2 2 2 2" xfId="40591" xr:uid="{F42A0A29-5127-473F-84B3-E75394BDBF7E}"/>
    <cellStyle name="Normal 10 2 3 2 2 3" xfId="24695" xr:uid="{00000000-0005-0000-0000-000098550000}"/>
    <cellStyle name="Normal 10 2 3 2 2 3 2" xfId="48527" xr:uid="{AD094BA7-491F-4BF0-8DC5-3E3DA90BA968}"/>
    <cellStyle name="Normal 10 2 3 2 2 4" xfId="32650" xr:uid="{712B91E4-54B7-41F5-86AD-027E0FF38945}"/>
    <cellStyle name="Normal 10 2 3 2 3" xfId="13211" xr:uid="{00000000-0005-0000-0000-000099550000}"/>
    <cellStyle name="Normal 10 2 3 2 3 2" xfId="37060" xr:uid="{3C8981D4-9B5B-4833-8ECE-5048D7E16A44}"/>
    <cellStyle name="Normal 10 2 3 2 4" xfId="21166" xr:uid="{00000000-0005-0000-0000-00009A550000}"/>
    <cellStyle name="Normal 10 2 3 2 4 2" xfId="44998" xr:uid="{1FF6861B-9A4A-4D96-B3D8-6C867DA1D8AF}"/>
    <cellStyle name="Normal 10 2 3 2 5" xfId="29119" xr:uid="{0192F8C7-F476-47FF-9225-AD40C6971E53}"/>
    <cellStyle name="Normal 10 2 3 3" xfId="7020" xr:uid="{00000000-0005-0000-0000-00009B550000}"/>
    <cellStyle name="Normal 10 2 3 3 2" xfId="14991" xr:uid="{00000000-0005-0000-0000-00009C550000}"/>
    <cellStyle name="Normal 10 2 3 3 2 2" xfId="38833" xr:uid="{0704D002-6C68-467C-B97F-D23514174F9E}"/>
    <cellStyle name="Normal 10 2 3 3 3" xfId="22938" xr:uid="{00000000-0005-0000-0000-00009D550000}"/>
    <cellStyle name="Normal 10 2 3 3 3 2" xfId="46770" xr:uid="{BDDED627-377B-41FF-A438-A1CD10B69766}"/>
    <cellStyle name="Normal 10 2 3 3 4" xfId="30892" xr:uid="{DEF6017A-5EF3-45E6-BC44-808F56F3CE2A}"/>
    <cellStyle name="Normal 10 2 3 4" xfId="11455" xr:uid="{00000000-0005-0000-0000-00009E550000}"/>
    <cellStyle name="Normal 10 2 3 4 2" xfId="35304" xr:uid="{B6F84BD5-0EA9-4A26-902D-970CC8D90AC1}"/>
    <cellStyle name="Normal 10 2 3 5" xfId="19410" xr:uid="{00000000-0005-0000-0000-00009F550000}"/>
    <cellStyle name="Normal 10 2 3 5 2" xfId="43242" xr:uid="{2BEB4AA7-B93F-4E31-BE93-5FBE5AB3F23D}"/>
    <cellStyle name="Normal 10 2 3 6" xfId="27362" xr:uid="{D49B1B22-92F6-4B5A-9009-8BB9789B5539}"/>
    <cellStyle name="Normal 10 2 3_Exh G" xfId="3426" xr:uid="{00000000-0005-0000-0000-0000A0550000}"/>
    <cellStyle name="Normal 10 2 4" xfId="4309" xr:uid="{00000000-0005-0000-0000-0000A1550000}"/>
    <cellStyle name="Normal 10 2 4 2" xfId="7901" xr:uid="{00000000-0005-0000-0000-0000A2550000}"/>
    <cellStyle name="Normal 10 2 4 2 2" xfId="15871" xr:uid="{00000000-0005-0000-0000-0000A3550000}"/>
    <cellStyle name="Normal 10 2 4 2 2 2" xfId="39713" xr:uid="{3262036C-516F-41D0-A1BD-D8BAADEB4316}"/>
    <cellStyle name="Normal 10 2 4 2 3" xfId="23817" xr:uid="{00000000-0005-0000-0000-0000A4550000}"/>
    <cellStyle name="Normal 10 2 4 2 3 2" xfId="47649" xr:uid="{10ABED8A-922F-4BA4-ABAB-C6F6665BFE64}"/>
    <cellStyle name="Normal 10 2 4 2 4" xfId="31772" xr:uid="{3E14C302-6A28-4449-8995-FC8F7C107DFB}"/>
    <cellStyle name="Normal 10 2 4 3" xfId="12333" xr:uid="{00000000-0005-0000-0000-0000A5550000}"/>
    <cellStyle name="Normal 10 2 4 3 2" xfId="36182" xr:uid="{BFCA1416-4235-4958-843F-8F5C5199B6AB}"/>
    <cellStyle name="Normal 10 2 4 4" xfId="20288" xr:uid="{00000000-0005-0000-0000-0000A6550000}"/>
    <cellStyle name="Normal 10 2 4 4 2" xfId="44120" xr:uid="{22769F9D-0BA6-4100-ABCC-3B27F5BAC304}"/>
    <cellStyle name="Normal 10 2 4 5" xfId="28241" xr:uid="{97CCBADD-C3A2-4B28-A9C7-3A823268C956}"/>
    <cellStyle name="Normal 10 2 5" xfId="6129" xr:uid="{00000000-0005-0000-0000-0000A7550000}"/>
    <cellStyle name="Normal 10 2 5 2" xfId="14112" xr:uid="{00000000-0005-0000-0000-0000A8550000}"/>
    <cellStyle name="Normal 10 2 5 2 2" xfId="37955" xr:uid="{7806938F-FBB2-414F-8F63-FD0835B57664}"/>
    <cellStyle name="Normal 10 2 5 3" xfId="22060" xr:uid="{00000000-0005-0000-0000-0000A9550000}"/>
    <cellStyle name="Normal 10 2 5 3 2" xfId="45892" xr:uid="{A1968378-7265-48B9-93AC-F6F6CB456726}"/>
    <cellStyle name="Normal 10 2 5 4" xfId="30014" xr:uid="{3DC59D80-31EA-48C5-880D-EDA548B3F376}"/>
    <cellStyle name="Normal 10 2 6" xfId="9681" xr:uid="{00000000-0005-0000-0000-0000AA550000}"/>
    <cellStyle name="Normal 10 2 6 2" xfId="17639" xr:uid="{00000000-0005-0000-0000-0000AB550000}"/>
    <cellStyle name="Normal 10 2 6 2 2" xfId="41479" xr:uid="{A8F3309F-13AD-43CF-9462-49B41C377F77}"/>
    <cellStyle name="Normal 10 2 6 3" xfId="25583" xr:uid="{00000000-0005-0000-0000-0000AC550000}"/>
    <cellStyle name="Normal 10 2 6 3 2" xfId="49415" xr:uid="{CF39022D-D406-4A9A-8626-CF028F20EFFE}"/>
    <cellStyle name="Normal 10 2 6 4" xfId="33538" xr:uid="{327EF1FE-152B-4BF8-A1CC-2FA4FDA4163C}"/>
    <cellStyle name="Normal 10 2 7" xfId="10577" xr:uid="{00000000-0005-0000-0000-0000AD550000}"/>
    <cellStyle name="Normal 10 2 7 2" xfId="34426" xr:uid="{F8603DBB-06BD-446D-AD1C-5100552EBEA7}"/>
    <cellStyle name="Normal 10 2 8" xfId="18532" xr:uid="{00000000-0005-0000-0000-0000AE550000}"/>
    <cellStyle name="Normal 10 2 8 2" xfId="42364" xr:uid="{89F2DA05-3CCC-48A4-82A3-F0768768220B}"/>
    <cellStyle name="Normal 10 2 9" xfId="26484" xr:uid="{2A0B56C0-FB14-4F8E-8B73-F386AF42104C}"/>
    <cellStyle name="Normal 10 2_Exh G" xfId="3423" xr:uid="{00000000-0005-0000-0000-0000AF550000}"/>
    <cellStyle name="Normal 10 3" xfId="637" xr:uid="{00000000-0005-0000-0000-0000B0550000}"/>
    <cellStyle name="Normal 10 3 2" xfId="1663" xr:uid="{00000000-0005-0000-0000-0000B1550000}"/>
    <cellStyle name="Normal 10 3 2 2" xfId="5190" xr:uid="{00000000-0005-0000-0000-0000B2550000}"/>
    <cellStyle name="Normal 10 3 2 2 2" xfId="8781" xr:uid="{00000000-0005-0000-0000-0000B3550000}"/>
    <cellStyle name="Normal 10 3 2 2 2 2" xfId="16751" xr:uid="{00000000-0005-0000-0000-0000B4550000}"/>
    <cellStyle name="Normal 10 3 2 2 2 2 2" xfId="40593" xr:uid="{B24999DF-0A0F-4C1A-B93A-72B6F67233F6}"/>
    <cellStyle name="Normal 10 3 2 2 2 3" xfId="24697" xr:uid="{00000000-0005-0000-0000-0000B5550000}"/>
    <cellStyle name="Normal 10 3 2 2 2 3 2" xfId="48529" xr:uid="{0FB35F86-D643-4E7D-AF7E-31CFACB49646}"/>
    <cellStyle name="Normal 10 3 2 2 2 4" xfId="32652" xr:uid="{82A9EB8F-20BD-4042-9C93-2A785C05B375}"/>
    <cellStyle name="Normal 10 3 2 2 3" xfId="13213" xr:uid="{00000000-0005-0000-0000-0000B6550000}"/>
    <cellStyle name="Normal 10 3 2 2 3 2" xfId="37062" xr:uid="{F98209A2-E1F7-4C08-AEA2-D98DF178A728}"/>
    <cellStyle name="Normal 10 3 2 2 4" xfId="21168" xr:uid="{00000000-0005-0000-0000-0000B7550000}"/>
    <cellStyle name="Normal 10 3 2 2 4 2" xfId="45000" xr:uid="{60A350D5-49C0-4F5E-A1A7-B49DE09A613B}"/>
    <cellStyle name="Normal 10 3 2 2 5" xfId="29121" xr:uid="{18A29B36-332C-43D8-9952-CC9D6E4F3DB8}"/>
    <cellStyle name="Normal 10 3 2 3" xfId="7022" xr:uid="{00000000-0005-0000-0000-0000B8550000}"/>
    <cellStyle name="Normal 10 3 2 3 2" xfId="14993" xr:uid="{00000000-0005-0000-0000-0000B9550000}"/>
    <cellStyle name="Normal 10 3 2 3 2 2" xfId="38835" xr:uid="{F0C3A731-ACF4-4C3A-92C0-4DC4CCA31B99}"/>
    <cellStyle name="Normal 10 3 2 3 3" xfId="22940" xr:uid="{00000000-0005-0000-0000-0000BA550000}"/>
    <cellStyle name="Normal 10 3 2 3 3 2" xfId="46772" xr:uid="{D21CD99D-E76E-482F-8301-DD12B9371CEC}"/>
    <cellStyle name="Normal 10 3 2 3 4" xfId="30894" xr:uid="{21FC0676-8C33-42E2-A380-395D6FCA23FF}"/>
    <cellStyle name="Normal 10 3 2 4" xfId="11457" xr:uid="{00000000-0005-0000-0000-0000BB550000}"/>
    <cellStyle name="Normal 10 3 2 4 2" xfId="35306" xr:uid="{261DA7E9-35F5-4FEE-B900-F777DE4E8D1E}"/>
    <cellStyle name="Normal 10 3 2 5" xfId="19412" xr:uid="{00000000-0005-0000-0000-0000BC550000}"/>
    <cellStyle name="Normal 10 3 2 5 2" xfId="43244" xr:uid="{A93FC8BF-F4D6-49CF-AD12-22ED3C4A9561}"/>
    <cellStyle name="Normal 10 3 2 6" xfId="27364" xr:uid="{ED9BB381-C137-446E-B17B-828889D19288}"/>
    <cellStyle name="Normal 10 3 2_Exh G" xfId="3428" xr:uid="{00000000-0005-0000-0000-0000BD550000}"/>
    <cellStyle name="Normal 10 3 3" xfId="4311" xr:uid="{00000000-0005-0000-0000-0000BE550000}"/>
    <cellStyle name="Normal 10 3 3 2" xfId="7903" xr:uid="{00000000-0005-0000-0000-0000BF550000}"/>
    <cellStyle name="Normal 10 3 3 2 2" xfId="15873" xr:uid="{00000000-0005-0000-0000-0000C0550000}"/>
    <cellStyle name="Normal 10 3 3 2 2 2" xfId="39715" xr:uid="{153A57ED-9787-4AAC-B02A-7F846F062D2F}"/>
    <cellStyle name="Normal 10 3 3 2 3" xfId="23819" xr:uid="{00000000-0005-0000-0000-0000C1550000}"/>
    <cellStyle name="Normal 10 3 3 2 3 2" xfId="47651" xr:uid="{529ACD35-2FD9-4F2B-94CE-CFEDCBAED18D}"/>
    <cellStyle name="Normal 10 3 3 2 4" xfId="31774" xr:uid="{EE093EDD-58BA-4273-9867-20EE99436153}"/>
    <cellStyle name="Normal 10 3 3 3" xfId="12335" xr:uid="{00000000-0005-0000-0000-0000C2550000}"/>
    <cellStyle name="Normal 10 3 3 3 2" xfId="36184" xr:uid="{041C7461-5320-435E-9A6E-CE584FAA9B68}"/>
    <cellStyle name="Normal 10 3 3 4" xfId="20290" xr:uid="{00000000-0005-0000-0000-0000C3550000}"/>
    <cellStyle name="Normal 10 3 3 4 2" xfId="44122" xr:uid="{0C689E48-BB9F-4B85-8ACC-2013F80B0C97}"/>
    <cellStyle name="Normal 10 3 3 5" xfId="28243" xr:uid="{1F43F13C-CAF2-45EE-AC76-0D8A1504E7F1}"/>
    <cellStyle name="Normal 10 3 4" xfId="6131" xr:uid="{00000000-0005-0000-0000-0000C4550000}"/>
    <cellStyle name="Normal 10 3 4 2" xfId="14114" xr:uid="{00000000-0005-0000-0000-0000C5550000}"/>
    <cellStyle name="Normal 10 3 4 2 2" xfId="37957" xr:uid="{BCC57527-5FCA-4AD3-9831-AA578DB018F9}"/>
    <cellStyle name="Normal 10 3 4 3" xfId="22062" xr:uid="{00000000-0005-0000-0000-0000C6550000}"/>
    <cellStyle name="Normal 10 3 4 3 2" xfId="45894" xr:uid="{EBFA392B-E343-4CE6-ADA6-5383924E3AE0}"/>
    <cellStyle name="Normal 10 3 4 4" xfId="30016" xr:uid="{F2BA0E69-A74C-4139-8916-5F19B677FAD6}"/>
    <cellStyle name="Normal 10 3 5" xfId="9683" xr:uid="{00000000-0005-0000-0000-0000C7550000}"/>
    <cellStyle name="Normal 10 3 5 2" xfId="17641" xr:uid="{00000000-0005-0000-0000-0000C8550000}"/>
    <cellStyle name="Normal 10 3 5 2 2" xfId="41481" xr:uid="{6FACFEFC-8002-416B-93A4-204C89C1B5DB}"/>
    <cellStyle name="Normal 10 3 5 3" xfId="25585" xr:uid="{00000000-0005-0000-0000-0000C9550000}"/>
    <cellStyle name="Normal 10 3 5 3 2" xfId="49417" xr:uid="{E451A3D9-1DE4-44D7-BBB4-2A6031AAE2A6}"/>
    <cellStyle name="Normal 10 3 5 4" xfId="33540" xr:uid="{EB0B1A1C-3EFB-480F-89F3-0EF8C333B629}"/>
    <cellStyle name="Normal 10 3 6" xfId="10579" xr:uid="{00000000-0005-0000-0000-0000CA550000}"/>
    <cellStyle name="Normal 10 3 6 2" xfId="34428" xr:uid="{E3007EA3-6D42-4155-8907-43C894A02292}"/>
    <cellStyle name="Normal 10 3 7" xfId="18534" xr:uid="{00000000-0005-0000-0000-0000CB550000}"/>
    <cellStyle name="Normal 10 3 7 2" xfId="42366" xr:uid="{91DE749E-83D3-42C4-818F-B3185BB04E48}"/>
    <cellStyle name="Normal 10 3 8" xfId="26486" xr:uid="{C4882297-FA2B-40E5-98B8-423B2A53862F}"/>
    <cellStyle name="Normal 10 3_Exh G" xfId="3427" xr:uid="{00000000-0005-0000-0000-0000CC550000}"/>
    <cellStyle name="Normal 10 4" xfId="1009" xr:uid="{00000000-0005-0000-0000-0000CD550000}"/>
    <cellStyle name="Normal 10 5" xfId="1660" xr:uid="{00000000-0005-0000-0000-0000CE550000}"/>
    <cellStyle name="Normal 10 5 2" xfId="5187" xr:uid="{00000000-0005-0000-0000-0000CF550000}"/>
    <cellStyle name="Normal 10 5 2 2" xfId="8778" xr:uid="{00000000-0005-0000-0000-0000D0550000}"/>
    <cellStyle name="Normal 10 5 2 2 2" xfId="16748" xr:uid="{00000000-0005-0000-0000-0000D1550000}"/>
    <cellStyle name="Normal 10 5 2 2 2 2" xfId="40590" xr:uid="{11891469-3DFF-4F84-957D-29C373BF77A6}"/>
    <cellStyle name="Normal 10 5 2 2 3" xfId="24694" xr:uid="{00000000-0005-0000-0000-0000D2550000}"/>
    <cellStyle name="Normal 10 5 2 2 3 2" xfId="48526" xr:uid="{F7DAEA37-3BAC-4221-9411-AFFA2C222107}"/>
    <cellStyle name="Normal 10 5 2 2 4" xfId="32649" xr:uid="{2AF07D50-7BA9-4BD9-8316-2EAAA6B9E5B3}"/>
    <cellStyle name="Normal 10 5 2 3" xfId="13210" xr:uid="{00000000-0005-0000-0000-0000D3550000}"/>
    <cellStyle name="Normal 10 5 2 3 2" xfId="37059" xr:uid="{5652A2A8-E167-4236-84E7-30938E0D716C}"/>
    <cellStyle name="Normal 10 5 2 4" xfId="21165" xr:uid="{00000000-0005-0000-0000-0000D4550000}"/>
    <cellStyle name="Normal 10 5 2 4 2" xfId="44997" xr:uid="{DF4366EF-67BE-40E8-931B-B35CDED41C74}"/>
    <cellStyle name="Normal 10 5 2 5" xfId="29118" xr:uid="{2CE9E570-9026-44CB-8C1A-34666A3FCBF9}"/>
    <cellStyle name="Normal 10 5 3" xfId="7019" xr:uid="{00000000-0005-0000-0000-0000D5550000}"/>
    <cellStyle name="Normal 10 5 3 2" xfId="14990" xr:uid="{00000000-0005-0000-0000-0000D6550000}"/>
    <cellStyle name="Normal 10 5 3 2 2" xfId="38832" xr:uid="{DE2E8F38-5627-4051-BF22-306CC7E8A90F}"/>
    <cellStyle name="Normal 10 5 3 3" xfId="22937" xr:uid="{00000000-0005-0000-0000-0000D7550000}"/>
    <cellStyle name="Normal 10 5 3 3 2" xfId="46769" xr:uid="{D65BA575-388B-4861-AA07-588C77DFAD18}"/>
    <cellStyle name="Normal 10 5 3 4" xfId="30891" xr:uid="{2382FA7E-602A-49A3-8DAC-47BEEFB0C5E6}"/>
    <cellStyle name="Normal 10 5 4" xfId="11454" xr:uid="{00000000-0005-0000-0000-0000D8550000}"/>
    <cellStyle name="Normal 10 5 4 2" xfId="35303" xr:uid="{F0D58412-B33D-4A0D-89ED-03028018C437}"/>
    <cellStyle name="Normal 10 5 5" xfId="19409" xr:uid="{00000000-0005-0000-0000-0000D9550000}"/>
    <cellStyle name="Normal 10 5 5 2" xfId="43241" xr:uid="{229BAD69-03A1-443A-A0D8-0F47A59CE17C}"/>
    <cellStyle name="Normal 10 5 6" xfId="27361" xr:uid="{420A8B5A-0BF8-4A1C-8D35-5F294BBD1D7E}"/>
    <cellStyle name="Normal 10 5_Exh G" xfId="3429" xr:uid="{00000000-0005-0000-0000-0000DA550000}"/>
    <cellStyle name="Normal 10 6" xfId="4308" xr:uid="{00000000-0005-0000-0000-0000DB550000}"/>
    <cellStyle name="Normal 10 6 2" xfId="7900" xr:uid="{00000000-0005-0000-0000-0000DC550000}"/>
    <cellStyle name="Normal 10 6 2 2" xfId="15870" xr:uid="{00000000-0005-0000-0000-0000DD550000}"/>
    <cellStyle name="Normal 10 6 2 2 2" xfId="39712" xr:uid="{DD0960B0-D8A5-4962-B366-F60BA7794DE3}"/>
    <cellStyle name="Normal 10 6 2 3" xfId="23816" xr:uid="{00000000-0005-0000-0000-0000DE550000}"/>
    <cellStyle name="Normal 10 6 2 3 2" xfId="47648" xr:uid="{888F2190-560F-48EE-8E17-BB63E3128608}"/>
    <cellStyle name="Normal 10 6 2 4" xfId="31771" xr:uid="{86EC9137-0423-4169-BA7F-DB24B6A37132}"/>
    <cellStyle name="Normal 10 6 3" xfId="12332" xr:uid="{00000000-0005-0000-0000-0000DF550000}"/>
    <cellStyle name="Normal 10 6 3 2" xfId="36181" xr:uid="{19116193-76F9-4E4C-ACB8-F0393687C8C3}"/>
    <cellStyle name="Normal 10 6 4" xfId="20287" xr:uid="{00000000-0005-0000-0000-0000E0550000}"/>
    <cellStyle name="Normal 10 6 4 2" xfId="44119" xr:uid="{9E844FDA-C229-4AD9-B5D9-10CED8447A93}"/>
    <cellStyle name="Normal 10 6 5" xfId="28240" xr:uid="{8AD6150E-2322-4004-BCFD-9543BBDBB449}"/>
    <cellStyle name="Normal 10 7" xfId="6128" xr:uid="{00000000-0005-0000-0000-0000E1550000}"/>
    <cellStyle name="Normal 10 7 2" xfId="14111" xr:uid="{00000000-0005-0000-0000-0000E2550000}"/>
    <cellStyle name="Normal 10 7 2 2" xfId="37954" xr:uid="{55033CD2-D26C-4BF7-BA5F-F69EBE06C33D}"/>
    <cellStyle name="Normal 10 7 3" xfId="22059" xr:uid="{00000000-0005-0000-0000-0000E3550000}"/>
    <cellStyle name="Normal 10 7 3 2" xfId="45891" xr:uid="{408C558A-8C31-443C-9B28-601CF6A5D4A5}"/>
    <cellStyle name="Normal 10 7 4" xfId="30013" xr:uid="{F6158A7E-9DA1-4CE6-AAFF-3C7FB07E879F}"/>
    <cellStyle name="Normal 10 8" xfId="9680" xr:uid="{00000000-0005-0000-0000-0000E4550000}"/>
    <cellStyle name="Normal 10 8 2" xfId="17638" xr:uid="{00000000-0005-0000-0000-0000E5550000}"/>
    <cellStyle name="Normal 10 8 2 2" xfId="41478" xr:uid="{183495A0-FC65-4DA8-A106-37C11E938AA7}"/>
    <cellStyle name="Normal 10 8 3" xfId="25582" xr:uid="{00000000-0005-0000-0000-0000E6550000}"/>
    <cellStyle name="Normal 10 8 3 2" xfId="49414" xr:uid="{56939EFE-0880-42EF-AFB3-B9E7FB70D4EA}"/>
    <cellStyle name="Normal 10 8 4" xfId="33537" xr:uid="{2E8E7513-963E-43BC-8CB3-093DDF4D67B1}"/>
    <cellStyle name="Normal 10 9" xfId="10576" xr:uid="{00000000-0005-0000-0000-0000E7550000}"/>
    <cellStyle name="Normal 10 9 2" xfId="34425" xr:uid="{6D654562-AC93-4C81-9272-FDDCCC5C51BF}"/>
    <cellStyle name="Normal 10_Exh G" xfId="3422" xr:uid="{00000000-0005-0000-0000-0000E8550000}"/>
    <cellStyle name="Normal 11" xfId="638" xr:uid="{00000000-0005-0000-0000-0000E9550000}"/>
    <cellStyle name="Normal 11 10" xfId="18535" xr:uid="{00000000-0005-0000-0000-0000EA550000}"/>
    <cellStyle name="Normal 11 10 2" xfId="42367" xr:uid="{FB7F3ACA-287D-46F5-A81C-FAF7151B9F2C}"/>
    <cellStyle name="Normal 11 11" xfId="26487" xr:uid="{8DE8F2F4-6311-4F6D-BFBE-C84675933177}"/>
    <cellStyle name="Normal 11 2" xfId="639" xr:uid="{00000000-0005-0000-0000-0000EB550000}"/>
    <cellStyle name="Normal 11 2 2" xfId="640" xr:uid="{00000000-0005-0000-0000-0000EC550000}"/>
    <cellStyle name="Normal 11 2 2 2" xfId="1666" xr:uid="{00000000-0005-0000-0000-0000ED550000}"/>
    <cellStyle name="Normal 11 2 2 2 2" xfId="5193" xr:uid="{00000000-0005-0000-0000-0000EE550000}"/>
    <cellStyle name="Normal 11 2 2 2 2 2" xfId="8784" xr:uid="{00000000-0005-0000-0000-0000EF550000}"/>
    <cellStyle name="Normal 11 2 2 2 2 2 2" xfId="16754" xr:uid="{00000000-0005-0000-0000-0000F0550000}"/>
    <cellStyle name="Normal 11 2 2 2 2 2 2 2" xfId="40596" xr:uid="{4A422B26-0D30-4653-AFDA-4875BB8206A2}"/>
    <cellStyle name="Normal 11 2 2 2 2 2 3" xfId="24700" xr:uid="{00000000-0005-0000-0000-0000F1550000}"/>
    <cellStyle name="Normal 11 2 2 2 2 2 3 2" xfId="48532" xr:uid="{28102400-A069-4798-A79F-20C6308E8060}"/>
    <cellStyle name="Normal 11 2 2 2 2 2 4" xfId="32655" xr:uid="{4C0E035A-80CF-4A3E-A4C9-D1CD1A8FB354}"/>
    <cellStyle name="Normal 11 2 2 2 2 3" xfId="13216" xr:uid="{00000000-0005-0000-0000-0000F2550000}"/>
    <cellStyle name="Normal 11 2 2 2 2 3 2" xfId="37065" xr:uid="{1EA3F324-5E3A-4258-AECE-DE01A73BDA71}"/>
    <cellStyle name="Normal 11 2 2 2 2 4" xfId="21171" xr:uid="{00000000-0005-0000-0000-0000F3550000}"/>
    <cellStyle name="Normal 11 2 2 2 2 4 2" xfId="45003" xr:uid="{070B176E-DF05-492B-8BB1-86C9F9B40F57}"/>
    <cellStyle name="Normal 11 2 2 2 2 5" xfId="29124" xr:uid="{95B675BA-3A6D-4B4D-BD07-3F782FA8656F}"/>
    <cellStyle name="Normal 11 2 2 2 3" xfId="7025" xr:uid="{00000000-0005-0000-0000-0000F4550000}"/>
    <cellStyle name="Normal 11 2 2 2 3 2" xfId="14996" xr:uid="{00000000-0005-0000-0000-0000F5550000}"/>
    <cellStyle name="Normal 11 2 2 2 3 2 2" xfId="38838" xr:uid="{F17A0CB9-53EB-4F6D-A2C0-B473E6E8EDE2}"/>
    <cellStyle name="Normal 11 2 2 2 3 3" xfId="22943" xr:uid="{00000000-0005-0000-0000-0000F6550000}"/>
    <cellStyle name="Normal 11 2 2 2 3 3 2" xfId="46775" xr:uid="{D3FA1E4F-F625-44B6-959B-4B983CA1E434}"/>
    <cellStyle name="Normal 11 2 2 2 3 4" xfId="30897" xr:uid="{E257EBAC-9A43-467C-ABDC-A7E5415DD31F}"/>
    <cellStyle name="Normal 11 2 2 2 4" xfId="11460" xr:uid="{00000000-0005-0000-0000-0000F7550000}"/>
    <cellStyle name="Normal 11 2 2 2 4 2" xfId="35309" xr:uid="{43901FD6-1EA9-44D8-A9B7-9C0C7EEF0220}"/>
    <cellStyle name="Normal 11 2 2 2 5" xfId="19415" xr:uid="{00000000-0005-0000-0000-0000F8550000}"/>
    <cellStyle name="Normal 11 2 2 2 5 2" xfId="43247" xr:uid="{5EB3564E-D2CD-4508-9298-C9C11C1F9F5F}"/>
    <cellStyle name="Normal 11 2 2 2 6" xfId="27367" xr:uid="{F6D5A6BF-FA92-42BA-B654-899C74B6E02C}"/>
    <cellStyle name="Normal 11 2 2 2_Exh G" xfId="3433" xr:uid="{00000000-0005-0000-0000-0000F9550000}"/>
    <cellStyle name="Normal 11 2 2 3" xfId="4314" xr:uid="{00000000-0005-0000-0000-0000FA550000}"/>
    <cellStyle name="Normal 11 2 2 3 2" xfId="7906" xr:uid="{00000000-0005-0000-0000-0000FB550000}"/>
    <cellStyle name="Normal 11 2 2 3 2 2" xfId="15876" xr:uid="{00000000-0005-0000-0000-0000FC550000}"/>
    <cellStyle name="Normal 11 2 2 3 2 2 2" xfId="39718" xr:uid="{AD169442-D2A8-4897-93AC-8CEA8DBAF348}"/>
    <cellStyle name="Normal 11 2 2 3 2 3" xfId="23822" xr:uid="{00000000-0005-0000-0000-0000FD550000}"/>
    <cellStyle name="Normal 11 2 2 3 2 3 2" xfId="47654" xr:uid="{D5FCB941-509B-4384-AB47-4E062A7E8005}"/>
    <cellStyle name="Normal 11 2 2 3 2 4" xfId="31777" xr:uid="{6C4D5C23-2ECB-4560-9748-8DEF33338AFD}"/>
    <cellStyle name="Normal 11 2 2 3 3" xfId="12338" xr:uid="{00000000-0005-0000-0000-0000FE550000}"/>
    <cellStyle name="Normal 11 2 2 3 3 2" xfId="36187" xr:uid="{D4836244-485A-448A-ADA9-E5D550F14CA4}"/>
    <cellStyle name="Normal 11 2 2 3 4" xfId="20293" xr:uid="{00000000-0005-0000-0000-0000FF550000}"/>
    <cellStyle name="Normal 11 2 2 3 4 2" xfId="44125" xr:uid="{45214FD0-3E40-43D1-ACB8-CEA6B3E66F52}"/>
    <cellStyle name="Normal 11 2 2 3 5" xfId="28246" xr:uid="{0E567E3F-4888-4ADA-B789-1A82C13DD52E}"/>
    <cellStyle name="Normal 11 2 2 4" xfId="6134" xr:uid="{00000000-0005-0000-0000-000000560000}"/>
    <cellStyle name="Normal 11 2 2 4 2" xfId="14117" xr:uid="{00000000-0005-0000-0000-000001560000}"/>
    <cellStyle name="Normal 11 2 2 4 2 2" xfId="37960" xr:uid="{CB6370B6-7AA4-4BC3-A474-216B77AA39EE}"/>
    <cellStyle name="Normal 11 2 2 4 3" xfId="22065" xr:uid="{00000000-0005-0000-0000-000002560000}"/>
    <cellStyle name="Normal 11 2 2 4 3 2" xfId="45897" xr:uid="{67A82112-53A1-4353-B3DE-1B6FACCA39B4}"/>
    <cellStyle name="Normal 11 2 2 4 4" xfId="30019" xr:uid="{B97CCBFC-E86E-45A0-8198-A491CAB5FF1A}"/>
    <cellStyle name="Normal 11 2 2 5" xfId="9686" xr:uid="{00000000-0005-0000-0000-000003560000}"/>
    <cellStyle name="Normal 11 2 2 5 2" xfId="17644" xr:uid="{00000000-0005-0000-0000-000004560000}"/>
    <cellStyle name="Normal 11 2 2 5 2 2" xfId="41484" xr:uid="{D9865EFC-9FA1-4E83-B30C-875BB6524692}"/>
    <cellStyle name="Normal 11 2 2 5 3" xfId="25588" xr:uid="{00000000-0005-0000-0000-000005560000}"/>
    <cellStyle name="Normal 11 2 2 5 3 2" xfId="49420" xr:uid="{E59B6CDD-4AD5-463F-9A27-1C76A2022E31}"/>
    <cellStyle name="Normal 11 2 2 5 4" xfId="33543" xr:uid="{BDFE94D6-6102-4077-A3FE-80CA24FADD17}"/>
    <cellStyle name="Normal 11 2 2 6" xfId="10582" xr:uid="{00000000-0005-0000-0000-000006560000}"/>
    <cellStyle name="Normal 11 2 2 6 2" xfId="34431" xr:uid="{CE968595-391D-49CA-8D86-0C12DE0A025B}"/>
    <cellStyle name="Normal 11 2 2 7" xfId="18537" xr:uid="{00000000-0005-0000-0000-000007560000}"/>
    <cellStyle name="Normal 11 2 2 7 2" xfId="42369" xr:uid="{9409C1D2-A833-4518-B44C-4071273BA185}"/>
    <cellStyle name="Normal 11 2 2 8" xfId="26489" xr:uid="{7B98068D-32AB-4E4B-9EB5-ABA03E1AB067}"/>
    <cellStyle name="Normal 11 2 2_Exh G" xfId="3432" xr:uid="{00000000-0005-0000-0000-000008560000}"/>
    <cellStyle name="Normal 11 2 3" xfId="1665" xr:uid="{00000000-0005-0000-0000-000009560000}"/>
    <cellStyle name="Normal 11 2 3 2" xfId="5192" xr:uid="{00000000-0005-0000-0000-00000A560000}"/>
    <cellStyle name="Normal 11 2 3 2 2" xfId="8783" xr:uid="{00000000-0005-0000-0000-00000B560000}"/>
    <cellStyle name="Normal 11 2 3 2 2 2" xfId="16753" xr:uid="{00000000-0005-0000-0000-00000C560000}"/>
    <cellStyle name="Normal 11 2 3 2 2 2 2" xfId="40595" xr:uid="{2E8B4D48-680C-4637-BFCE-874B26CF413C}"/>
    <cellStyle name="Normal 11 2 3 2 2 3" xfId="24699" xr:uid="{00000000-0005-0000-0000-00000D560000}"/>
    <cellStyle name="Normal 11 2 3 2 2 3 2" xfId="48531" xr:uid="{623D3125-B15F-4FFB-BE88-B622E452FEF2}"/>
    <cellStyle name="Normal 11 2 3 2 2 4" xfId="32654" xr:uid="{5C864E96-58BA-4748-A9B7-E098278A20C3}"/>
    <cellStyle name="Normal 11 2 3 2 3" xfId="13215" xr:uid="{00000000-0005-0000-0000-00000E560000}"/>
    <cellStyle name="Normal 11 2 3 2 3 2" xfId="37064" xr:uid="{2D0BCE4F-5995-47BC-BF8F-2FD367BD8251}"/>
    <cellStyle name="Normal 11 2 3 2 4" xfId="21170" xr:uid="{00000000-0005-0000-0000-00000F560000}"/>
    <cellStyle name="Normal 11 2 3 2 4 2" xfId="45002" xr:uid="{CE1C7791-9C79-4EC0-9B2D-C11E1236E19C}"/>
    <cellStyle name="Normal 11 2 3 2 5" xfId="29123" xr:uid="{9167AD95-7F4C-4275-8455-F3B2A6BD4E3B}"/>
    <cellStyle name="Normal 11 2 3 3" xfId="7024" xr:uid="{00000000-0005-0000-0000-000010560000}"/>
    <cellStyle name="Normal 11 2 3 3 2" xfId="14995" xr:uid="{00000000-0005-0000-0000-000011560000}"/>
    <cellStyle name="Normal 11 2 3 3 2 2" xfId="38837" xr:uid="{4C44D69C-EECF-4096-B648-83027A4DA99B}"/>
    <cellStyle name="Normal 11 2 3 3 3" xfId="22942" xr:uid="{00000000-0005-0000-0000-000012560000}"/>
    <cellStyle name="Normal 11 2 3 3 3 2" xfId="46774" xr:uid="{C4E62844-BCAC-48AE-AFFD-D7B66FE30D12}"/>
    <cellStyle name="Normal 11 2 3 3 4" xfId="30896" xr:uid="{843E267C-8A85-4EAE-8521-8C15896C5F59}"/>
    <cellStyle name="Normal 11 2 3 4" xfId="11459" xr:uid="{00000000-0005-0000-0000-000013560000}"/>
    <cellStyle name="Normal 11 2 3 4 2" xfId="35308" xr:uid="{72B37283-9997-437D-BC46-FA128BC68FD8}"/>
    <cellStyle name="Normal 11 2 3 5" xfId="19414" xr:uid="{00000000-0005-0000-0000-000014560000}"/>
    <cellStyle name="Normal 11 2 3 5 2" xfId="43246" xr:uid="{7FB12E21-BA14-4841-8921-2EDA6251BC7E}"/>
    <cellStyle name="Normal 11 2 3 6" xfId="27366" xr:uid="{0CEC5EC0-5BAC-45C8-88C5-79A9E8BC131E}"/>
    <cellStyle name="Normal 11 2 3_Exh G" xfId="3434" xr:uid="{00000000-0005-0000-0000-000015560000}"/>
    <cellStyle name="Normal 11 2 4" xfId="4313" xr:uid="{00000000-0005-0000-0000-000016560000}"/>
    <cellStyle name="Normal 11 2 4 2" xfId="7905" xr:uid="{00000000-0005-0000-0000-000017560000}"/>
    <cellStyle name="Normal 11 2 4 2 2" xfId="15875" xr:uid="{00000000-0005-0000-0000-000018560000}"/>
    <cellStyle name="Normal 11 2 4 2 2 2" xfId="39717" xr:uid="{56789995-4B56-47BF-9949-3F1ADA1CD250}"/>
    <cellStyle name="Normal 11 2 4 2 3" xfId="23821" xr:uid="{00000000-0005-0000-0000-000019560000}"/>
    <cellStyle name="Normal 11 2 4 2 3 2" xfId="47653" xr:uid="{3EDDD671-D0C8-4FB1-8E82-1DE7D6C4AF94}"/>
    <cellStyle name="Normal 11 2 4 2 4" xfId="31776" xr:uid="{51FF2E00-51BC-45A5-A779-5602733F451A}"/>
    <cellStyle name="Normal 11 2 4 3" xfId="12337" xr:uid="{00000000-0005-0000-0000-00001A560000}"/>
    <cellStyle name="Normal 11 2 4 3 2" xfId="36186" xr:uid="{ACA7A8C5-FBD7-4C07-B3D2-6ABD78D8D41F}"/>
    <cellStyle name="Normal 11 2 4 4" xfId="20292" xr:uid="{00000000-0005-0000-0000-00001B560000}"/>
    <cellStyle name="Normal 11 2 4 4 2" xfId="44124" xr:uid="{82E970FF-86CB-4F55-BA26-2173D737458A}"/>
    <cellStyle name="Normal 11 2 4 5" xfId="28245" xr:uid="{056C0450-5F45-4B70-A576-76030B70825E}"/>
    <cellStyle name="Normal 11 2 5" xfId="6133" xr:uid="{00000000-0005-0000-0000-00001C560000}"/>
    <cellStyle name="Normal 11 2 5 2" xfId="14116" xr:uid="{00000000-0005-0000-0000-00001D560000}"/>
    <cellStyle name="Normal 11 2 5 2 2" xfId="37959" xr:uid="{FCF14717-8FB7-4A16-B337-59E09B4C5B3F}"/>
    <cellStyle name="Normal 11 2 5 3" xfId="22064" xr:uid="{00000000-0005-0000-0000-00001E560000}"/>
    <cellStyle name="Normal 11 2 5 3 2" xfId="45896" xr:uid="{3353485E-6FC2-47C5-9515-EA4AC3CFED8D}"/>
    <cellStyle name="Normal 11 2 5 4" xfId="30018" xr:uid="{A25F61C9-9418-4153-B75D-1D05DF773CD1}"/>
    <cellStyle name="Normal 11 2 6" xfId="9685" xr:uid="{00000000-0005-0000-0000-00001F560000}"/>
    <cellStyle name="Normal 11 2 6 2" xfId="17643" xr:uid="{00000000-0005-0000-0000-000020560000}"/>
    <cellStyle name="Normal 11 2 6 2 2" xfId="41483" xr:uid="{7418111D-09B6-47F2-AB6B-09B984AB9C6A}"/>
    <cellStyle name="Normal 11 2 6 3" xfId="25587" xr:uid="{00000000-0005-0000-0000-000021560000}"/>
    <cellStyle name="Normal 11 2 6 3 2" xfId="49419" xr:uid="{968CC445-A74E-4EE3-BCBA-6869CBEEFD50}"/>
    <cellStyle name="Normal 11 2 6 4" xfId="33542" xr:uid="{F3B94DF4-5F52-4748-8B90-3F1A0BB050DC}"/>
    <cellStyle name="Normal 11 2 7" xfId="10581" xr:uid="{00000000-0005-0000-0000-000022560000}"/>
    <cellStyle name="Normal 11 2 7 2" xfId="34430" xr:uid="{238D805C-970B-455F-B2BA-75E6757F8B3B}"/>
    <cellStyle name="Normal 11 2 8" xfId="18536" xr:uid="{00000000-0005-0000-0000-000023560000}"/>
    <cellStyle name="Normal 11 2 8 2" xfId="42368" xr:uid="{798E9CE7-5B7B-492D-B81B-242EEC0A1968}"/>
    <cellStyle name="Normal 11 2 9" xfId="26488" xr:uid="{ABB2088D-A628-473C-9039-9D69EE0379C3}"/>
    <cellStyle name="Normal 11 2_Exh G" xfId="3431" xr:uid="{00000000-0005-0000-0000-000024560000}"/>
    <cellStyle name="Normal 11 3" xfId="641" xr:uid="{00000000-0005-0000-0000-000025560000}"/>
    <cellStyle name="Normal 11 3 2" xfId="1667" xr:uid="{00000000-0005-0000-0000-000026560000}"/>
    <cellStyle name="Normal 11 3 2 2" xfId="5194" xr:uid="{00000000-0005-0000-0000-000027560000}"/>
    <cellStyle name="Normal 11 3 2 2 2" xfId="8785" xr:uid="{00000000-0005-0000-0000-000028560000}"/>
    <cellStyle name="Normal 11 3 2 2 2 2" xfId="16755" xr:uid="{00000000-0005-0000-0000-000029560000}"/>
    <cellStyle name="Normal 11 3 2 2 2 2 2" xfId="40597" xr:uid="{7FDADA77-CEE9-4F33-946C-B647731AE207}"/>
    <cellStyle name="Normal 11 3 2 2 2 3" xfId="24701" xr:uid="{00000000-0005-0000-0000-00002A560000}"/>
    <cellStyle name="Normal 11 3 2 2 2 3 2" xfId="48533" xr:uid="{7738EC1A-9B13-427F-9E9D-B37A4512C7FF}"/>
    <cellStyle name="Normal 11 3 2 2 2 4" xfId="32656" xr:uid="{63071830-69BC-4EA9-B022-B2FF76BD77F0}"/>
    <cellStyle name="Normal 11 3 2 2 3" xfId="13217" xr:uid="{00000000-0005-0000-0000-00002B560000}"/>
    <cellStyle name="Normal 11 3 2 2 3 2" xfId="37066" xr:uid="{7D84FB8F-493A-42A3-9937-C3D0932A75CF}"/>
    <cellStyle name="Normal 11 3 2 2 4" xfId="21172" xr:uid="{00000000-0005-0000-0000-00002C560000}"/>
    <cellStyle name="Normal 11 3 2 2 4 2" xfId="45004" xr:uid="{DCF7CEC4-B347-449C-9C92-DEE907ED8C47}"/>
    <cellStyle name="Normal 11 3 2 2 5" xfId="29125" xr:uid="{CA4A625C-F151-4ECE-B933-BA69371AFCA2}"/>
    <cellStyle name="Normal 11 3 2 3" xfId="7026" xr:uid="{00000000-0005-0000-0000-00002D560000}"/>
    <cellStyle name="Normal 11 3 2 3 2" xfId="14997" xr:uid="{00000000-0005-0000-0000-00002E560000}"/>
    <cellStyle name="Normal 11 3 2 3 2 2" xfId="38839" xr:uid="{978F0ADA-6EAA-4099-954D-FEB4B37C2088}"/>
    <cellStyle name="Normal 11 3 2 3 3" xfId="22944" xr:uid="{00000000-0005-0000-0000-00002F560000}"/>
    <cellStyle name="Normal 11 3 2 3 3 2" xfId="46776" xr:uid="{B5A4AC84-30E2-4555-AF69-99632910BB81}"/>
    <cellStyle name="Normal 11 3 2 3 4" xfId="30898" xr:uid="{52CD1474-0C07-4463-8368-2BF6D0808E68}"/>
    <cellStyle name="Normal 11 3 2 4" xfId="11461" xr:uid="{00000000-0005-0000-0000-000030560000}"/>
    <cellStyle name="Normal 11 3 2 4 2" xfId="35310" xr:uid="{5A280B53-09DC-4079-9125-993103DFF525}"/>
    <cellStyle name="Normal 11 3 2 5" xfId="19416" xr:uid="{00000000-0005-0000-0000-000031560000}"/>
    <cellStyle name="Normal 11 3 2 5 2" xfId="43248" xr:uid="{7B25F053-776C-40DD-AACB-4F8205D53E3D}"/>
    <cellStyle name="Normal 11 3 2 6" xfId="27368" xr:uid="{BD7946C6-BC09-489B-8FE5-A65A39571997}"/>
    <cellStyle name="Normal 11 3 2_Exh G" xfId="3436" xr:uid="{00000000-0005-0000-0000-000032560000}"/>
    <cellStyle name="Normal 11 3 3" xfId="4315" xr:uid="{00000000-0005-0000-0000-000033560000}"/>
    <cellStyle name="Normal 11 3 3 2" xfId="7907" xr:uid="{00000000-0005-0000-0000-000034560000}"/>
    <cellStyle name="Normal 11 3 3 2 2" xfId="15877" xr:uid="{00000000-0005-0000-0000-000035560000}"/>
    <cellStyle name="Normal 11 3 3 2 2 2" xfId="39719" xr:uid="{01D25F6A-9C38-4412-A5D2-D9BEDFB357C7}"/>
    <cellStyle name="Normal 11 3 3 2 3" xfId="23823" xr:uid="{00000000-0005-0000-0000-000036560000}"/>
    <cellStyle name="Normal 11 3 3 2 3 2" xfId="47655" xr:uid="{E8383068-9677-49E9-827E-2A7392641DCF}"/>
    <cellStyle name="Normal 11 3 3 2 4" xfId="31778" xr:uid="{322FD87E-E530-4BC3-8559-089A61AD8E6B}"/>
    <cellStyle name="Normal 11 3 3 3" xfId="12339" xr:uid="{00000000-0005-0000-0000-000037560000}"/>
    <cellStyle name="Normal 11 3 3 3 2" xfId="36188" xr:uid="{5EA78D2F-5D4E-471F-85F2-DECA3CE82EBA}"/>
    <cellStyle name="Normal 11 3 3 4" xfId="20294" xr:uid="{00000000-0005-0000-0000-000038560000}"/>
    <cellStyle name="Normal 11 3 3 4 2" xfId="44126" xr:uid="{2CECD7C8-89E0-45F2-872F-74C339D600FE}"/>
    <cellStyle name="Normal 11 3 3 5" xfId="28247" xr:uid="{E627365E-E1AC-4A74-A8F8-65354214893C}"/>
    <cellStyle name="Normal 11 3 4" xfId="6135" xr:uid="{00000000-0005-0000-0000-000039560000}"/>
    <cellStyle name="Normal 11 3 4 2" xfId="14118" xr:uid="{00000000-0005-0000-0000-00003A560000}"/>
    <cellStyle name="Normal 11 3 4 2 2" xfId="37961" xr:uid="{157FB747-BBE2-4C88-8426-3AC74B4BD95F}"/>
    <cellStyle name="Normal 11 3 4 3" xfId="22066" xr:uid="{00000000-0005-0000-0000-00003B560000}"/>
    <cellStyle name="Normal 11 3 4 3 2" xfId="45898" xr:uid="{490AFACB-7FAF-4725-8134-69F84A7FC83C}"/>
    <cellStyle name="Normal 11 3 4 4" xfId="30020" xr:uid="{A4E772BE-FACF-4CBE-94E5-0042484DF251}"/>
    <cellStyle name="Normal 11 3 5" xfId="9687" xr:uid="{00000000-0005-0000-0000-00003C560000}"/>
    <cellStyle name="Normal 11 3 5 2" xfId="17645" xr:uid="{00000000-0005-0000-0000-00003D560000}"/>
    <cellStyle name="Normal 11 3 5 2 2" xfId="41485" xr:uid="{A640D376-E769-431B-AE84-F67226D9B313}"/>
    <cellStyle name="Normal 11 3 5 3" xfId="25589" xr:uid="{00000000-0005-0000-0000-00003E560000}"/>
    <cellStyle name="Normal 11 3 5 3 2" xfId="49421" xr:uid="{D4D2F3BD-7FF9-4401-9A4B-8AABF90FD8B9}"/>
    <cellStyle name="Normal 11 3 5 4" xfId="33544" xr:uid="{C5D839D0-28B2-4107-A001-C11F8B38B846}"/>
    <cellStyle name="Normal 11 3 6" xfId="10583" xr:uid="{00000000-0005-0000-0000-00003F560000}"/>
    <cellStyle name="Normal 11 3 6 2" xfId="34432" xr:uid="{60B06FE1-1551-4EA1-A8E3-E4847FF41993}"/>
    <cellStyle name="Normal 11 3 7" xfId="18538" xr:uid="{00000000-0005-0000-0000-000040560000}"/>
    <cellStyle name="Normal 11 3 7 2" xfId="42370" xr:uid="{91F535D9-3B80-4CEF-9B97-C09CF64DFE4F}"/>
    <cellStyle name="Normal 11 3 8" xfId="26490" xr:uid="{2AB30A4E-5748-4881-BE1B-CB02E763FBBC}"/>
    <cellStyle name="Normal 11 3_Exh G" xfId="3435" xr:uid="{00000000-0005-0000-0000-000041560000}"/>
    <cellStyle name="Normal 11 4" xfId="1010" xr:uid="{00000000-0005-0000-0000-000042560000}"/>
    <cellStyle name="Normal 11 4 2" xfId="1913" xr:uid="{00000000-0005-0000-0000-000043560000}"/>
    <cellStyle name="Normal 11 4 2 2" xfId="5430" xr:uid="{00000000-0005-0000-0000-000044560000}"/>
    <cellStyle name="Normal 11 4 2 2 2" xfId="9021" xr:uid="{00000000-0005-0000-0000-000045560000}"/>
    <cellStyle name="Normal 11 4 2 2 2 2" xfId="16991" xr:uid="{00000000-0005-0000-0000-000046560000}"/>
    <cellStyle name="Normal 11 4 2 2 2 2 2" xfId="40833" xr:uid="{F7600CB2-A540-40FE-B39D-12644FF27E26}"/>
    <cellStyle name="Normal 11 4 2 2 2 3" xfId="24937" xr:uid="{00000000-0005-0000-0000-000047560000}"/>
    <cellStyle name="Normal 11 4 2 2 2 3 2" xfId="48769" xr:uid="{9542B8E9-1A07-4C1E-BE76-5D3964B4E997}"/>
    <cellStyle name="Normal 11 4 2 2 2 4" xfId="32892" xr:uid="{ECADC131-22EF-4A1A-902F-D7046087C69E}"/>
    <cellStyle name="Normal 11 4 2 2 3" xfId="13453" xr:uid="{00000000-0005-0000-0000-000048560000}"/>
    <cellStyle name="Normal 11 4 2 2 3 2" xfId="37302" xr:uid="{947AA8FA-6EFD-4FCE-B9A5-110E44D7FD4F}"/>
    <cellStyle name="Normal 11 4 2 2 4" xfId="21408" xr:uid="{00000000-0005-0000-0000-000049560000}"/>
    <cellStyle name="Normal 11 4 2 2 4 2" xfId="45240" xr:uid="{5CF4427F-C4A0-4118-A03A-04C794BFF1F1}"/>
    <cellStyle name="Normal 11 4 2 2 5" xfId="29361" xr:uid="{D86A04DD-6292-46D2-A483-43AEE3BDFC41}"/>
    <cellStyle name="Normal 11 4 2 3" xfId="7262" xr:uid="{00000000-0005-0000-0000-00004A560000}"/>
    <cellStyle name="Normal 11 4 2 3 2" xfId="15233" xr:uid="{00000000-0005-0000-0000-00004B560000}"/>
    <cellStyle name="Normal 11 4 2 3 2 2" xfId="39075" xr:uid="{6CC69648-347D-43AC-9E4F-7F91EABE355B}"/>
    <cellStyle name="Normal 11 4 2 3 3" xfId="23180" xr:uid="{00000000-0005-0000-0000-00004C560000}"/>
    <cellStyle name="Normal 11 4 2 3 3 2" xfId="47012" xr:uid="{7BF79F84-2ADE-46CE-B7B0-8DFE382507E9}"/>
    <cellStyle name="Normal 11 4 2 3 4" xfId="31134" xr:uid="{A2A004D1-5752-400A-9D9E-272A5214C7ED}"/>
    <cellStyle name="Normal 11 4 2 4" xfId="11697" xr:uid="{00000000-0005-0000-0000-00004D560000}"/>
    <cellStyle name="Normal 11 4 2 4 2" xfId="35546" xr:uid="{F0C3D0A2-C145-4FC3-AFDE-9A3E8E1487A0}"/>
    <cellStyle name="Normal 11 4 2 5" xfId="19652" xr:uid="{00000000-0005-0000-0000-00004E560000}"/>
    <cellStyle name="Normal 11 4 2 5 2" xfId="43484" xr:uid="{ABE23E5A-FADC-456E-9D8F-7DE171989F67}"/>
    <cellStyle name="Normal 11 4 2 6" xfId="27604" xr:uid="{AF59C46B-2010-4AEA-A7BA-500617F2863C}"/>
    <cellStyle name="Normal 11 4 2_Exh G" xfId="3438" xr:uid="{00000000-0005-0000-0000-00004F560000}"/>
    <cellStyle name="Normal 11 4 3" xfId="4551" xr:uid="{00000000-0005-0000-0000-000050560000}"/>
    <cellStyle name="Normal 11 4 3 2" xfId="8143" xr:uid="{00000000-0005-0000-0000-000051560000}"/>
    <cellStyle name="Normal 11 4 3 2 2" xfId="16113" xr:uid="{00000000-0005-0000-0000-000052560000}"/>
    <cellStyle name="Normal 11 4 3 2 2 2" xfId="39955" xr:uid="{49A04FE1-0C4D-4FF1-81F6-BBB54172302A}"/>
    <cellStyle name="Normal 11 4 3 2 3" xfId="24059" xr:uid="{00000000-0005-0000-0000-000053560000}"/>
    <cellStyle name="Normal 11 4 3 2 3 2" xfId="47891" xr:uid="{9C939D86-6730-46FF-BDF7-FF24F7C3075D}"/>
    <cellStyle name="Normal 11 4 3 2 4" xfId="32014" xr:uid="{FFFC6698-5540-42BD-94F7-A95224FF6AA0}"/>
    <cellStyle name="Normal 11 4 3 3" xfId="12575" xr:uid="{00000000-0005-0000-0000-000054560000}"/>
    <cellStyle name="Normal 11 4 3 3 2" xfId="36424" xr:uid="{EF550D1B-411C-4D61-99EA-B6BA1AEBED24}"/>
    <cellStyle name="Normal 11 4 3 4" xfId="20530" xr:uid="{00000000-0005-0000-0000-000055560000}"/>
    <cellStyle name="Normal 11 4 3 4 2" xfId="44362" xr:uid="{37E048DF-000B-4020-B0C1-F3610A5BA25E}"/>
    <cellStyle name="Normal 11 4 3 5" xfId="28483" xr:uid="{B2503B5D-420C-4BF1-8A3C-D88C4B59A1F3}"/>
    <cellStyle name="Normal 11 4 4" xfId="6381" xr:uid="{00000000-0005-0000-0000-000056560000}"/>
    <cellStyle name="Normal 11 4 4 2" xfId="14355" xr:uid="{00000000-0005-0000-0000-000057560000}"/>
    <cellStyle name="Normal 11 4 4 2 2" xfId="38197" xr:uid="{6585F807-9E0F-4615-B0ED-DF16F462C9E8}"/>
    <cellStyle name="Normal 11 4 4 3" xfId="22302" xr:uid="{00000000-0005-0000-0000-000058560000}"/>
    <cellStyle name="Normal 11 4 4 3 2" xfId="46134" xr:uid="{65A0AF6F-35DF-4497-AA37-647E48EBEA11}"/>
    <cellStyle name="Normal 11 4 4 4" xfId="30256" xr:uid="{C27D341C-2C1D-4578-A0B1-89B0082901FB}"/>
    <cellStyle name="Normal 11 4 5" xfId="9923" xr:uid="{00000000-0005-0000-0000-000059560000}"/>
    <cellStyle name="Normal 11 4 5 2" xfId="17881" xr:uid="{00000000-0005-0000-0000-00005A560000}"/>
    <cellStyle name="Normal 11 4 5 2 2" xfId="41721" xr:uid="{17F22099-A8E8-4795-BE40-A6094270794F}"/>
    <cellStyle name="Normal 11 4 5 3" xfId="25825" xr:uid="{00000000-0005-0000-0000-00005B560000}"/>
    <cellStyle name="Normal 11 4 5 3 2" xfId="49657" xr:uid="{A2EA46A2-8316-421D-A7D6-2099B8319F52}"/>
    <cellStyle name="Normal 11 4 5 4" xfId="33780" xr:uid="{E563BAA1-C03D-44B4-BF7A-EB47B8AEA37B}"/>
    <cellStyle name="Normal 11 4 6" xfId="10819" xr:uid="{00000000-0005-0000-0000-00005C560000}"/>
    <cellStyle name="Normal 11 4 6 2" xfId="34668" xr:uid="{E5511FE3-6FED-43F9-BABB-96379CF7A2D6}"/>
    <cellStyle name="Normal 11 4 7" xfId="18774" xr:uid="{00000000-0005-0000-0000-00005D560000}"/>
    <cellStyle name="Normal 11 4 7 2" xfId="42606" xr:uid="{877393FD-73B9-452E-BA62-E03F3C545BFE}"/>
    <cellStyle name="Normal 11 4 8" xfId="26726" xr:uid="{DBF1EDA7-E1B3-4503-B35D-3875E1EBA074}"/>
    <cellStyle name="Normal 11 4_Exh G" xfId="3437" xr:uid="{00000000-0005-0000-0000-00005E560000}"/>
    <cellStyle name="Normal 11 5" xfId="1664" xr:uid="{00000000-0005-0000-0000-00005F560000}"/>
    <cellStyle name="Normal 11 5 2" xfId="5191" xr:uid="{00000000-0005-0000-0000-000060560000}"/>
    <cellStyle name="Normal 11 5 2 2" xfId="8782" xr:uid="{00000000-0005-0000-0000-000061560000}"/>
    <cellStyle name="Normal 11 5 2 2 2" xfId="16752" xr:uid="{00000000-0005-0000-0000-000062560000}"/>
    <cellStyle name="Normal 11 5 2 2 2 2" xfId="40594" xr:uid="{7ECE05E7-A715-43A0-A424-818AB64C6B9E}"/>
    <cellStyle name="Normal 11 5 2 2 3" xfId="24698" xr:uid="{00000000-0005-0000-0000-000063560000}"/>
    <cellStyle name="Normal 11 5 2 2 3 2" xfId="48530" xr:uid="{02AF31DF-2A41-43CB-B43D-7B5B79107D97}"/>
    <cellStyle name="Normal 11 5 2 2 4" xfId="32653" xr:uid="{4FD17C28-20C9-491A-9841-740B3806B64E}"/>
    <cellStyle name="Normal 11 5 2 3" xfId="13214" xr:uid="{00000000-0005-0000-0000-000064560000}"/>
    <cellStyle name="Normal 11 5 2 3 2" xfId="37063" xr:uid="{32EA7BC3-B523-45B9-AF0F-A3783FA1BE56}"/>
    <cellStyle name="Normal 11 5 2 4" xfId="21169" xr:uid="{00000000-0005-0000-0000-000065560000}"/>
    <cellStyle name="Normal 11 5 2 4 2" xfId="45001" xr:uid="{6FBF1B46-5E5D-436A-A0D1-B829DFF03F97}"/>
    <cellStyle name="Normal 11 5 2 5" xfId="29122" xr:uid="{9C3A16CC-299B-4922-AEDB-0F9BFB0BC34D}"/>
    <cellStyle name="Normal 11 5 3" xfId="7023" xr:uid="{00000000-0005-0000-0000-000066560000}"/>
    <cellStyle name="Normal 11 5 3 2" xfId="14994" xr:uid="{00000000-0005-0000-0000-000067560000}"/>
    <cellStyle name="Normal 11 5 3 2 2" xfId="38836" xr:uid="{DE00FC85-8EB8-4004-A1E3-8DD3E6B25E40}"/>
    <cellStyle name="Normal 11 5 3 3" xfId="22941" xr:uid="{00000000-0005-0000-0000-000068560000}"/>
    <cellStyle name="Normal 11 5 3 3 2" xfId="46773" xr:uid="{2FAA6C57-C7CC-4919-A725-AD1635782C47}"/>
    <cellStyle name="Normal 11 5 3 4" xfId="30895" xr:uid="{BC78AD4A-98BA-4D1F-A556-56FB245EA10E}"/>
    <cellStyle name="Normal 11 5 4" xfId="11458" xr:uid="{00000000-0005-0000-0000-000069560000}"/>
    <cellStyle name="Normal 11 5 4 2" xfId="35307" xr:uid="{E8BA9100-552F-4A57-806C-D4AE15A6E42E}"/>
    <cellStyle name="Normal 11 5 5" xfId="19413" xr:uid="{00000000-0005-0000-0000-00006A560000}"/>
    <cellStyle name="Normal 11 5 5 2" xfId="43245" xr:uid="{23F9C611-CDB0-4E80-BD39-9D061F0246F6}"/>
    <cellStyle name="Normal 11 5 6" xfId="27365" xr:uid="{DB80921C-2C98-4D8E-8395-EC1370B4AAB0}"/>
    <cellStyle name="Normal 11 5_Exh G" xfId="3439" xr:uid="{00000000-0005-0000-0000-00006B560000}"/>
    <cellStyle name="Normal 11 6" xfId="4312" xr:uid="{00000000-0005-0000-0000-00006C560000}"/>
    <cellStyle name="Normal 11 6 2" xfId="7904" xr:uid="{00000000-0005-0000-0000-00006D560000}"/>
    <cellStyle name="Normal 11 6 2 2" xfId="15874" xr:uid="{00000000-0005-0000-0000-00006E560000}"/>
    <cellStyle name="Normal 11 6 2 2 2" xfId="39716" xr:uid="{985A5577-1D8D-4ED1-9E95-C11D02BADB30}"/>
    <cellStyle name="Normal 11 6 2 3" xfId="23820" xr:uid="{00000000-0005-0000-0000-00006F560000}"/>
    <cellStyle name="Normal 11 6 2 3 2" xfId="47652" xr:uid="{FA24D6BF-2C1E-47F7-82A4-F978821B9CC9}"/>
    <cellStyle name="Normal 11 6 2 4" xfId="31775" xr:uid="{D6D89E64-0102-4EBD-842B-3A4AC4159708}"/>
    <cellStyle name="Normal 11 6 3" xfId="12336" xr:uid="{00000000-0005-0000-0000-000070560000}"/>
    <cellStyle name="Normal 11 6 3 2" xfId="36185" xr:uid="{17F2499A-353E-497C-81C8-AC0A8DFB57E8}"/>
    <cellStyle name="Normal 11 6 4" xfId="20291" xr:uid="{00000000-0005-0000-0000-000071560000}"/>
    <cellStyle name="Normal 11 6 4 2" xfId="44123" xr:uid="{86DD01E7-C6B0-4132-8BCB-8223A620A96B}"/>
    <cellStyle name="Normal 11 6 5" xfId="28244" xr:uid="{F6186FF3-327D-44BB-BCF6-EE4FFF39EC96}"/>
    <cellStyle name="Normal 11 7" xfId="6132" xr:uid="{00000000-0005-0000-0000-000072560000}"/>
    <cellStyle name="Normal 11 7 2" xfId="14115" xr:uid="{00000000-0005-0000-0000-000073560000}"/>
    <cellStyle name="Normal 11 7 2 2" xfId="37958" xr:uid="{AABFB753-1530-4D30-B31A-C873C85A66C3}"/>
    <cellStyle name="Normal 11 7 3" xfId="22063" xr:uid="{00000000-0005-0000-0000-000074560000}"/>
    <cellStyle name="Normal 11 7 3 2" xfId="45895" xr:uid="{17A171B8-98A1-4DAD-80C5-CB4CB7BFCFDD}"/>
    <cellStyle name="Normal 11 7 4" xfId="30017" xr:uid="{9FF0A2A8-4D4D-426E-B566-9EEAE9B58154}"/>
    <cellStyle name="Normal 11 8" xfId="9684" xr:uid="{00000000-0005-0000-0000-000075560000}"/>
    <cellStyle name="Normal 11 8 2" xfId="17642" xr:uid="{00000000-0005-0000-0000-000076560000}"/>
    <cellStyle name="Normal 11 8 2 2" xfId="41482" xr:uid="{5DA8AC3D-1D19-49AB-BAA7-4122CB588EBC}"/>
    <cellStyle name="Normal 11 8 3" xfId="25586" xr:uid="{00000000-0005-0000-0000-000077560000}"/>
    <cellStyle name="Normal 11 8 3 2" xfId="49418" xr:uid="{CBE9483C-498E-4FB9-8F14-738D59AC0CA8}"/>
    <cellStyle name="Normal 11 8 4" xfId="33541" xr:uid="{1D16F752-2C22-48F8-BC98-1275C0C66DCE}"/>
    <cellStyle name="Normal 11 9" xfId="10580" xr:uid="{00000000-0005-0000-0000-000078560000}"/>
    <cellStyle name="Normal 11 9 2" xfId="34429" xr:uid="{81336FFD-E0C2-4C6D-834F-0BBEFCCF4FD2}"/>
    <cellStyle name="Normal 11_Exh G" xfId="3430" xr:uid="{00000000-0005-0000-0000-000079560000}"/>
    <cellStyle name="Normal 12" xfId="642" xr:uid="{00000000-0005-0000-0000-00007A560000}"/>
    <cellStyle name="Normal 12 10" xfId="18539" xr:uid="{00000000-0005-0000-0000-00007B560000}"/>
    <cellStyle name="Normal 12 10 2" xfId="42371" xr:uid="{74DE5901-0A4B-4C9D-B7FF-B3E39C5D4580}"/>
    <cellStyle name="Normal 12 11" xfId="26491" xr:uid="{F87F7B9A-C994-4F31-8017-ADD31FAA30FE}"/>
    <cellStyle name="Normal 12 2" xfId="643" xr:uid="{00000000-0005-0000-0000-00007C560000}"/>
    <cellStyle name="Normal 12 2 2" xfId="644" xr:uid="{00000000-0005-0000-0000-00007D560000}"/>
    <cellStyle name="Normal 12 2 2 2" xfId="1670" xr:uid="{00000000-0005-0000-0000-00007E560000}"/>
    <cellStyle name="Normal 12 2 2 2 2" xfId="5197" xr:uid="{00000000-0005-0000-0000-00007F560000}"/>
    <cellStyle name="Normal 12 2 2 2 2 2" xfId="8788" xr:uid="{00000000-0005-0000-0000-000080560000}"/>
    <cellStyle name="Normal 12 2 2 2 2 2 2" xfId="16758" xr:uid="{00000000-0005-0000-0000-000081560000}"/>
    <cellStyle name="Normal 12 2 2 2 2 2 2 2" xfId="40600" xr:uid="{CE6546A9-E72E-4281-8CFB-46CF634E2D93}"/>
    <cellStyle name="Normal 12 2 2 2 2 2 3" xfId="24704" xr:uid="{00000000-0005-0000-0000-000082560000}"/>
    <cellStyle name="Normal 12 2 2 2 2 2 3 2" xfId="48536" xr:uid="{7882D875-0EC7-455B-8DC8-4041123DB6E1}"/>
    <cellStyle name="Normal 12 2 2 2 2 2 4" xfId="32659" xr:uid="{0E13E71D-B918-489A-9212-17C6706E1E64}"/>
    <cellStyle name="Normal 12 2 2 2 2 3" xfId="13220" xr:uid="{00000000-0005-0000-0000-000083560000}"/>
    <cellStyle name="Normal 12 2 2 2 2 3 2" xfId="37069" xr:uid="{8F0B00FC-D8F0-4164-A375-5BB10E51549C}"/>
    <cellStyle name="Normal 12 2 2 2 2 4" xfId="21175" xr:uid="{00000000-0005-0000-0000-000084560000}"/>
    <cellStyle name="Normal 12 2 2 2 2 4 2" xfId="45007" xr:uid="{82FF255F-B32E-4E81-85DE-63EB00EF1144}"/>
    <cellStyle name="Normal 12 2 2 2 2 5" xfId="29128" xr:uid="{C153F772-9A6C-454D-821D-F9700A3C30E3}"/>
    <cellStyle name="Normal 12 2 2 2 3" xfId="7029" xr:uid="{00000000-0005-0000-0000-000085560000}"/>
    <cellStyle name="Normal 12 2 2 2 3 2" xfId="15000" xr:uid="{00000000-0005-0000-0000-000086560000}"/>
    <cellStyle name="Normal 12 2 2 2 3 2 2" xfId="38842" xr:uid="{86C559AC-7C21-411B-8F8D-2DB4FD61D532}"/>
    <cellStyle name="Normal 12 2 2 2 3 3" xfId="22947" xr:uid="{00000000-0005-0000-0000-000087560000}"/>
    <cellStyle name="Normal 12 2 2 2 3 3 2" xfId="46779" xr:uid="{B54D5160-7B66-4369-9CF8-D3E3DC446B3B}"/>
    <cellStyle name="Normal 12 2 2 2 3 4" xfId="30901" xr:uid="{1FEDB8DE-F3F0-440A-8FF6-1C072FA99358}"/>
    <cellStyle name="Normal 12 2 2 2 4" xfId="11464" xr:uid="{00000000-0005-0000-0000-000088560000}"/>
    <cellStyle name="Normal 12 2 2 2 4 2" xfId="35313" xr:uid="{82FC3EDA-489B-47AF-89C8-B45A6D41A675}"/>
    <cellStyle name="Normal 12 2 2 2 5" xfId="19419" xr:uid="{00000000-0005-0000-0000-000089560000}"/>
    <cellStyle name="Normal 12 2 2 2 5 2" xfId="43251" xr:uid="{C83408E1-6644-43B5-B6E3-720A191A56B6}"/>
    <cellStyle name="Normal 12 2 2 2 6" xfId="27371" xr:uid="{9A527DA1-E9FA-4066-B44B-65E6BE0E170C}"/>
    <cellStyle name="Normal 12 2 2 2_Exh G" xfId="3443" xr:uid="{00000000-0005-0000-0000-00008A560000}"/>
    <cellStyle name="Normal 12 2 2 3" xfId="4318" xr:uid="{00000000-0005-0000-0000-00008B560000}"/>
    <cellStyle name="Normal 12 2 2 3 2" xfId="7910" xr:uid="{00000000-0005-0000-0000-00008C560000}"/>
    <cellStyle name="Normal 12 2 2 3 2 2" xfId="15880" xr:uid="{00000000-0005-0000-0000-00008D560000}"/>
    <cellStyle name="Normal 12 2 2 3 2 2 2" xfId="39722" xr:uid="{075EBCDC-BFF1-4323-809F-1B5FF48FABF2}"/>
    <cellStyle name="Normal 12 2 2 3 2 3" xfId="23826" xr:uid="{00000000-0005-0000-0000-00008E560000}"/>
    <cellStyle name="Normal 12 2 2 3 2 3 2" xfId="47658" xr:uid="{6CA0A97A-2B83-4034-9B21-B9AA569C7FA0}"/>
    <cellStyle name="Normal 12 2 2 3 2 4" xfId="31781" xr:uid="{97ABEB5F-AD62-4C10-A279-9F8309CA74CB}"/>
    <cellStyle name="Normal 12 2 2 3 3" xfId="12342" xr:uid="{00000000-0005-0000-0000-00008F560000}"/>
    <cellStyle name="Normal 12 2 2 3 3 2" xfId="36191" xr:uid="{03FA9E93-1E1C-4CD7-914F-8962867D8DEB}"/>
    <cellStyle name="Normal 12 2 2 3 4" xfId="20297" xr:uid="{00000000-0005-0000-0000-000090560000}"/>
    <cellStyle name="Normal 12 2 2 3 4 2" xfId="44129" xr:uid="{8C41952F-5225-4320-9362-64F50CF52CE8}"/>
    <cellStyle name="Normal 12 2 2 3 5" xfId="28250" xr:uid="{D6423CF0-6A59-4D0E-A529-EA29F52BA7EF}"/>
    <cellStyle name="Normal 12 2 2 4" xfId="6138" xr:uid="{00000000-0005-0000-0000-000091560000}"/>
    <cellStyle name="Normal 12 2 2 4 2" xfId="14121" xr:uid="{00000000-0005-0000-0000-000092560000}"/>
    <cellStyle name="Normal 12 2 2 4 2 2" xfId="37964" xr:uid="{CCEB6060-A6CD-4131-BB21-FB15D03C6086}"/>
    <cellStyle name="Normal 12 2 2 4 3" xfId="22069" xr:uid="{00000000-0005-0000-0000-000093560000}"/>
    <cellStyle name="Normal 12 2 2 4 3 2" xfId="45901" xr:uid="{E1AE6F27-3642-47FF-B3C9-72FBC1572E72}"/>
    <cellStyle name="Normal 12 2 2 4 4" xfId="30023" xr:uid="{47FF1500-2455-446D-AE25-EE6CF389411C}"/>
    <cellStyle name="Normal 12 2 2 5" xfId="9690" xr:uid="{00000000-0005-0000-0000-000094560000}"/>
    <cellStyle name="Normal 12 2 2 5 2" xfId="17648" xr:uid="{00000000-0005-0000-0000-000095560000}"/>
    <cellStyle name="Normal 12 2 2 5 2 2" xfId="41488" xr:uid="{B61BA92E-D16C-465C-865D-747FF80999FF}"/>
    <cellStyle name="Normal 12 2 2 5 3" xfId="25592" xr:uid="{00000000-0005-0000-0000-000096560000}"/>
    <cellStyle name="Normal 12 2 2 5 3 2" xfId="49424" xr:uid="{E7F55E34-A51E-4F0D-B670-6FBF81D16660}"/>
    <cellStyle name="Normal 12 2 2 5 4" xfId="33547" xr:uid="{1BB81166-0646-4058-BB87-A8DFB69CF4C7}"/>
    <cellStyle name="Normal 12 2 2 6" xfId="10586" xr:uid="{00000000-0005-0000-0000-000097560000}"/>
    <cellStyle name="Normal 12 2 2 6 2" xfId="34435" xr:uid="{85EAEFC6-0A7A-4828-A12C-47F8F991D305}"/>
    <cellStyle name="Normal 12 2 2 7" xfId="18541" xr:uid="{00000000-0005-0000-0000-000098560000}"/>
    <cellStyle name="Normal 12 2 2 7 2" xfId="42373" xr:uid="{1557DA25-1571-4FA8-B53D-329246EEC79C}"/>
    <cellStyle name="Normal 12 2 2 8" xfId="26493" xr:uid="{EB4DB58D-31CF-4DB4-A67B-5B39C796EBE7}"/>
    <cellStyle name="Normal 12 2 2_Exh G" xfId="3442" xr:uid="{00000000-0005-0000-0000-000099560000}"/>
    <cellStyle name="Normal 12 2 3" xfId="1669" xr:uid="{00000000-0005-0000-0000-00009A560000}"/>
    <cellStyle name="Normal 12 2 3 2" xfId="5196" xr:uid="{00000000-0005-0000-0000-00009B560000}"/>
    <cellStyle name="Normal 12 2 3 2 2" xfId="8787" xr:uid="{00000000-0005-0000-0000-00009C560000}"/>
    <cellStyle name="Normal 12 2 3 2 2 2" xfId="16757" xr:uid="{00000000-0005-0000-0000-00009D560000}"/>
    <cellStyle name="Normal 12 2 3 2 2 2 2" xfId="40599" xr:uid="{94B95401-DF2D-4955-8E77-BF7730099995}"/>
    <cellStyle name="Normal 12 2 3 2 2 3" xfId="24703" xr:uid="{00000000-0005-0000-0000-00009E560000}"/>
    <cellStyle name="Normal 12 2 3 2 2 3 2" xfId="48535" xr:uid="{8AC068BD-DE29-43CB-9EDD-DACC64A4899C}"/>
    <cellStyle name="Normal 12 2 3 2 2 4" xfId="32658" xr:uid="{9E7CEF59-CDA2-4D9F-953E-14C86EAB5A32}"/>
    <cellStyle name="Normal 12 2 3 2 3" xfId="13219" xr:uid="{00000000-0005-0000-0000-00009F560000}"/>
    <cellStyle name="Normal 12 2 3 2 3 2" xfId="37068" xr:uid="{CAC0A5CE-CEDC-437E-8C9C-02E392E6239D}"/>
    <cellStyle name="Normal 12 2 3 2 4" xfId="21174" xr:uid="{00000000-0005-0000-0000-0000A0560000}"/>
    <cellStyle name="Normal 12 2 3 2 4 2" xfId="45006" xr:uid="{5894EEDA-3059-47E4-A2C4-F484BE9018FD}"/>
    <cellStyle name="Normal 12 2 3 2 5" xfId="29127" xr:uid="{CBAE1109-731F-48A0-B4B8-FEB71838AEAE}"/>
    <cellStyle name="Normal 12 2 3 3" xfId="7028" xr:uid="{00000000-0005-0000-0000-0000A1560000}"/>
    <cellStyle name="Normal 12 2 3 3 2" xfId="14999" xr:uid="{00000000-0005-0000-0000-0000A2560000}"/>
    <cellStyle name="Normal 12 2 3 3 2 2" xfId="38841" xr:uid="{42B4A7B6-D2F2-4F9B-AA88-CAF86522D659}"/>
    <cellStyle name="Normal 12 2 3 3 3" xfId="22946" xr:uid="{00000000-0005-0000-0000-0000A3560000}"/>
    <cellStyle name="Normal 12 2 3 3 3 2" xfId="46778" xr:uid="{5CAC5BA1-7D3B-4AF7-AC6D-2E196675DACB}"/>
    <cellStyle name="Normal 12 2 3 3 4" xfId="30900" xr:uid="{CD5C527F-D72F-4C83-946B-8EF77D9D4E81}"/>
    <cellStyle name="Normal 12 2 3 4" xfId="11463" xr:uid="{00000000-0005-0000-0000-0000A4560000}"/>
    <cellStyle name="Normal 12 2 3 4 2" xfId="35312" xr:uid="{F26CFF98-9D38-4CCD-8274-77C2F750719D}"/>
    <cellStyle name="Normal 12 2 3 5" xfId="19418" xr:uid="{00000000-0005-0000-0000-0000A5560000}"/>
    <cellStyle name="Normal 12 2 3 5 2" xfId="43250" xr:uid="{687E45C1-1377-4402-A8E9-6CCBE4B1D4E6}"/>
    <cellStyle name="Normal 12 2 3 6" xfId="27370" xr:uid="{57399ABE-4601-4BAC-BE6F-7D29663CECF5}"/>
    <cellStyle name="Normal 12 2 3_Exh G" xfId="3444" xr:uid="{00000000-0005-0000-0000-0000A6560000}"/>
    <cellStyle name="Normal 12 2 4" xfId="4317" xr:uid="{00000000-0005-0000-0000-0000A7560000}"/>
    <cellStyle name="Normal 12 2 4 2" xfId="7909" xr:uid="{00000000-0005-0000-0000-0000A8560000}"/>
    <cellStyle name="Normal 12 2 4 2 2" xfId="15879" xr:uid="{00000000-0005-0000-0000-0000A9560000}"/>
    <cellStyle name="Normal 12 2 4 2 2 2" xfId="39721" xr:uid="{1A091B23-2F15-4EDA-9BB7-A19ED6F73889}"/>
    <cellStyle name="Normal 12 2 4 2 3" xfId="23825" xr:uid="{00000000-0005-0000-0000-0000AA560000}"/>
    <cellStyle name="Normal 12 2 4 2 3 2" xfId="47657" xr:uid="{CD16E6FF-5C95-4F14-A476-4F6C9180D932}"/>
    <cellStyle name="Normal 12 2 4 2 4" xfId="31780" xr:uid="{D1EE9A86-837B-455C-B704-7E05441AEEB3}"/>
    <cellStyle name="Normal 12 2 4 3" xfId="12341" xr:uid="{00000000-0005-0000-0000-0000AB560000}"/>
    <cellStyle name="Normal 12 2 4 3 2" xfId="36190" xr:uid="{C37D929C-E143-4FE0-91C9-F01F947BF588}"/>
    <cellStyle name="Normal 12 2 4 4" xfId="20296" xr:uid="{00000000-0005-0000-0000-0000AC560000}"/>
    <cellStyle name="Normal 12 2 4 4 2" xfId="44128" xr:uid="{C3A45970-46F1-4AF4-BA13-582C25BFBC44}"/>
    <cellStyle name="Normal 12 2 4 5" xfId="28249" xr:uid="{C8DA4EFE-DF94-430E-B05A-7F742448A25D}"/>
    <cellStyle name="Normal 12 2 5" xfId="6137" xr:uid="{00000000-0005-0000-0000-0000AD560000}"/>
    <cellStyle name="Normal 12 2 5 2" xfId="14120" xr:uid="{00000000-0005-0000-0000-0000AE560000}"/>
    <cellStyle name="Normal 12 2 5 2 2" xfId="37963" xr:uid="{51DA890D-EF6C-4B34-AFA7-AA16EBE42A0E}"/>
    <cellStyle name="Normal 12 2 5 3" xfId="22068" xr:uid="{00000000-0005-0000-0000-0000AF560000}"/>
    <cellStyle name="Normal 12 2 5 3 2" xfId="45900" xr:uid="{38929C50-A6A3-4387-9D14-47A9A26679B8}"/>
    <cellStyle name="Normal 12 2 5 4" xfId="30022" xr:uid="{5966D8FD-E282-4491-B51B-704806889C98}"/>
    <cellStyle name="Normal 12 2 6" xfId="9689" xr:uid="{00000000-0005-0000-0000-0000B0560000}"/>
    <cellStyle name="Normal 12 2 6 2" xfId="17647" xr:uid="{00000000-0005-0000-0000-0000B1560000}"/>
    <cellStyle name="Normal 12 2 6 2 2" xfId="41487" xr:uid="{91CAA36B-825C-484D-9BE1-53C8627A6A20}"/>
    <cellStyle name="Normal 12 2 6 3" xfId="25591" xr:uid="{00000000-0005-0000-0000-0000B2560000}"/>
    <cellStyle name="Normal 12 2 6 3 2" xfId="49423" xr:uid="{ABD82CDE-8B28-4D12-99AE-6D55FD9838BE}"/>
    <cellStyle name="Normal 12 2 6 4" xfId="33546" xr:uid="{6A62734D-158C-4FBB-943C-283552BC17B1}"/>
    <cellStyle name="Normal 12 2 7" xfId="10585" xr:uid="{00000000-0005-0000-0000-0000B3560000}"/>
    <cellStyle name="Normal 12 2 7 2" xfId="34434" xr:uid="{8E3EE322-32F1-4E24-9BFC-AFCF49856222}"/>
    <cellStyle name="Normal 12 2 8" xfId="18540" xr:uid="{00000000-0005-0000-0000-0000B4560000}"/>
    <cellStyle name="Normal 12 2 8 2" xfId="42372" xr:uid="{4F8B1E1E-F6B1-4224-9116-779CEA764D7A}"/>
    <cellStyle name="Normal 12 2 9" xfId="26492" xr:uid="{108F043F-76A7-49FF-8B45-D81FF6A12351}"/>
    <cellStyle name="Normal 12 2_Exh G" xfId="3441" xr:uid="{00000000-0005-0000-0000-0000B5560000}"/>
    <cellStyle name="Normal 12 3" xfId="645" xr:uid="{00000000-0005-0000-0000-0000B6560000}"/>
    <cellStyle name="Normal 12 3 2" xfId="1671" xr:uid="{00000000-0005-0000-0000-0000B7560000}"/>
    <cellStyle name="Normal 12 3 2 2" xfId="5198" xr:uid="{00000000-0005-0000-0000-0000B8560000}"/>
    <cellStyle name="Normal 12 3 2 2 2" xfId="8789" xr:uid="{00000000-0005-0000-0000-0000B9560000}"/>
    <cellStyle name="Normal 12 3 2 2 2 2" xfId="16759" xr:uid="{00000000-0005-0000-0000-0000BA560000}"/>
    <cellStyle name="Normal 12 3 2 2 2 2 2" xfId="40601" xr:uid="{2840DCA6-B00B-4766-8D21-985AEF9BE40E}"/>
    <cellStyle name="Normal 12 3 2 2 2 3" xfId="24705" xr:uid="{00000000-0005-0000-0000-0000BB560000}"/>
    <cellStyle name="Normal 12 3 2 2 2 3 2" xfId="48537" xr:uid="{4521FBEA-D15C-450B-97F7-F99EEBFBC0DB}"/>
    <cellStyle name="Normal 12 3 2 2 2 4" xfId="32660" xr:uid="{CAC73CDC-7FE5-4F66-ADBA-3645D8FF3B94}"/>
    <cellStyle name="Normal 12 3 2 2 3" xfId="13221" xr:uid="{00000000-0005-0000-0000-0000BC560000}"/>
    <cellStyle name="Normal 12 3 2 2 3 2" xfId="37070" xr:uid="{E6082CD6-A1DF-4000-9DE1-4F80111CF816}"/>
    <cellStyle name="Normal 12 3 2 2 4" xfId="21176" xr:uid="{00000000-0005-0000-0000-0000BD560000}"/>
    <cellStyle name="Normal 12 3 2 2 4 2" xfId="45008" xr:uid="{239EEDBF-487F-42C3-B09F-A43D83B7E011}"/>
    <cellStyle name="Normal 12 3 2 2 5" xfId="29129" xr:uid="{34C23B87-FCBF-45CF-8E2B-7A234E2D692D}"/>
    <cellStyle name="Normal 12 3 2 3" xfId="7030" xr:uid="{00000000-0005-0000-0000-0000BE560000}"/>
    <cellStyle name="Normal 12 3 2 3 2" xfId="15001" xr:uid="{00000000-0005-0000-0000-0000BF560000}"/>
    <cellStyle name="Normal 12 3 2 3 2 2" xfId="38843" xr:uid="{6E9EA78B-A2F7-4003-8163-4F4C773C0006}"/>
    <cellStyle name="Normal 12 3 2 3 3" xfId="22948" xr:uid="{00000000-0005-0000-0000-0000C0560000}"/>
    <cellStyle name="Normal 12 3 2 3 3 2" xfId="46780" xr:uid="{46468FF8-593F-4A77-8DF7-A897FBAF569A}"/>
    <cellStyle name="Normal 12 3 2 3 4" xfId="30902" xr:uid="{9A352094-C3CC-4848-BAC8-B22A111EB20C}"/>
    <cellStyle name="Normal 12 3 2 4" xfId="11465" xr:uid="{00000000-0005-0000-0000-0000C1560000}"/>
    <cellStyle name="Normal 12 3 2 4 2" xfId="35314" xr:uid="{527B407C-76A0-4E5E-B2BB-6636D7C4F582}"/>
    <cellStyle name="Normal 12 3 2 5" xfId="19420" xr:uid="{00000000-0005-0000-0000-0000C2560000}"/>
    <cellStyle name="Normal 12 3 2 5 2" xfId="43252" xr:uid="{1FC28F7D-9EE1-42F4-919B-2B3B191CC538}"/>
    <cellStyle name="Normal 12 3 2 6" xfId="27372" xr:uid="{D28D496D-292A-43CF-89DA-CF52EEE91F20}"/>
    <cellStyle name="Normal 12 3 2_Exh G" xfId="3446" xr:uid="{00000000-0005-0000-0000-0000C3560000}"/>
    <cellStyle name="Normal 12 3 3" xfId="4319" xr:uid="{00000000-0005-0000-0000-0000C4560000}"/>
    <cellStyle name="Normal 12 3 3 2" xfId="7911" xr:uid="{00000000-0005-0000-0000-0000C5560000}"/>
    <cellStyle name="Normal 12 3 3 2 2" xfId="15881" xr:uid="{00000000-0005-0000-0000-0000C6560000}"/>
    <cellStyle name="Normal 12 3 3 2 2 2" xfId="39723" xr:uid="{5E9CF6DD-64A1-4FA7-8721-4E705F5D5C32}"/>
    <cellStyle name="Normal 12 3 3 2 3" xfId="23827" xr:uid="{00000000-0005-0000-0000-0000C7560000}"/>
    <cellStyle name="Normal 12 3 3 2 3 2" xfId="47659" xr:uid="{7EEE2BFE-FAE3-4094-BD9D-FCDCA74ECBCD}"/>
    <cellStyle name="Normal 12 3 3 2 4" xfId="31782" xr:uid="{81CA35F4-94A0-4C0C-86DD-A2CEB111333E}"/>
    <cellStyle name="Normal 12 3 3 3" xfId="12343" xr:uid="{00000000-0005-0000-0000-0000C8560000}"/>
    <cellStyle name="Normal 12 3 3 3 2" xfId="36192" xr:uid="{BECD49D6-D053-48FB-BEE9-2B1DD5816EAE}"/>
    <cellStyle name="Normal 12 3 3 4" xfId="20298" xr:uid="{00000000-0005-0000-0000-0000C9560000}"/>
    <cellStyle name="Normal 12 3 3 4 2" xfId="44130" xr:uid="{E854ACD5-42D5-4B97-87D9-52B718A94BBB}"/>
    <cellStyle name="Normal 12 3 3 5" xfId="28251" xr:uid="{F4743C47-FB99-409E-AA95-F363D52D8007}"/>
    <cellStyle name="Normal 12 3 4" xfId="6139" xr:uid="{00000000-0005-0000-0000-0000CA560000}"/>
    <cellStyle name="Normal 12 3 4 2" xfId="14122" xr:uid="{00000000-0005-0000-0000-0000CB560000}"/>
    <cellStyle name="Normal 12 3 4 2 2" xfId="37965" xr:uid="{62E29198-011E-45CC-8D6A-D540E3C2C9F3}"/>
    <cellStyle name="Normal 12 3 4 3" xfId="22070" xr:uid="{00000000-0005-0000-0000-0000CC560000}"/>
    <cellStyle name="Normal 12 3 4 3 2" xfId="45902" xr:uid="{7C9DC8C8-6868-446C-BD75-4E69EC40FC6F}"/>
    <cellStyle name="Normal 12 3 4 4" xfId="30024" xr:uid="{E494C759-C28F-4168-A700-930A5947EB69}"/>
    <cellStyle name="Normal 12 3 5" xfId="9691" xr:uid="{00000000-0005-0000-0000-0000CD560000}"/>
    <cellStyle name="Normal 12 3 5 2" xfId="17649" xr:uid="{00000000-0005-0000-0000-0000CE560000}"/>
    <cellStyle name="Normal 12 3 5 2 2" xfId="41489" xr:uid="{841BE3A4-47CC-4043-BA1F-18D7D3DBE4E0}"/>
    <cellStyle name="Normal 12 3 5 3" xfId="25593" xr:uid="{00000000-0005-0000-0000-0000CF560000}"/>
    <cellStyle name="Normal 12 3 5 3 2" xfId="49425" xr:uid="{883911A0-3506-4273-8054-2510F8B1D7E3}"/>
    <cellStyle name="Normal 12 3 5 4" xfId="33548" xr:uid="{49075CD7-0767-4890-84C7-84958A380A9E}"/>
    <cellStyle name="Normal 12 3 6" xfId="10587" xr:uid="{00000000-0005-0000-0000-0000D0560000}"/>
    <cellStyle name="Normal 12 3 6 2" xfId="34436" xr:uid="{4F255502-B6B3-4A92-B44D-1F04F5890766}"/>
    <cellStyle name="Normal 12 3 7" xfId="18542" xr:uid="{00000000-0005-0000-0000-0000D1560000}"/>
    <cellStyle name="Normal 12 3 7 2" xfId="42374" xr:uid="{E2DFB7E7-3158-4094-A334-2D76312BF0C7}"/>
    <cellStyle name="Normal 12 3 8" xfId="26494" xr:uid="{1ED33388-4CEE-4E99-9B22-C76F03FFCE71}"/>
    <cellStyle name="Normal 12 3_Exh G" xfId="3445" xr:uid="{00000000-0005-0000-0000-0000D2560000}"/>
    <cellStyle name="Normal 12 4" xfId="1011" xr:uid="{00000000-0005-0000-0000-0000D3560000}"/>
    <cellStyle name="Normal 12 4 2" xfId="1914" xr:uid="{00000000-0005-0000-0000-0000D4560000}"/>
    <cellStyle name="Normal 12 4 2 2" xfId="5431" xr:uid="{00000000-0005-0000-0000-0000D5560000}"/>
    <cellStyle name="Normal 12 4 2 2 2" xfId="9022" xr:uid="{00000000-0005-0000-0000-0000D6560000}"/>
    <cellStyle name="Normal 12 4 2 2 2 2" xfId="16992" xr:uid="{00000000-0005-0000-0000-0000D7560000}"/>
    <cellStyle name="Normal 12 4 2 2 2 2 2" xfId="40834" xr:uid="{648D7B80-84D6-4486-8815-5853F69F2999}"/>
    <cellStyle name="Normal 12 4 2 2 2 3" xfId="24938" xr:uid="{00000000-0005-0000-0000-0000D8560000}"/>
    <cellStyle name="Normal 12 4 2 2 2 3 2" xfId="48770" xr:uid="{B7722F37-3378-4241-8991-835F860BF3E6}"/>
    <cellStyle name="Normal 12 4 2 2 2 4" xfId="32893" xr:uid="{48EC140D-B635-4A63-BD38-5D3B9315FB9B}"/>
    <cellStyle name="Normal 12 4 2 2 3" xfId="13454" xr:uid="{00000000-0005-0000-0000-0000D9560000}"/>
    <cellStyle name="Normal 12 4 2 2 3 2" xfId="37303" xr:uid="{A2EC2535-1FA0-49C3-B1F3-45E60AC2BA3D}"/>
    <cellStyle name="Normal 12 4 2 2 4" xfId="21409" xr:uid="{00000000-0005-0000-0000-0000DA560000}"/>
    <cellStyle name="Normal 12 4 2 2 4 2" xfId="45241" xr:uid="{1AD73DA8-77BC-443F-91E5-CE2C5B5CBA30}"/>
    <cellStyle name="Normal 12 4 2 2 5" xfId="29362" xr:uid="{1263CD35-BE7D-4C7D-A4B7-9AE875D9CDE3}"/>
    <cellStyle name="Normal 12 4 2 3" xfId="7263" xr:uid="{00000000-0005-0000-0000-0000DB560000}"/>
    <cellStyle name="Normal 12 4 2 3 2" xfId="15234" xr:uid="{00000000-0005-0000-0000-0000DC560000}"/>
    <cellStyle name="Normal 12 4 2 3 2 2" xfId="39076" xr:uid="{78C1AFD5-2211-4133-99F8-4BA601148C79}"/>
    <cellStyle name="Normal 12 4 2 3 3" xfId="23181" xr:uid="{00000000-0005-0000-0000-0000DD560000}"/>
    <cellStyle name="Normal 12 4 2 3 3 2" xfId="47013" xr:uid="{F2E2ACF1-DB5B-4E30-9DC5-85DF1E3EBD07}"/>
    <cellStyle name="Normal 12 4 2 3 4" xfId="31135" xr:uid="{F90037BF-2111-477C-AAA2-A6F9E3442B73}"/>
    <cellStyle name="Normal 12 4 2 4" xfId="11698" xr:uid="{00000000-0005-0000-0000-0000DE560000}"/>
    <cellStyle name="Normal 12 4 2 4 2" xfId="35547" xr:uid="{9EF79539-20FD-4DBD-843A-784626243B1E}"/>
    <cellStyle name="Normal 12 4 2 5" xfId="19653" xr:uid="{00000000-0005-0000-0000-0000DF560000}"/>
    <cellStyle name="Normal 12 4 2 5 2" xfId="43485" xr:uid="{4BEF6540-2DE7-4CBA-89AC-EC4631741300}"/>
    <cellStyle name="Normal 12 4 2 6" xfId="27605" xr:uid="{0F20E80E-FD37-4526-A4BF-ABFEF453F992}"/>
    <cellStyle name="Normal 12 4 2_Exh G" xfId="3448" xr:uid="{00000000-0005-0000-0000-0000E0560000}"/>
    <cellStyle name="Normal 12 4 3" xfId="4552" xr:uid="{00000000-0005-0000-0000-0000E1560000}"/>
    <cellStyle name="Normal 12 4 3 2" xfId="8144" xr:uid="{00000000-0005-0000-0000-0000E2560000}"/>
    <cellStyle name="Normal 12 4 3 2 2" xfId="16114" xr:uid="{00000000-0005-0000-0000-0000E3560000}"/>
    <cellStyle name="Normal 12 4 3 2 2 2" xfId="39956" xr:uid="{9169960E-B1DE-479D-A427-03845815A895}"/>
    <cellStyle name="Normal 12 4 3 2 3" xfId="24060" xr:uid="{00000000-0005-0000-0000-0000E4560000}"/>
    <cellStyle name="Normal 12 4 3 2 3 2" xfId="47892" xr:uid="{58D89948-1CC5-4DF4-A1F8-C787FDB5E258}"/>
    <cellStyle name="Normal 12 4 3 2 4" xfId="32015" xr:uid="{976B3452-12E7-44CF-B6FF-3476AF4A0DC9}"/>
    <cellStyle name="Normal 12 4 3 3" xfId="12576" xr:uid="{00000000-0005-0000-0000-0000E5560000}"/>
    <cellStyle name="Normal 12 4 3 3 2" xfId="36425" xr:uid="{CC5CF8FA-AA12-4E7E-A749-F25B4FBA8055}"/>
    <cellStyle name="Normal 12 4 3 4" xfId="20531" xr:uid="{00000000-0005-0000-0000-0000E6560000}"/>
    <cellStyle name="Normal 12 4 3 4 2" xfId="44363" xr:uid="{D7AE90A6-F54B-440B-BCA1-DC19CADBD80A}"/>
    <cellStyle name="Normal 12 4 3 5" xfId="28484" xr:uid="{F5F4AA8F-95E0-42DB-AAF6-5CB8FEB2190D}"/>
    <cellStyle name="Normal 12 4 4" xfId="6382" xr:uid="{00000000-0005-0000-0000-0000E7560000}"/>
    <cellStyle name="Normal 12 4 4 2" xfId="14356" xr:uid="{00000000-0005-0000-0000-0000E8560000}"/>
    <cellStyle name="Normal 12 4 4 2 2" xfId="38198" xr:uid="{F6FECC30-2AC6-453A-901D-8439ACA956E6}"/>
    <cellStyle name="Normal 12 4 4 3" xfId="22303" xr:uid="{00000000-0005-0000-0000-0000E9560000}"/>
    <cellStyle name="Normal 12 4 4 3 2" xfId="46135" xr:uid="{EA2DA35D-FD75-4761-BE82-58C68F45B4C6}"/>
    <cellStyle name="Normal 12 4 4 4" xfId="30257" xr:uid="{26525A15-4232-4593-A7ED-BE339B615BC6}"/>
    <cellStyle name="Normal 12 4 5" xfId="9924" xr:uid="{00000000-0005-0000-0000-0000EA560000}"/>
    <cellStyle name="Normal 12 4 5 2" xfId="17882" xr:uid="{00000000-0005-0000-0000-0000EB560000}"/>
    <cellStyle name="Normal 12 4 5 2 2" xfId="41722" xr:uid="{12B5CCA3-A787-4D43-909D-1D3F31EF82B1}"/>
    <cellStyle name="Normal 12 4 5 3" xfId="25826" xr:uid="{00000000-0005-0000-0000-0000EC560000}"/>
    <cellStyle name="Normal 12 4 5 3 2" xfId="49658" xr:uid="{0637F5E2-9779-4D6D-B8A1-6A756A84765B}"/>
    <cellStyle name="Normal 12 4 5 4" xfId="33781" xr:uid="{5ECAD22B-1181-4F44-8FBD-F112D8800B05}"/>
    <cellStyle name="Normal 12 4 6" xfId="10820" xr:uid="{00000000-0005-0000-0000-0000ED560000}"/>
    <cellStyle name="Normal 12 4 6 2" xfId="34669" xr:uid="{273D726F-4B32-4556-B1DB-F9B739C795FA}"/>
    <cellStyle name="Normal 12 4 7" xfId="18775" xr:uid="{00000000-0005-0000-0000-0000EE560000}"/>
    <cellStyle name="Normal 12 4 7 2" xfId="42607" xr:uid="{032DFD1E-7108-4B57-AFCB-AC64F4E238AE}"/>
    <cellStyle name="Normal 12 4 8" xfId="26727" xr:uid="{B3597F57-F0C4-4CB0-9AC7-6AFD3065F271}"/>
    <cellStyle name="Normal 12 4_Exh G" xfId="3447" xr:uid="{00000000-0005-0000-0000-0000EF560000}"/>
    <cellStyle name="Normal 12 5" xfId="1668" xr:uid="{00000000-0005-0000-0000-0000F0560000}"/>
    <cellStyle name="Normal 12 5 2" xfId="5195" xr:uid="{00000000-0005-0000-0000-0000F1560000}"/>
    <cellStyle name="Normal 12 5 2 2" xfId="8786" xr:uid="{00000000-0005-0000-0000-0000F2560000}"/>
    <cellStyle name="Normal 12 5 2 2 2" xfId="16756" xr:uid="{00000000-0005-0000-0000-0000F3560000}"/>
    <cellStyle name="Normal 12 5 2 2 2 2" xfId="40598" xr:uid="{318D5987-E36E-408D-98E9-97AD1737A03F}"/>
    <cellStyle name="Normal 12 5 2 2 3" xfId="24702" xr:uid="{00000000-0005-0000-0000-0000F4560000}"/>
    <cellStyle name="Normal 12 5 2 2 3 2" xfId="48534" xr:uid="{9188E141-1B37-4E38-9BDF-9AE70EEADF0A}"/>
    <cellStyle name="Normal 12 5 2 2 4" xfId="32657" xr:uid="{D7B69F4A-B0B1-47ED-AAA8-545060886C01}"/>
    <cellStyle name="Normal 12 5 2 3" xfId="13218" xr:uid="{00000000-0005-0000-0000-0000F5560000}"/>
    <cellStyle name="Normal 12 5 2 3 2" xfId="37067" xr:uid="{DA25AD7A-0D4C-4FC3-9EB5-7A85561A61DB}"/>
    <cellStyle name="Normal 12 5 2 4" xfId="21173" xr:uid="{00000000-0005-0000-0000-0000F6560000}"/>
    <cellStyle name="Normal 12 5 2 4 2" xfId="45005" xr:uid="{D54D7A02-8AB2-40F5-AB72-271BCEE8A566}"/>
    <cellStyle name="Normal 12 5 2 5" xfId="29126" xr:uid="{C4209984-99BA-44C6-9555-908809248239}"/>
    <cellStyle name="Normal 12 5 3" xfId="7027" xr:uid="{00000000-0005-0000-0000-0000F7560000}"/>
    <cellStyle name="Normal 12 5 3 2" xfId="14998" xr:uid="{00000000-0005-0000-0000-0000F8560000}"/>
    <cellStyle name="Normal 12 5 3 2 2" xfId="38840" xr:uid="{8603855E-0F45-4FBF-A58D-2694146755EA}"/>
    <cellStyle name="Normal 12 5 3 3" xfId="22945" xr:uid="{00000000-0005-0000-0000-0000F9560000}"/>
    <cellStyle name="Normal 12 5 3 3 2" xfId="46777" xr:uid="{038FA30E-B899-4FAE-A3C3-D5C9692DBC7C}"/>
    <cellStyle name="Normal 12 5 3 4" xfId="30899" xr:uid="{33FDABE8-4C57-44DD-9ADD-DC9EBF185EC8}"/>
    <cellStyle name="Normal 12 5 4" xfId="11462" xr:uid="{00000000-0005-0000-0000-0000FA560000}"/>
    <cellStyle name="Normal 12 5 4 2" xfId="35311" xr:uid="{79099A1F-AF4A-41D3-B65D-2DB15EF4B3B0}"/>
    <cellStyle name="Normal 12 5 5" xfId="19417" xr:uid="{00000000-0005-0000-0000-0000FB560000}"/>
    <cellStyle name="Normal 12 5 5 2" xfId="43249" xr:uid="{64DD5E71-5682-4325-9F46-FD5124DF7FCB}"/>
    <cellStyle name="Normal 12 5 6" xfId="27369" xr:uid="{D473BBCD-82E9-45C1-9D95-2C1C56D0EE59}"/>
    <cellStyle name="Normal 12 5_Exh G" xfId="3449" xr:uid="{00000000-0005-0000-0000-0000FC560000}"/>
    <cellStyle name="Normal 12 6" xfId="4316" xr:uid="{00000000-0005-0000-0000-0000FD560000}"/>
    <cellStyle name="Normal 12 6 2" xfId="7908" xr:uid="{00000000-0005-0000-0000-0000FE560000}"/>
    <cellStyle name="Normal 12 6 2 2" xfId="15878" xr:uid="{00000000-0005-0000-0000-0000FF560000}"/>
    <cellStyle name="Normal 12 6 2 2 2" xfId="39720" xr:uid="{3C2C18E9-05E9-4099-B1D1-6269A320D345}"/>
    <cellStyle name="Normal 12 6 2 3" xfId="23824" xr:uid="{00000000-0005-0000-0000-000000570000}"/>
    <cellStyle name="Normal 12 6 2 3 2" xfId="47656" xr:uid="{91F5DB53-E4AE-416D-A4F8-0B567BDF5B8C}"/>
    <cellStyle name="Normal 12 6 2 4" xfId="31779" xr:uid="{6D6A45AE-F21C-4C86-9F25-5FA75D54B8B6}"/>
    <cellStyle name="Normal 12 6 3" xfId="12340" xr:uid="{00000000-0005-0000-0000-000001570000}"/>
    <cellStyle name="Normal 12 6 3 2" xfId="36189" xr:uid="{68F6A2F9-CE8A-4B44-B024-796E6AEF4DCD}"/>
    <cellStyle name="Normal 12 6 4" xfId="20295" xr:uid="{00000000-0005-0000-0000-000002570000}"/>
    <cellStyle name="Normal 12 6 4 2" xfId="44127" xr:uid="{9AD11F2E-8FDA-4A1E-B968-C15D4CF45AAF}"/>
    <cellStyle name="Normal 12 6 5" xfId="28248" xr:uid="{AFB2DF8C-F4EC-4CA5-A48C-1B3BB864D5A7}"/>
    <cellStyle name="Normal 12 7" xfId="6136" xr:uid="{00000000-0005-0000-0000-000003570000}"/>
    <cellStyle name="Normal 12 7 2" xfId="14119" xr:uid="{00000000-0005-0000-0000-000004570000}"/>
    <cellStyle name="Normal 12 7 2 2" xfId="37962" xr:uid="{7D2D40AA-FBDF-472E-A4EB-DA3587C52BD3}"/>
    <cellStyle name="Normal 12 7 3" xfId="22067" xr:uid="{00000000-0005-0000-0000-000005570000}"/>
    <cellStyle name="Normal 12 7 3 2" xfId="45899" xr:uid="{1D9BCD86-F13E-4BFA-834F-2855ED9CB85C}"/>
    <cellStyle name="Normal 12 7 4" xfId="30021" xr:uid="{37C118F8-6AB2-4E43-B9D2-687EC759A2D7}"/>
    <cellStyle name="Normal 12 8" xfId="9688" xr:uid="{00000000-0005-0000-0000-000006570000}"/>
    <cellStyle name="Normal 12 8 2" xfId="17646" xr:uid="{00000000-0005-0000-0000-000007570000}"/>
    <cellStyle name="Normal 12 8 2 2" xfId="41486" xr:uid="{971CAD70-9F14-4700-BE6C-AFC157E7D7EA}"/>
    <cellStyle name="Normal 12 8 3" xfId="25590" xr:uid="{00000000-0005-0000-0000-000008570000}"/>
    <cellStyle name="Normal 12 8 3 2" xfId="49422" xr:uid="{03651F11-A777-446C-9DC4-ED54339793D3}"/>
    <cellStyle name="Normal 12 8 4" xfId="33545" xr:uid="{2A266AB1-970D-49C5-A72A-333CB5789790}"/>
    <cellStyle name="Normal 12 9" xfId="10584" xr:uid="{00000000-0005-0000-0000-000009570000}"/>
    <cellStyle name="Normal 12 9 2" xfId="34433" xr:uid="{9AD54871-19D7-438B-B22E-8244665F2E4F}"/>
    <cellStyle name="Normal 12_Exh G" xfId="3440" xr:uid="{00000000-0005-0000-0000-00000A570000}"/>
    <cellStyle name="Normal 13" xfId="646" xr:uid="{00000000-0005-0000-0000-00000B570000}"/>
    <cellStyle name="Normal 13 10" xfId="18543" xr:uid="{00000000-0005-0000-0000-00000C570000}"/>
    <cellStyle name="Normal 13 10 2" xfId="42375" xr:uid="{FBFCDA2C-FB9B-4BEA-AAA2-135C21F0B68E}"/>
    <cellStyle name="Normal 13 11" xfId="26495" xr:uid="{265E1188-D4C6-4B55-89A1-39542EDC1478}"/>
    <cellStyle name="Normal 13 2" xfId="647" xr:uid="{00000000-0005-0000-0000-00000D570000}"/>
    <cellStyle name="Normal 13 2 2" xfId="648" xr:uid="{00000000-0005-0000-0000-00000E570000}"/>
    <cellStyle name="Normal 13 2 2 2" xfId="1674" xr:uid="{00000000-0005-0000-0000-00000F570000}"/>
    <cellStyle name="Normal 13 2 2 2 2" xfId="5201" xr:uid="{00000000-0005-0000-0000-000010570000}"/>
    <cellStyle name="Normal 13 2 2 2 2 2" xfId="8792" xr:uid="{00000000-0005-0000-0000-000011570000}"/>
    <cellStyle name="Normal 13 2 2 2 2 2 2" xfId="16762" xr:uid="{00000000-0005-0000-0000-000012570000}"/>
    <cellStyle name="Normal 13 2 2 2 2 2 2 2" xfId="40604" xr:uid="{E7A962AB-3C13-47DE-8C97-F5A9D9ACFF8F}"/>
    <cellStyle name="Normal 13 2 2 2 2 2 3" xfId="24708" xr:uid="{00000000-0005-0000-0000-000013570000}"/>
    <cellStyle name="Normal 13 2 2 2 2 2 3 2" xfId="48540" xr:uid="{DD46BBFE-DEA7-4104-9A05-43D99E14C795}"/>
    <cellStyle name="Normal 13 2 2 2 2 2 4" xfId="32663" xr:uid="{9E182F2C-09D7-4091-96B8-12E46ECACE46}"/>
    <cellStyle name="Normal 13 2 2 2 2 3" xfId="13224" xr:uid="{00000000-0005-0000-0000-000014570000}"/>
    <cellStyle name="Normal 13 2 2 2 2 3 2" xfId="37073" xr:uid="{A00E35BD-493B-4B0B-A4F4-62D3A60862F3}"/>
    <cellStyle name="Normal 13 2 2 2 2 4" xfId="21179" xr:uid="{00000000-0005-0000-0000-000015570000}"/>
    <cellStyle name="Normal 13 2 2 2 2 4 2" xfId="45011" xr:uid="{05DBF276-CFB7-4384-B028-DC1F707DC9B9}"/>
    <cellStyle name="Normal 13 2 2 2 2 5" xfId="29132" xr:uid="{5E4D30EB-DF1F-4486-904E-084EC61DBD6A}"/>
    <cellStyle name="Normal 13 2 2 2 3" xfId="7033" xr:uid="{00000000-0005-0000-0000-000016570000}"/>
    <cellStyle name="Normal 13 2 2 2 3 2" xfId="15004" xr:uid="{00000000-0005-0000-0000-000017570000}"/>
    <cellStyle name="Normal 13 2 2 2 3 2 2" xfId="38846" xr:uid="{1CB7293E-B495-4C87-A5E3-12AA36DAB637}"/>
    <cellStyle name="Normal 13 2 2 2 3 3" xfId="22951" xr:uid="{00000000-0005-0000-0000-000018570000}"/>
    <cellStyle name="Normal 13 2 2 2 3 3 2" xfId="46783" xr:uid="{609DBF39-3C3F-49D4-9855-60F12C4EE884}"/>
    <cellStyle name="Normal 13 2 2 2 3 4" xfId="30905" xr:uid="{AA91C344-DF63-437E-93C8-6E4FAACA116F}"/>
    <cellStyle name="Normal 13 2 2 2 4" xfId="11468" xr:uid="{00000000-0005-0000-0000-000019570000}"/>
    <cellStyle name="Normal 13 2 2 2 4 2" xfId="35317" xr:uid="{8E9CCB7F-4629-418B-AF4F-F29B070804C0}"/>
    <cellStyle name="Normal 13 2 2 2 5" xfId="19423" xr:uid="{00000000-0005-0000-0000-00001A570000}"/>
    <cellStyle name="Normal 13 2 2 2 5 2" xfId="43255" xr:uid="{192EBF15-1BB4-4260-B73E-62AC907D0623}"/>
    <cellStyle name="Normal 13 2 2 2 6" xfId="27375" xr:uid="{658BB4B4-09F5-4B27-A3BF-D8A1029C452E}"/>
    <cellStyle name="Normal 13 2 2 2_Exh G" xfId="3453" xr:uid="{00000000-0005-0000-0000-00001B570000}"/>
    <cellStyle name="Normal 13 2 2 3" xfId="4322" xr:uid="{00000000-0005-0000-0000-00001C570000}"/>
    <cellStyle name="Normal 13 2 2 3 2" xfId="7914" xr:uid="{00000000-0005-0000-0000-00001D570000}"/>
    <cellStyle name="Normal 13 2 2 3 2 2" xfId="15884" xr:uid="{00000000-0005-0000-0000-00001E570000}"/>
    <cellStyle name="Normal 13 2 2 3 2 2 2" xfId="39726" xr:uid="{683BFFB1-CD21-47A5-8338-552B8288E0F3}"/>
    <cellStyle name="Normal 13 2 2 3 2 3" xfId="23830" xr:uid="{00000000-0005-0000-0000-00001F570000}"/>
    <cellStyle name="Normal 13 2 2 3 2 3 2" xfId="47662" xr:uid="{A977B031-48E1-4782-B266-5F1E7C170E03}"/>
    <cellStyle name="Normal 13 2 2 3 2 4" xfId="31785" xr:uid="{5EA30114-BC0D-41C0-9359-85A7783294A8}"/>
    <cellStyle name="Normal 13 2 2 3 3" xfId="12346" xr:uid="{00000000-0005-0000-0000-000020570000}"/>
    <cellStyle name="Normal 13 2 2 3 3 2" xfId="36195" xr:uid="{B89A3C15-7336-45DD-A456-8F044E4D8DB7}"/>
    <cellStyle name="Normal 13 2 2 3 4" xfId="20301" xr:uid="{00000000-0005-0000-0000-000021570000}"/>
    <cellStyle name="Normal 13 2 2 3 4 2" xfId="44133" xr:uid="{D58871FE-BF3C-4725-B279-3D2B40B03F28}"/>
    <cellStyle name="Normal 13 2 2 3 5" xfId="28254" xr:uid="{951D047C-5010-42B3-ACBE-59443AB21622}"/>
    <cellStyle name="Normal 13 2 2 4" xfId="6142" xr:uid="{00000000-0005-0000-0000-000022570000}"/>
    <cellStyle name="Normal 13 2 2 4 2" xfId="14125" xr:uid="{00000000-0005-0000-0000-000023570000}"/>
    <cellStyle name="Normal 13 2 2 4 2 2" xfId="37968" xr:uid="{57B4C00D-7F7C-489F-953D-E9CC6234EF5E}"/>
    <cellStyle name="Normal 13 2 2 4 3" xfId="22073" xr:uid="{00000000-0005-0000-0000-000024570000}"/>
    <cellStyle name="Normal 13 2 2 4 3 2" xfId="45905" xr:uid="{AEB8AD8E-0EBC-4148-B9B1-32B45B68CD02}"/>
    <cellStyle name="Normal 13 2 2 4 4" xfId="30027" xr:uid="{A636872E-A8BA-4507-906A-B8C4C20C2333}"/>
    <cellStyle name="Normal 13 2 2 5" xfId="9694" xr:uid="{00000000-0005-0000-0000-000025570000}"/>
    <cellStyle name="Normal 13 2 2 5 2" xfId="17652" xr:uid="{00000000-0005-0000-0000-000026570000}"/>
    <cellStyle name="Normal 13 2 2 5 2 2" xfId="41492" xr:uid="{842282D5-32E6-4534-9A5B-E1DF10C7EEF4}"/>
    <cellStyle name="Normal 13 2 2 5 3" xfId="25596" xr:uid="{00000000-0005-0000-0000-000027570000}"/>
    <cellStyle name="Normal 13 2 2 5 3 2" xfId="49428" xr:uid="{547719C9-926E-4713-B802-DBD76DB57208}"/>
    <cellStyle name="Normal 13 2 2 5 4" xfId="33551" xr:uid="{6F05FBB6-B2F1-4940-8E0F-D6E6B10F4027}"/>
    <cellStyle name="Normal 13 2 2 6" xfId="10590" xr:uid="{00000000-0005-0000-0000-000028570000}"/>
    <cellStyle name="Normal 13 2 2 6 2" xfId="34439" xr:uid="{2C784EC4-7202-449C-8769-320FCAA58E39}"/>
    <cellStyle name="Normal 13 2 2 7" xfId="18545" xr:uid="{00000000-0005-0000-0000-000029570000}"/>
    <cellStyle name="Normal 13 2 2 7 2" xfId="42377" xr:uid="{B3F1AE26-4F5C-448E-A152-A36260E703C8}"/>
    <cellStyle name="Normal 13 2 2 8" xfId="26497" xr:uid="{A5C35E4E-1598-4443-BB8A-606D122E47C8}"/>
    <cellStyle name="Normal 13 2 2_Exh G" xfId="3452" xr:uid="{00000000-0005-0000-0000-00002A570000}"/>
    <cellStyle name="Normal 13 2 3" xfId="1673" xr:uid="{00000000-0005-0000-0000-00002B570000}"/>
    <cellStyle name="Normal 13 2 3 2" xfId="5200" xr:uid="{00000000-0005-0000-0000-00002C570000}"/>
    <cellStyle name="Normal 13 2 3 2 2" xfId="8791" xr:uid="{00000000-0005-0000-0000-00002D570000}"/>
    <cellStyle name="Normal 13 2 3 2 2 2" xfId="16761" xr:uid="{00000000-0005-0000-0000-00002E570000}"/>
    <cellStyle name="Normal 13 2 3 2 2 2 2" xfId="40603" xr:uid="{9A9285E2-87B3-433E-A8B1-10E80373BB86}"/>
    <cellStyle name="Normal 13 2 3 2 2 3" xfId="24707" xr:uid="{00000000-0005-0000-0000-00002F570000}"/>
    <cellStyle name="Normal 13 2 3 2 2 3 2" xfId="48539" xr:uid="{F47E8F64-22DA-44A4-B3C3-3EB6CF39E050}"/>
    <cellStyle name="Normal 13 2 3 2 2 4" xfId="32662" xr:uid="{1E37C449-A305-4C27-9911-0F489CAF106C}"/>
    <cellStyle name="Normal 13 2 3 2 3" xfId="13223" xr:uid="{00000000-0005-0000-0000-000030570000}"/>
    <cellStyle name="Normal 13 2 3 2 3 2" xfId="37072" xr:uid="{4A8DB202-D3A5-49A6-B0DB-5CFB99E99ABA}"/>
    <cellStyle name="Normal 13 2 3 2 4" xfId="21178" xr:uid="{00000000-0005-0000-0000-000031570000}"/>
    <cellStyle name="Normal 13 2 3 2 4 2" xfId="45010" xr:uid="{188C34F9-5126-4139-8779-A39F63222DFC}"/>
    <cellStyle name="Normal 13 2 3 2 5" xfId="29131" xr:uid="{C67EA261-7E7F-4BF5-A725-004D9CBC0E3B}"/>
    <cellStyle name="Normal 13 2 3 3" xfId="7032" xr:uid="{00000000-0005-0000-0000-000032570000}"/>
    <cellStyle name="Normal 13 2 3 3 2" xfId="15003" xr:uid="{00000000-0005-0000-0000-000033570000}"/>
    <cellStyle name="Normal 13 2 3 3 2 2" xfId="38845" xr:uid="{83000E35-921E-4899-AEE3-BB3BEF373274}"/>
    <cellStyle name="Normal 13 2 3 3 3" xfId="22950" xr:uid="{00000000-0005-0000-0000-000034570000}"/>
    <cellStyle name="Normal 13 2 3 3 3 2" xfId="46782" xr:uid="{CFF2BB63-6BFA-4CD1-ABD0-27666A596634}"/>
    <cellStyle name="Normal 13 2 3 3 4" xfId="30904" xr:uid="{D08A547E-D886-4283-82A1-034C5A6E4231}"/>
    <cellStyle name="Normal 13 2 3 4" xfId="11467" xr:uid="{00000000-0005-0000-0000-000035570000}"/>
    <cellStyle name="Normal 13 2 3 4 2" xfId="35316" xr:uid="{CF0DAE12-041D-490E-AAA9-10D9BE8784C3}"/>
    <cellStyle name="Normal 13 2 3 5" xfId="19422" xr:uid="{00000000-0005-0000-0000-000036570000}"/>
    <cellStyle name="Normal 13 2 3 5 2" xfId="43254" xr:uid="{B7D102E5-59CE-490A-A049-51F3A8FA035D}"/>
    <cellStyle name="Normal 13 2 3 6" xfId="27374" xr:uid="{FE393A82-6DA5-49D1-B0F5-86E02A51C373}"/>
    <cellStyle name="Normal 13 2 3_Exh G" xfId="3454" xr:uid="{00000000-0005-0000-0000-000037570000}"/>
    <cellStyle name="Normal 13 2 4" xfId="4321" xr:uid="{00000000-0005-0000-0000-000038570000}"/>
    <cellStyle name="Normal 13 2 4 2" xfId="7913" xr:uid="{00000000-0005-0000-0000-000039570000}"/>
    <cellStyle name="Normal 13 2 4 2 2" xfId="15883" xr:uid="{00000000-0005-0000-0000-00003A570000}"/>
    <cellStyle name="Normal 13 2 4 2 2 2" xfId="39725" xr:uid="{CFA7867D-F0FC-4F54-9E2A-19675614D28C}"/>
    <cellStyle name="Normal 13 2 4 2 3" xfId="23829" xr:uid="{00000000-0005-0000-0000-00003B570000}"/>
    <cellStyle name="Normal 13 2 4 2 3 2" xfId="47661" xr:uid="{EC492E97-BD7E-43DB-A27B-99E81D442591}"/>
    <cellStyle name="Normal 13 2 4 2 4" xfId="31784" xr:uid="{363FD03A-57B0-47EA-AC8C-DEB38DD7B7F3}"/>
    <cellStyle name="Normal 13 2 4 3" xfId="12345" xr:uid="{00000000-0005-0000-0000-00003C570000}"/>
    <cellStyle name="Normal 13 2 4 3 2" xfId="36194" xr:uid="{C2367FB0-C6B4-4158-9D09-DF5B2EC0ABF2}"/>
    <cellStyle name="Normal 13 2 4 4" xfId="20300" xr:uid="{00000000-0005-0000-0000-00003D570000}"/>
    <cellStyle name="Normal 13 2 4 4 2" xfId="44132" xr:uid="{A8C28C38-8DD5-46AE-B15F-A7CC04BD93CC}"/>
    <cellStyle name="Normal 13 2 4 5" xfId="28253" xr:uid="{62FC33AA-CA0D-4E63-A47C-19B950528D3C}"/>
    <cellStyle name="Normal 13 2 5" xfId="6141" xr:uid="{00000000-0005-0000-0000-00003E570000}"/>
    <cellStyle name="Normal 13 2 5 2" xfId="14124" xr:uid="{00000000-0005-0000-0000-00003F570000}"/>
    <cellStyle name="Normal 13 2 5 2 2" xfId="37967" xr:uid="{CD24267A-D1EA-4503-A481-59B94CCC6627}"/>
    <cellStyle name="Normal 13 2 5 3" xfId="22072" xr:uid="{00000000-0005-0000-0000-000040570000}"/>
    <cellStyle name="Normal 13 2 5 3 2" xfId="45904" xr:uid="{8DA08847-84E4-458C-AD1F-62177606FC03}"/>
    <cellStyle name="Normal 13 2 5 4" xfId="30026" xr:uid="{0C385799-06DB-4BE7-850F-EC5443D8C28A}"/>
    <cellStyle name="Normal 13 2 6" xfId="9693" xr:uid="{00000000-0005-0000-0000-000041570000}"/>
    <cellStyle name="Normal 13 2 6 2" xfId="17651" xr:uid="{00000000-0005-0000-0000-000042570000}"/>
    <cellStyle name="Normal 13 2 6 2 2" xfId="41491" xr:uid="{DEB1DCA6-3EEC-4547-9DA5-8BD15A7D1026}"/>
    <cellStyle name="Normal 13 2 6 3" xfId="25595" xr:uid="{00000000-0005-0000-0000-000043570000}"/>
    <cellStyle name="Normal 13 2 6 3 2" xfId="49427" xr:uid="{7A3D1C02-1F2A-4F44-8F72-9E56FE67A484}"/>
    <cellStyle name="Normal 13 2 6 4" xfId="33550" xr:uid="{083955F2-61AC-4571-839C-828E85D8ADB3}"/>
    <cellStyle name="Normal 13 2 7" xfId="10589" xr:uid="{00000000-0005-0000-0000-000044570000}"/>
    <cellStyle name="Normal 13 2 7 2" xfId="34438" xr:uid="{5FB26C88-014A-4016-9FC6-349824ECF232}"/>
    <cellStyle name="Normal 13 2 8" xfId="18544" xr:uid="{00000000-0005-0000-0000-000045570000}"/>
    <cellStyle name="Normal 13 2 8 2" xfId="42376" xr:uid="{D839053C-0594-4AA3-B836-ED7E1FF99C8B}"/>
    <cellStyle name="Normal 13 2 9" xfId="26496" xr:uid="{A8501A2A-234C-4749-B5C6-33BF11E8AD2F}"/>
    <cellStyle name="Normal 13 2_Exh G" xfId="3451" xr:uid="{00000000-0005-0000-0000-000046570000}"/>
    <cellStyle name="Normal 13 3" xfId="649" xr:uid="{00000000-0005-0000-0000-000047570000}"/>
    <cellStyle name="Normal 13 3 2" xfId="1675" xr:uid="{00000000-0005-0000-0000-000048570000}"/>
    <cellStyle name="Normal 13 3 2 2" xfId="5202" xr:uid="{00000000-0005-0000-0000-000049570000}"/>
    <cellStyle name="Normal 13 3 2 2 2" xfId="8793" xr:uid="{00000000-0005-0000-0000-00004A570000}"/>
    <cellStyle name="Normal 13 3 2 2 2 2" xfId="16763" xr:uid="{00000000-0005-0000-0000-00004B570000}"/>
    <cellStyle name="Normal 13 3 2 2 2 2 2" xfId="40605" xr:uid="{2592B65D-E404-4CBB-B8E9-1F2E4FB0097B}"/>
    <cellStyle name="Normal 13 3 2 2 2 3" xfId="24709" xr:uid="{00000000-0005-0000-0000-00004C570000}"/>
    <cellStyle name="Normal 13 3 2 2 2 3 2" xfId="48541" xr:uid="{B844E259-BA6C-4638-A361-BB5FD0BE5B53}"/>
    <cellStyle name="Normal 13 3 2 2 2 4" xfId="32664" xr:uid="{A06E0049-4FF3-49AE-BF81-AD76164476CE}"/>
    <cellStyle name="Normal 13 3 2 2 3" xfId="13225" xr:uid="{00000000-0005-0000-0000-00004D570000}"/>
    <cellStyle name="Normal 13 3 2 2 3 2" xfId="37074" xr:uid="{F0842216-30DF-4DCB-B9CD-ADD4D8937B85}"/>
    <cellStyle name="Normal 13 3 2 2 4" xfId="21180" xr:uid="{00000000-0005-0000-0000-00004E570000}"/>
    <cellStyle name="Normal 13 3 2 2 4 2" xfId="45012" xr:uid="{69F564EF-35F6-4BB2-931D-CBF84F873464}"/>
    <cellStyle name="Normal 13 3 2 2 5" xfId="29133" xr:uid="{595C89CC-6D94-4E72-9059-4785C8F8BAEA}"/>
    <cellStyle name="Normal 13 3 2 3" xfId="7034" xr:uid="{00000000-0005-0000-0000-00004F570000}"/>
    <cellStyle name="Normal 13 3 2 3 2" xfId="15005" xr:uid="{00000000-0005-0000-0000-000050570000}"/>
    <cellStyle name="Normal 13 3 2 3 2 2" xfId="38847" xr:uid="{7DF0DB1D-F0AE-4D7D-94DF-08208366480F}"/>
    <cellStyle name="Normal 13 3 2 3 3" xfId="22952" xr:uid="{00000000-0005-0000-0000-000051570000}"/>
    <cellStyle name="Normal 13 3 2 3 3 2" xfId="46784" xr:uid="{4785F8BE-904C-479D-BE6C-3A656110C70A}"/>
    <cellStyle name="Normal 13 3 2 3 4" xfId="30906" xr:uid="{22F7FC55-F50B-42FF-86C2-A68123CB14DF}"/>
    <cellStyle name="Normal 13 3 2 4" xfId="11469" xr:uid="{00000000-0005-0000-0000-000052570000}"/>
    <cellStyle name="Normal 13 3 2 4 2" xfId="35318" xr:uid="{D5E22F23-B40A-4689-9B6A-F9B3A2B7247D}"/>
    <cellStyle name="Normal 13 3 2 5" xfId="19424" xr:uid="{00000000-0005-0000-0000-000053570000}"/>
    <cellStyle name="Normal 13 3 2 5 2" xfId="43256" xr:uid="{995D1B77-DA57-49D2-B782-62B3D42D5DB3}"/>
    <cellStyle name="Normal 13 3 2 6" xfId="27376" xr:uid="{CDA86F09-5909-4AA1-91FF-6C258C2769D6}"/>
    <cellStyle name="Normal 13 3 2_Exh G" xfId="3456" xr:uid="{00000000-0005-0000-0000-000054570000}"/>
    <cellStyle name="Normal 13 3 3" xfId="4323" xr:uid="{00000000-0005-0000-0000-000055570000}"/>
    <cellStyle name="Normal 13 3 3 2" xfId="7915" xr:uid="{00000000-0005-0000-0000-000056570000}"/>
    <cellStyle name="Normal 13 3 3 2 2" xfId="15885" xr:uid="{00000000-0005-0000-0000-000057570000}"/>
    <cellStyle name="Normal 13 3 3 2 2 2" xfId="39727" xr:uid="{B7954930-A79F-496D-9FF5-FBB21C25C552}"/>
    <cellStyle name="Normal 13 3 3 2 3" xfId="23831" xr:uid="{00000000-0005-0000-0000-000058570000}"/>
    <cellStyle name="Normal 13 3 3 2 3 2" xfId="47663" xr:uid="{EDBD5F2C-190D-44CC-BE87-C13BED100BD9}"/>
    <cellStyle name="Normal 13 3 3 2 4" xfId="31786" xr:uid="{AE71D9FC-668A-4775-9F34-2A7FF15521BE}"/>
    <cellStyle name="Normal 13 3 3 3" xfId="12347" xr:uid="{00000000-0005-0000-0000-000059570000}"/>
    <cellStyle name="Normal 13 3 3 3 2" xfId="36196" xr:uid="{92DC62DD-2BC4-4E17-BCCC-EFC54A823572}"/>
    <cellStyle name="Normal 13 3 3 4" xfId="20302" xr:uid="{00000000-0005-0000-0000-00005A570000}"/>
    <cellStyle name="Normal 13 3 3 4 2" xfId="44134" xr:uid="{25A8CDC1-9A95-47D5-9245-1423F767C6C7}"/>
    <cellStyle name="Normal 13 3 3 5" xfId="28255" xr:uid="{B16BF95D-DA8E-4657-BEC2-C255F07B6952}"/>
    <cellStyle name="Normal 13 3 4" xfId="6143" xr:uid="{00000000-0005-0000-0000-00005B570000}"/>
    <cellStyle name="Normal 13 3 4 2" xfId="14126" xr:uid="{00000000-0005-0000-0000-00005C570000}"/>
    <cellStyle name="Normal 13 3 4 2 2" xfId="37969" xr:uid="{7D90FA44-34EE-4E91-8AF7-FD4738D191D8}"/>
    <cellStyle name="Normal 13 3 4 3" xfId="22074" xr:uid="{00000000-0005-0000-0000-00005D570000}"/>
    <cellStyle name="Normal 13 3 4 3 2" xfId="45906" xr:uid="{FE298EA0-C3DD-4FF9-9C4A-61745917F190}"/>
    <cellStyle name="Normal 13 3 4 4" xfId="30028" xr:uid="{62517662-64DF-4263-8F25-E3C91C176B9A}"/>
    <cellStyle name="Normal 13 3 5" xfId="9695" xr:uid="{00000000-0005-0000-0000-00005E570000}"/>
    <cellStyle name="Normal 13 3 5 2" xfId="17653" xr:uid="{00000000-0005-0000-0000-00005F570000}"/>
    <cellStyle name="Normal 13 3 5 2 2" xfId="41493" xr:uid="{C802459E-7C96-443C-9368-3049943FEED7}"/>
    <cellStyle name="Normal 13 3 5 3" xfId="25597" xr:uid="{00000000-0005-0000-0000-000060570000}"/>
    <cellStyle name="Normal 13 3 5 3 2" xfId="49429" xr:uid="{BC8A9D19-315D-4D66-9886-C21DE38B886E}"/>
    <cellStyle name="Normal 13 3 5 4" xfId="33552" xr:uid="{C9624D9B-F2EC-45EB-96C5-E2BB6CA96507}"/>
    <cellStyle name="Normal 13 3 6" xfId="10591" xr:uid="{00000000-0005-0000-0000-000061570000}"/>
    <cellStyle name="Normal 13 3 6 2" xfId="34440" xr:uid="{90A6B791-074A-49AC-AC8A-E409BFE03691}"/>
    <cellStyle name="Normal 13 3 7" xfId="18546" xr:uid="{00000000-0005-0000-0000-000062570000}"/>
    <cellStyle name="Normal 13 3 7 2" xfId="42378" xr:uid="{0359B91B-3512-48F7-B57F-65B4ACCAFB9B}"/>
    <cellStyle name="Normal 13 3 8" xfId="26498" xr:uid="{78D50DE0-3EB2-49BF-B1B3-491230F0DCBC}"/>
    <cellStyle name="Normal 13 3_Exh G" xfId="3455" xr:uid="{00000000-0005-0000-0000-000063570000}"/>
    <cellStyle name="Normal 13 4" xfId="1012" xr:uid="{00000000-0005-0000-0000-000064570000}"/>
    <cellStyle name="Normal 13 4 2" xfId="1915" xr:uid="{00000000-0005-0000-0000-000065570000}"/>
    <cellStyle name="Normal 13 4 2 2" xfId="5432" xr:uid="{00000000-0005-0000-0000-000066570000}"/>
    <cellStyle name="Normal 13 4 2 2 2" xfId="9023" xr:uid="{00000000-0005-0000-0000-000067570000}"/>
    <cellStyle name="Normal 13 4 2 2 2 2" xfId="16993" xr:uid="{00000000-0005-0000-0000-000068570000}"/>
    <cellStyle name="Normal 13 4 2 2 2 2 2" xfId="40835" xr:uid="{D5BDF230-3FAB-40D5-8403-C0DC47253D3E}"/>
    <cellStyle name="Normal 13 4 2 2 2 3" xfId="24939" xr:uid="{00000000-0005-0000-0000-000069570000}"/>
    <cellStyle name="Normal 13 4 2 2 2 3 2" xfId="48771" xr:uid="{1207B3FA-0378-4033-844D-8FA8B4038189}"/>
    <cellStyle name="Normal 13 4 2 2 2 4" xfId="32894" xr:uid="{01A06DEF-87B9-4CE8-B282-AF9B8D2FF712}"/>
    <cellStyle name="Normal 13 4 2 2 3" xfId="13455" xr:uid="{00000000-0005-0000-0000-00006A570000}"/>
    <cellStyle name="Normal 13 4 2 2 3 2" xfId="37304" xr:uid="{3CD86B87-94E4-41C7-A0DA-EB81859FCD40}"/>
    <cellStyle name="Normal 13 4 2 2 4" xfId="21410" xr:uid="{00000000-0005-0000-0000-00006B570000}"/>
    <cellStyle name="Normal 13 4 2 2 4 2" xfId="45242" xr:uid="{C69A037D-48A9-4A91-81D1-FC9793B6FA08}"/>
    <cellStyle name="Normal 13 4 2 2 5" xfId="29363" xr:uid="{E7857CD3-07E9-4C2A-AC11-6F9FEE8A70CB}"/>
    <cellStyle name="Normal 13 4 2 3" xfId="7264" xr:uid="{00000000-0005-0000-0000-00006C570000}"/>
    <cellStyle name="Normal 13 4 2 3 2" xfId="15235" xr:uid="{00000000-0005-0000-0000-00006D570000}"/>
    <cellStyle name="Normal 13 4 2 3 2 2" xfId="39077" xr:uid="{E74BFC50-AC4D-481A-ABAD-46E1E8BE6A38}"/>
    <cellStyle name="Normal 13 4 2 3 3" xfId="23182" xr:uid="{00000000-0005-0000-0000-00006E570000}"/>
    <cellStyle name="Normal 13 4 2 3 3 2" xfId="47014" xr:uid="{B736D0D8-9EFC-4D1C-AE44-13B573D9390B}"/>
    <cellStyle name="Normal 13 4 2 3 4" xfId="31136" xr:uid="{D553884F-BCEC-4134-8B84-AE2C8C7F6100}"/>
    <cellStyle name="Normal 13 4 2 4" xfId="11699" xr:uid="{00000000-0005-0000-0000-00006F570000}"/>
    <cellStyle name="Normal 13 4 2 4 2" xfId="35548" xr:uid="{C9D2D982-8278-4C9A-A525-439251A38804}"/>
    <cellStyle name="Normal 13 4 2 5" xfId="19654" xr:uid="{00000000-0005-0000-0000-000070570000}"/>
    <cellStyle name="Normal 13 4 2 5 2" xfId="43486" xr:uid="{5D6D8B59-F279-4648-A159-934DF883E9C0}"/>
    <cellStyle name="Normal 13 4 2 6" xfId="27606" xr:uid="{4BB04976-2194-40D0-876B-02DDD5A37DF7}"/>
    <cellStyle name="Normal 13 4 2_Exh G" xfId="3458" xr:uid="{00000000-0005-0000-0000-000071570000}"/>
    <cellStyle name="Normal 13 4 3" xfId="4553" xr:uid="{00000000-0005-0000-0000-000072570000}"/>
    <cellStyle name="Normal 13 4 3 2" xfId="8145" xr:uid="{00000000-0005-0000-0000-000073570000}"/>
    <cellStyle name="Normal 13 4 3 2 2" xfId="16115" xr:uid="{00000000-0005-0000-0000-000074570000}"/>
    <cellStyle name="Normal 13 4 3 2 2 2" xfId="39957" xr:uid="{D1231726-1DD2-44B1-89DB-0F181D7A1CEC}"/>
    <cellStyle name="Normal 13 4 3 2 3" xfId="24061" xr:uid="{00000000-0005-0000-0000-000075570000}"/>
    <cellStyle name="Normal 13 4 3 2 3 2" xfId="47893" xr:uid="{7FE9D3F4-FD41-4A8D-A4EE-9B074980A69C}"/>
    <cellStyle name="Normal 13 4 3 2 4" xfId="32016" xr:uid="{B5C4F42D-545E-4E7A-AAF7-04359F8CB5F3}"/>
    <cellStyle name="Normal 13 4 3 3" xfId="12577" xr:uid="{00000000-0005-0000-0000-000076570000}"/>
    <cellStyle name="Normal 13 4 3 3 2" xfId="36426" xr:uid="{0384F55B-A5D6-4B0E-8C71-D817D79F9075}"/>
    <cellStyle name="Normal 13 4 3 4" xfId="20532" xr:uid="{00000000-0005-0000-0000-000077570000}"/>
    <cellStyle name="Normal 13 4 3 4 2" xfId="44364" xr:uid="{9B7987BD-7743-4274-84FC-55D145FB182C}"/>
    <cellStyle name="Normal 13 4 3 5" xfId="28485" xr:uid="{8B0A897F-7187-4FA4-A1EE-FA6D5B677A4E}"/>
    <cellStyle name="Normal 13 4 4" xfId="6383" xr:uid="{00000000-0005-0000-0000-000078570000}"/>
    <cellStyle name="Normal 13 4 4 2" xfId="14357" xr:uid="{00000000-0005-0000-0000-000079570000}"/>
    <cellStyle name="Normal 13 4 4 2 2" xfId="38199" xr:uid="{9A33817E-5444-4140-B59A-3016EE1949DB}"/>
    <cellStyle name="Normal 13 4 4 3" xfId="22304" xr:uid="{00000000-0005-0000-0000-00007A570000}"/>
    <cellStyle name="Normal 13 4 4 3 2" xfId="46136" xr:uid="{923AB8DA-CE9E-4FD9-9FB8-C30B6EA44B17}"/>
    <cellStyle name="Normal 13 4 4 4" xfId="30258" xr:uid="{7E45D254-18EF-42CA-B5D3-F82FA8FCF526}"/>
    <cellStyle name="Normal 13 4 5" xfId="9925" xr:uid="{00000000-0005-0000-0000-00007B570000}"/>
    <cellStyle name="Normal 13 4 5 2" xfId="17883" xr:uid="{00000000-0005-0000-0000-00007C570000}"/>
    <cellStyle name="Normal 13 4 5 2 2" xfId="41723" xr:uid="{AD789336-C1C8-4DBE-8969-213B0F33DF4F}"/>
    <cellStyle name="Normal 13 4 5 3" xfId="25827" xr:uid="{00000000-0005-0000-0000-00007D570000}"/>
    <cellStyle name="Normal 13 4 5 3 2" xfId="49659" xr:uid="{64817B84-BAA4-433D-87C7-3BEC989A2ABF}"/>
    <cellStyle name="Normal 13 4 5 4" xfId="33782" xr:uid="{701994FF-E7CD-424E-8040-4814FA9F91B3}"/>
    <cellStyle name="Normal 13 4 6" xfId="10821" xr:uid="{00000000-0005-0000-0000-00007E570000}"/>
    <cellStyle name="Normal 13 4 6 2" xfId="34670" xr:uid="{EF6E9F87-8C09-47AF-B682-34F19B0DB49C}"/>
    <cellStyle name="Normal 13 4 7" xfId="18776" xr:uid="{00000000-0005-0000-0000-00007F570000}"/>
    <cellStyle name="Normal 13 4 7 2" xfId="42608" xr:uid="{1A92DB23-D992-4E9C-97A2-EA11D6FC284B}"/>
    <cellStyle name="Normal 13 4 8" xfId="26728" xr:uid="{C7F679B0-EFA2-47BE-8B69-C5901D1ED42B}"/>
    <cellStyle name="Normal 13 4_Exh G" xfId="3457" xr:uid="{00000000-0005-0000-0000-000080570000}"/>
    <cellStyle name="Normal 13 5" xfId="1672" xr:uid="{00000000-0005-0000-0000-000081570000}"/>
    <cellStyle name="Normal 13 5 2" xfId="5199" xr:uid="{00000000-0005-0000-0000-000082570000}"/>
    <cellStyle name="Normal 13 5 2 2" xfId="8790" xr:uid="{00000000-0005-0000-0000-000083570000}"/>
    <cellStyle name="Normal 13 5 2 2 2" xfId="16760" xr:uid="{00000000-0005-0000-0000-000084570000}"/>
    <cellStyle name="Normal 13 5 2 2 2 2" xfId="40602" xr:uid="{EBBCDC68-066D-4646-B17B-7128BB97AA28}"/>
    <cellStyle name="Normal 13 5 2 2 3" xfId="24706" xr:uid="{00000000-0005-0000-0000-000085570000}"/>
    <cellStyle name="Normal 13 5 2 2 3 2" xfId="48538" xr:uid="{B7ACAF30-AAFD-4AD8-B5D4-AD1E0D4C49D9}"/>
    <cellStyle name="Normal 13 5 2 2 4" xfId="32661" xr:uid="{7A870AA7-0774-4BED-9030-7969B0A813E4}"/>
    <cellStyle name="Normal 13 5 2 3" xfId="13222" xr:uid="{00000000-0005-0000-0000-000086570000}"/>
    <cellStyle name="Normal 13 5 2 3 2" xfId="37071" xr:uid="{800B65E3-CDC2-4693-B01E-5FC98885BB0E}"/>
    <cellStyle name="Normal 13 5 2 4" xfId="21177" xr:uid="{00000000-0005-0000-0000-000087570000}"/>
    <cellStyle name="Normal 13 5 2 4 2" xfId="45009" xr:uid="{1457BDC6-3F56-49C5-9F2C-ABD0288A256F}"/>
    <cellStyle name="Normal 13 5 2 5" xfId="29130" xr:uid="{8AF51EF9-B369-4BBC-AE5C-05A9F215ED7C}"/>
    <cellStyle name="Normal 13 5 3" xfId="7031" xr:uid="{00000000-0005-0000-0000-000088570000}"/>
    <cellStyle name="Normal 13 5 3 2" xfId="15002" xr:uid="{00000000-0005-0000-0000-000089570000}"/>
    <cellStyle name="Normal 13 5 3 2 2" xfId="38844" xr:uid="{C7B9A4D0-15D7-4672-8333-E2E24D46ED45}"/>
    <cellStyle name="Normal 13 5 3 3" xfId="22949" xr:uid="{00000000-0005-0000-0000-00008A570000}"/>
    <cellStyle name="Normal 13 5 3 3 2" xfId="46781" xr:uid="{3D56BE94-5F31-438B-AB86-B9D6C625C35E}"/>
    <cellStyle name="Normal 13 5 3 4" xfId="30903" xr:uid="{365044FC-7008-44E9-B427-5E92C9065C9C}"/>
    <cellStyle name="Normal 13 5 4" xfId="11466" xr:uid="{00000000-0005-0000-0000-00008B570000}"/>
    <cellStyle name="Normal 13 5 4 2" xfId="35315" xr:uid="{629E1324-8AB2-4C40-B2ED-6CD6E3179613}"/>
    <cellStyle name="Normal 13 5 5" xfId="19421" xr:uid="{00000000-0005-0000-0000-00008C570000}"/>
    <cellStyle name="Normal 13 5 5 2" xfId="43253" xr:uid="{9C776D26-738A-4EA9-AC55-FF3602576581}"/>
    <cellStyle name="Normal 13 5 6" xfId="27373" xr:uid="{8AA04CF6-D23D-49AF-97E9-530C8E8F6E8D}"/>
    <cellStyle name="Normal 13 5_Exh G" xfId="3459" xr:uid="{00000000-0005-0000-0000-00008D570000}"/>
    <cellStyle name="Normal 13 6" xfId="4320" xr:uid="{00000000-0005-0000-0000-00008E570000}"/>
    <cellStyle name="Normal 13 6 2" xfId="7912" xr:uid="{00000000-0005-0000-0000-00008F570000}"/>
    <cellStyle name="Normal 13 6 2 2" xfId="15882" xr:uid="{00000000-0005-0000-0000-000090570000}"/>
    <cellStyle name="Normal 13 6 2 2 2" xfId="39724" xr:uid="{0AA2C701-E90D-41D6-AA7B-ACD71012CBF4}"/>
    <cellStyle name="Normal 13 6 2 3" xfId="23828" xr:uid="{00000000-0005-0000-0000-000091570000}"/>
    <cellStyle name="Normal 13 6 2 3 2" xfId="47660" xr:uid="{9D3B4DCC-D3B2-4A13-AA2E-7F141F259684}"/>
    <cellStyle name="Normal 13 6 2 4" xfId="31783" xr:uid="{BB4C0495-5B7F-43FC-BBF4-3C01344124B9}"/>
    <cellStyle name="Normal 13 6 3" xfId="12344" xr:uid="{00000000-0005-0000-0000-000092570000}"/>
    <cellStyle name="Normal 13 6 3 2" xfId="36193" xr:uid="{6D9C0F01-07C2-41D3-88B6-277E6641DF62}"/>
    <cellStyle name="Normal 13 6 4" xfId="20299" xr:uid="{00000000-0005-0000-0000-000093570000}"/>
    <cellStyle name="Normal 13 6 4 2" xfId="44131" xr:uid="{3D19BF9D-CEDA-4397-93B3-CFBE578A6017}"/>
    <cellStyle name="Normal 13 6 5" xfId="28252" xr:uid="{278D6CD4-AF0C-4196-A57D-74A4473D35E3}"/>
    <cellStyle name="Normal 13 7" xfId="6140" xr:uid="{00000000-0005-0000-0000-000094570000}"/>
    <cellStyle name="Normal 13 7 2" xfId="14123" xr:uid="{00000000-0005-0000-0000-000095570000}"/>
    <cellStyle name="Normal 13 7 2 2" xfId="37966" xr:uid="{4A8D9761-3394-4F21-AE1F-4D2A736AD1E1}"/>
    <cellStyle name="Normal 13 7 3" xfId="22071" xr:uid="{00000000-0005-0000-0000-000096570000}"/>
    <cellStyle name="Normal 13 7 3 2" xfId="45903" xr:uid="{598D7A80-43C2-46B5-A241-515E455BDCF3}"/>
    <cellStyle name="Normal 13 7 4" xfId="30025" xr:uid="{25BD1744-F446-4680-9F99-8987AFC45BA7}"/>
    <cellStyle name="Normal 13 8" xfId="9692" xr:uid="{00000000-0005-0000-0000-000097570000}"/>
    <cellStyle name="Normal 13 8 2" xfId="17650" xr:uid="{00000000-0005-0000-0000-000098570000}"/>
    <cellStyle name="Normal 13 8 2 2" xfId="41490" xr:uid="{19D6D4A0-F2B5-4338-9CB8-F7F1330FC763}"/>
    <cellStyle name="Normal 13 8 3" xfId="25594" xr:uid="{00000000-0005-0000-0000-000099570000}"/>
    <cellStyle name="Normal 13 8 3 2" xfId="49426" xr:uid="{74B6F2F2-CFD5-44E9-A52C-FDF22AEDAC0C}"/>
    <cellStyle name="Normal 13 8 4" xfId="33549" xr:uid="{3DF90E1D-39AB-4FCD-BA98-488702B1ECA8}"/>
    <cellStyle name="Normal 13 9" xfId="10588" xr:uid="{00000000-0005-0000-0000-00009A570000}"/>
    <cellStyle name="Normal 13 9 2" xfId="34437" xr:uid="{9DF9FB6F-C9A0-496F-A833-14993B0207E6}"/>
    <cellStyle name="Normal 13_Exh G" xfId="3450" xr:uid="{00000000-0005-0000-0000-00009B570000}"/>
    <cellStyle name="Normal 14" xfId="650" xr:uid="{00000000-0005-0000-0000-00009C570000}"/>
    <cellStyle name="Normal 14 10" xfId="10592" xr:uid="{00000000-0005-0000-0000-00009D570000}"/>
    <cellStyle name="Normal 14 10 2" xfId="34441" xr:uid="{50DC33FB-4339-4519-AD84-9CCA3EC19E07}"/>
    <cellStyle name="Normal 14 11" xfId="18547" xr:uid="{00000000-0005-0000-0000-00009E570000}"/>
    <cellStyle name="Normal 14 11 2" xfId="42379" xr:uid="{083B69B9-10CA-4830-AF05-DE8C81C8A3C2}"/>
    <cellStyle name="Normal 14 12" xfId="26499" xr:uid="{687BF3BF-672A-4D8F-8F69-77A2137926F3}"/>
    <cellStyle name="Normal 14 2" xfId="651" xr:uid="{00000000-0005-0000-0000-00009F570000}"/>
    <cellStyle name="Normal 14 2 2" xfId="652" xr:uid="{00000000-0005-0000-0000-0000A0570000}"/>
    <cellStyle name="Normal 14 2 2 2" xfId="1678" xr:uid="{00000000-0005-0000-0000-0000A1570000}"/>
    <cellStyle name="Normal 14 2 2 2 2" xfId="5205" xr:uid="{00000000-0005-0000-0000-0000A2570000}"/>
    <cellStyle name="Normal 14 2 2 2 2 2" xfId="8796" xr:uid="{00000000-0005-0000-0000-0000A3570000}"/>
    <cellStyle name="Normal 14 2 2 2 2 2 2" xfId="16766" xr:uid="{00000000-0005-0000-0000-0000A4570000}"/>
    <cellStyle name="Normal 14 2 2 2 2 2 2 2" xfId="40608" xr:uid="{4DE281A1-730B-4422-B60B-A565F2B1F3EC}"/>
    <cellStyle name="Normal 14 2 2 2 2 2 3" xfId="24712" xr:uid="{00000000-0005-0000-0000-0000A5570000}"/>
    <cellStyle name="Normal 14 2 2 2 2 2 3 2" xfId="48544" xr:uid="{E69FF179-02AD-4733-92A2-B7D4F08FDBE2}"/>
    <cellStyle name="Normal 14 2 2 2 2 2 4" xfId="32667" xr:uid="{37BFAF3E-5423-427B-BAE1-86CC0A1352C8}"/>
    <cellStyle name="Normal 14 2 2 2 2 3" xfId="13228" xr:uid="{00000000-0005-0000-0000-0000A6570000}"/>
    <cellStyle name="Normal 14 2 2 2 2 3 2" xfId="37077" xr:uid="{D08D4CD1-9323-4ABC-A16B-75B5EAB7225C}"/>
    <cellStyle name="Normal 14 2 2 2 2 4" xfId="21183" xr:uid="{00000000-0005-0000-0000-0000A7570000}"/>
    <cellStyle name="Normal 14 2 2 2 2 4 2" xfId="45015" xr:uid="{C24C01C7-C7D4-4DC0-9461-8BC01130CBAD}"/>
    <cellStyle name="Normal 14 2 2 2 2 5" xfId="29136" xr:uid="{B515FEB8-4517-42DE-BF7C-563EE6F9AE9C}"/>
    <cellStyle name="Normal 14 2 2 2 3" xfId="7037" xr:uid="{00000000-0005-0000-0000-0000A8570000}"/>
    <cellStyle name="Normal 14 2 2 2 3 2" xfId="15008" xr:uid="{00000000-0005-0000-0000-0000A9570000}"/>
    <cellStyle name="Normal 14 2 2 2 3 2 2" xfId="38850" xr:uid="{FEAF2744-3237-46C9-869D-601D200D4623}"/>
    <cellStyle name="Normal 14 2 2 2 3 3" xfId="22955" xr:uid="{00000000-0005-0000-0000-0000AA570000}"/>
    <cellStyle name="Normal 14 2 2 2 3 3 2" xfId="46787" xr:uid="{B5BA0364-4C46-426A-9FDE-40CC836E07F6}"/>
    <cellStyle name="Normal 14 2 2 2 3 4" xfId="30909" xr:uid="{82966107-1F99-469D-A9FB-52A669C4D9E8}"/>
    <cellStyle name="Normal 14 2 2 2 4" xfId="11472" xr:uid="{00000000-0005-0000-0000-0000AB570000}"/>
    <cellStyle name="Normal 14 2 2 2 4 2" xfId="35321" xr:uid="{E3792A19-A78A-46A7-B183-4DDFB30BFCEA}"/>
    <cellStyle name="Normal 14 2 2 2 5" xfId="19427" xr:uid="{00000000-0005-0000-0000-0000AC570000}"/>
    <cellStyle name="Normal 14 2 2 2 5 2" xfId="43259" xr:uid="{B53B45BA-3BB1-45CB-B43E-0706821E3651}"/>
    <cellStyle name="Normal 14 2 2 2 6" xfId="27379" xr:uid="{F9E9A995-59DB-4AE4-BBC7-41D7410D7EF7}"/>
    <cellStyle name="Normal 14 2 2 2_Exh G" xfId="3463" xr:uid="{00000000-0005-0000-0000-0000AD570000}"/>
    <cellStyle name="Normal 14 2 2 3" xfId="4326" xr:uid="{00000000-0005-0000-0000-0000AE570000}"/>
    <cellStyle name="Normal 14 2 2 3 2" xfId="7918" xr:uid="{00000000-0005-0000-0000-0000AF570000}"/>
    <cellStyle name="Normal 14 2 2 3 2 2" xfId="15888" xr:uid="{00000000-0005-0000-0000-0000B0570000}"/>
    <cellStyle name="Normal 14 2 2 3 2 2 2" xfId="39730" xr:uid="{46CF2916-575E-493A-B6A2-8C03AE1F5B2B}"/>
    <cellStyle name="Normal 14 2 2 3 2 3" xfId="23834" xr:uid="{00000000-0005-0000-0000-0000B1570000}"/>
    <cellStyle name="Normal 14 2 2 3 2 3 2" xfId="47666" xr:uid="{CEFDB3E4-0482-4D93-A4C3-33AE9066B1DD}"/>
    <cellStyle name="Normal 14 2 2 3 2 4" xfId="31789" xr:uid="{199336D0-F996-4DBF-8960-89FAC79DEF8D}"/>
    <cellStyle name="Normal 14 2 2 3 3" xfId="12350" xr:uid="{00000000-0005-0000-0000-0000B2570000}"/>
    <cellStyle name="Normal 14 2 2 3 3 2" xfId="36199" xr:uid="{3C57568D-FFDF-46B8-9633-9B59D46A5647}"/>
    <cellStyle name="Normal 14 2 2 3 4" xfId="20305" xr:uid="{00000000-0005-0000-0000-0000B3570000}"/>
    <cellStyle name="Normal 14 2 2 3 4 2" xfId="44137" xr:uid="{F589DA57-DC74-4834-BC37-427AB73DE109}"/>
    <cellStyle name="Normal 14 2 2 3 5" xfId="28258" xr:uid="{91CEE010-8C5F-49DF-99F5-29DF68A4D4E9}"/>
    <cellStyle name="Normal 14 2 2 4" xfId="6146" xr:uid="{00000000-0005-0000-0000-0000B4570000}"/>
    <cellStyle name="Normal 14 2 2 4 2" xfId="14129" xr:uid="{00000000-0005-0000-0000-0000B5570000}"/>
    <cellStyle name="Normal 14 2 2 4 2 2" xfId="37972" xr:uid="{5B5D0CAE-0128-450A-B7A1-19DBF763B4F4}"/>
    <cellStyle name="Normal 14 2 2 4 3" xfId="22077" xr:uid="{00000000-0005-0000-0000-0000B6570000}"/>
    <cellStyle name="Normal 14 2 2 4 3 2" xfId="45909" xr:uid="{4D17172D-4FD2-4630-952F-C98F7F359C7B}"/>
    <cellStyle name="Normal 14 2 2 4 4" xfId="30031" xr:uid="{875C3186-4F33-4A99-B838-C28CCED3D742}"/>
    <cellStyle name="Normal 14 2 2 5" xfId="9698" xr:uid="{00000000-0005-0000-0000-0000B7570000}"/>
    <cellStyle name="Normal 14 2 2 5 2" xfId="17656" xr:uid="{00000000-0005-0000-0000-0000B8570000}"/>
    <cellStyle name="Normal 14 2 2 5 2 2" xfId="41496" xr:uid="{56835BDA-B768-4FEC-A96A-7CB6A0B9E7DF}"/>
    <cellStyle name="Normal 14 2 2 5 3" xfId="25600" xr:uid="{00000000-0005-0000-0000-0000B9570000}"/>
    <cellStyle name="Normal 14 2 2 5 3 2" xfId="49432" xr:uid="{247C5970-02AB-4B25-B678-2C1430FA0C05}"/>
    <cellStyle name="Normal 14 2 2 5 4" xfId="33555" xr:uid="{08DD6105-DDB6-4C66-AB88-EF3CC2214F97}"/>
    <cellStyle name="Normal 14 2 2 6" xfId="10594" xr:uid="{00000000-0005-0000-0000-0000BA570000}"/>
    <cellStyle name="Normal 14 2 2 6 2" xfId="34443" xr:uid="{689642DD-745B-4EA0-AD90-F49EFA963FFE}"/>
    <cellStyle name="Normal 14 2 2 7" xfId="18549" xr:uid="{00000000-0005-0000-0000-0000BB570000}"/>
    <cellStyle name="Normal 14 2 2 7 2" xfId="42381" xr:uid="{134D6EF8-978E-4F73-A475-B0896E396127}"/>
    <cellStyle name="Normal 14 2 2 8" xfId="26501" xr:uid="{4C2D5CA2-36E7-4E69-9F95-A2F342AE3306}"/>
    <cellStyle name="Normal 14 2 2_Exh G" xfId="3462" xr:uid="{00000000-0005-0000-0000-0000BC570000}"/>
    <cellStyle name="Normal 14 2 3" xfId="1677" xr:uid="{00000000-0005-0000-0000-0000BD570000}"/>
    <cellStyle name="Normal 14 2 3 2" xfId="5204" xr:uid="{00000000-0005-0000-0000-0000BE570000}"/>
    <cellStyle name="Normal 14 2 3 2 2" xfId="8795" xr:uid="{00000000-0005-0000-0000-0000BF570000}"/>
    <cellStyle name="Normal 14 2 3 2 2 2" xfId="16765" xr:uid="{00000000-0005-0000-0000-0000C0570000}"/>
    <cellStyle name="Normal 14 2 3 2 2 2 2" xfId="40607" xr:uid="{25506908-12CB-4A48-9843-5113078C5B03}"/>
    <cellStyle name="Normal 14 2 3 2 2 3" xfId="24711" xr:uid="{00000000-0005-0000-0000-0000C1570000}"/>
    <cellStyle name="Normal 14 2 3 2 2 3 2" xfId="48543" xr:uid="{437FCACB-818F-4C3D-97C0-D2A23C0E1A52}"/>
    <cellStyle name="Normal 14 2 3 2 2 4" xfId="32666" xr:uid="{E83EEB95-D3FD-4CA2-BF04-DBE4A8568215}"/>
    <cellStyle name="Normal 14 2 3 2 3" xfId="13227" xr:uid="{00000000-0005-0000-0000-0000C2570000}"/>
    <cellStyle name="Normal 14 2 3 2 3 2" xfId="37076" xr:uid="{E0456EFE-9AB9-4F15-A7EC-657FC1051FD1}"/>
    <cellStyle name="Normal 14 2 3 2 4" xfId="21182" xr:uid="{00000000-0005-0000-0000-0000C3570000}"/>
    <cellStyle name="Normal 14 2 3 2 4 2" xfId="45014" xr:uid="{6410325F-91E1-45C6-BB81-E1EE83ADA57D}"/>
    <cellStyle name="Normal 14 2 3 2 5" xfId="29135" xr:uid="{C904E170-0670-490E-A730-11D610FB2B7C}"/>
    <cellStyle name="Normal 14 2 3 3" xfId="7036" xr:uid="{00000000-0005-0000-0000-0000C4570000}"/>
    <cellStyle name="Normal 14 2 3 3 2" xfId="15007" xr:uid="{00000000-0005-0000-0000-0000C5570000}"/>
    <cellStyle name="Normal 14 2 3 3 2 2" xfId="38849" xr:uid="{4997CDC3-E1F5-40C6-B18E-7C1A5DA30541}"/>
    <cellStyle name="Normal 14 2 3 3 3" xfId="22954" xr:uid="{00000000-0005-0000-0000-0000C6570000}"/>
    <cellStyle name="Normal 14 2 3 3 3 2" xfId="46786" xr:uid="{991FFC88-F252-49A1-AE72-A1199DE3588C}"/>
    <cellStyle name="Normal 14 2 3 3 4" xfId="30908" xr:uid="{6F85DEA0-5053-48BB-9A37-CC5B9A56E41C}"/>
    <cellStyle name="Normal 14 2 3 4" xfId="11471" xr:uid="{00000000-0005-0000-0000-0000C7570000}"/>
    <cellStyle name="Normal 14 2 3 4 2" xfId="35320" xr:uid="{2F2B3633-89A2-4064-8E42-5FB3644B24C7}"/>
    <cellStyle name="Normal 14 2 3 5" xfId="19426" xr:uid="{00000000-0005-0000-0000-0000C8570000}"/>
    <cellStyle name="Normal 14 2 3 5 2" xfId="43258" xr:uid="{E2598914-349D-4150-B6D8-94B042BD665E}"/>
    <cellStyle name="Normal 14 2 3 6" xfId="27378" xr:uid="{033F1FB9-D5D7-428F-BC8B-B06240472A15}"/>
    <cellStyle name="Normal 14 2 3_Exh G" xfId="3464" xr:uid="{00000000-0005-0000-0000-0000C9570000}"/>
    <cellStyle name="Normal 14 2 4" xfId="4325" xr:uid="{00000000-0005-0000-0000-0000CA570000}"/>
    <cellStyle name="Normal 14 2 4 2" xfId="7917" xr:uid="{00000000-0005-0000-0000-0000CB570000}"/>
    <cellStyle name="Normal 14 2 4 2 2" xfId="15887" xr:uid="{00000000-0005-0000-0000-0000CC570000}"/>
    <cellStyle name="Normal 14 2 4 2 2 2" xfId="39729" xr:uid="{C5C5FF83-1869-46B9-8CA9-5BA0318F58F2}"/>
    <cellStyle name="Normal 14 2 4 2 3" xfId="23833" xr:uid="{00000000-0005-0000-0000-0000CD570000}"/>
    <cellStyle name="Normal 14 2 4 2 3 2" xfId="47665" xr:uid="{8296EA4D-689F-4C8D-B7BE-698363D723CB}"/>
    <cellStyle name="Normal 14 2 4 2 4" xfId="31788" xr:uid="{FFF4F655-AE31-4F7B-B557-19684AAF8F86}"/>
    <cellStyle name="Normal 14 2 4 3" xfId="12349" xr:uid="{00000000-0005-0000-0000-0000CE570000}"/>
    <cellStyle name="Normal 14 2 4 3 2" xfId="36198" xr:uid="{D6FF201B-80EC-4DCD-A45D-A97DFCBD2B11}"/>
    <cellStyle name="Normal 14 2 4 4" xfId="20304" xr:uid="{00000000-0005-0000-0000-0000CF570000}"/>
    <cellStyle name="Normal 14 2 4 4 2" xfId="44136" xr:uid="{2D521A0B-8E2F-42EF-AA7A-AAB89ECB3A87}"/>
    <cellStyle name="Normal 14 2 4 5" xfId="28257" xr:uid="{46DC1B9F-6F65-4145-B0E6-EFB7824546B8}"/>
    <cellStyle name="Normal 14 2 5" xfId="6145" xr:uid="{00000000-0005-0000-0000-0000D0570000}"/>
    <cellStyle name="Normal 14 2 5 2" xfId="14128" xr:uid="{00000000-0005-0000-0000-0000D1570000}"/>
    <cellStyle name="Normal 14 2 5 2 2" xfId="37971" xr:uid="{2CBB3918-9C88-47EA-BCF5-88CB11AC9420}"/>
    <cellStyle name="Normal 14 2 5 3" xfId="22076" xr:uid="{00000000-0005-0000-0000-0000D2570000}"/>
    <cellStyle name="Normal 14 2 5 3 2" xfId="45908" xr:uid="{F6FCBB6C-FB44-42CA-AE1D-0B0B82949927}"/>
    <cellStyle name="Normal 14 2 5 4" xfId="30030" xr:uid="{3A1562E3-9639-4CA3-9F92-32EB14FEEB1D}"/>
    <cellStyle name="Normal 14 2 6" xfId="9697" xr:uid="{00000000-0005-0000-0000-0000D3570000}"/>
    <cellStyle name="Normal 14 2 6 2" xfId="17655" xr:uid="{00000000-0005-0000-0000-0000D4570000}"/>
    <cellStyle name="Normal 14 2 6 2 2" xfId="41495" xr:uid="{97D17F12-D435-49E5-95C0-60C9CE7A2C46}"/>
    <cellStyle name="Normal 14 2 6 3" xfId="25599" xr:uid="{00000000-0005-0000-0000-0000D5570000}"/>
    <cellStyle name="Normal 14 2 6 3 2" xfId="49431" xr:uid="{BD013AE7-7045-4D8B-B33A-E01D68D9C55B}"/>
    <cellStyle name="Normal 14 2 6 4" xfId="33554" xr:uid="{755A4890-ED01-4B17-B8B1-6B4C8515E611}"/>
    <cellStyle name="Normal 14 2 7" xfId="10593" xr:uid="{00000000-0005-0000-0000-0000D6570000}"/>
    <cellStyle name="Normal 14 2 7 2" xfId="34442" xr:uid="{DB6CEC9B-0A26-4F80-BEEE-45C5F9627D3B}"/>
    <cellStyle name="Normal 14 2 8" xfId="18548" xr:uid="{00000000-0005-0000-0000-0000D7570000}"/>
    <cellStyle name="Normal 14 2 8 2" xfId="42380" xr:uid="{2538583F-EDF4-467F-B139-5492B9024986}"/>
    <cellStyle name="Normal 14 2 9" xfId="26500" xr:uid="{C4FDE6C4-031B-4F1A-8BF1-126A0FD10496}"/>
    <cellStyle name="Normal 14 2_Exh G" xfId="3461" xr:uid="{00000000-0005-0000-0000-0000D8570000}"/>
    <cellStyle name="Normal 14 3" xfId="653" xr:uid="{00000000-0005-0000-0000-0000D9570000}"/>
    <cellStyle name="Normal 14 3 2" xfId="1679" xr:uid="{00000000-0005-0000-0000-0000DA570000}"/>
    <cellStyle name="Normal 14 3 2 2" xfId="5206" xr:uid="{00000000-0005-0000-0000-0000DB570000}"/>
    <cellStyle name="Normal 14 3 2 2 2" xfId="8797" xr:uid="{00000000-0005-0000-0000-0000DC570000}"/>
    <cellStyle name="Normal 14 3 2 2 2 2" xfId="16767" xr:uid="{00000000-0005-0000-0000-0000DD570000}"/>
    <cellStyle name="Normal 14 3 2 2 2 2 2" xfId="40609" xr:uid="{0A2307A9-F5A0-48B5-9396-590B03990657}"/>
    <cellStyle name="Normal 14 3 2 2 2 3" xfId="24713" xr:uid="{00000000-0005-0000-0000-0000DE570000}"/>
    <cellStyle name="Normal 14 3 2 2 2 3 2" xfId="48545" xr:uid="{735DFB79-AD7F-4687-AC75-FCC975D1F35F}"/>
    <cellStyle name="Normal 14 3 2 2 2 4" xfId="32668" xr:uid="{63604058-F64E-41AF-9D88-305D60125650}"/>
    <cellStyle name="Normal 14 3 2 2 3" xfId="13229" xr:uid="{00000000-0005-0000-0000-0000DF570000}"/>
    <cellStyle name="Normal 14 3 2 2 3 2" xfId="37078" xr:uid="{62C86107-4BD3-40DC-ADD1-0E96054C7FC9}"/>
    <cellStyle name="Normal 14 3 2 2 4" xfId="21184" xr:uid="{00000000-0005-0000-0000-0000E0570000}"/>
    <cellStyle name="Normal 14 3 2 2 4 2" xfId="45016" xr:uid="{E2771125-91C7-4674-BCCE-0E588B8A38ED}"/>
    <cellStyle name="Normal 14 3 2 2 5" xfId="29137" xr:uid="{DFFED9C1-334C-4DE8-A0A2-87D2632FCFCE}"/>
    <cellStyle name="Normal 14 3 2 3" xfId="7038" xr:uid="{00000000-0005-0000-0000-0000E1570000}"/>
    <cellStyle name="Normal 14 3 2 3 2" xfId="15009" xr:uid="{00000000-0005-0000-0000-0000E2570000}"/>
    <cellStyle name="Normal 14 3 2 3 2 2" xfId="38851" xr:uid="{BF15524F-D0E3-4297-9EC8-512F129AFF57}"/>
    <cellStyle name="Normal 14 3 2 3 3" xfId="22956" xr:uid="{00000000-0005-0000-0000-0000E3570000}"/>
    <cellStyle name="Normal 14 3 2 3 3 2" xfId="46788" xr:uid="{C1D385A7-5D8E-42BF-A324-FDAD5BAAD0E3}"/>
    <cellStyle name="Normal 14 3 2 3 4" xfId="30910" xr:uid="{700E9ABE-DCEB-45B9-9BDD-3485252009D5}"/>
    <cellStyle name="Normal 14 3 2 4" xfId="11473" xr:uid="{00000000-0005-0000-0000-0000E4570000}"/>
    <cellStyle name="Normal 14 3 2 4 2" xfId="35322" xr:uid="{3CC1CFFC-35F3-4CFF-BB4C-F1E0DC83AC19}"/>
    <cellStyle name="Normal 14 3 2 5" xfId="19428" xr:uid="{00000000-0005-0000-0000-0000E5570000}"/>
    <cellStyle name="Normal 14 3 2 5 2" xfId="43260" xr:uid="{1FB59C2A-048C-4569-B4C8-E0650B66DE67}"/>
    <cellStyle name="Normal 14 3 2 6" xfId="27380" xr:uid="{D12B9973-0A30-4D1D-8EA9-207CC25D419A}"/>
    <cellStyle name="Normal 14 3 2_Exh G" xfId="3466" xr:uid="{00000000-0005-0000-0000-0000E6570000}"/>
    <cellStyle name="Normal 14 3 3" xfId="4327" xr:uid="{00000000-0005-0000-0000-0000E7570000}"/>
    <cellStyle name="Normal 14 3 3 2" xfId="7919" xr:uid="{00000000-0005-0000-0000-0000E8570000}"/>
    <cellStyle name="Normal 14 3 3 2 2" xfId="15889" xr:uid="{00000000-0005-0000-0000-0000E9570000}"/>
    <cellStyle name="Normal 14 3 3 2 2 2" xfId="39731" xr:uid="{047D3AD6-7517-458A-AC2E-5EE068431D94}"/>
    <cellStyle name="Normal 14 3 3 2 3" xfId="23835" xr:uid="{00000000-0005-0000-0000-0000EA570000}"/>
    <cellStyle name="Normal 14 3 3 2 3 2" xfId="47667" xr:uid="{E1F77CA7-70D4-4D46-A1DD-17259ACD0114}"/>
    <cellStyle name="Normal 14 3 3 2 4" xfId="31790" xr:uid="{0F8B9B86-A4FB-4FB1-B176-13D99F113F29}"/>
    <cellStyle name="Normal 14 3 3 3" xfId="12351" xr:uid="{00000000-0005-0000-0000-0000EB570000}"/>
    <cellStyle name="Normal 14 3 3 3 2" xfId="36200" xr:uid="{A9F930FF-0527-45FF-B862-930AF9E7B65A}"/>
    <cellStyle name="Normal 14 3 3 4" xfId="20306" xr:uid="{00000000-0005-0000-0000-0000EC570000}"/>
    <cellStyle name="Normal 14 3 3 4 2" xfId="44138" xr:uid="{654A8DC6-6275-492C-BF11-2CDF9D80A94C}"/>
    <cellStyle name="Normal 14 3 3 5" xfId="28259" xr:uid="{395FB91A-39A6-4544-9AB7-CAB571AEBA25}"/>
    <cellStyle name="Normal 14 3 4" xfId="6147" xr:uid="{00000000-0005-0000-0000-0000ED570000}"/>
    <cellStyle name="Normal 14 3 4 2" xfId="14130" xr:uid="{00000000-0005-0000-0000-0000EE570000}"/>
    <cellStyle name="Normal 14 3 4 2 2" xfId="37973" xr:uid="{50156382-1EB4-4F36-980A-BF768C1527B0}"/>
    <cellStyle name="Normal 14 3 4 3" xfId="22078" xr:uid="{00000000-0005-0000-0000-0000EF570000}"/>
    <cellStyle name="Normal 14 3 4 3 2" xfId="45910" xr:uid="{70EEDB12-B290-4A1F-B2F7-864916299A2A}"/>
    <cellStyle name="Normal 14 3 4 4" xfId="30032" xr:uid="{DC8E03F2-D440-4190-9A7C-72BFAF820930}"/>
    <cellStyle name="Normal 14 3 5" xfId="9699" xr:uid="{00000000-0005-0000-0000-0000F0570000}"/>
    <cellStyle name="Normal 14 3 5 2" xfId="17657" xr:uid="{00000000-0005-0000-0000-0000F1570000}"/>
    <cellStyle name="Normal 14 3 5 2 2" xfId="41497" xr:uid="{272582AD-0E86-469F-BD5B-4C4A2F3B6ECD}"/>
    <cellStyle name="Normal 14 3 5 3" xfId="25601" xr:uid="{00000000-0005-0000-0000-0000F2570000}"/>
    <cellStyle name="Normal 14 3 5 3 2" xfId="49433" xr:uid="{996BEE28-559E-4551-8912-C13D22862A79}"/>
    <cellStyle name="Normal 14 3 5 4" xfId="33556" xr:uid="{7DACEA1E-6A56-45F6-B5AE-29F3BF9DE27C}"/>
    <cellStyle name="Normal 14 3 6" xfId="10595" xr:uid="{00000000-0005-0000-0000-0000F3570000}"/>
    <cellStyle name="Normal 14 3 6 2" xfId="34444" xr:uid="{A304E13E-9240-43BB-9B93-F6E1D4A419C7}"/>
    <cellStyle name="Normal 14 3 7" xfId="18550" xr:uid="{00000000-0005-0000-0000-0000F4570000}"/>
    <cellStyle name="Normal 14 3 7 2" xfId="42382" xr:uid="{DE406B8C-0856-49BA-B363-54D37D1DC596}"/>
    <cellStyle name="Normal 14 3 8" xfId="26502" xr:uid="{E22D8495-8382-491E-9BEE-88DDCE0E2FF2}"/>
    <cellStyle name="Normal 14 3_Exh G" xfId="3465" xr:uid="{00000000-0005-0000-0000-0000F5570000}"/>
    <cellStyle name="Normal 14 4" xfId="737" xr:uid="{00000000-0005-0000-0000-0000F6570000}"/>
    <cellStyle name="Normal 14 5" xfId="1013" xr:uid="{00000000-0005-0000-0000-0000F9570000}"/>
    <cellStyle name="Normal 14 6" xfId="1676" xr:uid="{00000000-0005-0000-0000-0000FA570000}"/>
    <cellStyle name="Normal 14 6 2" xfId="5203" xr:uid="{00000000-0005-0000-0000-0000FB570000}"/>
    <cellStyle name="Normal 14 6 2 2" xfId="8794" xr:uid="{00000000-0005-0000-0000-0000FC570000}"/>
    <cellStyle name="Normal 14 6 2 2 2" xfId="16764" xr:uid="{00000000-0005-0000-0000-0000FD570000}"/>
    <cellStyle name="Normal 14 6 2 2 2 2" xfId="40606" xr:uid="{C738BB45-A310-479C-BDDE-2B02DD7F71F0}"/>
    <cellStyle name="Normal 14 6 2 2 3" xfId="24710" xr:uid="{00000000-0005-0000-0000-0000FE570000}"/>
    <cellStyle name="Normal 14 6 2 2 3 2" xfId="48542" xr:uid="{773DDDF3-C0B4-4F49-9CE8-7A2C6E89A441}"/>
    <cellStyle name="Normal 14 6 2 2 4" xfId="32665" xr:uid="{95FEED62-7758-42D0-9000-57B7BA7A49BE}"/>
    <cellStyle name="Normal 14 6 2 3" xfId="13226" xr:uid="{00000000-0005-0000-0000-0000FF570000}"/>
    <cellStyle name="Normal 14 6 2 3 2" xfId="37075" xr:uid="{E8FA6053-62C9-4D75-9809-15D6C69815DC}"/>
    <cellStyle name="Normal 14 6 2 4" xfId="21181" xr:uid="{00000000-0005-0000-0000-000000580000}"/>
    <cellStyle name="Normal 14 6 2 4 2" xfId="45013" xr:uid="{6271A331-9EC0-45D9-AE70-14E8E8A1A4FD}"/>
    <cellStyle name="Normal 14 6 2 5" xfId="29134" xr:uid="{4F19D093-91BE-4158-9992-032CC1456293}"/>
    <cellStyle name="Normal 14 6 3" xfId="7035" xr:uid="{00000000-0005-0000-0000-000001580000}"/>
    <cellStyle name="Normal 14 6 3 2" xfId="15006" xr:uid="{00000000-0005-0000-0000-000002580000}"/>
    <cellStyle name="Normal 14 6 3 2 2" xfId="38848" xr:uid="{C67E8BE8-070F-4ECF-9969-2AF9ECDBDBEC}"/>
    <cellStyle name="Normal 14 6 3 3" xfId="22953" xr:uid="{00000000-0005-0000-0000-000003580000}"/>
    <cellStyle name="Normal 14 6 3 3 2" xfId="46785" xr:uid="{4D40B863-9DE9-4B27-BFE9-8C1E7896F842}"/>
    <cellStyle name="Normal 14 6 3 4" xfId="30907" xr:uid="{335F37DA-356B-4CA7-AB58-C80B5A51ADE1}"/>
    <cellStyle name="Normal 14 6 4" xfId="11470" xr:uid="{00000000-0005-0000-0000-000004580000}"/>
    <cellStyle name="Normal 14 6 4 2" xfId="35319" xr:uid="{98BAEB66-923F-4D9A-A230-26FD90008587}"/>
    <cellStyle name="Normal 14 6 5" xfId="19425" xr:uid="{00000000-0005-0000-0000-000005580000}"/>
    <cellStyle name="Normal 14 6 5 2" xfId="43257" xr:uid="{342000C5-A20F-49A5-AA10-968DB708F50C}"/>
    <cellStyle name="Normal 14 6 6" xfId="27377" xr:uid="{F494606D-57C6-410A-8D85-57287A64789B}"/>
    <cellStyle name="Normal 14 6_Exh G" xfId="3467" xr:uid="{00000000-0005-0000-0000-000006580000}"/>
    <cellStyle name="Normal 14 7" xfId="4324" xr:uid="{00000000-0005-0000-0000-000007580000}"/>
    <cellStyle name="Normal 14 7 2" xfId="7916" xr:uid="{00000000-0005-0000-0000-000008580000}"/>
    <cellStyle name="Normal 14 7 2 2" xfId="15886" xr:uid="{00000000-0005-0000-0000-000009580000}"/>
    <cellStyle name="Normal 14 7 2 2 2" xfId="39728" xr:uid="{75F76BDB-1D70-4E87-850A-C501AA70CDEF}"/>
    <cellStyle name="Normal 14 7 2 3" xfId="23832" xr:uid="{00000000-0005-0000-0000-00000A580000}"/>
    <cellStyle name="Normal 14 7 2 3 2" xfId="47664" xr:uid="{5FD5D76A-D143-4CC9-B239-DE4E1A8BF1CE}"/>
    <cellStyle name="Normal 14 7 2 4" xfId="31787" xr:uid="{140502A6-0ED6-4578-94B5-34B1AC94D559}"/>
    <cellStyle name="Normal 14 7 3" xfId="12348" xr:uid="{00000000-0005-0000-0000-00000B580000}"/>
    <cellStyle name="Normal 14 7 3 2" xfId="36197" xr:uid="{0DD8A3B8-4E57-4486-91AF-E19A5B083704}"/>
    <cellStyle name="Normal 14 7 4" xfId="20303" xr:uid="{00000000-0005-0000-0000-00000C580000}"/>
    <cellStyle name="Normal 14 7 4 2" xfId="44135" xr:uid="{55E376A8-7498-438A-9D60-B224A9A593B6}"/>
    <cellStyle name="Normal 14 7 5" xfId="28256" xr:uid="{87FAC7FB-2FBB-4E04-8CE5-E82138ED2D9C}"/>
    <cellStyle name="Normal 14 8" xfId="6144" xr:uid="{00000000-0005-0000-0000-00000D580000}"/>
    <cellStyle name="Normal 14 8 2" xfId="14127" xr:uid="{00000000-0005-0000-0000-00000E580000}"/>
    <cellStyle name="Normal 14 8 2 2" xfId="37970" xr:uid="{EDA8DD48-9D69-4F86-BE8C-080434C3220A}"/>
    <cellStyle name="Normal 14 8 3" xfId="22075" xr:uid="{00000000-0005-0000-0000-00000F580000}"/>
    <cellStyle name="Normal 14 8 3 2" xfId="45907" xr:uid="{B0631894-59C2-42EC-B4B1-0AC7EFBD655F}"/>
    <cellStyle name="Normal 14 8 4" xfId="30029" xr:uid="{21008920-6EC9-4C1B-A8A7-CD8424981C9D}"/>
    <cellStyle name="Normal 14 9" xfId="9696" xr:uid="{00000000-0005-0000-0000-000010580000}"/>
    <cellStyle name="Normal 14 9 2" xfId="17654" xr:uid="{00000000-0005-0000-0000-000011580000}"/>
    <cellStyle name="Normal 14 9 2 2" xfId="41494" xr:uid="{D1A79BAD-B26A-4706-BFF2-66B33CF4B757}"/>
    <cellStyle name="Normal 14 9 3" xfId="25598" xr:uid="{00000000-0005-0000-0000-000012580000}"/>
    <cellStyle name="Normal 14 9 3 2" xfId="49430" xr:uid="{AF39ABC4-A1CE-4A6C-B9C3-89CA504BA29A}"/>
    <cellStyle name="Normal 14 9 4" xfId="33553" xr:uid="{D968259D-D4D4-42E4-88D8-B8B3C0E30366}"/>
    <cellStyle name="Normal 14_Exh G" xfId="3460" xr:uid="{00000000-0005-0000-0000-000013580000}"/>
    <cellStyle name="Normal 15" xfId="654" xr:uid="{00000000-0005-0000-0000-000014580000}"/>
    <cellStyle name="Normal 15 10" xfId="26503" xr:uid="{21149C01-40AF-4E42-85D8-F42151A8434B}"/>
    <cellStyle name="Normal 15 2" xfId="655" xr:uid="{00000000-0005-0000-0000-000015580000}"/>
    <cellStyle name="Normal 15 2 2" xfId="656" xr:uid="{00000000-0005-0000-0000-000016580000}"/>
    <cellStyle name="Normal 15 2 2 2" xfId="1682" xr:uid="{00000000-0005-0000-0000-000017580000}"/>
    <cellStyle name="Normal 15 2 2 2 2" xfId="5209" xr:uid="{00000000-0005-0000-0000-000018580000}"/>
    <cellStyle name="Normal 15 2 2 2 2 2" xfId="8800" xr:uid="{00000000-0005-0000-0000-000019580000}"/>
    <cellStyle name="Normal 15 2 2 2 2 2 2" xfId="16770" xr:uid="{00000000-0005-0000-0000-00001A580000}"/>
    <cellStyle name="Normal 15 2 2 2 2 2 2 2" xfId="40612" xr:uid="{F379B9FA-4CB6-4189-9656-A52A4858B19C}"/>
    <cellStyle name="Normal 15 2 2 2 2 2 3" xfId="24716" xr:uid="{00000000-0005-0000-0000-00001B580000}"/>
    <cellStyle name="Normal 15 2 2 2 2 2 3 2" xfId="48548" xr:uid="{DB46EC3A-BE78-407E-8010-0EDBF0ACF9FC}"/>
    <cellStyle name="Normal 15 2 2 2 2 2 4" xfId="32671" xr:uid="{08731125-F961-4786-835C-B7A64EE77B7A}"/>
    <cellStyle name="Normal 15 2 2 2 2 3" xfId="13232" xr:uid="{00000000-0005-0000-0000-00001C580000}"/>
    <cellStyle name="Normal 15 2 2 2 2 3 2" xfId="37081" xr:uid="{36459197-8B95-4F15-AD41-20113A26AFE3}"/>
    <cellStyle name="Normal 15 2 2 2 2 4" xfId="21187" xr:uid="{00000000-0005-0000-0000-00001D580000}"/>
    <cellStyle name="Normal 15 2 2 2 2 4 2" xfId="45019" xr:uid="{A2B4E5BA-ADC4-49F0-8FFD-77F3E4784A7C}"/>
    <cellStyle name="Normal 15 2 2 2 2 5" xfId="29140" xr:uid="{E77B6579-F7DE-497E-9631-2EEFC09B1CE1}"/>
    <cellStyle name="Normal 15 2 2 2 3" xfId="7041" xr:uid="{00000000-0005-0000-0000-00001E580000}"/>
    <cellStyle name="Normal 15 2 2 2 3 2" xfId="15012" xr:uid="{00000000-0005-0000-0000-00001F580000}"/>
    <cellStyle name="Normal 15 2 2 2 3 2 2" xfId="38854" xr:uid="{44EF4786-44EB-4D1B-954E-DAC150B207DB}"/>
    <cellStyle name="Normal 15 2 2 2 3 3" xfId="22959" xr:uid="{00000000-0005-0000-0000-000020580000}"/>
    <cellStyle name="Normal 15 2 2 2 3 3 2" xfId="46791" xr:uid="{9E5B2B1C-0D7C-4DC0-A5FE-86A5BA08A9D2}"/>
    <cellStyle name="Normal 15 2 2 2 3 4" xfId="30913" xr:uid="{05124D1A-5C7D-4A7C-800E-E93D419DA796}"/>
    <cellStyle name="Normal 15 2 2 2 4" xfId="11476" xr:uid="{00000000-0005-0000-0000-000021580000}"/>
    <cellStyle name="Normal 15 2 2 2 4 2" xfId="35325" xr:uid="{936FC353-748F-4DE9-932D-B0740E5D5017}"/>
    <cellStyle name="Normal 15 2 2 2 5" xfId="19431" xr:uid="{00000000-0005-0000-0000-000022580000}"/>
    <cellStyle name="Normal 15 2 2 2 5 2" xfId="43263" xr:uid="{5F982E12-DEE7-40C0-95DA-E1781D66BB56}"/>
    <cellStyle name="Normal 15 2 2 2 6" xfId="27383" xr:uid="{DEBF0FF2-865E-4F4E-9DEE-9738071BC969}"/>
    <cellStyle name="Normal 15 2 2 2_Exh G" xfId="3471" xr:uid="{00000000-0005-0000-0000-000023580000}"/>
    <cellStyle name="Normal 15 2 2 3" xfId="4330" xr:uid="{00000000-0005-0000-0000-000024580000}"/>
    <cellStyle name="Normal 15 2 2 3 2" xfId="7922" xr:uid="{00000000-0005-0000-0000-000025580000}"/>
    <cellStyle name="Normal 15 2 2 3 2 2" xfId="15892" xr:uid="{00000000-0005-0000-0000-000026580000}"/>
    <cellStyle name="Normal 15 2 2 3 2 2 2" xfId="39734" xr:uid="{E3E7F5BC-D198-4CE6-ABBF-18DE1607EDF3}"/>
    <cellStyle name="Normal 15 2 2 3 2 3" xfId="23838" xr:uid="{00000000-0005-0000-0000-000027580000}"/>
    <cellStyle name="Normal 15 2 2 3 2 3 2" xfId="47670" xr:uid="{4570C0A4-54DD-4BCA-BDBB-371364BA7C6A}"/>
    <cellStyle name="Normal 15 2 2 3 2 4" xfId="31793" xr:uid="{3BCA10F5-A23B-43EC-AECC-E6C7DA3DBAF8}"/>
    <cellStyle name="Normal 15 2 2 3 3" xfId="12354" xr:uid="{00000000-0005-0000-0000-000028580000}"/>
    <cellStyle name="Normal 15 2 2 3 3 2" xfId="36203" xr:uid="{B7B89EF9-55DF-47DF-9AF4-E71F9F667131}"/>
    <cellStyle name="Normal 15 2 2 3 4" xfId="20309" xr:uid="{00000000-0005-0000-0000-000029580000}"/>
    <cellStyle name="Normal 15 2 2 3 4 2" xfId="44141" xr:uid="{805855F9-7E5E-45FC-8926-A18FB2BDB891}"/>
    <cellStyle name="Normal 15 2 2 3 5" xfId="28262" xr:uid="{1221500B-2DBE-427A-9EC3-E282D97169AA}"/>
    <cellStyle name="Normal 15 2 2 4" xfId="6150" xr:uid="{00000000-0005-0000-0000-00002A580000}"/>
    <cellStyle name="Normal 15 2 2 4 2" xfId="14133" xr:uid="{00000000-0005-0000-0000-00002B580000}"/>
    <cellStyle name="Normal 15 2 2 4 2 2" xfId="37976" xr:uid="{0E100CA0-7F7A-4EE6-9AE9-EAFAD400C9F5}"/>
    <cellStyle name="Normal 15 2 2 4 3" xfId="22081" xr:uid="{00000000-0005-0000-0000-00002C580000}"/>
    <cellStyle name="Normal 15 2 2 4 3 2" xfId="45913" xr:uid="{47C1AA8D-E6A7-459F-8D14-4BD14A42DB8F}"/>
    <cellStyle name="Normal 15 2 2 4 4" xfId="30035" xr:uid="{FB4C63A3-96E2-4DBF-BCAB-B9E64EEDDB33}"/>
    <cellStyle name="Normal 15 2 2 5" xfId="9702" xr:uid="{00000000-0005-0000-0000-00002D580000}"/>
    <cellStyle name="Normal 15 2 2 5 2" xfId="17660" xr:uid="{00000000-0005-0000-0000-00002E580000}"/>
    <cellStyle name="Normal 15 2 2 5 2 2" xfId="41500" xr:uid="{2B6D45FE-DD68-49A7-814E-048CBE1C05B4}"/>
    <cellStyle name="Normal 15 2 2 5 3" xfId="25604" xr:uid="{00000000-0005-0000-0000-00002F580000}"/>
    <cellStyle name="Normal 15 2 2 5 3 2" xfId="49436" xr:uid="{9B3E7ACD-BE50-420D-9F5C-D4247EFED8E3}"/>
    <cellStyle name="Normal 15 2 2 5 4" xfId="33559" xr:uid="{1FB5C8EB-B42C-45BF-8599-87420319707E}"/>
    <cellStyle name="Normal 15 2 2 6" xfId="10598" xr:uid="{00000000-0005-0000-0000-000030580000}"/>
    <cellStyle name="Normal 15 2 2 6 2" xfId="34447" xr:uid="{CD68F73C-1153-48E1-91A5-4B214DDA0450}"/>
    <cellStyle name="Normal 15 2 2 7" xfId="18553" xr:uid="{00000000-0005-0000-0000-000031580000}"/>
    <cellStyle name="Normal 15 2 2 7 2" xfId="42385" xr:uid="{8F63A110-38D6-41BE-997C-34FCBE75162B}"/>
    <cellStyle name="Normal 15 2 2 8" xfId="26505" xr:uid="{77664BDC-0E2C-4AB8-95C0-E07507A28F84}"/>
    <cellStyle name="Normal 15 2 2_Exh G" xfId="3470" xr:uid="{00000000-0005-0000-0000-000032580000}"/>
    <cellStyle name="Normal 15 2 3" xfId="1681" xr:uid="{00000000-0005-0000-0000-000033580000}"/>
    <cellStyle name="Normal 15 2 3 2" xfId="5208" xr:uid="{00000000-0005-0000-0000-000034580000}"/>
    <cellStyle name="Normal 15 2 3 2 2" xfId="8799" xr:uid="{00000000-0005-0000-0000-000035580000}"/>
    <cellStyle name="Normal 15 2 3 2 2 2" xfId="16769" xr:uid="{00000000-0005-0000-0000-000036580000}"/>
    <cellStyle name="Normal 15 2 3 2 2 2 2" xfId="40611" xr:uid="{F351FB24-E090-49C6-B205-C470908AFA8E}"/>
    <cellStyle name="Normal 15 2 3 2 2 3" xfId="24715" xr:uid="{00000000-0005-0000-0000-000037580000}"/>
    <cellStyle name="Normal 15 2 3 2 2 3 2" xfId="48547" xr:uid="{A16C00D2-2B97-4859-BC3D-DB840951FF33}"/>
    <cellStyle name="Normal 15 2 3 2 2 4" xfId="32670" xr:uid="{5D90C92E-9CEA-4FAE-BB89-06821C80F70C}"/>
    <cellStyle name="Normal 15 2 3 2 3" xfId="13231" xr:uid="{00000000-0005-0000-0000-000038580000}"/>
    <cellStyle name="Normal 15 2 3 2 3 2" xfId="37080" xr:uid="{3A5055CA-5075-4A60-AD7C-D633544CE1C3}"/>
    <cellStyle name="Normal 15 2 3 2 4" xfId="21186" xr:uid="{00000000-0005-0000-0000-000039580000}"/>
    <cellStyle name="Normal 15 2 3 2 4 2" xfId="45018" xr:uid="{51E2249D-BD6B-44DC-865E-7BF2226ADF8C}"/>
    <cellStyle name="Normal 15 2 3 2 5" xfId="29139" xr:uid="{54EC0020-4EBD-4E82-9B1A-8DF5A8D767D3}"/>
    <cellStyle name="Normal 15 2 3 3" xfId="7040" xr:uid="{00000000-0005-0000-0000-00003A580000}"/>
    <cellStyle name="Normal 15 2 3 3 2" xfId="15011" xr:uid="{00000000-0005-0000-0000-00003B580000}"/>
    <cellStyle name="Normal 15 2 3 3 2 2" xfId="38853" xr:uid="{5420EB80-4530-4AF7-8E98-B773B2B7BFE8}"/>
    <cellStyle name="Normal 15 2 3 3 3" xfId="22958" xr:uid="{00000000-0005-0000-0000-00003C580000}"/>
    <cellStyle name="Normal 15 2 3 3 3 2" xfId="46790" xr:uid="{269CABE6-1F27-4DD5-9080-CF30D415CD52}"/>
    <cellStyle name="Normal 15 2 3 3 4" xfId="30912" xr:uid="{E5BA7FD4-B4A1-48DE-9800-6E5226ED6A4E}"/>
    <cellStyle name="Normal 15 2 3 4" xfId="11475" xr:uid="{00000000-0005-0000-0000-00003D580000}"/>
    <cellStyle name="Normal 15 2 3 4 2" xfId="35324" xr:uid="{2BA27475-6DC7-4EAA-9BD3-2D7BEB893C7A}"/>
    <cellStyle name="Normal 15 2 3 5" xfId="19430" xr:uid="{00000000-0005-0000-0000-00003E580000}"/>
    <cellStyle name="Normal 15 2 3 5 2" xfId="43262" xr:uid="{B82C79FF-4E0B-40BC-86B3-F1CC92A6DF81}"/>
    <cellStyle name="Normal 15 2 3 6" xfId="27382" xr:uid="{4B388B91-8A4C-4753-AEF6-EC61C422CD0E}"/>
    <cellStyle name="Normal 15 2 3_Exh G" xfId="3472" xr:uid="{00000000-0005-0000-0000-00003F580000}"/>
    <cellStyle name="Normal 15 2 4" xfId="4329" xr:uid="{00000000-0005-0000-0000-000040580000}"/>
    <cellStyle name="Normal 15 2 4 2" xfId="7921" xr:uid="{00000000-0005-0000-0000-000041580000}"/>
    <cellStyle name="Normal 15 2 4 2 2" xfId="15891" xr:uid="{00000000-0005-0000-0000-000042580000}"/>
    <cellStyle name="Normal 15 2 4 2 2 2" xfId="39733" xr:uid="{B3922477-4205-451D-951B-198CBE094193}"/>
    <cellStyle name="Normal 15 2 4 2 3" xfId="23837" xr:uid="{00000000-0005-0000-0000-000043580000}"/>
    <cellStyle name="Normal 15 2 4 2 3 2" xfId="47669" xr:uid="{E7093FB3-21CE-4062-8FE0-B3E82B5516CA}"/>
    <cellStyle name="Normal 15 2 4 2 4" xfId="31792" xr:uid="{23C24D53-2E44-4AEB-8143-A89EF3953EB7}"/>
    <cellStyle name="Normal 15 2 4 3" xfId="12353" xr:uid="{00000000-0005-0000-0000-000044580000}"/>
    <cellStyle name="Normal 15 2 4 3 2" xfId="36202" xr:uid="{18D47DE4-655C-4B74-9181-107BAF965BBB}"/>
    <cellStyle name="Normal 15 2 4 4" xfId="20308" xr:uid="{00000000-0005-0000-0000-000045580000}"/>
    <cellStyle name="Normal 15 2 4 4 2" xfId="44140" xr:uid="{64A6096B-A5B8-419E-A4CC-04B03F39EED9}"/>
    <cellStyle name="Normal 15 2 4 5" xfId="28261" xr:uid="{CBF47298-ABF9-49CC-A097-8AE1898A91EF}"/>
    <cellStyle name="Normal 15 2 5" xfId="6149" xr:uid="{00000000-0005-0000-0000-000046580000}"/>
    <cellStyle name="Normal 15 2 5 2" xfId="14132" xr:uid="{00000000-0005-0000-0000-000047580000}"/>
    <cellStyle name="Normal 15 2 5 2 2" xfId="37975" xr:uid="{0E4B26DF-1A8A-48D4-832C-CB95D4D39D85}"/>
    <cellStyle name="Normal 15 2 5 3" xfId="22080" xr:uid="{00000000-0005-0000-0000-000048580000}"/>
    <cellStyle name="Normal 15 2 5 3 2" xfId="45912" xr:uid="{E266AF53-1BF6-43BC-AFE5-8B4538B0E167}"/>
    <cellStyle name="Normal 15 2 5 4" xfId="30034" xr:uid="{6395E7AA-3F0F-48F4-BB9F-99B37FA84B13}"/>
    <cellStyle name="Normal 15 2 6" xfId="9701" xr:uid="{00000000-0005-0000-0000-000049580000}"/>
    <cellStyle name="Normal 15 2 6 2" xfId="17659" xr:uid="{00000000-0005-0000-0000-00004A580000}"/>
    <cellStyle name="Normal 15 2 6 2 2" xfId="41499" xr:uid="{92ABFA9B-CB30-4BF9-951A-ACE75515D5AC}"/>
    <cellStyle name="Normal 15 2 6 3" xfId="25603" xr:uid="{00000000-0005-0000-0000-00004B580000}"/>
    <cellStyle name="Normal 15 2 6 3 2" xfId="49435" xr:uid="{1EF7EF3F-9AF9-45C2-828D-EBD1BFADB9AC}"/>
    <cellStyle name="Normal 15 2 6 4" xfId="33558" xr:uid="{4B0162DB-4924-4120-867C-39B2A0196435}"/>
    <cellStyle name="Normal 15 2 7" xfId="10597" xr:uid="{00000000-0005-0000-0000-00004C580000}"/>
    <cellStyle name="Normal 15 2 7 2" xfId="34446" xr:uid="{31F00016-77A6-4B4C-A27F-DBEDAF9F9D4D}"/>
    <cellStyle name="Normal 15 2 8" xfId="18552" xr:uid="{00000000-0005-0000-0000-00004D580000}"/>
    <cellStyle name="Normal 15 2 8 2" xfId="42384" xr:uid="{8EF9B64B-7FA7-4A6F-9455-8A8AB9D5EE98}"/>
    <cellStyle name="Normal 15 2 9" xfId="26504" xr:uid="{5EA0CF09-8FDC-4E45-AADB-0B5E3FBAB0F9}"/>
    <cellStyle name="Normal 15 2_Exh G" xfId="3469" xr:uid="{00000000-0005-0000-0000-00004E580000}"/>
    <cellStyle name="Normal 15 3" xfId="657" xr:uid="{00000000-0005-0000-0000-00004F580000}"/>
    <cellStyle name="Normal 15 3 2" xfId="1683" xr:uid="{00000000-0005-0000-0000-000050580000}"/>
    <cellStyle name="Normal 15 3 2 2" xfId="5210" xr:uid="{00000000-0005-0000-0000-000051580000}"/>
    <cellStyle name="Normal 15 3 2 2 2" xfId="8801" xr:uid="{00000000-0005-0000-0000-000052580000}"/>
    <cellStyle name="Normal 15 3 2 2 2 2" xfId="16771" xr:uid="{00000000-0005-0000-0000-000053580000}"/>
    <cellStyle name="Normal 15 3 2 2 2 2 2" xfId="40613" xr:uid="{13BB9C5A-F7B4-4584-9191-31D989D2E9FF}"/>
    <cellStyle name="Normal 15 3 2 2 2 3" xfId="24717" xr:uid="{00000000-0005-0000-0000-000054580000}"/>
    <cellStyle name="Normal 15 3 2 2 2 3 2" xfId="48549" xr:uid="{0F0E8950-3D31-41AB-91E4-2E89F5545997}"/>
    <cellStyle name="Normal 15 3 2 2 2 4" xfId="32672" xr:uid="{5AA48AF4-3197-469B-9CB3-27CCA7154019}"/>
    <cellStyle name="Normal 15 3 2 2 3" xfId="13233" xr:uid="{00000000-0005-0000-0000-000055580000}"/>
    <cellStyle name="Normal 15 3 2 2 3 2" xfId="37082" xr:uid="{C5D40E28-108D-4E53-A591-F6008AC0D7AE}"/>
    <cellStyle name="Normal 15 3 2 2 4" xfId="21188" xr:uid="{00000000-0005-0000-0000-000056580000}"/>
    <cellStyle name="Normal 15 3 2 2 4 2" xfId="45020" xr:uid="{6C7F0EE9-BC6A-4114-9ECB-A125FD1200F8}"/>
    <cellStyle name="Normal 15 3 2 2 5" xfId="29141" xr:uid="{AEA94A2D-3E8D-444D-B62A-95A3C8815083}"/>
    <cellStyle name="Normal 15 3 2 3" xfId="7042" xr:uid="{00000000-0005-0000-0000-000057580000}"/>
    <cellStyle name="Normal 15 3 2 3 2" xfId="15013" xr:uid="{00000000-0005-0000-0000-000058580000}"/>
    <cellStyle name="Normal 15 3 2 3 2 2" xfId="38855" xr:uid="{E49C3531-0BB1-4161-8BB8-9DCBE468334F}"/>
    <cellStyle name="Normal 15 3 2 3 3" xfId="22960" xr:uid="{00000000-0005-0000-0000-000059580000}"/>
    <cellStyle name="Normal 15 3 2 3 3 2" xfId="46792" xr:uid="{C6F4FBA8-96E7-4D4B-8BE1-2AFF16A2CD64}"/>
    <cellStyle name="Normal 15 3 2 3 4" xfId="30914" xr:uid="{4E162BCC-2FFB-4FA6-9319-853759D94DB2}"/>
    <cellStyle name="Normal 15 3 2 4" xfId="11477" xr:uid="{00000000-0005-0000-0000-00005A580000}"/>
    <cellStyle name="Normal 15 3 2 4 2" xfId="35326" xr:uid="{5C16DC8A-530A-4DD4-9546-B24ED6F19ED3}"/>
    <cellStyle name="Normal 15 3 2 5" xfId="19432" xr:uid="{00000000-0005-0000-0000-00005B580000}"/>
    <cellStyle name="Normal 15 3 2 5 2" xfId="43264" xr:uid="{70BADCE5-B231-4AC5-80ED-634A519206BC}"/>
    <cellStyle name="Normal 15 3 2 6" xfId="27384" xr:uid="{8172C6DB-5AA9-4B68-9D72-45066FCE6BAC}"/>
    <cellStyle name="Normal 15 3 2_Exh G" xfId="3474" xr:uid="{00000000-0005-0000-0000-00005C580000}"/>
    <cellStyle name="Normal 15 3 3" xfId="4331" xr:uid="{00000000-0005-0000-0000-00005D580000}"/>
    <cellStyle name="Normal 15 3 3 2" xfId="7923" xr:uid="{00000000-0005-0000-0000-00005E580000}"/>
    <cellStyle name="Normal 15 3 3 2 2" xfId="15893" xr:uid="{00000000-0005-0000-0000-00005F580000}"/>
    <cellStyle name="Normal 15 3 3 2 2 2" xfId="39735" xr:uid="{B5D900F6-546E-4045-B344-977148C914EC}"/>
    <cellStyle name="Normal 15 3 3 2 3" xfId="23839" xr:uid="{00000000-0005-0000-0000-000060580000}"/>
    <cellStyle name="Normal 15 3 3 2 3 2" xfId="47671" xr:uid="{92C4A51A-F8BB-452E-A73F-8AFA8758A2AC}"/>
    <cellStyle name="Normal 15 3 3 2 4" xfId="31794" xr:uid="{856E4DFE-FE6F-4605-9C2E-D8B7626FC56A}"/>
    <cellStyle name="Normal 15 3 3 3" xfId="12355" xr:uid="{00000000-0005-0000-0000-000061580000}"/>
    <cellStyle name="Normal 15 3 3 3 2" xfId="36204" xr:uid="{C5A6A696-6349-467F-8F5F-34BD90966AB3}"/>
    <cellStyle name="Normal 15 3 3 4" xfId="20310" xr:uid="{00000000-0005-0000-0000-000062580000}"/>
    <cellStyle name="Normal 15 3 3 4 2" xfId="44142" xr:uid="{4FD3CBAA-5875-45AF-8DC4-933615FC7C1A}"/>
    <cellStyle name="Normal 15 3 3 5" xfId="28263" xr:uid="{4E2EF0FE-E636-4F54-9A1C-A60E3F95CB5C}"/>
    <cellStyle name="Normal 15 3 4" xfId="6151" xr:uid="{00000000-0005-0000-0000-000063580000}"/>
    <cellStyle name="Normal 15 3 4 2" xfId="14134" xr:uid="{00000000-0005-0000-0000-000064580000}"/>
    <cellStyle name="Normal 15 3 4 2 2" xfId="37977" xr:uid="{7385FD31-3AA5-41D0-9CC5-C0764B65A0B7}"/>
    <cellStyle name="Normal 15 3 4 3" xfId="22082" xr:uid="{00000000-0005-0000-0000-000065580000}"/>
    <cellStyle name="Normal 15 3 4 3 2" xfId="45914" xr:uid="{9A8E275D-C5F6-48BC-BCE2-30D745347323}"/>
    <cellStyle name="Normal 15 3 4 4" xfId="30036" xr:uid="{3EEAA209-5E18-4FE9-81A8-53A4C0CD82E1}"/>
    <cellStyle name="Normal 15 3 5" xfId="9703" xr:uid="{00000000-0005-0000-0000-000066580000}"/>
    <cellStyle name="Normal 15 3 5 2" xfId="17661" xr:uid="{00000000-0005-0000-0000-000067580000}"/>
    <cellStyle name="Normal 15 3 5 2 2" xfId="41501" xr:uid="{826184BA-1554-44C0-921A-3DDA83DEA746}"/>
    <cellStyle name="Normal 15 3 5 3" xfId="25605" xr:uid="{00000000-0005-0000-0000-000068580000}"/>
    <cellStyle name="Normal 15 3 5 3 2" xfId="49437" xr:uid="{88396C2C-8BA8-425A-BB45-993DDF538C59}"/>
    <cellStyle name="Normal 15 3 5 4" xfId="33560" xr:uid="{513752ED-BA10-420A-BDF1-774F7A0E6F54}"/>
    <cellStyle name="Normal 15 3 6" xfId="10599" xr:uid="{00000000-0005-0000-0000-000069580000}"/>
    <cellStyle name="Normal 15 3 6 2" xfId="34448" xr:uid="{6EF2F8FC-50BA-4B96-86CE-81DF0E4D00DE}"/>
    <cellStyle name="Normal 15 3 7" xfId="18554" xr:uid="{00000000-0005-0000-0000-00006A580000}"/>
    <cellStyle name="Normal 15 3 7 2" xfId="42386" xr:uid="{DF701F60-DC3E-41DD-9E8C-CDD964C0633E}"/>
    <cellStyle name="Normal 15 3 8" xfId="26506" xr:uid="{E296EAEA-A535-41EB-8A53-B831A866E639}"/>
    <cellStyle name="Normal 15 3_Exh G" xfId="3473" xr:uid="{00000000-0005-0000-0000-00006B580000}"/>
    <cellStyle name="Normal 15 4" xfId="1680" xr:uid="{00000000-0005-0000-0000-00006C580000}"/>
    <cellStyle name="Normal 15 4 2" xfId="5207" xr:uid="{00000000-0005-0000-0000-00006D580000}"/>
    <cellStyle name="Normal 15 4 2 2" xfId="8798" xr:uid="{00000000-0005-0000-0000-00006E580000}"/>
    <cellStyle name="Normal 15 4 2 2 2" xfId="16768" xr:uid="{00000000-0005-0000-0000-00006F580000}"/>
    <cellStyle name="Normal 15 4 2 2 2 2" xfId="40610" xr:uid="{1C150356-AE1F-4D62-A256-4145DB59CC2D}"/>
    <cellStyle name="Normal 15 4 2 2 3" xfId="24714" xr:uid="{00000000-0005-0000-0000-000070580000}"/>
    <cellStyle name="Normal 15 4 2 2 3 2" xfId="48546" xr:uid="{B0500DE4-3452-4DD7-BE28-7A65C9129F15}"/>
    <cellStyle name="Normal 15 4 2 2 4" xfId="32669" xr:uid="{7CE1111C-73B4-4B74-8388-237ECBB55D00}"/>
    <cellStyle name="Normal 15 4 2 3" xfId="13230" xr:uid="{00000000-0005-0000-0000-000071580000}"/>
    <cellStyle name="Normal 15 4 2 3 2" xfId="37079" xr:uid="{81DC7667-03D5-4F2E-9569-307324848F45}"/>
    <cellStyle name="Normal 15 4 2 4" xfId="21185" xr:uid="{00000000-0005-0000-0000-000072580000}"/>
    <cellStyle name="Normal 15 4 2 4 2" xfId="45017" xr:uid="{5563164D-9AF7-4E25-B0A4-5CEB3B5AC696}"/>
    <cellStyle name="Normal 15 4 2 5" xfId="29138" xr:uid="{858AAF8B-7FA1-4E55-8DD2-79E0EE7CE1BD}"/>
    <cellStyle name="Normal 15 4 3" xfId="7039" xr:uid="{00000000-0005-0000-0000-000073580000}"/>
    <cellStyle name="Normal 15 4 3 2" xfId="15010" xr:uid="{00000000-0005-0000-0000-000074580000}"/>
    <cellStyle name="Normal 15 4 3 2 2" xfId="38852" xr:uid="{4EC088FF-D501-471B-A671-EA0E94498F13}"/>
    <cellStyle name="Normal 15 4 3 3" xfId="22957" xr:uid="{00000000-0005-0000-0000-000075580000}"/>
    <cellStyle name="Normal 15 4 3 3 2" xfId="46789" xr:uid="{456DFDBB-B00B-493B-BD88-6CBB8402127B}"/>
    <cellStyle name="Normal 15 4 3 4" xfId="30911" xr:uid="{B123A98A-9D15-427B-9D7D-ED0BFA007647}"/>
    <cellStyle name="Normal 15 4 4" xfId="11474" xr:uid="{00000000-0005-0000-0000-000076580000}"/>
    <cellStyle name="Normal 15 4 4 2" xfId="35323" xr:uid="{BFE7B5A1-E5DA-41E5-97F4-795B382E6419}"/>
    <cellStyle name="Normal 15 4 5" xfId="19429" xr:uid="{00000000-0005-0000-0000-000077580000}"/>
    <cellStyle name="Normal 15 4 5 2" xfId="43261" xr:uid="{17017260-4293-492F-AB6D-DBFBD9DA1640}"/>
    <cellStyle name="Normal 15 4 6" xfId="27381" xr:uid="{8C181BB1-B884-4413-89A5-D9356AAB7E8A}"/>
    <cellStyle name="Normal 15 4_Exh G" xfId="3475" xr:uid="{00000000-0005-0000-0000-000078580000}"/>
    <cellStyle name="Normal 15 5" xfId="4328" xr:uid="{00000000-0005-0000-0000-000079580000}"/>
    <cellStyle name="Normal 15 5 2" xfId="7920" xr:uid="{00000000-0005-0000-0000-00007A580000}"/>
    <cellStyle name="Normal 15 5 2 2" xfId="15890" xr:uid="{00000000-0005-0000-0000-00007B580000}"/>
    <cellStyle name="Normal 15 5 2 2 2" xfId="39732" xr:uid="{76C9E5BB-1C1F-4455-AE21-55613E081209}"/>
    <cellStyle name="Normal 15 5 2 3" xfId="23836" xr:uid="{00000000-0005-0000-0000-00007C580000}"/>
    <cellStyle name="Normal 15 5 2 3 2" xfId="47668" xr:uid="{3255D300-895A-45B4-8FDA-6EE620DC2DDF}"/>
    <cellStyle name="Normal 15 5 2 4" xfId="31791" xr:uid="{F0290ABE-2198-4229-AF54-41ACE489C609}"/>
    <cellStyle name="Normal 15 5 3" xfId="12352" xr:uid="{00000000-0005-0000-0000-00007D580000}"/>
    <cellStyle name="Normal 15 5 3 2" xfId="36201" xr:uid="{DA8716A3-6DED-4F91-89EC-6EF09B80207C}"/>
    <cellStyle name="Normal 15 5 4" xfId="20307" xr:uid="{00000000-0005-0000-0000-00007E580000}"/>
    <cellStyle name="Normal 15 5 4 2" xfId="44139" xr:uid="{9ED2E680-4B39-4FE1-B13B-C76CD160FF7A}"/>
    <cellStyle name="Normal 15 5 5" xfId="28260" xr:uid="{C40B6ACA-1DE1-4E7C-B4E6-2FAE40D6F913}"/>
    <cellStyle name="Normal 15 6" xfId="6148" xr:uid="{00000000-0005-0000-0000-00007F580000}"/>
    <cellStyle name="Normal 15 6 2" xfId="14131" xr:uid="{00000000-0005-0000-0000-000080580000}"/>
    <cellStyle name="Normal 15 6 2 2" xfId="37974" xr:uid="{A0480116-0B83-4B88-BC3F-61315A021569}"/>
    <cellStyle name="Normal 15 6 3" xfId="22079" xr:uid="{00000000-0005-0000-0000-000081580000}"/>
    <cellStyle name="Normal 15 6 3 2" xfId="45911" xr:uid="{D54F3212-39AF-4F7F-B26B-AF93E4E25645}"/>
    <cellStyle name="Normal 15 6 4" xfId="30033" xr:uid="{6FB4FAA1-FB14-4319-8D7A-9CD10701C794}"/>
    <cellStyle name="Normal 15 7" xfId="9700" xr:uid="{00000000-0005-0000-0000-000082580000}"/>
    <cellStyle name="Normal 15 7 2" xfId="17658" xr:uid="{00000000-0005-0000-0000-000083580000}"/>
    <cellStyle name="Normal 15 7 2 2" xfId="41498" xr:uid="{74CA552D-1435-47BA-BD6B-C389F9FAD077}"/>
    <cellStyle name="Normal 15 7 3" xfId="25602" xr:uid="{00000000-0005-0000-0000-000084580000}"/>
    <cellStyle name="Normal 15 7 3 2" xfId="49434" xr:uid="{DB7D0178-62CA-434A-8345-4E91522E8247}"/>
    <cellStyle name="Normal 15 7 4" xfId="33557" xr:uid="{538EDC4B-E40E-4BDA-A758-F0B2FCD67E7F}"/>
    <cellStyle name="Normal 15 8" xfId="10596" xr:uid="{00000000-0005-0000-0000-000085580000}"/>
    <cellStyle name="Normal 15 8 2" xfId="34445" xr:uid="{87103FE6-2A73-42E2-A100-E7CF37885DEC}"/>
    <cellStyle name="Normal 15 9" xfId="18551" xr:uid="{00000000-0005-0000-0000-000086580000}"/>
    <cellStyle name="Normal 15 9 2" xfId="42383" xr:uid="{4675C1AB-2879-4A6C-B645-15648637B6F6}"/>
    <cellStyle name="Normal 15_Exh G" xfId="3468" xr:uid="{00000000-0005-0000-0000-000087580000}"/>
    <cellStyle name="Normal 16" xfId="658" xr:uid="{00000000-0005-0000-0000-000088580000}"/>
    <cellStyle name="Normal 16 10" xfId="26507" xr:uid="{A6FD268E-EB29-4F63-AFA7-67184380192C}"/>
    <cellStyle name="Normal 16 2" xfId="659" xr:uid="{00000000-0005-0000-0000-000089580000}"/>
    <cellStyle name="Normal 16 2 2" xfId="660" xr:uid="{00000000-0005-0000-0000-00008A580000}"/>
    <cellStyle name="Normal 16 2 2 2" xfId="1686" xr:uid="{00000000-0005-0000-0000-00008B580000}"/>
    <cellStyle name="Normal 16 2 2 2 2" xfId="5213" xr:uid="{00000000-0005-0000-0000-00008C580000}"/>
    <cellStyle name="Normal 16 2 2 2 2 2" xfId="8804" xr:uid="{00000000-0005-0000-0000-00008D580000}"/>
    <cellStyle name="Normal 16 2 2 2 2 2 2" xfId="16774" xr:uid="{00000000-0005-0000-0000-00008E580000}"/>
    <cellStyle name="Normal 16 2 2 2 2 2 2 2" xfId="40616" xr:uid="{BE4B00CD-C715-43CA-AAAA-A926DB1D7079}"/>
    <cellStyle name="Normal 16 2 2 2 2 2 3" xfId="24720" xr:uid="{00000000-0005-0000-0000-00008F580000}"/>
    <cellStyle name="Normal 16 2 2 2 2 2 3 2" xfId="48552" xr:uid="{39BF429B-FD16-42E7-9AFA-2D5F33DB74C5}"/>
    <cellStyle name="Normal 16 2 2 2 2 2 4" xfId="32675" xr:uid="{6709CFB2-CF3C-4FCB-B09F-5ED9F3661E4D}"/>
    <cellStyle name="Normal 16 2 2 2 2 3" xfId="13236" xr:uid="{00000000-0005-0000-0000-000090580000}"/>
    <cellStyle name="Normal 16 2 2 2 2 3 2" xfId="37085" xr:uid="{604206FC-63EB-4A38-9A01-A5EFA09EACAB}"/>
    <cellStyle name="Normal 16 2 2 2 2 4" xfId="21191" xr:uid="{00000000-0005-0000-0000-000091580000}"/>
    <cellStyle name="Normal 16 2 2 2 2 4 2" xfId="45023" xr:uid="{C5E42267-7F63-4196-84CC-BC1D8AE65F0A}"/>
    <cellStyle name="Normal 16 2 2 2 2 5" xfId="29144" xr:uid="{FCF15D18-6ACC-4A99-9783-BC7341C4B9E5}"/>
    <cellStyle name="Normal 16 2 2 2 3" xfId="7045" xr:uid="{00000000-0005-0000-0000-000092580000}"/>
    <cellStyle name="Normal 16 2 2 2 3 2" xfId="15016" xr:uid="{00000000-0005-0000-0000-000093580000}"/>
    <cellStyle name="Normal 16 2 2 2 3 2 2" xfId="38858" xr:uid="{FFDF7BDF-EF3B-4C20-AE3E-37E2B36F00C9}"/>
    <cellStyle name="Normal 16 2 2 2 3 3" xfId="22963" xr:uid="{00000000-0005-0000-0000-000094580000}"/>
    <cellStyle name="Normal 16 2 2 2 3 3 2" xfId="46795" xr:uid="{441F46C2-FB8B-4B4D-AABB-9A94E78B35D4}"/>
    <cellStyle name="Normal 16 2 2 2 3 4" xfId="30917" xr:uid="{8E7C605C-184C-47F2-9BD3-CFC39EEE5016}"/>
    <cellStyle name="Normal 16 2 2 2 4" xfId="11480" xr:uid="{00000000-0005-0000-0000-000095580000}"/>
    <cellStyle name="Normal 16 2 2 2 4 2" xfId="35329" xr:uid="{FFC222C1-0B76-46E9-ADDF-3BCB0FD6A8AC}"/>
    <cellStyle name="Normal 16 2 2 2 5" xfId="19435" xr:uid="{00000000-0005-0000-0000-000096580000}"/>
    <cellStyle name="Normal 16 2 2 2 5 2" xfId="43267" xr:uid="{B8A66CEE-6F8F-4BD0-86B4-AB9FE73F554D}"/>
    <cellStyle name="Normal 16 2 2 2 6" xfId="27387" xr:uid="{611D32C8-A697-4A40-8F42-49C88D1023C6}"/>
    <cellStyle name="Normal 16 2 2 2_Exh G" xfId="3479" xr:uid="{00000000-0005-0000-0000-000097580000}"/>
    <cellStyle name="Normal 16 2 2 3" xfId="4334" xr:uid="{00000000-0005-0000-0000-000098580000}"/>
    <cellStyle name="Normal 16 2 2 3 2" xfId="7926" xr:uid="{00000000-0005-0000-0000-000099580000}"/>
    <cellStyle name="Normal 16 2 2 3 2 2" xfId="15896" xr:uid="{00000000-0005-0000-0000-00009A580000}"/>
    <cellStyle name="Normal 16 2 2 3 2 2 2" xfId="39738" xr:uid="{A267C48F-726A-4A47-A15A-9B6ED3C2A85D}"/>
    <cellStyle name="Normal 16 2 2 3 2 3" xfId="23842" xr:uid="{00000000-0005-0000-0000-00009B580000}"/>
    <cellStyle name="Normal 16 2 2 3 2 3 2" xfId="47674" xr:uid="{7281EB19-5524-4A45-818C-76CC735B2764}"/>
    <cellStyle name="Normal 16 2 2 3 2 4" xfId="31797" xr:uid="{5C54C877-D24C-41EF-BE98-E4A2BB812269}"/>
    <cellStyle name="Normal 16 2 2 3 3" xfId="12358" xr:uid="{00000000-0005-0000-0000-00009C580000}"/>
    <cellStyle name="Normal 16 2 2 3 3 2" xfId="36207" xr:uid="{77F8D3B2-0C39-4ABB-8A26-9A40E3CC0E65}"/>
    <cellStyle name="Normal 16 2 2 3 4" xfId="20313" xr:uid="{00000000-0005-0000-0000-00009D580000}"/>
    <cellStyle name="Normal 16 2 2 3 4 2" xfId="44145" xr:uid="{8D061681-3FDA-4873-AEDF-424AB6F7FCC2}"/>
    <cellStyle name="Normal 16 2 2 3 5" xfId="28266" xr:uid="{01BE6857-68EE-485D-B884-CDEFC7E45A4D}"/>
    <cellStyle name="Normal 16 2 2 4" xfId="6154" xr:uid="{00000000-0005-0000-0000-00009E580000}"/>
    <cellStyle name="Normal 16 2 2 4 2" xfId="14137" xr:uid="{00000000-0005-0000-0000-00009F580000}"/>
    <cellStyle name="Normal 16 2 2 4 2 2" xfId="37980" xr:uid="{2473EFBD-0138-4087-ACC6-E6DC9AE1EB8F}"/>
    <cellStyle name="Normal 16 2 2 4 3" xfId="22085" xr:uid="{00000000-0005-0000-0000-0000A0580000}"/>
    <cellStyle name="Normal 16 2 2 4 3 2" xfId="45917" xr:uid="{0769999D-7650-430F-B668-E527B3203427}"/>
    <cellStyle name="Normal 16 2 2 4 4" xfId="30039" xr:uid="{806A8A45-83AA-44D0-97EF-B15DE07C3B3D}"/>
    <cellStyle name="Normal 16 2 2 5" xfId="9706" xr:uid="{00000000-0005-0000-0000-0000A1580000}"/>
    <cellStyle name="Normal 16 2 2 5 2" xfId="17664" xr:uid="{00000000-0005-0000-0000-0000A2580000}"/>
    <cellStyle name="Normal 16 2 2 5 2 2" xfId="41504" xr:uid="{EE5503D6-B384-4FBE-BC32-3B84EE54033F}"/>
    <cellStyle name="Normal 16 2 2 5 3" xfId="25608" xr:uid="{00000000-0005-0000-0000-0000A3580000}"/>
    <cellStyle name="Normal 16 2 2 5 3 2" xfId="49440" xr:uid="{38A55E71-08FF-46DE-B74D-9D6583CA5EEC}"/>
    <cellStyle name="Normal 16 2 2 5 4" xfId="33563" xr:uid="{3498FE0F-51CC-4D46-9606-68C8FEB856BA}"/>
    <cellStyle name="Normal 16 2 2 6" xfId="10602" xr:uid="{00000000-0005-0000-0000-0000A4580000}"/>
    <cellStyle name="Normal 16 2 2 6 2" xfId="34451" xr:uid="{0C5E19F6-AC9E-4DFB-BB18-E3C16D652968}"/>
    <cellStyle name="Normal 16 2 2 7" xfId="18557" xr:uid="{00000000-0005-0000-0000-0000A5580000}"/>
    <cellStyle name="Normal 16 2 2 7 2" xfId="42389" xr:uid="{34F96B3F-0C09-40C3-92DA-1151B9E04D57}"/>
    <cellStyle name="Normal 16 2 2 8" xfId="26509" xr:uid="{4571E81D-5CF1-4FB0-B11C-734A58E78FE4}"/>
    <cellStyle name="Normal 16 2 2_Exh G" xfId="3478" xr:uid="{00000000-0005-0000-0000-0000A6580000}"/>
    <cellStyle name="Normal 16 2 3" xfId="1685" xr:uid="{00000000-0005-0000-0000-0000A7580000}"/>
    <cellStyle name="Normal 16 2 3 2" xfId="5212" xr:uid="{00000000-0005-0000-0000-0000A8580000}"/>
    <cellStyle name="Normal 16 2 3 2 2" xfId="8803" xr:uid="{00000000-0005-0000-0000-0000A9580000}"/>
    <cellStyle name="Normal 16 2 3 2 2 2" xfId="16773" xr:uid="{00000000-0005-0000-0000-0000AA580000}"/>
    <cellStyle name="Normal 16 2 3 2 2 2 2" xfId="40615" xr:uid="{1958E15A-1D66-4C25-9252-21E65A889C8B}"/>
    <cellStyle name="Normal 16 2 3 2 2 3" xfId="24719" xr:uid="{00000000-0005-0000-0000-0000AB580000}"/>
    <cellStyle name="Normal 16 2 3 2 2 3 2" xfId="48551" xr:uid="{02134602-07DA-4DF7-BF9E-14F80434D180}"/>
    <cellStyle name="Normal 16 2 3 2 2 4" xfId="32674" xr:uid="{560258B2-FF55-4B04-A01F-9B8B147269E7}"/>
    <cellStyle name="Normal 16 2 3 2 3" xfId="13235" xr:uid="{00000000-0005-0000-0000-0000AC580000}"/>
    <cellStyle name="Normal 16 2 3 2 3 2" xfId="37084" xr:uid="{A2DF6C65-BF86-4A17-908A-C711C5DF2B63}"/>
    <cellStyle name="Normal 16 2 3 2 4" xfId="21190" xr:uid="{00000000-0005-0000-0000-0000AD580000}"/>
    <cellStyle name="Normal 16 2 3 2 4 2" xfId="45022" xr:uid="{38731EEE-6BB0-4118-8B00-E29930DC3F76}"/>
    <cellStyle name="Normal 16 2 3 2 5" xfId="29143" xr:uid="{FA824177-7638-47B7-8D65-030CA408616C}"/>
    <cellStyle name="Normal 16 2 3 3" xfId="7044" xr:uid="{00000000-0005-0000-0000-0000AE580000}"/>
    <cellStyle name="Normal 16 2 3 3 2" xfId="15015" xr:uid="{00000000-0005-0000-0000-0000AF580000}"/>
    <cellStyle name="Normal 16 2 3 3 2 2" xfId="38857" xr:uid="{1F17A650-5449-43FD-AE49-8205DD1C4290}"/>
    <cellStyle name="Normal 16 2 3 3 3" xfId="22962" xr:uid="{00000000-0005-0000-0000-0000B0580000}"/>
    <cellStyle name="Normal 16 2 3 3 3 2" xfId="46794" xr:uid="{ED45D079-CA55-44E7-BBBF-3279B27E888D}"/>
    <cellStyle name="Normal 16 2 3 3 4" xfId="30916" xr:uid="{879D5628-72A8-471E-9260-939AC2DB942C}"/>
    <cellStyle name="Normal 16 2 3 4" xfId="11479" xr:uid="{00000000-0005-0000-0000-0000B1580000}"/>
    <cellStyle name="Normal 16 2 3 4 2" xfId="35328" xr:uid="{C3F1051E-835E-40D7-A3A3-EC63AED294C3}"/>
    <cellStyle name="Normal 16 2 3 5" xfId="19434" xr:uid="{00000000-0005-0000-0000-0000B2580000}"/>
    <cellStyle name="Normal 16 2 3 5 2" xfId="43266" xr:uid="{5A705CEB-94D2-429E-8C8C-552024798394}"/>
    <cellStyle name="Normal 16 2 3 6" xfId="27386" xr:uid="{1AA53D9C-ED28-42D8-A5F3-1F6A73850B56}"/>
    <cellStyle name="Normal 16 2 3_Exh G" xfId="3480" xr:uid="{00000000-0005-0000-0000-0000B3580000}"/>
    <cellStyle name="Normal 16 2 4" xfId="4333" xr:uid="{00000000-0005-0000-0000-0000B4580000}"/>
    <cellStyle name="Normal 16 2 4 2" xfId="7925" xr:uid="{00000000-0005-0000-0000-0000B5580000}"/>
    <cellStyle name="Normal 16 2 4 2 2" xfId="15895" xr:uid="{00000000-0005-0000-0000-0000B6580000}"/>
    <cellStyle name="Normal 16 2 4 2 2 2" xfId="39737" xr:uid="{50B2BEF6-0C60-4C80-8DD9-C43BA790E3B1}"/>
    <cellStyle name="Normal 16 2 4 2 3" xfId="23841" xr:uid="{00000000-0005-0000-0000-0000B7580000}"/>
    <cellStyle name="Normal 16 2 4 2 3 2" xfId="47673" xr:uid="{278334C6-0076-446B-BF34-BE0B121ABD59}"/>
    <cellStyle name="Normal 16 2 4 2 4" xfId="31796" xr:uid="{AFC90B34-D424-4A6B-9D2E-7BBFA90FA810}"/>
    <cellStyle name="Normal 16 2 4 3" xfId="12357" xr:uid="{00000000-0005-0000-0000-0000B8580000}"/>
    <cellStyle name="Normal 16 2 4 3 2" xfId="36206" xr:uid="{EEA5E99F-EC5C-4D97-89D7-1C355A2E6E80}"/>
    <cellStyle name="Normal 16 2 4 4" xfId="20312" xr:uid="{00000000-0005-0000-0000-0000B9580000}"/>
    <cellStyle name="Normal 16 2 4 4 2" xfId="44144" xr:uid="{7E2A75C8-36D9-4EF0-A672-A7B11864A96E}"/>
    <cellStyle name="Normal 16 2 4 5" xfId="28265" xr:uid="{18FE4C8D-5D5A-47D1-8ED2-C07A6BB8BB0A}"/>
    <cellStyle name="Normal 16 2 5" xfId="6153" xr:uid="{00000000-0005-0000-0000-0000BA580000}"/>
    <cellStyle name="Normal 16 2 5 2" xfId="14136" xr:uid="{00000000-0005-0000-0000-0000BB580000}"/>
    <cellStyle name="Normal 16 2 5 2 2" xfId="37979" xr:uid="{E1F9584F-E16D-4D03-B70B-A1B7C0146270}"/>
    <cellStyle name="Normal 16 2 5 3" xfId="22084" xr:uid="{00000000-0005-0000-0000-0000BC580000}"/>
    <cellStyle name="Normal 16 2 5 3 2" xfId="45916" xr:uid="{B7835D1E-39B7-41A7-9811-C15302D61218}"/>
    <cellStyle name="Normal 16 2 5 4" xfId="30038" xr:uid="{350240F6-A3B6-479F-9497-FC7B4BD03CA5}"/>
    <cellStyle name="Normal 16 2 6" xfId="9705" xr:uid="{00000000-0005-0000-0000-0000BD580000}"/>
    <cellStyle name="Normal 16 2 6 2" xfId="17663" xr:uid="{00000000-0005-0000-0000-0000BE580000}"/>
    <cellStyle name="Normal 16 2 6 2 2" xfId="41503" xr:uid="{9CFE6887-C61E-4127-B02E-8A3A5B5CB068}"/>
    <cellStyle name="Normal 16 2 6 3" xfId="25607" xr:uid="{00000000-0005-0000-0000-0000BF580000}"/>
    <cellStyle name="Normal 16 2 6 3 2" xfId="49439" xr:uid="{DE4EBF84-0834-45F0-9C8E-C2C34C4AF239}"/>
    <cellStyle name="Normal 16 2 6 4" xfId="33562" xr:uid="{2DA6C31C-A49A-45FE-AEBE-B826B97F69C1}"/>
    <cellStyle name="Normal 16 2 7" xfId="10601" xr:uid="{00000000-0005-0000-0000-0000C0580000}"/>
    <cellStyle name="Normal 16 2 7 2" xfId="34450" xr:uid="{C7A9D26C-1A2B-463A-B5AA-E631AD5B525D}"/>
    <cellStyle name="Normal 16 2 8" xfId="18556" xr:uid="{00000000-0005-0000-0000-0000C1580000}"/>
    <cellStyle name="Normal 16 2 8 2" xfId="42388" xr:uid="{9EA77198-271A-4914-904A-221934264F09}"/>
    <cellStyle name="Normal 16 2 9" xfId="26508" xr:uid="{9204BE35-90E2-435C-962A-DF601398D614}"/>
    <cellStyle name="Normal 16 2_Exh G" xfId="3477" xr:uid="{00000000-0005-0000-0000-0000C2580000}"/>
    <cellStyle name="Normal 16 3" xfId="661" xr:uid="{00000000-0005-0000-0000-0000C3580000}"/>
    <cellStyle name="Normal 16 3 2" xfId="1687" xr:uid="{00000000-0005-0000-0000-0000C4580000}"/>
    <cellStyle name="Normal 16 3 2 2" xfId="5214" xr:uid="{00000000-0005-0000-0000-0000C5580000}"/>
    <cellStyle name="Normal 16 3 2 2 2" xfId="8805" xr:uid="{00000000-0005-0000-0000-0000C6580000}"/>
    <cellStyle name="Normal 16 3 2 2 2 2" xfId="16775" xr:uid="{00000000-0005-0000-0000-0000C7580000}"/>
    <cellStyle name="Normal 16 3 2 2 2 2 2" xfId="40617" xr:uid="{FFCB948B-7D1E-4FD3-8AE0-A1975BB70DBA}"/>
    <cellStyle name="Normal 16 3 2 2 2 3" xfId="24721" xr:uid="{00000000-0005-0000-0000-0000C8580000}"/>
    <cellStyle name="Normal 16 3 2 2 2 3 2" xfId="48553" xr:uid="{B87F88C5-BDC0-4AF3-B6F6-3D3D7B7007F6}"/>
    <cellStyle name="Normal 16 3 2 2 2 4" xfId="32676" xr:uid="{A95BBE95-EFAF-447B-9FC0-4F6E89B750F7}"/>
    <cellStyle name="Normal 16 3 2 2 3" xfId="13237" xr:uid="{00000000-0005-0000-0000-0000C9580000}"/>
    <cellStyle name="Normal 16 3 2 2 3 2" xfId="37086" xr:uid="{3B86D77A-911C-45BF-BD1F-1B8EBAEBB126}"/>
    <cellStyle name="Normal 16 3 2 2 4" xfId="21192" xr:uid="{00000000-0005-0000-0000-0000CA580000}"/>
    <cellStyle name="Normal 16 3 2 2 4 2" xfId="45024" xr:uid="{50C3EB4C-4BA7-40B4-A4CD-E98CC83207FB}"/>
    <cellStyle name="Normal 16 3 2 2 5" xfId="29145" xr:uid="{843896EF-3860-4BAF-BF6D-96BC049E96FF}"/>
    <cellStyle name="Normal 16 3 2 3" xfId="7046" xr:uid="{00000000-0005-0000-0000-0000CB580000}"/>
    <cellStyle name="Normal 16 3 2 3 2" xfId="15017" xr:uid="{00000000-0005-0000-0000-0000CC580000}"/>
    <cellStyle name="Normal 16 3 2 3 2 2" xfId="38859" xr:uid="{1954A31B-71A9-4D13-96F8-86B260F07DD7}"/>
    <cellStyle name="Normal 16 3 2 3 3" xfId="22964" xr:uid="{00000000-0005-0000-0000-0000CD580000}"/>
    <cellStyle name="Normal 16 3 2 3 3 2" xfId="46796" xr:uid="{4A3D0B12-97D3-4CE8-A094-50D0680C4966}"/>
    <cellStyle name="Normal 16 3 2 3 4" xfId="30918" xr:uid="{0E911996-FE6C-4DCD-9A64-17DD95AEDBD3}"/>
    <cellStyle name="Normal 16 3 2 4" xfId="11481" xr:uid="{00000000-0005-0000-0000-0000CE580000}"/>
    <cellStyle name="Normal 16 3 2 4 2" xfId="35330" xr:uid="{07CAD474-D8BB-4546-A7CA-EDF24CD5260F}"/>
    <cellStyle name="Normal 16 3 2 5" xfId="19436" xr:uid="{00000000-0005-0000-0000-0000CF580000}"/>
    <cellStyle name="Normal 16 3 2 5 2" xfId="43268" xr:uid="{A8D3206E-9680-4C10-8FD5-2382F8B3C49D}"/>
    <cellStyle name="Normal 16 3 2 6" xfId="27388" xr:uid="{952923F6-7651-4AB0-939C-FC8CAA976499}"/>
    <cellStyle name="Normal 16 3 2_Exh G" xfId="3482" xr:uid="{00000000-0005-0000-0000-0000D0580000}"/>
    <cellStyle name="Normal 16 3 3" xfId="4335" xr:uid="{00000000-0005-0000-0000-0000D1580000}"/>
    <cellStyle name="Normal 16 3 3 2" xfId="7927" xr:uid="{00000000-0005-0000-0000-0000D2580000}"/>
    <cellStyle name="Normal 16 3 3 2 2" xfId="15897" xr:uid="{00000000-0005-0000-0000-0000D3580000}"/>
    <cellStyle name="Normal 16 3 3 2 2 2" xfId="39739" xr:uid="{5BB10D34-04E0-4ED0-9026-21CCEB1294EB}"/>
    <cellStyle name="Normal 16 3 3 2 3" xfId="23843" xr:uid="{00000000-0005-0000-0000-0000D4580000}"/>
    <cellStyle name="Normal 16 3 3 2 3 2" xfId="47675" xr:uid="{BCCC0915-382D-4208-B621-92A291AAFC22}"/>
    <cellStyle name="Normal 16 3 3 2 4" xfId="31798" xr:uid="{E4914C13-E85C-4FAE-A204-9CD967624891}"/>
    <cellStyle name="Normal 16 3 3 3" xfId="12359" xr:uid="{00000000-0005-0000-0000-0000D5580000}"/>
    <cellStyle name="Normal 16 3 3 3 2" xfId="36208" xr:uid="{D1F9FCA6-DD33-4E5D-8E77-539A98AD9547}"/>
    <cellStyle name="Normal 16 3 3 4" xfId="20314" xr:uid="{00000000-0005-0000-0000-0000D6580000}"/>
    <cellStyle name="Normal 16 3 3 4 2" xfId="44146" xr:uid="{642F6306-D469-4DFA-BF27-1CA440090C27}"/>
    <cellStyle name="Normal 16 3 3 5" xfId="28267" xr:uid="{00D82B51-246A-448A-ADAA-B4725933146D}"/>
    <cellStyle name="Normal 16 3 4" xfId="6155" xr:uid="{00000000-0005-0000-0000-0000D7580000}"/>
    <cellStyle name="Normal 16 3 4 2" xfId="14138" xr:uid="{00000000-0005-0000-0000-0000D8580000}"/>
    <cellStyle name="Normal 16 3 4 2 2" xfId="37981" xr:uid="{10C3F438-A38F-42D9-948F-5B524F04CDA8}"/>
    <cellStyle name="Normal 16 3 4 3" xfId="22086" xr:uid="{00000000-0005-0000-0000-0000D9580000}"/>
    <cellStyle name="Normal 16 3 4 3 2" xfId="45918" xr:uid="{5E673980-87D4-42F2-A91C-D272CF91644F}"/>
    <cellStyle name="Normal 16 3 4 4" xfId="30040" xr:uid="{7AE0921E-8A7A-4191-BB47-4275CA00E19B}"/>
    <cellStyle name="Normal 16 3 5" xfId="9707" xr:uid="{00000000-0005-0000-0000-0000DA580000}"/>
    <cellStyle name="Normal 16 3 5 2" xfId="17665" xr:uid="{00000000-0005-0000-0000-0000DB580000}"/>
    <cellStyle name="Normal 16 3 5 2 2" xfId="41505" xr:uid="{226199AA-1CDF-4FAD-A14B-DB15734003C0}"/>
    <cellStyle name="Normal 16 3 5 3" xfId="25609" xr:uid="{00000000-0005-0000-0000-0000DC580000}"/>
    <cellStyle name="Normal 16 3 5 3 2" xfId="49441" xr:uid="{FC5C5F82-6705-4C12-94DB-5B1379D1492D}"/>
    <cellStyle name="Normal 16 3 5 4" xfId="33564" xr:uid="{0AF6520E-967D-4508-A3E0-DEF1AE6C19B8}"/>
    <cellStyle name="Normal 16 3 6" xfId="10603" xr:uid="{00000000-0005-0000-0000-0000DD580000}"/>
    <cellStyle name="Normal 16 3 6 2" xfId="34452" xr:uid="{03BFC366-9B4C-486C-AE17-3FCA8B2C89E6}"/>
    <cellStyle name="Normal 16 3 7" xfId="18558" xr:uid="{00000000-0005-0000-0000-0000DE580000}"/>
    <cellStyle name="Normal 16 3 7 2" xfId="42390" xr:uid="{FE2D2585-3DE6-422A-85B3-220AB51383E6}"/>
    <cellStyle name="Normal 16 3 8" xfId="26510" xr:uid="{A63D656C-3523-4C2D-BEF4-ED7963AAA8CB}"/>
    <cellStyle name="Normal 16 3_Exh G" xfId="3481" xr:uid="{00000000-0005-0000-0000-0000DF580000}"/>
    <cellStyle name="Normal 16 4" xfId="1684" xr:uid="{00000000-0005-0000-0000-0000E0580000}"/>
    <cellStyle name="Normal 16 4 2" xfId="5211" xr:uid="{00000000-0005-0000-0000-0000E1580000}"/>
    <cellStyle name="Normal 16 4 2 2" xfId="8802" xr:uid="{00000000-0005-0000-0000-0000E2580000}"/>
    <cellStyle name="Normal 16 4 2 2 2" xfId="16772" xr:uid="{00000000-0005-0000-0000-0000E3580000}"/>
    <cellStyle name="Normal 16 4 2 2 2 2" xfId="40614" xr:uid="{30E2C23E-3086-4027-A286-AE5F80D67BD0}"/>
    <cellStyle name="Normal 16 4 2 2 3" xfId="24718" xr:uid="{00000000-0005-0000-0000-0000E4580000}"/>
    <cellStyle name="Normal 16 4 2 2 3 2" xfId="48550" xr:uid="{9872A359-BB45-4681-91EB-D7D7B1676054}"/>
    <cellStyle name="Normal 16 4 2 2 4" xfId="32673" xr:uid="{372467FD-5418-4143-B39E-F5AD42E34321}"/>
    <cellStyle name="Normal 16 4 2 3" xfId="13234" xr:uid="{00000000-0005-0000-0000-0000E5580000}"/>
    <cellStyle name="Normal 16 4 2 3 2" xfId="37083" xr:uid="{412CE1F1-7F2B-4F33-903D-F8DD33C912F3}"/>
    <cellStyle name="Normal 16 4 2 4" xfId="21189" xr:uid="{00000000-0005-0000-0000-0000E6580000}"/>
    <cellStyle name="Normal 16 4 2 4 2" xfId="45021" xr:uid="{9E4ED78C-2C21-4144-93A7-B17C7B47A202}"/>
    <cellStyle name="Normal 16 4 2 5" xfId="29142" xr:uid="{841628B0-5726-46B7-8C81-9CB90836DB04}"/>
    <cellStyle name="Normal 16 4 3" xfId="7043" xr:uid="{00000000-0005-0000-0000-0000E7580000}"/>
    <cellStyle name="Normal 16 4 3 2" xfId="15014" xr:uid="{00000000-0005-0000-0000-0000E8580000}"/>
    <cellStyle name="Normal 16 4 3 2 2" xfId="38856" xr:uid="{91DA8F5F-DAFE-42BC-9A57-92C2A568830C}"/>
    <cellStyle name="Normal 16 4 3 3" xfId="22961" xr:uid="{00000000-0005-0000-0000-0000E9580000}"/>
    <cellStyle name="Normal 16 4 3 3 2" xfId="46793" xr:uid="{34B64492-E944-40FA-B99C-B1FDD1FBB70A}"/>
    <cellStyle name="Normal 16 4 3 4" xfId="30915" xr:uid="{75DE6D21-A163-44DD-9289-3707CB367859}"/>
    <cellStyle name="Normal 16 4 4" xfId="11478" xr:uid="{00000000-0005-0000-0000-0000EA580000}"/>
    <cellStyle name="Normal 16 4 4 2" xfId="35327" xr:uid="{C7316644-92CB-4133-A9E0-140F0865FE7C}"/>
    <cellStyle name="Normal 16 4 5" xfId="19433" xr:uid="{00000000-0005-0000-0000-0000EB580000}"/>
    <cellStyle name="Normal 16 4 5 2" xfId="43265" xr:uid="{1D341720-DE00-42C1-A23B-92535C47B7EF}"/>
    <cellStyle name="Normal 16 4 6" xfId="27385" xr:uid="{4D12D854-30F9-45C5-8BE5-68523F1E0F78}"/>
    <cellStyle name="Normal 16 4_Exh G" xfId="3483" xr:uid="{00000000-0005-0000-0000-0000EC580000}"/>
    <cellStyle name="Normal 16 5" xfId="4332" xr:uid="{00000000-0005-0000-0000-0000ED580000}"/>
    <cellStyle name="Normal 16 5 2" xfId="7924" xr:uid="{00000000-0005-0000-0000-0000EE580000}"/>
    <cellStyle name="Normal 16 5 2 2" xfId="15894" xr:uid="{00000000-0005-0000-0000-0000EF580000}"/>
    <cellStyle name="Normal 16 5 2 2 2" xfId="39736" xr:uid="{72E6E7AF-D83C-4F33-8FC3-5A46731A0B67}"/>
    <cellStyle name="Normal 16 5 2 3" xfId="23840" xr:uid="{00000000-0005-0000-0000-0000F0580000}"/>
    <cellStyle name="Normal 16 5 2 3 2" xfId="47672" xr:uid="{BAB5FBC4-C5D6-4027-A964-9A2D951E1ADF}"/>
    <cellStyle name="Normal 16 5 2 4" xfId="31795" xr:uid="{0D0B5AC3-AD2D-4FB9-BC2D-BDC5F21235B0}"/>
    <cellStyle name="Normal 16 5 3" xfId="12356" xr:uid="{00000000-0005-0000-0000-0000F1580000}"/>
    <cellStyle name="Normal 16 5 3 2" xfId="36205" xr:uid="{2DFDA4F4-94F2-49BC-9465-03BF94565EC3}"/>
    <cellStyle name="Normal 16 5 4" xfId="20311" xr:uid="{00000000-0005-0000-0000-0000F2580000}"/>
    <cellStyle name="Normal 16 5 4 2" xfId="44143" xr:uid="{8DE2707A-5598-4D6C-AC89-7F34A14F0892}"/>
    <cellStyle name="Normal 16 5 5" xfId="28264" xr:uid="{11E669B5-A849-4783-88F4-6CCEBD1939AB}"/>
    <cellStyle name="Normal 16 6" xfId="6152" xr:uid="{00000000-0005-0000-0000-0000F3580000}"/>
    <cellStyle name="Normal 16 6 2" xfId="14135" xr:uid="{00000000-0005-0000-0000-0000F4580000}"/>
    <cellStyle name="Normal 16 6 2 2" xfId="37978" xr:uid="{7379088E-BB63-4CAC-B149-5BBF243F355C}"/>
    <cellStyle name="Normal 16 6 3" xfId="22083" xr:uid="{00000000-0005-0000-0000-0000F5580000}"/>
    <cellStyle name="Normal 16 6 3 2" xfId="45915" xr:uid="{C99B2C35-0DFB-4527-A71B-173BEB33EFDD}"/>
    <cellStyle name="Normal 16 6 4" xfId="30037" xr:uid="{178BE9CD-9C3A-4FC1-85FA-207E13D2AE84}"/>
    <cellStyle name="Normal 16 7" xfId="9704" xr:uid="{00000000-0005-0000-0000-0000F6580000}"/>
    <cellStyle name="Normal 16 7 2" xfId="17662" xr:uid="{00000000-0005-0000-0000-0000F7580000}"/>
    <cellStyle name="Normal 16 7 2 2" xfId="41502" xr:uid="{F957D493-6B94-42DD-BC66-323F4C7B5B2D}"/>
    <cellStyle name="Normal 16 7 3" xfId="25606" xr:uid="{00000000-0005-0000-0000-0000F8580000}"/>
    <cellStyle name="Normal 16 7 3 2" xfId="49438" xr:uid="{D46C6A4B-BFCF-482C-8B8A-EB6994897447}"/>
    <cellStyle name="Normal 16 7 4" xfId="33561" xr:uid="{74A59828-5180-4989-9E48-955F56EF63A1}"/>
    <cellStyle name="Normal 16 8" xfId="10600" xr:uid="{00000000-0005-0000-0000-0000F9580000}"/>
    <cellStyle name="Normal 16 8 2" xfId="34449" xr:uid="{9176336F-9F49-4D72-B168-FA35EE0C3031}"/>
    <cellStyle name="Normal 16 9" xfId="18555" xr:uid="{00000000-0005-0000-0000-0000FA580000}"/>
    <cellStyle name="Normal 16 9 2" xfId="42387" xr:uid="{72E24B7C-1D46-4C4A-9145-3F920078F79F}"/>
    <cellStyle name="Normal 16_Exh G" xfId="3476" xr:uid="{00000000-0005-0000-0000-0000FB580000}"/>
    <cellStyle name="Normal 17" xfId="662" xr:uid="{00000000-0005-0000-0000-0000FC580000}"/>
    <cellStyle name="Normal 17 2" xfId="1688" xr:uid="{00000000-0005-0000-0000-0000FD580000}"/>
    <cellStyle name="Normal 17 2 2" xfId="5215" xr:uid="{00000000-0005-0000-0000-0000FE580000}"/>
    <cellStyle name="Normal 17 2 2 2" xfId="8806" xr:uid="{00000000-0005-0000-0000-0000FF580000}"/>
    <cellStyle name="Normal 17 2 2 2 2" xfId="16776" xr:uid="{00000000-0005-0000-0000-000000590000}"/>
    <cellStyle name="Normal 17 2 2 2 2 2" xfId="40618" xr:uid="{CBEB1649-0744-458C-9825-80F8318492BF}"/>
    <cellStyle name="Normal 17 2 2 2 3" xfId="24722" xr:uid="{00000000-0005-0000-0000-000001590000}"/>
    <cellStyle name="Normal 17 2 2 2 3 2" xfId="48554" xr:uid="{8590307C-B70D-4E80-B1B4-17BD9E16C1BC}"/>
    <cellStyle name="Normal 17 2 2 2 4" xfId="32677" xr:uid="{C2E01FA8-9D70-44BE-892C-675F2AED211B}"/>
    <cellStyle name="Normal 17 2 2 3" xfId="13238" xr:uid="{00000000-0005-0000-0000-000002590000}"/>
    <cellStyle name="Normal 17 2 2 3 2" xfId="37087" xr:uid="{B55F5518-3653-4A4A-B546-7F8A68ED57D2}"/>
    <cellStyle name="Normal 17 2 2 4" xfId="21193" xr:uid="{00000000-0005-0000-0000-000003590000}"/>
    <cellStyle name="Normal 17 2 2 4 2" xfId="45025" xr:uid="{8C78F591-8198-4577-874C-FECCB6F32393}"/>
    <cellStyle name="Normal 17 2 2 5" xfId="29146" xr:uid="{FB54F897-7710-46E7-B510-064313B8A29F}"/>
    <cellStyle name="Normal 17 2 3" xfId="7047" xr:uid="{00000000-0005-0000-0000-000004590000}"/>
    <cellStyle name="Normal 17 2 3 2" xfId="15018" xr:uid="{00000000-0005-0000-0000-000005590000}"/>
    <cellStyle name="Normal 17 2 3 2 2" xfId="38860" xr:uid="{1A4C52FF-28C6-48E2-B3E0-B04B8492DDF1}"/>
    <cellStyle name="Normal 17 2 3 3" xfId="22965" xr:uid="{00000000-0005-0000-0000-000006590000}"/>
    <cellStyle name="Normal 17 2 3 3 2" xfId="46797" xr:uid="{1ECA9D3E-D9AC-4113-8ED1-2CE8729E5C6D}"/>
    <cellStyle name="Normal 17 2 3 4" xfId="30919" xr:uid="{F6801BE3-4844-4458-9F2A-756E9707FF5F}"/>
    <cellStyle name="Normal 17 2 4" xfId="11482" xr:uid="{00000000-0005-0000-0000-000007590000}"/>
    <cellStyle name="Normal 17 2 4 2" xfId="35331" xr:uid="{E0F0C13C-4311-4CD2-B0C6-0761C9867B1F}"/>
    <cellStyle name="Normal 17 2 5" xfId="19437" xr:uid="{00000000-0005-0000-0000-000008590000}"/>
    <cellStyle name="Normal 17 2 5 2" xfId="43269" xr:uid="{CE474272-CDE6-4791-8506-00F927BC4B87}"/>
    <cellStyle name="Normal 17 2 6" xfId="27389" xr:uid="{BDCEC457-2383-4539-AE7A-6765FE9F0F16}"/>
    <cellStyle name="Normal 17 2_Exh G" xfId="3485" xr:uid="{00000000-0005-0000-0000-000009590000}"/>
    <cellStyle name="Normal 17 3" xfId="4336" xr:uid="{00000000-0005-0000-0000-00000A590000}"/>
    <cellStyle name="Normal 17 3 2" xfId="7928" xr:uid="{00000000-0005-0000-0000-00000B590000}"/>
    <cellStyle name="Normal 17 3 2 2" xfId="15898" xr:uid="{00000000-0005-0000-0000-00000C590000}"/>
    <cellStyle name="Normal 17 3 2 2 2" xfId="39740" xr:uid="{2B588A99-0B61-40FD-A7D3-CE75A9C8935E}"/>
    <cellStyle name="Normal 17 3 2 3" xfId="23844" xr:uid="{00000000-0005-0000-0000-00000D590000}"/>
    <cellStyle name="Normal 17 3 2 3 2" xfId="47676" xr:uid="{979526AC-DF92-4773-9566-83D9D6F0D73B}"/>
    <cellStyle name="Normal 17 3 2 4" xfId="31799" xr:uid="{D2E60AF4-E4ED-446C-B97F-75BDC6FD8E42}"/>
    <cellStyle name="Normal 17 3 3" xfId="12360" xr:uid="{00000000-0005-0000-0000-00000E590000}"/>
    <cellStyle name="Normal 17 3 3 2" xfId="36209" xr:uid="{C8DFE15C-20A2-4DDB-BF52-D00E1908BFFE}"/>
    <cellStyle name="Normal 17 3 4" xfId="20315" xr:uid="{00000000-0005-0000-0000-00000F590000}"/>
    <cellStyle name="Normal 17 3 4 2" xfId="44147" xr:uid="{BD812DFC-8F92-4F45-90F0-C632D9754F71}"/>
    <cellStyle name="Normal 17 3 5" xfId="28268" xr:uid="{F5873240-A0BF-4314-8DC5-698146D1F709}"/>
    <cellStyle name="Normal 17 4" xfId="6156" xr:uid="{00000000-0005-0000-0000-000010590000}"/>
    <cellStyle name="Normal 17 4 2" xfId="14139" xr:uid="{00000000-0005-0000-0000-000011590000}"/>
    <cellStyle name="Normal 17 4 2 2" xfId="37982" xr:uid="{D492F8DD-0F98-4B4F-A6B5-7734E5A0F070}"/>
    <cellStyle name="Normal 17 4 3" xfId="22087" xr:uid="{00000000-0005-0000-0000-000012590000}"/>
    <cellStyle name="Normal 17 4 3 2" xfId="45919" xr:uid="{2FA5330D-97E0-4581-BA77-BB7BD6DD7ACD}"/>
    <cellStyle name="Normal 17 4 4" xfId="30041" xr:uid="{A5E949DC-841C-480F-A4EB-F8F53E0B1663}"/>
    <cellStyle name="Normal 17 5" xfId="9708" xr:uid="{00000000-0005-0000-0000-000013590000}"/>
    <cellStyle name="Normal 17 5 2" xfId="17666" xr:uid="{00000000-0005-0000-0000-000014590000}"/>
    <cellStyle name="Normal 17 5 2 2" xfId="41506" xr:uid="{57040DE7-B379-4C35-A71D-D48A40D114FC}"/>
    <cellStyle name="Normal 17 5 3" xfId="25610" xr:uid="{00000000-0005-0000-0000-000015590000}"/>
    <cellStyle name="Normal 17 5 3 2" xfId="49442" xr:uid="{4DB0B8FC-5171-468B-B6B1-E2D53CD01BF0}"/>
    <cellStyle name="Normal 17 5 4" xfId="33565" xr:uid="{AFFED29A-FD6D-4A10-8E6C-5A3AE836D672}"/>
    <cellStyle name="Normal 17 6" xfId="10604" xr:uid="{00000000-0005-0000-0000-000016590000}"/>
    <cellStyle name="Normal 17 6 2" xfId="34453" xr:uid="{1E3FFC6F-B24F-4A5A-A750-F8CCD5EC0D44}"/>
    <cellStyle name="Normal 17 7" xfId="18559" xr:uid="{00000000-0005-0000-0000-000017590000}"/>
    <cellStyle name="Normal 17 7 2" xfId="42391" xr:uid="{A3F949D9-022D-4205-8770-40EC5B6495E4}"/>
    <cellStyle name="Normal 17 8" xfId="26511" xr:uid="{3A93CE96-2F78-43CA-9D1C-3E235D7E1A50}"/>
    <cellStyle name="Normal 17_Exh G" xfId="3484" xr:uid="{00000000-0005-0000-0000-000018590000}"/>
    <cellStyle name="Normal 18" xfId="736" xr:uid="{00000000-0005-0000-0000-000019590000}"/>
    <cellStyle name="Normal 19" xfId="824" xr:uid="{00000000-0005-0000-0000-00001A590000}"/>
    <cellStyle name="Normal 19 2" xfId="1763" xr:uid="{00000000-0005-0000-0000-00001B590000}"/>
    <cellStyle name="Normal 19 2 2" xfId="5290" xr:uid="{00000000-0005-0000-0000-00001C590000}"/>
    <cellStyle name="Normal 19 2 2 2" xfId="8881" xr:uid="{00000000-0005-0000-0000-00001D590000}"/>
    <cellStyle name="Normal 19 2 2 2 2" xfId="16851" xr:uid="{00000000-0005-0000-0000-00001E590000}"/>
    <cellStyle name="Normal 19 2 2 2 2 2" xfId="40693" xr:uid="{5B2ABC8A-89C9-48B1-AF70-F78DCB61F643}"/>
    <cellStyle name="Normal 19 2 2 2 3" xfId="24797" xr:uid="{00000000-0005-0000-0000-00001F590000}"/>
    <cellStyle name="Normal 19 2 2 2 3 2" xfId="48629" xr:uid="{518AB5CF-E5B2-436B-965A-1C1CCB6B1ACA}"/>
    <cellStyle name="Normal 19 2 2 2 4" xfId="32752" xr:uid="{258F00AF-CF29-4F88-9E9C-EBED6D60B2B3}"/>
    <cellStyle name="Normal 19 2 2 3" xfId="13313" xr:uid="{00000000-0005-0000-0000-000020590000}"/>
    <cellStyle name="Normal 19 2 2 3 2" xfId="37162" xr:uid="{EFBC4F81-613E-40B1-9EEA-8DE3D8C3C85C}"/>
    <cellStyle name="Normal 19 2 2 4" xfId="21268" xr:uid="{00000000-0005-0000-0000-000021590000}"/>
    <cellStyle name="Normal 19 2 2 4 2" xfId="45100" xr:uid="{E7F116C7-FFE3-4276-80EF-3179522A0029}"/>
    <cellStyle name="Normal 19 2 2 5" xfId="29221" xr:uid="{27DD1935-69DB-4CCD-8510-4E29416036E7}"/>
    <cellStyle name="Normal 19 2 3" xfId="7122" xr:uid="{00000000-0005-0000-0000-000022590000}"/>
    <cellStyle name="Normal 19 2 3 2" xfId="15093" xr:uid="{00000000-0005-0000-0000-000023590000}"/>
    <cellStyle name="Normal 19 2 3 2 2" xfId="38935" xr:uid="{DEB92A1F-CC09-4770-B7D1-99C392F027A3}"/>
    <cellStyle name="Normal 19 2 3 3" xfId="23040" xr:uid="{00000000-0005-0000-0000-000024590000}"/>
    <cellStyle name="Normal 19 2 3 3 2" xfId="46872" xr:uid="{FB82E61D-6092-4529-A212-BBB6B632D4CD}"/>
    <cellStyle name="Normal 19 2 3 4" xfId="30994" xr:uid="{39C48AAF-2ABF-4F06-9E01-4691AF7E2CAE}"/>
    <cellStyle name="Normal 19 2 4" xfId="11557" xr:uid="{00000000-0005-0000-0000-000025590000}"/>
    <cellStyle name="Normal 19 2 4 2" xfId="35406" xr:uid="{424D5D3B-C840-47B5-8252-57E5698DD9AE}"/>
    <cellStyle name="Normal 19 2 5" xfId="19512" xr:uid="{00000000-0005-0000-0000-000026590000}"/>
    <cellStyle name="Normal 19 2 5 2" xfId="43344" xr:uid="{61A9EE44-5CCE-4665-A061-A9982B1D726D}"/>
    <cellStyle name="Normal 19 2 6" xfId="27464" xr:uid="{889AC3D5-B0E5-4A97-9C57-0E5B95E6858B}"/>
    <cellStyle name="Normal 19 2_Exh G" xfId="3487" xr:uid="{00000000-0005-0000-0000-000027590000}"/>
    <cellStyle name="Normal 19 3" xfId="4411" xr:uid="{00000000-0005-0000-0000-000028590000}"/>
    <cellStyle name="Normal 19 3 2" xfId="8003" xr:uid="{00000000-0005-0000-0000-000029590000}"/>
    <cellStyle name="Normal 19 3 2 2" xfId="15973" xr:uid="{00000000-0005-0000-0000-00002A590000}"/>
    <cellStyle name="Normal 19 3 2 2 2" xfId="39815" xr:uid="{BA15E2CD-85A9-460A-B1C4-DB11BBA392E3}"/>
    <cellStyle name="Normal 19 3 2 3" xfId="23919" xr:uid="{00000000-0005-0000-0000-00002B590000}"/>
    <cellStyle name="Normal 19 3 2 3 2" xfId="47751" xr:uid="{CA74B028-6423-42DA-B6AE-09201A25CE48}"/>
    <cellStyle name="Normal 19 3 2 4" xfId="31874" xr:uid="{050E366D-3CBC-47E4-BAC2-377DAC6FED34}"/>
    <cellStyle name="Normal 19 3 3" xfId="12435" xr:uid="{00000000-0005-0000-0000-00002C590000}"/>
    <cellStyle name="Normal 19 3 3 2" xfId="36284" xr:uid="{7D33ED9C-DC3E-4BAD-9452-D328D79F4DA6}"/>
    <cellStyle name="Normal 19 3 4" xfId="20390" xr:uid="{00000000-0005-0000-0000-00002D590000}"/>
    <cellStyle name="Normal 19 3 4 2" xfId="44222" xr:uid="{DC038BBA-86A3-4589-A6A0-01ED0738A485}"/>
    <cellStyle name="Normal 19 3 5" xfId="28343" xr:uid="{B246B8A9-39C6-42A9-B858-E40C30139AD8}"/>
    <cellStyle name="Normal 19 4" xfId="6241" xr:uid="{00000000-0005-0000-0000-00002E590000}"/>
    <cellStyle name="Normal 19 4 2" xfId="14215" xr:uid="{00000000-0005-0000-0000-00002F590000}"/>
    <cellStyle name="Normal 19 4 2 2" xfId="38057" xr:uid="{599EBAAE-87C3-4EF3-8A4B-0E3E89B6822B}"/>
    <cellStyle name="Normal 19 4 3" xfId="22162" xr:uid="{00000000-0005-0000-0000-000030590000}"/>
    <cellStyle name="Normal 19 4 3 2" xfId="45994" xr:uid="{7D741624-F8C5-44B0-9267-1BCDEFB7CEAC}"/>
    <cellStyle name="Normal 19 4 4" xfId="30116" xr:uid="{5F74C9B9-EE21-4FB0-9808-9E234F6F0501}"/>
    <cellStyle name="Normal 19 5" xfId="9783" xr:uid="{00000000-0005-0000-0000-000031590000}"/>
    <cellStyle name="Normal 19 5 2" xfId="17741" xr:uid="{00000000-0005-0000-0000-000032590000}"/>
    <cellStyle name="Normal 19 5 2 2" xfId="41581" xr:uid="{71E7F761-33A1-4483-9936-A72BD4DF4FA7}"/>
    <cellStyle name="Normal 19 5 3" xfId="25685" xr:uid="{00000000-0005-0000-0000-000033590000}"/>
    <cellStyle name="Normal 19 5 3 2" xfId="49517" xr:uid="{680AB394-DCCC-4074-BA2A-670437EBB0A4}"/>
    <cellStyle name="Normal 19 5 4" xfId="33640" xr:uid="{BF5784CF-1792-42FB-8550-80E447AB00E4}"/>
    <cellStyle name="Normal 19 6" xfId="10679" xr:uid="{00000000-0005-0000-0000-000034590000}"/>
    <cellStyle name="Normal 19 6 2" xfId="34528" xr:uid="{44B12C2C-4DF9-4AD5-B1AE-1F70CBDDD822}"/>
    <cellStyle name="Normal 19 7" xfId="18634" xr:uid="{00000000-0005-0000-0000-000035590000}"/>
    <cellStyle name="Normal 19 7 2" xfId="42466" xr:uid="{4824B267-7420-48ED-9915-05432C8FCCEF}"/>
    <cellStyle name="Normal 19 8" xfId="26586" xr:uid="{25CF70A7-EBEA-44BE-9A45-0B60E78F4EFD}"/>
    <cellStyle name="Normal 19_Exh G" xfId="3486" xr:uid="{00000000-0005-0000-0000-000036590000}"/>
    <cellStyle name="Normal 2" xfId="1" xr:uid="{00000000-0005-0000-0000-000037590000}"/>
    <cellStyle name="Normal 2 10" xfId="5454" xr:uid="{00000000-0005-0000-0000-000038590000}"/>
    <cellStyle name="Normal 2 10 2" xfId="9044" xr:uid="{00000000-0005-0000-0000-000039590000}"/>
    <cellStyle name="Normal 2 10 2 2" xfId="17011" xr:uid="{00000000-0005-0000-0000-00003A590000}"/>
    <cellStyle name="Normal 2 10 2 2 2" xfId="40853" xr:uid="{CA64C857-0E4D-4095-B12A-C4924280CFBA}"/>
    <cellStyle name="Normal 2 10 2 3" xfId="24957" xr:uid="{00000000-0005-0000-0000-00003B590000}"/>
    <cellStyle name="Normal 2 10 2 3 2" xfId="48789" xr:uid="{86712D4D-4B6B-457B-9593-03784B4C9BB8}"/>
    <cellStyle name="Normal 2 10 2 4" xfId="32912" xr:uid="{71FBAA7C-1A27-4A61-82CC-4E1CF5EDEBF4}"/>
    <cellStyle name="Normal 2 10 3" xfId="13474" xr:uid="{00000000-0005-0000-0000-00003C590000}"/>
    <cellStyle name="Normal 2 10 3 2" xfId="37323" xr:uid="{4E763002-6455-479E-8B20-55E2DBF62A1D}"/>
    <cellStyle name="Normal 2 10 4" xfId="21428" xr:uid="{00000000-0005-0000-0000-00003D590000}"/>
    <cellStyle name="Normal 2 10 4 2" xfId="45260" xr:uid="{9CDD32F5-0FF6-498C-BA8C-2321537B70B8}"/>
    <cellStyle name="Normal 2 10 5" xfId="29382" xr:uid="{933B2BD8-A164-4E0A-97F3-1D18FF929208}"/>
    <cellStyle name="Normal 2 11" xfId="5457" xr:uid="{00000000-0005-0000-0000-00003E590000}"/>
    <cellStyle name="Normal 2 11 2" xfId="9047" xr:uid="{00000000-0005-0000-0000-00003F590000}"/>
    <cellStyle name="Normal 2 11 2 2" xfId="17012" xr:uid="{00000000-0005-0000-0000-000040590000}"/>
    <cellStyle name="Normal 2 11 2 2 2" xfId="40854" xr:uid="{6F381C3A-2742-4E43-81CD-D8FD78BCC7F2}"/>
    <cellStyle name="Normal 2 11 2 3" xfId="24958" xr:uid="{00000000-0005-0000-0000-000041590000}"/>
    <cellStyle name="Normal 2 11 2 3 2" xfId="48790" xr:uid="{D14CDD11-3A83-4E5E-81DF-5CC3D9D748F4}"/>
    <cellStyle name="Normal 2 11 2 4" xfId="32913" xr:uid="{37FBBE42-34DE-4D66-9E26-AAB89F4B1668}"/>
    <cellStyle name="Normal 2 11 3" xfId="13475" xr:uid="{00000000-0005-0000-0000-000042590000}"/>
    <cellStyle name="Normal 2 11 3 2" xfId="37324" xr:uid="{880CC8E0-B78D-4F71-A6A0-82FBB7CFEEAB}"/>
    <cellStyle name="Normal 2 11 4" xfId="21429" xr:uid="{00000000-0005-0000-0000-000043590000}"/>
    <cellStyle name="Normal 2 11 4 2" xfId="45261" xr:uid="{FA9C8238-5237-498F-BC5D-2191F7CB86AD}"/>
    <cellStyle name="Normal 2 11 5" xfId="29383" xr:uid="{705D4795-728C-4F45-942B-3C13BA6D41DF}"/>
    <cellStyle name="Normal 2 12" xfId="5475" xr:uid="{00000000-0005-0000-0000-000044590000}"/>
    <cellStyle name="Normal 2 12 2" xfId="9054" xr:uid="{00000000-0005-0000-0000-000045590000}"/>
    <cellStyle name="Normal 2 12 2 2" xfId="17015" xr:uid="{00000000-0005-0000-0000-000046590000}"/>
    <cellStyle name="Normal 2 12 2 2 2" xfId="40857" xr:uid="{CE08DC2E-0ECF-4D2C-B27B-7C421E6206CF}"/>
    <cellStyle name="Normal 2 12 2 3" xfId="24961" xr:uid="{00000000-0005-0000-0000-000047590000}"/>
    <cellStyle name="Normal 2 12 2 3 2" xfId="48793" xr:uid="{1BC5D93A-43FF-4DF7-9445-80ABAF0F67C7}"/>
    <cellStyle name="Normal 2 12 2 4" xfId="32916" xr:uid="{7013E045-97F8-4806-A73F-626E21C58374}"/>
    <cellStyle name="Normal 2 12 3" xfId="13478" xr:uid="{00000000-0005-0000-0000-000048590000}"/>
    <cellStyle name="Normal 2 12 3 2" xfId="37327" xr:uid="{934825D1-3AFB-4219-AD79-A9291D26D6DA}"/>
    <cellStyle name="Normal 2 12 4" xfId="21432" xr:uid="{00000000-0005-0000-0000-000049590000}"/>
    <cellStyle name="Normal 2 12 4 2" xfId="45264" xr:uid="{8E4A6420-C73F-44B4-9F03-97D314CF6E47}"/>
    <cellStyle name="Normal 2 12 5" xfId="29386" xr:uid="{7DA6A644-1520-4161-B164-2F14788DFE52}"/>
    <cellStyle name="Normal 2 13" xfId="5481" xr:uid="{00000000-0005-0000-0000-00004A590000}"/>
    <cellStyle name="Normal 2 13 2" xfId="9059" xr:uid="{00000000-0005-0000-0000-00004B590000}"/>
    <cellStyle name="Normal 2 13 2 2" xfId="17018" xr:uid="{00000000-0005-0000-0000-00004C590000}"/>
    <cellStyle name="Normal 2 13 2 2 2" xfId="40860" xr:uid="{1A0C09B2-B4F3-4BEA-848B-AACF75B8F005}"/>
    <cellStyle name="Normal 2 13 2 3" xfId="24964" xr:uid="{00000000-0005-0000-0000-00004D590000}"/>
    <cellStyle name="Normal 2 13 2 3 2" xfId="48796" xr:uid="{425D28B4-1CD7-4EBC-9D9C-235BE32BE464}"/>
    <cellStyle name="Normal 2 13 2 4" xfId="32919" xr:uid="{5D0C0387-3291-4EA3-92C8-60FBD43BDE8D}"/>
    <cellStyle name="Normal 2 13 3" xfId="13481" xr:uid="{00000000-0005-0000-0000-00004E590000}"/>
    <cellStyle name="Normal 2 13 3 2" xfId="37330" xr:uid="{01EEE57E-9E86-4D5E-AECF-EDE173D0F02B}"/>
    <cellStyle name="Normal 2 13 4" xfId="21435" xr:uid="{00000000-0005-0000-0000-00004F590000}"/>
    <cellStyle name="Normal 2 13 4 2" xfId="45267" xr:uid="{BF85894B-2A00-4DF6-86C7-FFD30F033C7D}"/>
    <cellStyle name="Normal 2 13 5" xfId="29389" xr:uid="{4E13AB3D-92BD-4B4C-A1FB-E91D1AD63A6F}"/>
    <cellStyle name="Normal 2 14" xfId="5487" xr:uid="{00000000-0005-0000-0000-000050590000}"/>
    <cellStyle name="Normal 2 14 2" xfId="5507" xr:uid="{00000000-0005-0000-0000-000051590000}"/>
    <cellStyle name="Normal 2 14 3" xfId="13484" xr:uid="{00000000-0005-0000-0000-000052590000}"/>
    <cellStyle name="Normal 2 14 3 2" xfId="37331" xr:uid="{53FF9071-205A-42CA-B1A9-9507AAD078DB}"/>
    <cellStyle name="Normal 2 14 4" xfId="21436" xr:uid="{00000000-0005-0000-0000-000053590000}"/>
    <cellStyle name="Normal 2 14 4 2" xfId="45268" xr:uid="{368F7750-C68F-4ADE-B9C7-80A7A62184F7}"/>
    <cellStyle name="Normal 2 14 5" xfId="29390" xr:uid="{2A9983A8-2855-4237-8284-4C66F3E14061}"/>
    <cellStyle name="Normal 2 15" xfId="5493" xr:uid="{00000000-0005-0000-0000-000054590000}"/>
    <cellStyle name="Normal 2 15 2" xfId="13489" xr:uid="{00000000-0005-0000-0000-000055590000}"/>
    <cellStyle name="Normal 2 15 2 2" xfId="37334" xr:uid="{BFF33DCC-F8E0-41A8-8B03-F663413A5D6D}"/>
    <cellStyle name="Normal 2 15 3" xfId="21439" xr:uid="{00000000-0005-0000-0000-000056590000}"/>
    <cellStyle name="Normal 2 15 3 2" xfId="45271" xr:uid="{A3CB689D-0673-4DC3-AB4C-E18CDC2DC468}"/>
    <cellStyle name="Normal 2 15 4" xfId="29393" xr:uid="{2CFB5E36-766C-4347-8B04-F49CB97039E9}"/>
    <cellStyle name="Normal 2 16" xfId="5498" xr:uid="{00000000-0005-0000-0000-000057590000}"/>
    <cellStyle name="Normal 2 16 2" xfId="13493" xr:uid="{00000000-0005-0000-0000-000058590000}"/>
    <cellStyle name="Normal 2 16 2 2" xfId="37337" xr:uid="{180EEF91-F1F8-4E24-9949-82623DBA6F89}"/>
    <cellStyle name="Normal 2 16 3" xfId="21442" xr:uid="{00000000-0005-0000-0000-000059590000}"/>
    <cellStyle name="Normal 2 16 3 2" xfId="45274" xr:uid="{A157F319-99EA-46EF-9B76-D25EB890EA28}"/>
    <cellStyle name="Normal 2 16 4" xfId="29396" xr:uid="{B7E78D63-4AB2-44C5-A16D-0AB05EFE9420}"/>
    <cellStyle name="Normal 2 17" xfId="9062" xr:uid="{00000000-0005-0000-0000-00005A590000}"/>
    <cellStyle name="Normal 2 17 2" xfId="17021" xr:uid="{00000000-0005-0000-0000-00005B590000}"/>
    <cellStyle name="Normal 2 17 2 2" xfId="40861" xr:uid="{3269B66B-819B-4AB7-9316-DB77EEDE9B93}"/>
    <cellStyle name="Normal 2 17 3" xfId="24965" xr:uid="{00000000-0005-0000-0000-00005C590000}"/>
    <cellStyle name="Normal 2 17 3 2" xfId="48797" xr:uid="{9A3CD6CF-C3E6-40D7-84E5-7F72EC064C7E}"/>
    <cellStyle name="Normal 2 17 4" xfId="32920" xr:uid="{588FA9DA-27BB-425A-82EA-4C3DC945A1E3}"/>
    <cellStyle name="Normal 2 18" xfId="9950" xr:uid="{00000000-0005-0000-0000-00005D590000}"/>
    <cellStyle name="Normal 2 18 2" xfId="17907" xr:uid="{00000000-0005-0000-0000-00005E590000}"/>
    <cellStyle name="Normal 2 18 2 2" xfId="41745" xr:uid="{02C5C722-951E-4DAE-8BB5-0432FFC85EC9}"/>
    <cellStyle name="Normal 2 18 3" xfId="25849" xr:uid="{00000000-0005-0000-0000-00005F590000}"/>
    <cellStyle name="Normal 2 18 3 2" xfId="49681" xr:uid="{B20B1106-552A-4BA3-BFF6-56243D226A79}"/>
    <cellStyle name="Normal 2 18 4" xfId="33804" xr:uid="{1AF24AAD-962A-4FC2-953F-BA60382AD946}"/>
    <cellStyle name="Normal 2 19" xfId="9959" xr:uid="{00000000-0005-0000-0000-000060590000}"/>
    <cellStyle name="Normal 2 19 2" xfId="33808" xr:uid="{70AD8C96-C0A3-40A1-8793-DED3E2124329}"/>
    <cellStyle name="Normal 2 2" xfId="15" xr:uid="{00000000-0005-0000-0000-000061590000}"/>
    <cellStyle name="Normal 2 2 10" xfId="5495" xr:uid="{00000000-0005-0000-0000-000062590000}"/>
    <cellStyle name="Normal 2 2 10 2" xfId="13491" xr:uid="{00000000-0005-0000-0000-000063590000}"/>
    <cellStyle name="Normal 2 2 10 2 2" xfId="37336" xr:uid="{082509E2-CB2A-4396-A2E6-9D4D0D728F41}"/>
    <cellStyle name="Normal 2 2 10 3" xfId="21441" xr:uid="{00000000-0005-0000-0000-000064590000}"/>
    <cellStyle name="Normal 2 2 10 3 2" xfId="45273" xr:uid="{4F90B1C3-FEF9-4B81-B18C-39539B9C8D68}"/>
    <cellStyle name="Normal 2 2 10 4" xfId="29395" xr:uid="{D38603B3-1628-40C2-8D29-C7BF5C8198BF}"/>
    <cellStyle name="Normal 2 2 11" xfId="5502" xr:uid="{00000000-0005-0000-0000-000065590000}"/>
    <cellStyle name="Normal 2 2 11 2" xfId="13494" xr:uid="{00000000-0005-0000-0000-000066590000}"/>
    <cellStyle name="Normal 2 2 11 2 2" xfId="37338" xr:uid="{A6CD7530-F076-4F2D-8B70-24A85DD02046}"/>
    <cellStyle name="Normal 2 2 11 3" xfId="21443" xr:uid="{00000000-0005-0000-0000-000067590000}"/>
    <cellStyle name="Normal 2 2 11 3 2" xfId="45275" xr:uid="{5417BAB6-1FEF-4C29-B99B-4C7144245821}"/>
    <cellStyle name="Normal 2 2 11 4" xfId="29397" xr:uid="{C7BCEAEE-DAED-4BAD-9F4C-2E3C33BB060E}"/>
    <cellStyle name="Normal 2 2 12" xfId="9063" xr:uid="{00000000-0005-0000-0000-000068590000}"/>
    <cellStyle name="Normal 2 2 12 2" xfId="17022" xr:uid="{00000000-0005-0000-0000-000069590000}"/>
    <cellStyle name="Normal 2 2 12 2 2" xfId="40862" xr:uid="{E99533CF-5C5C-464A-872C-42D7CC6BF07F}"/>
    <cellStyle name="Normal 2 2 12 3" xfId="24966" xr:uid="{00000000-0005-0000-0000-00006A590000}"/>
    <cellStyle name="Normal 2 2 12 3 2" xfId="48798" xr:uid="{A320C410-2794-4ADA-A1BF-715B475A10CA}"/>
    <cellStyle name="Normal 2 2 12 4" xfId="32921" xr:uid="{0C79E119-86B5-4042-80A2-50FC35DEEF6B}"/>
    <cellStyle name="Normal 2 2 13" xfId="9064" xr:uid="{00000000-0005-0000-0000-00006B590000}"/>
    <cellStyle name="Normal 2 2 14" xfId="9951" xr:uid="{00000000-0005-0000-0000-00006C590000}"/>
    <cellStyle name="Normal 2 2 14 2" xfId="17908" xr:uid="{00000000-0005-0000-0000-00006D590000}"/>
    <cellStyle name="Normal 2 2 14 2 2" xfId="41746" xr:uid="{AC16A0B6-914D-4CAC-B3A4-1965BD1FE787}"/>
    <cellStyle name="Normal 2 2 14 3" xfId="25850" xr:uid="{00000000-0005-0000-0000-00006E590000}"/>
    <cellStyle name="Normal 2 2 14 3 2" xfId="49682" xr:uid="{14B83742-4E16-432A-BB69-A3F473692810}"/>
    <cellStyle name="Normal 2 2 14 4" xfId="33805" xr:uid="{2B46D65C-3B24-49BD-8E0E-99D93ADDDADC}"/>
    <cellStyle name="Normal 2 2 15" xfId="9960" xr:uid="{00000000-0005-0000-0000-00006F590000}"/>
    <cellStyle name="Normal 2 2 15 2" xfId="33809" xr:uid="{0F849721-D032-4DA7-A4AB-E7D5645A724C}"/>
    <cellStyle name="Normal 2 2 16" xfId="25862" xr:uid="{00000000-0005-0000-0000-000070590000}"/>
    <cellStyle name="Normal 2 2 2" xfId="663" xr:uid="{00000000-0005-0000-0000-000071590000}"/>
    <cellStyle name="Normal 2 2 2 2" xfId="1689" xr:uid="{00000000-0005-0000-0000-000072590000}"/>
    <cellStyle name="Normal 2 2 2 2 2" xfId="5216" xr:uid="{00000000-0005-0000-0000-000073590000}"/>
    <cellStyle name="Normal 2 2 2 2 2 2" xfId="8807" xr:uid="{00000000-0005-0000-0000-000074590000}"/>
    <cellStyle name="Normal 2 2 2 2 2 2 2" xfId="16777" xr:uid="{00000000-0005-0000-0000-000075590000}"/>
    <cellStyle name="Normal 2 2 2 2 2 2 2 2" xfId="40619" xr:uid="{05CA9161-5010-4CEB-B8F0-0C17F42FF7FE}"/>
    <cellStyle name="Normal 2 2 2 2 2 2 3" xfId="24723" xr:uid="{00000000-0005-0000-0000-000076590000}"/>
    <cellStyle name="Normal 2 2 2 2 2 2 3 2" xfId="48555" xr:uid="{0E3ED9EB-A39A-476F-A1D2-08F74AF61F0A}"/>
    <cellStyle name="Normal 2 2 2 2 2 2 4" xfId="32678" xr:uid="{91C2F312-8529-4910-ACE7-45649C23CB4B}"/>
    <cellStyle name="Normal 2 2 2 2 2 3" xfId="13239" xr:uid="{00000000-0005-0000-0000-000077590000}"/>
    <cellStyle name="Normal 2 2 2 2 2 3 2" xfId="37088" xr:uid="{EDA704F4-FC07-4491-9EE5-44BBC8F41B46}"/>
    <cellStyle name="Normal 2 2 2 2 2 4" xfId="21194" xr:uid="{00000000-0005-0000-0000-000078590000}"/>
    <cellStyle name="Normal 2 2 2 2 2 4 2" xfId="45026" xr:uid="{03EB3905-33CD-4DB5-8999-9B1A383C958F}"/>
    <cellStyle name="Normal 2 2 2 2 2 5" xfId="29147" xr:uid="{9EB6F73E-F6C4-4ADC-AA0E-7B7E1427443B}"/>
    <cellStyle name="Normal 2 2 2 2 3" xfId="7048" xr:uid="{00000000-0005-0000-0000-000079590000}"/>
    <cellStyle name="Normal 2 2 2 2 3 2" xfId="15019" xr:uid="{00000000-0005-0000-0000-00007A590000}"/>
    <cellStyle name="Normal 2 2 2 2 3 2 2" xfId="38861" xr:uid="{CE9BC003-0692-4420-9BBB-DC982FCDA782}"/>
    <cellStyle name="Normal 2 2 2 2 3 3" xfId="22966" xr:uid="{00000000-0005-0000-0000-00007B590000}"/>
    <cellStyle name="Normal 2 2 2 2 3 3 2" xfId="46798" xr:uid="{C099D7F7-285C-4E76-B3DA-ABD4B96DE614}"/>
    <cellStyle name="Normal 2 2 2 2 3 4" xfId="30920" xr:uid="{F33BCA04-70EB-4DE6-9AB5-099F2B65EEF1}"/>
    <cellStyle name="Normal 2 2 2 2 4" xfId="11483" xr:uid="{00000000-0005-0000-0000-00007C590000}"/>
    <cellStyle name="Normal 2 2 2 2 4 2" xfId="35332" xr:uid="{E0042E79-2227-4B90-935C-531902483ABE}"/>
    <cellStyle name="Normal 2 2 2 2 5" xfId="19438" xr:uid="{00000000-0005-0000-0000-00007D590000}"/>
    <cellStyle name="Normal 2 2 2 2 5 2" xfId="43270" xr:uid="{535C7EF9-DE83-430D-A360-947B08448D08}"/>
    <cellStyle name="Normal 2 2 2 2 6" xfId="27390" xr:uid="{EA5B24B8-5048-424C-8E3A-36F617F7F296}"/>
    <cellStyle name="Normal 2 2 2 2_Exh G" xfId="3490" xr:uid="{00000000-0005-0000-0000-00007E590000}"/>
    <cellStyle name="Normal 2 2 2 3" xfId="4337" xr:uid="{00000000-0005-0000-0000-00007F590000}"/>
    <cellStyle name="Normal 2 2 2 3 2" xfId="7929" xr:uid="{00000000-0005-0000-0000-000080590000}"/>
    <cellStyle name="Normal 2 2 2 3 2 2" xfId="15899" xr:uid="{00000000-0005-0000-0000-000081590000}"/>
    <cellStyle name="Normal 2 2 2 3 2 2 2" xfId="39741" xr:uid="{33439CE0-CE7D-4755-8A85-DB06CD12C459}"/>
    <cellStyle name="Normal 2 2 2 3 2 3" xfId="23845" xr:uid="{00000000-0005-0000-0000-000082590000}"/>
    <cellStyle name="Normal 2 2 2 3 2 3 2" xfId="47677" xr:uid="{C95BE1C7-7092-4C80-B915-D77F176D27FA}"/>
    <cellStyle name="Normal 2 2 2 3 2 4" xfId="31800" xr:uid="{43674D97-25E4-47F9-9273-2FE0F38E34B7}"/>
    <cellStyle name="Normal 2 2 2 3 3" xfId="12361" xr:uid="{00000000-0005-0000-0000-000083590000}"/>
    <cellStyle name="Normal 2 2 2 3 3 2" xfId="36210" xr:uid="{8EC68992-412D-4326-A729-C7435C60DA30}"/>
    <cellStyle name="Normal 2 2 2 3 4" xfId="20316" xr:uid="{00000000-0005-0000-0000-000084590000}"/>
    <cellStyle name="Normal 2 2 2 3 4 2" xfId="44148" xr:uid="{EB2B009D-CAAF-4020-8C78-E2F441B7F5B4}"/>
    <cellStyle name="Normal 2 2 2 3 5" xfId="28269" xr:uid="{531493D9-4D06-465C-906A-8E5142A9B286}"/>
    <cellStyle name="Normal 2 2 2 4" xfId="6157" xr:uid="{00000000-0005-0000-0000-000085590000}"/>
    <cellStyle name="Normal 2 2 2 4 2" xfId="14140" xr:uid="{00000000-0005-0000-0000-000086590000}"/>
    <cellStyle name="Normal 2 2 2 4 2 2" xfId="37983" xr:uid="{D24C46E5-331E-4913-8166-862CB5374948}"/>
    <cellStyle name="Normal 2 2 2 4 3" xfId="22088" xr:uid="{00000000-0005-0000-0000-000087590000}"/>
    <cellStyle name="Normal 2 2 2 4 3 2" xfId="45920" xr:uid="{2AF5DE24-4476-42C2-9CC0-B674FC17886E}"/>
    <cellStyle name="Normal 2 2 2 4 4" xfId="30042" xr:uid="{3451B5C1-0E4A-45EC-ACF5-320C4445F41D}"/>
    <cellStyle name="Normal 2 2 2 5" xfId="9709" xr:uid="{00000000-0005-0000-0000-000088590000}"/>
    <cellStyle name="Normal 2 2 2 5 2" xfId="17667" xr:uid="{00000000-0005-0000-0000-000089590000}"/>
    <cellStyle name="Normal 2 2 2 5 2 2" xfId="41507" xr:uid="{783F2A89-7B65-497E-AD09-46A24481B1DD}"/>
    <cellStyle name="Normal 2 2 2 5 3" xfId="25611" xr:uid="{00000000-0005-0000-0000-00008A590000}"/>
    <cellStyle name="Normal 2 2 2 5 3 2" xfId="49443" xr:uid="{EB2983A7-1585-4556-B915-7E0AA62DFC89}"/>
    <cellStyle name="Normal 2 2 2 5 4" xfId="33566" xr:uid="{57BCB749-2C18-405D-BAA0-C9BD2C8E135D}"/>
    <cellStyle name="Normal 2 2 2 6" xfId="10605" xr:uid="{00000000-0005-0000-0000-00008B590000}"/>
    <cellStyle name="Normal 2 2 2 6 2" xfId="34454" xr:uid="{8D8C0D61-4FC5-4710-ADD6-467999521D39}"/>
    <cellStyle name="Normal 2 2 2 7" xfId="18560" xr:uid="{00000000-0005-0000-0000-00008C590000}"/>
    <cellStyle name="Normal 2 2 2 7 2" xfId="42392" xr:uid="{11890A84-5A03-4FDF-B816-7FC30A4E1939}"/>
    <cellStyle name="Normal 2 2 2 8" xfId="26512" xr:uid="{A533B630-704F-4A5A-8572-06F9C37601E9}"/>
    <cellStyle name="Normal 2 2 2_Exh G" xfId="3489" xr:uid="{00000000-0005-0000-0000-00008D590000}"/>
    <cellStyle name="Normal 2 2 4" xfId="3692" xr:uid="{00000000-0005-0000-0000-00008F590000}"/>
    <cellStyle name="Normal 2 2 5" xfId="5463" xr:uid="{00000000-0005-0000-0000-000090590000}"/>
    <cellStyle name="Normal 2 2 5 2" xfId="9048" xr:uid="{00000000-0005-0000-0000-000091590000}"/>
    <cellStyle name="Normal 2 2 5 2 2" xfId="17013" xr:uid="{00000000-0005-0000-0000-000092590000}"/>
    <cellStyle name="Normal 2 2 5 2 2 2" xfId="40855" xr:uid="{88A756D3-8C04-4845-8D43-EBC4D0EF0BF8}"/>
    <cellStyle name="Normal 2 2 5 2 3" xfId="24959" xr:uid="{00000000-0005-0000-0000-000093590000}"/>
    <cellStyle name="Normal 2 2 5 2 3 2" xfId="48791" xr:uid="{49E2727D-A7F0-44C2-9B08-11D0AD8A2C65}"/>
    <cellStyle name="Normal 2 2 5 2 4" xfId="32914" xr:uid="{CA1478AB-A214-49BD-8E08-620EE9E64940}"/>
    <cellStyle name="Normal 2 2 5 3" xfId="13476" xr:uid="{00000000-0005-0000-0000-000094590000}"/>
    <cellStyle name="Normal 2 2 5 3 2" xfId="37325" xr:uid="{B4EFB79E-C46A-4479-9A10-2D73D4DFA6B6}"/>
    <cellStyle name="Normal 2 2 5 4" xfId="21430" xr:uid="{00000000-0005-0000-0000-000095590000}"/>
    <cellStyle name="Normal 2 2 5 4 2" xfId="45262" xr:uid="{D53C26F2-1C9E-4F23-9895-70FEBA490119}"/>
    <cellStyle name="Normal 2 2 5 5" xfId="29384" xr:uid="{5EE61492-D19A-4A65-AF12-A74B76449568}"/>
    <cellStyle name="Normal 2 2 6" xfId="5470" xr:uid="{00000000-0005-0000-0000-000096590000}"/>
    <cellStyle name="Normal 2 2 6 2" xfId="9050" xr:uid="{00000000-0005-0000-0000-000097590000}"/>
    <cellStyle name="Normal 2 2 6 2 2" xfId="17014" xr:uid="{00000000-0005-0000-0000-000098590000}"/>
    <cellStyle name="Normal 2 2 6 2 2 2" xfId="40856" xr:uid="{1310FF05-7ACF-4319-BB71-FCB8DEB38D75}"/>
    <cellStyle name="Normal 2 2 6 2 3" xfId="24960" xr:uid="{00000000-0005-0000-0000-000099590000}"/>
    <cellStyle name="Normal 2 2 6 2 3 2" xfId="48792" xr:uid="{EBE4349C-766D-4979-BC9C-68EED463584C}"/>
    <cellStyle name="Normal 2 2 6 2 4" xfId="32915" xr:uid="{AEC58115-9E0A-4580-A821-2E6C03516575}"/>
    <cellStyle name="Normal 2 2 6 3" xfId="13477" xr:uid="{00000000-0005-0000-0000-00009A590000}"/>
    <cellStyle name="Normal 2 2 6 3 2" xfId="37326" xr:uid="{A20B7E8B-083A-478E-B0B1-A301531E6E5D}"/>
    <cellStyle name="Normal 2 2 6 4" xfId="21431" xr:uid="{00000000-0005-0000-0000-00009B590000}"/>
    <cellStyle name="Normal 2 2 6 4 2" xfId="45263" xr:uid="{C295ED51-20FB-485D-A459-A0F5468CF889}"/>
    <cellStyle name="Normal 2 2 6 5" xfId="29385" xr:uid="{6C6C0616-AC05-494F-A0D8-155AD4CE91D2}"/>
    <cellStyle name="Normal 2 2 7" xfId="5488" xr:uid="{00000000-0005-0000-0000-00009C590000}"/>
    <cellStyle name="Normal 2 2 7 2" xfId="5512" xr:uid="{00000000-0005-0000-0000-00009D590000}"/>
    <cellStyle name="Normal 2 2 7 3" xfId="13485" xr:uid="{00000000-0005-0000-0000-00009E590000}"/>
    <cellStyle name="Normal 2 2 7 3 2" xfId="37332" xr:uid="{D36A97EF-0044-4C2D-B982-AE1C85B5D74A}"/>
    <cellStyle name="Normal 2 2 7 4" xfId="21437" xr:uid="{00000000-0005-0000-0000-00009F590000}"/>
    <cellStyle name="Normal 2 2 7 4 2" xfId="45269" xr:uid="{9FB16E1F-4F17-410A-BD7C-62D637A1F2B7}"/>
    <cellStyle name="Normal 2 2 7 5" xfId="29391" xr:uid="{1908E5A6-4CB3-4AF0-BDBB-77AEAC16E6AD}"/>
    <cellStyle name="Normal 2 2 8" xfId="5490" xr:uid="{00000000-0005-0000-0000-0000A0590000}"/>
    <cellStyle name="Normal 2 2 8 2" xfId="13486" xr:uid="{00000000-0005-0000-0000-0000A1590000}"/>
    <cellStyle name="Normal 2 2 8 2 2" xfId="37333" xr:uid="{7C778C82-E261-4523-A3F6-D534F94A0B9A}"/>
    <cellStyle name="Normal 2 2 8 3" xfId="21438" xr:uid="{00000000-0005-0000-0000-0000A2590000}"/>
    <cellStyle name="Normal 2 2 8 3 2" xfId="45270" xr:uid="{23180705-62E1-41D5-AB60-7E3706506D00}"/>
    <cellStyle name="Normal 2 2 8 4" xfId="29392" xr:uid="{17FE8D38-CA3B-4721-B774-2E489D2BA79D}"/>
    <cellStyle name="Normal 2 2 9" xfId="5494" xr:uid="{00000000-0005-0000-0000-0000A3590000}"/>
    <cellStyle name="Normal 2 2 9 2" xfId="13490" xr:uid="{00000000-0005-0000-0000-0000A4590000}"/>
    <cellStyle name="Normal 2 2 9 2 2" xfId="37335" xr:uid="{306A2A7B-3CE3-44EB-9CB7-5DFAA8155466}"/>
    <cellStyle name="Normal 2 2 9 3" xfId="21440" xr:uid="{00000000-0005-0000-0000-0000A5590000}"/>
    <cellStyle name="Normal 2 2 9 3 2" xfId="45272" xr:uid="{7D93B973-DD5F-47CA-9364-E77D1E5A1AEA}"/>
    <cellStyle name="Normal 2 2 9 4" xfId="29394" xr:uid="{52A38E6E-C4FC-4E37-9EE8-9C54BF410621}"/>
    <cellStyle name="Normal 2 2_Exh G" xfId="3488" xr:uid="{00000000-0005-0000-0000-0000A6590000}"/>
    <cellStyle name="Normal 2 3" xfId="664" xr:uid="{00000000-0005-0000-0000-0000A7590000}"/>
    <cellStyle name="Normal 2 3 10" xfId="26513" xr:uid="{7EBA1C10-6AC7-46C9-B9F6-14DD8768E21C}"/>
    <cellStyle name="Normal 2 3 2" xfId="833" xr:uid="{00000000-0005-0000-0000-0000A8590000}"/>
    <cellStyle name="Normal 2 3 2 2" xfId="1769" xr:uid="{00000000-0005-0000-0000-0000A9590000}"/>
    <cellStyle name="Normal 2 3 2_Exh G" xfId="3492" xr:uid="{00000000-0005-0000-0000-0000AA590000}"/>
    <cellStyle name="Normal 2 3 3" xfId="1690" xr:uid="{00000000-0005-0000-0000-0000AB590000}"/>
    <cellStyle name="Normal 2 3 3 2" xfId="5217" xr:uid="{00000000-0005-0000-0000-0000AC590000}"/>
    <cellStyle name="Normal 2 3 3 2 2" xfId="8808" xr:uid="{00000000-0005-0000-0000-0000AD590000}"/>
    <cellStyle name="Normal 2 3 3 2 2 2" xfId="16778" xr:uid="{00000000-0005-0000-0000-0000AE590000}"/>
    <cellStyle name="Normal 2 3 3 2 2 2 2" xfId="40620" xr:uid="{90C35C50-1CCC-4D16-B9D4-7D140862FABE}"/>
    <cellStyle name="Normal 2 3 3 2 2 3" xfId="24724" xr:uid="{00000000-0005-0000-0000-0000AF590000}"/>
    <cellStyle name="Normal 2 3 3 2 2 3 2" xfId="48556" xr:uid="{435577D2-9E4E-4980-97DD-6D64DE722813}"/>
    <cellStyle name="Normal 2 3 3 2 2 4" xfId="32679" xr:uid="{CAFF9C11-B42D-40F7-A44E-6190F3740C44}"/>
    <cellStyle name="Normal 2 3 3 2 3" xfId="13240" xr:uid="{00000000-0005-0000-0000-0000B0590000}"/>
    <cellStyle name="Normal 2 3 3 2 3 2" xfId="37089" xr:uid="{E4540856-B6E0-4558-BF0F-BBEE50BB76FE}"/>
    <cellStyle name="Normal 2 3 3 2 4" xfId="21195" xr:uid="{00000000-0005-0000-0000-0000B1590000}"/>
    <cellStyle name="Normal 2 3 3 2 4 2" xfId="45027" xr:uid="{C67BF61D-BB2B-4F57-A0DD-0259F1CAC28A}"/>
    <cellStyle name="Normal 2 3 3 2 5" xfId="29148" xr:uid="{7EF5649A-4D0F-419C-A36A-7F90E506E9A9}"/>
    <cellStyle name="Normal 2 3 3 3" xfId="7049" xr:uid="{00000000-0005-0000-0000-0000B2590000}"/>
    <cellStyle name="Normal 2 3 3 3 2" xfId="15020" xr:uid="{00000000-0005-0000-0000-0000B3590000}"/>
    <cellStyle name="Normal 2 3 3 3 2 2" xfId="38862" xr:uid="{78D59A54-CB50-43FE-BB09-C45E2A08932A}"/>
    <cellStyle name="Normal 2 3 3 3 3" xfId="22967" xr:uid="{00000000-0005-0000-0000-0000B4590000}"/>
    <cellStyle name="Normal 2 3 3 3 3 2" xfId="46799" xr:uid="{1AB9F581-AB55-4674-87E2-9BD9A8AD4539}"/>
    <cellStyle name="Normal 2 3 3 3 4" xfId="30921" xr:uid="{1ECF316E-85A0-45EA-88F5-28F2A0D0606B}"/>
    <cellStyle name="Normal 2 3 3 4" xfId="11484" xr:uid="{00000000-0005-0000-0000-0000B5590000}"/>
    <cellStyle name="Normal 2 3 3 4 2" xfId="35333" xr:uid="{E36C6936-189E-4773-8C2E-8055E6B061DA}"/>
    <cellStyle name="Normal 2 3 3 5" xfId="19439" xr:uid="{00000000-0005-0000-0000-0000B6590000}"/>
    <cellStyle name="Normal 2 3 3 5 2" xfId="43271" xr:uid="{DE681D3C-F13F-403C-A4E6-6F3708F1E9D8}"/>
    <cellStyle name="Normal 2 3 3 6" xfId="27391" xr:uid="{1653CD93-4888-426A-BB54-C21D8524F198}"/>
    <cellStyle name="Normal 2 3 3_Exh G" xfId="3493" xr:uid="{00000000-0005-0000-0000-0000B7590000}"/>
    <cellStyle name="Normal 2 3 4" xfId="4338" xr:uid="{00000000-0005-0000-0000-0000B8590000}"/>
    <cellStyle name="Normal 2 3 4 2" xfId="7930" xr:uid="{00000000-0005-0000-0000-0000B9590000}"/>
    <cellStyle name="Normal 2 3 4 2 2" xfId="15900" xr:uid="{00000000-0005-0000-0000-0000BA590000}"/>
    <cellStyle name="Normal 2 3 4 2 2 2" xfId="39742" xr:uid="{762279E9-D1C7-40C8-A0E7-E91A8610B236}"/>
    <cellStyle name="Normal 2 3 4 2 3" xfId="23846" xr:uid="{00000000-0005-0000-0000-0000BB590000}"/>
    <cellStyle name="Normal 2 3 4 2 3 2" xfId="47678" xr:uid="{7CB39C11-37AE-4612-98F6-0CF4EFA3CEC9}"/>
    <cellStyle name="Normal 2 3 4 2 4" xfId="31801" xr:uid="{2F265F1C-60EC-41ED-BF25-A1F62713AE1B}"/>
    <cellStyle name="Normal 2 3 4 3" xfId="12362" xr:uid="{00000000-0005-0000-0000-0000BC590000}"/>
    <cellStyle name="Normal 2 3 4 3 2" xfId="36211" xr:uid="{EE1DAE62-740A-41E9-9AD7-C299559DF50E}"/>
    <cellStyle name="Normal 2 3 4 4" xfId="20317" xr:uid="{00000000-0005-0000-0000-0000BD590000}"/>
    <cellStyle name="Normal 2 3 4 4 2" xfId="44149" xr:uid="{89A83E7E-573B-4DED-9DEF-0E3D8F307C8E}"/>
    <cellStyle name="Normal 2 3 4 5" xfId="28270" xr:uid="{6065C7AB-0447-42E8-ABDC-FB049FDA2FB4}"/>
    <cellStyle name="Normal 2 3 5" xfId="6158" xr:uid="{00000000-0005-0000-0000-0000BE590000}"/>
    <cellStyle name="Normal 2 3 5 2" xfId="14141" xr:uid="{00000000-0005-0000-0000-0000BF590000}"/>
    <cellStyle name="Normal 2 3 5 2 2" xfId="37984" xr:uid="{BA400C9A-3D47-4FCE-AA87-AE403D3F29BA}"/>
    <cellStyle name="Normal 2 3 5 3" xfId="22089" xr:uid="{00000000-0005-0000-0000-0000C0590000}"/>
    <cellStyle name="Normal 2 3 5 3 2" xfId="45921" xr:uid="{C60554F8-2F8B-4D3E-8CDB-BFBE0D19672E}"/>
    <cellStyle name="Normal 2 3 5 4" xfId="30043" xr:uid="{3B8DB166-7767-481E-865D-CEF0394B7825}"/>
    <cellStyle name="Normal 2 3 6" xfId="7283" xr:uid="{00000000-0005-0000-0000-0000C1590000}"/>
    <cellStyle name="Normal 2 3 6 2" xfId="15253" xr:uid="{00000000-0005-0000-0000-0000C2590000}"/>
    <cellStyle name="Normal 2 3 6 2 2" xfId="39095" xr:uid="{4C99232A-9244-4E81-8E45-ADC941EE2F96}"/>
    <cellStyle name="Normal 2 3 6 3" xfId="23200" xr:uid="{00000000-0005-0000-0000-0000C3590000}"/>
    <cellStyle name="Normal 2 3 6 3 2" xfId="47032" xr:uid="{766C022F-E377-4282-B319-51BB404DF9DE}"/>
    <cellStyle name="Normal 2 3 6 4" xfId="31154" xr:uid="{52FBFC9B-8C4B-4E4B-88C5-D4BC54DB9293}"/>
    <cellStyle name="Normal 2 3 7" xfId="9710" xr:uid="{00000000-0005-0000-0000-0000C4590000}"/>
    <cellStyle name="Normal 2 3 7 2" xfId="17668" xr:uid="{00000000-0005-0000-0000-0000C5590000}"/>
    <cellStyle name="Normal 2 3 7 2 2" xfId="41508" xr:uid="{AA492640-635A-4E01-9DDB-CACBFDC00E8B}"/>
    <cellStyle name="Normal 2 3 7 3" xfId="25612" xr:uid="{00000000-0005-0000-0000-0000C6590000}"/>
    <cellStyle name="Normal 2 3 7 3 2" xfId="49444" xr:uid="{4CEBB174-DA2B-4DCB-8B06-E0239BE4CF4F}"/>
    <cellStyle name="Normal 2 3 7 4" xfId="33567" xr:uid="{25FA3257-ADC0-4433-AAEA-96FBCA3598D5}"/>
    <cellStyle name="Normal 2 3 8" xfId="10606" xr:uid="{00000000-0005-0000-0000-0000C7590000}"/>
    <cellStyle name="Normal 2 3 8 2" xfId="34455" xr:uid="{A5C7D6F2-9B83-41D7-8EB9-8113DCDD16CF}"/>
    <cellStyle name="Normal 2 3 9" xfId="18561" xr:uid="{00000000-0005-0000-0000-0000C8590000}"/>
    <cellStyle name="Normal 2 3 9 2" xfId="42393" xr:uid="{1D6B96BF-8056-48B5-BCE2-DC1E5B875302}"/>
    <cellStyle name="Normal 2 3_Exh G" xfId="3491" xr:uid="{00000000-0005-0000-0000-0000C9590000}"/>
    <cellStyle name="Normal 2 4" xfId="826" xr:uid="{00000000-0005-0000-0000-0000CA590000}"/>
    <cellStyle name="Normal 2 4 2" xfId="1764" xr:uid="{00000000-0005-0000-0000-0000CB590000}"/>
    <cellStyle name="Normal 2 4_Exh G" xfId="3494" xr:uid="{00000000-0005-0000-0000-0000CC590000}"/>
    <cellStyle name="Normal 2 5" xfId="834" xr:uid="{00000000-0005-0000-0000-0000CD590000}"/>
    <cellStyle name="Normal 2 5 2" xfId="1770" xr:uid="{00000000-0005-0000-0000-0000CE590000}"/>
    <cellStyle name="Normal 2 5_Exh G" xfId="3495" xr:uid="{00000000-0005-0000-0000-0000CF590000}"/>
    <cellStyle name="Normal 2 6" xfId="835" xr:uid="{00000000-0005-0000-0000-0000D0590000}"/>
    <cellStyle name="Normal 2 6 2" xfId="1771" xr:uid="{00000000-0005-0000-0000-0000D1590000}"/>
    <cellStyle name="Normal 2 6_Exh G" xfId="3496" xr:uid="{00000000-0005-0000-0000-0000D2590000}"/>
    <cellStyle name="Normal 2 7" xfId="836" xr:uid="{00000000-0005-0000-0000-0000D3590000}"/>
    <cellStyle name="Normal 2 7 2" xfId="855" xr:uid="{00000000-0005-0000-0000-0000D4590000}"/>
    <cellStyle name="Normal 2 7 2 2" xfId="1790" xr:uid="{00000000-0005-0000-0000-0000D5590000}"/>
    <cellStyle name="Normal 2 7 2_Exh G" xfId="3498" xr:uid="{00000000-0005-0000-0000-0000D6590000}"/>
    <cellStyle name="Normal 2 7 3" xfId="1772" xr:uid="{00000000-0005-0000-0000-0000D7590000}"/>
    <cellStyle name="Normal 2 7_Exh G" xfId="3497" xr:uid="{00000000-0005-0000-0000-0000D8590000}"/>
    <cellStyle name="Normal 2 8" xfId="856" xr:uid="{00000000-0005-0000-0000-0000D9590000}"/>
    <cellStyle name="Normal 2 8 2" xfId="1791" xr:uid="{00000000-0005-0000-0000-0000DA590000}"/>
    <cellStyle name="Normal 2 8_Exh G" xfId="3499" xr:uid="{00000000-0005-0000-0000-0000DB590000}"/>
    <cellStyle name="Normal 2 9" xfId="1014" xr:uid="{00000000-0005-0000-0000-0000DC590000}"/>
    <cellStyle name="Normal 20" xfId="825" xr:uid="{00000000-0005-0000-0000-0000DD590000}"/>
    <cellStyle name="Normal 21" xfId="827" xr:uid="{00000000-0005-0000-0000-0000DE590000}"/>
    <cellStyle name="Normal 22" xfId="828" xr:uid="{00000000-0005-0000-0000-0000DF590000}"/>
    <cellStyle name="Normal 22 10" xfId="18635" xr:uid="{00000000-0005-0000-0000-0000E0590000}"/>
    <cellStyle name="Normal 22 10 2" xfId="42467" xr:uid="{31947228-6284-4DC2-9617-ACA2E6EA5459}"/>
    <cellStyle name="Normal 22 11" xfId="26587" xr:uid="{22396913-E7FA-4A6A-886D-15E72AB366BD}"/>
    <cellStyle name="Normal 22 2" xfId="1765" xr:uid="{00000000-0005-0000-0000-0000E1590000}"/>
    <cellStyle name="Normal 22 2 2" xfId="5291" xr:uid="{00000000-0005-0000-0000-0000E2590000}"/>
    <cellStyle name="Normal 22 2 2 2" xfId="8882" xr:uid="{00000000-0005-0000-0000-0000E3590000}"/>
    <cellStyle name="Normal 22 2 2 2 2" xfId="16852" xr:uid="{00000000-0005-0000-0000-0000E4590000}"/>
    <cellStyle name="Normal 22 2 2 2 2 2" xfId="40694" xr:uid="{DDDCBC29-0FE7-4281-8F0F-37E524ADB6C4}"/>
    <cellStyle name="Normal 22 2 2 2 3" xfId="24798" xr:uid="{00000000-0005-0000-0000-0000E5590000}"/>
    <cellStyle name="Normal 22 2 2 2 3 2" xfId="48630" xr:uid="{B2D42A6F-44C8-433A-A967-8B71AAD503C0}"/>
    <cellStyle name="Normal 22 2 2 2 4" xfId="32753" xr:uid="{52F6FDD4-6F20-44CD-828F-FEC7B155E5D4}"/>
    <cellStyle name="Normal 22 2 2 3" xfId="13314" xr:uid="{00000000-0005-0000-0000-0000E6590000}"/>
    <cellStyle name="Normal 22 2 2 3 2" xfId="37163" xr:uid="{D0B876EC-1ED2-4CA0-B5FF-0AA4CE1FE720}"/>
    <cellStyle name="Normal 22 2 2 4" xfId="21269" xr:uid="{00000000-0005-0000-0000-0000E7590000}"/>
    <cellStyle name="Normal 22 2 2 4 2" xfId="45101" xr:uid="{7C5CCC13-182D-4687-92CF-18CE7A7F3A03}"/>
    <cellStyle name="Normal 22 2 2 5" xfId="29222" xr:uid="{8D9EC4CE-FCE0-4F99-B331-6DBE7A39806A}"/>
    <cellStyle name="Normal 22 2 3" xfId="7123" xr:uid="{00000000-0005-0000-0000-0000E8590000}"/>
    <cellStyle name="Normal 22 2 3 2" xfId="15094" xr:uid="{00000000-0005-0000-0000-0000E9590000}"/>
    <cellStyle name="Normal 22 2 3 2 2" xfId="38936" xr:uid="{9C1DB8D1-C330-43A2-ACAC-59B566FB0108}"/>
    <cellStyle name="Normal 22 2 3 3" xfId="23041" xr:uid="{00000000-0005-0000-0000-0000EA590000}"/>
    <cellStyle name="Normal 22 2 3 3 2" xfId="46873" xr:uid="{C1CAA8DD-E0F7-40BF-A182-C76C11E456C2}"/>
    <cellStyle name="Normal 22 2 3 4" xfId="30995" xr:uid="{54062A95-16E3-4AB0-AC49-E38A08066BBE}"/>
    <cellStyle name="Normal 22 2 4" xfId="11558" xr:uid="{00000000-0005-0000-0000-0000EB590000}"/>
    <cellStyle name="Normal 22 2 4 2" xfId="35407" xr:uid="{9C1389D6-74C0-4D27-85BB-97E1DCE188CE}"/>
    <cellStyle name="Normal 22 2 5" xfId="19513" xr:uid="{00000000-0005-0000-0000-0000EC590000}"/>
    <cellStyle name="Normal 22 2 5 2" xfId="43345" xr:uid="{FC021F9D-6F30-488C-B592-2A521BCADAD3}"/>
    <cellStyle name="Normal 22 2 6" xfId="27465" xr:uid="{5608E945-EC8A-44BC-8647-BBC3C43DB392}"/>
    <cellStyle name="Normal 22 2_Exh G" xfId="3501" xr:uid="{00000000-0005-0000-0000-0000ED590000}"/>
    <cellStyle name="Normal 22 3" xfId="4412" xr:uid="{00000000-0005-0000-0000-0000EE590000}"/>
    <cellStyle name="Normal 22 3 2" xfId="8004" xr:uid="{00000000-0005-0000-0000-0000EF590000}"/>
    <cellStyle name="Normal 22 3 2 2" xfId="15974" xr:uid="{00000000-0005-0000-0000-0000F0590000}"/>
    <cellStyle name="Normal 22 3 2 2 2" xfId="39816" xr:uid="{56D5E541-6DDE-4745-AF59-92BC17C4173F}"/>
    <cellStyle name="Normal 22 3 2 3" xfId="23920" xr:uid="{00000000-0005-0000-0000-0000F1590000}"/>
    <cellStyle name="Normal 22 3 2 3 2" xfId="47752" xr:uid="{22A788EF-6240-4A9D-B221-C77B3C4EC4BB}"/>
    <cellStyle name="Normal 22 3 2 4" xfId="31875" xr:uid="{D1CA4997-3216-4458-80E2-8FCBF9B03B4A}"/>
    <cellStyle name="Normal 22 3 3" xfId="12436" xr:uid="{00000000-0005-0000-0000-0000F2590000}"/>
    <cellStyle name="Normal 22 3 3 2" xfId="36285" xr:uid="{8EB68725-02DF-414E-8FD2-C88B8FF385AC}"/>
    <cellStyle name="Normal 22 3 4" xfId="20391" xr:uid="{00000000-0005-0000-0000-0000F3590000}"/>
    <cellStyle name="Normal 22 3 4 2" xfId="44223" xr:uid="{53D26A7E-9369-4D1C-8C24-FFD231E16DD8}"/>
    <cellStyle name="Normal 22 3 5" xfId="28344" xr:uid="{3B337913-C627-4DC7-9731-DC86153553D6}"/>
    <cellStyle name="Normal 22 4" xfId="5479" xr:uid="{00000000-0005-0000-0000-0000F4590000}"/>
    <cellStyle name="Normal 22 4 2" xfId="9058" xr:uid="{00000000-0005-0000-0000-0000F5590000}"/>
    <cellStyle name="Normal 22 4 2 2" xfId="17017" xr:uid="{00000000-0005-0000-0000-0000F6590000}"/>
    <cellStyle name="Normal 22 4 2 2 2" xfId="40859" xr:uid="{EAF5C9A6-5CA1-4BE6-BF5E-1F6371DD2244}"/>
    <cellStyle name="Normal 22 4 2 3" xfId="24963" xr:uid="{00000000-0005-0000-0000-0000F7590000}"/>
    <cellStyle name="Normal 22 4 2 3 2" xfId="48795" xr:uid="{BC005DE5-D234-4D6B-90A7-5204863496A4}"/>
    <cellStyle name="Normal 22 4 2 4" xfId="32918" xr:uid="{2EEC1C81-079C-40DC-8DC8-107D000D5EC9}"/>
    <cellStyle name="Normal 22 4 3" xfId="13480" xr:uid="{00000000-0005-0000-0000-0000F8590000}"/>
    <cellStyle name="Normal 22 4 3 2" xfId="37329" xr:uid="{9259C4E1-45CA-4B30-90E8-91C96AEC2196}"/>
    <cellStyle name="Normal 22 4 4" xfId="21434" xr:uid="{00000000-0005-0000-0000-0000F9590000}"/>
    <cellStyle name="Normal 22 4 4 2" xfId="45266" xr:uid="{A0A47890-6605-4BB7-A0D6-D5D94B907FA4}"/>
    <cellStyle name="Normal 22 4 5" xfId="29388" xr:uid="{47D5B65B-972E-4ACB-ABAB-0B53F7519B24}"/>
    <cellStyle name="Normal 22 5" xfId="6242" xr:uid="{00000000-0005-0000-0000-0000FA590000}"/>
    <cellStyle name="Normal 22 5 2" xfId="14216" xr:uid="{00000000-0005-0000-0000-0000FB590000}"/>
    <cellStyle name="Normal 22 5 2 2" xfId="38058" xr:uid="{1F09014C-EF47-4D0F-9B91-5C5A12202349}"/>
    <cellStyle name="Normal 22 5 3" xfId="22163" xr:uid="{00000000-0005-0000-0000-0000FC590000}"/>
    <cellStyle name="Normal 22 5 3 2" xfId="45995" xr:uid="{DF88879D-188E-41F7-ACD2-3410797478C3}"/>
    <cellStyle name="Normal 22 5 4" xfId="30117" xr:uid="{228773AF-E040-46F9-B4AD-20C59322F245}"/>
    <cellStyle name="Normal 22 6" xfId="9784" xr:uid="{00000000-0005-0000-0000-0000FD590000}"/>
    <cellStyle name="Normal 22 6 2" xfId="17742" xr:uid="{00000000-0005-0000-0000-0000FE590000}"/>
    <cellStyle name="Normal 22 6 2 2" xfId="41582" xr:uid="{507227AD-AE84-46F8-A6D9-FE57AE4C0617}"/>
    <cellStyle name="Normal 22 6 3" xfId="25686" xr:uid="{00000000-0005-0000-0000-0000FF590000}"/>
    <cellStyle name="Normal 22 6 3 2" xfId="49518" xr:uid="{F7D58918-755D-4766-8F2B-B92A63474A72}"/>
    <cellStyle name="Normal 22 6 4" xfId="33641" xr:uid="{14896CC1-337C-43C6-8B87-F429D1BA760D}"/>
    <cellStyle name="Normal 22 7" xfId="9944" xr:uid="{00000000-0005-0000-0000-0000005A0000}"/>
    <cellStyle name="Normal 22 7 2" xfId="17902" xr:uid="{00000000-0005-0000-0000-0000015A0000}"/>
    <cellStyle name="Normal 22 7 2 2" xfId="41742" xr:uid="{3CFF87DE-AE81-4EC7-9B75-61D7C8C23A57}"/>
    <cellStyle name="Normal 22 7 3" xfId="25846" xr:uid="{00000000-0005-0000-0000-0000025A0000}"/>
    <cellStyle name="Normal 22 7 3 2" xfId="49678" xr:uid="{929F3391-080B-40DF-8472-0AEC53304DDD}"/>
    <cellStyle name="Normal 22 7 4" xfId="33801" xr:uid="{EF7EA776-EF8E-45EF-A108-083DE36E14D3}"/>
    <cellStyle name="Normal 22 8" xfId="9946" xr:uid="{00000000-0005-0000-0000-0000035A0000}"/>
    <cellStyle name="Normal 22 8 2" xfId="17904" xr:uid="{00000000-0005-0000-0000-0000045A0000}"/>
    <cellStyle name="Normal 22 8 2 2" xfId="41744" xr:uid="{6E769E63-D316-4403-B88F-79D7D2FBA8C4}"/>
    <cellStyle name="Normal 22 8 3" xfId="25848" xr:uid="{00000000-0005-0000-0000-0000055A0000}"/>
    <cellStyle name="Normal 22 8 3 2" xfId="49680" xr:uid="{ECA951CB-90DE-4CDA-8097-C4E836E07820}"/>
    <cellStyle name="Normal 22 8 4" xfId="33803" xr:uid="{666EC59C-8EB4-468C-B427-971B90C4C90F}"/>
    <cellStyle name="Normal 22 9" xfId="10680" xr:uid="{00000000-0005-0000-0000-0000065A0000}"/>
    <cellStyle name="Normal 22 9 2" xfId="34529" xr:uid="{5557E314-5136-4A49-BF07-D5159F78D705}"/>
    <cellStyle name="Normal 22_Exh G" xfId="3500" xr:uid="{00000000-0005-0000-0000-0000075A0000}"/>
    <cellStyle name="Normal 23" xfId="837" xr:uid="{00000000-0005-0000-0000-0000085A0000}"/>
    <cellStyle name="Normal 24" xfId="838" xr:uid="{00000000-0005-0000-0000-0000095A0000}"/>
    <cellStyle name="Normal 24 2" xfId="1773" xr:uid="{00000000-0005-0000-0000-00000A5A0000}"/>
    <cellStyle name="Normal 24 2 2" xfId="5293" xr:uid="{00000000-0005-0000-0000-00000B5A0000}"/>
    <cellStyle name="Normal 24 2 2 2" xfId="8884" xr:uid="{00000000-0005-0000-0000-00000C5A0000}"/>
    <cellStyle name="Normal 24 2 2 2 2" xfId="16854" xr:uid="{00000000-0005-0000-0000-00000D5A0000}"/>
    <cellStyle name="Normal 24 2 2 2 2 2" xfId="40696" xr:uid="{78E4027E-58AB-4BE8-BAB6-37B646854A9C}"/>
    <cellStyle name="Normal 24 2 2 2 3" xfId="24800" xr:uid="{00000000-0005-0000-0000-00000E5A0000}"/>
    <cellStyle name="Normal 24 2 2 2 3 2" xfId="48632" xr:uid="{5A50FE6A-DE5C-4BED-B204-783E0F9116C0}"/>
    <cellStyle name="Normal 24 2 2 2 4" xfId="32755" xr:uid="{A5423978-E5E9-4E90-8608-8CC7FD683C2E}"/>
    <cellStyle name="Normal 24 2 2 3" xfId="13316" xr:uid="{00000000-0005-0000-0000-00000F5A0000}"/>
    <cellStyle name="Normal 24 2 2 3 2" xfId="37165" xr:uid="{429555E4-E1BF-4C66-911A-97D8FA687943}"/>
    <cellStyle name="Normal 24 2 2 4" xfId="21271" xr:uid="{00000000-0005-0000-0000-0000105A0000}"/>
    <cellStyle name="Normal 24 2 2 4 2" xfId="45103" xr:uid="{ED05053D-577F-49F1-83FB-B8EB50DF1A0D}"/>
    <cellStyle name="Normal 24 2 2 5" xfId="29224" xr:uid="{3C36D7B3-A627-4F39-8453-3DD53457AE6E}"/>
    <cellStyle name="Normal 24 2 3" xfId="7125" xr:uid="{00000000-0005-0000-0000-0000115A0000}"/>
    <cellStyle name="Normal 24 2 3 2" xfId="15096" xr:uid="{00000000-0005-0000-0000-0000125A0000}"/>
    <cellStyle name="Normal 24 2 3 2 2" xfId="38938" xr:uid="{5417A021-1B4F-49BF-84C0-227778E7F90C}"/>
    <cellStyle name="Normal 24 2 3 3" xfId="23043" xr:uid="{00000000-0005-0000-0000-0000135A0000}"/>
    <cellStyle name="Normal 24 2 3 3 2" xfId="46875" xr:uid="{00E1532D-373F-417F-B024-B09DDB02DD31}"/>
    <cellStyle name="Normal 24 2 3 4" xfId="30997" xr:uid="{E4A68E10-8B85-407C-9B75-5D2FDFF4B78B}"/>
    <cellStyle name="Normal 24 2 4" xfId="11560" xr:uid="{00000000-0005-0000-0000-0000145A0000}"/>
    <cellStyle name="Normal 24 2 4 2" xfId="35409" xr:uid="{CD755745-9153-404E-BCA5-DB15C8E1129F}"/>
    <cellStyle name="Normal 24 2 5" xfId="19515" xr:uid="{00000000-0005-0000-0000-0000155A0000}"/>
    <cellStyle name="Normal 24 2 5 2" xfId="43347" xr:uid="{FFC1900B-C84B-4981-9A34-43D63B63C750}"/>
    <cellStyle name="Normal 24 2 6" xfId="27467" xr:uid="{6DE44637-CF6F-4927-8769-5370D50BB682}"/>
    <cellStyle name="Normal 24 2_Exh G" xfId="3503" xr:uid="{00000000-0005-0000-0000-0000165A0000}"/>
    <cellStyle name="Normal 24 3" xfId="4414" xr:uid="{00000000-0005-0000-0000-0000175A0000}"/>
    <cellStyle name="Normal 24 3 2" xfId="8006" xr:uid="{00000000-0005-0000-0000-0000185A0000}"/>
    <cellStyle name="Normal 24 3 2 2" xfId="15976" xr:uid="{00000000-0005-0000-0000-0000195A0000}"/>
    <cellStyle name="Normal 24 3 2 2 2" xfId="39818" xr:uid="{F27ACDB3-8627-46DC-8C12-6D95909F88BC}"/>
    <cellStyle name="Normal 24 3 2 3" xfId="23922" xr:uid="{00000000-0005-0000-0000-00001A5A0000}"/>
    <cellStyle name="Normal 24 3 2 3 2" xfId="47754" xr:uid="{32E50BC7-D857-4A60-9003-F72766CE7096}"/>
    <cellStyle name="Normal 24 3 2 4" xfId="31877" xr:uid="{0889A5C2-33BF-4387-8598-94653BD89A5A}"/>
    <cellStyle name="Normal 24 3 3" xfId="12438" xr:uid="{00000000-0005-0000-0000-00001B5A0000}"/>
    <cellStyle name="Normal 24 3 3 2" xfId="36287" xr:uid="{BEB5200F-54BE-452D-B9EA-E179AB091B27}"/>
    <cellStyle name="Normal 24 3 4" xfId="20393" xr:uid="{00000000-0005-0000-0000-00001C5A0000}"/>
    <cellStyle name="Normal 24 3 4 2" xfId="44225" xr:uid="{3569DCBD-8238-4800-9F51-44A8CF15F6C3}"/>
    <cellStyle name="Normal 24 3 5" xfId="28346" xr:uid="{21BD3045-3C3B-4A18-B33D-667DF0C449F8}"/>
    <cellStyle name="Normal 24 4" xfId="6244" xr:uid="{00000000-0005-0000-0000-00001D5A0000}"/>
    <cellStyle name="Normal 24 4 2" xfId="14218" xr:uid="{00000000-0005-0000-0000-00001E5A0000}"/>
    <cellStyle name="Normal 24 4 2 2" xfId="38060" xr:uid="{15C9D778-0BC9-4466-B73D-E93EA17C56D6}"/>
    <cellStyle name="Normal 24 4 3" xfId="22165" xr:uid="{00000000-0005-0000-0000-00001F5A0000}"/>
    <cellStyle name="Normal 24 4 3 2" xfId="45997" xr:uid="{C46981C3-0406-4C15-B7F3-9E3813FBE512}"/>
    <cellStyle name="Normal 24 4 4" xfId="30119" xr:uid="{3FC524CE-5096-4A76-8A4D-D95105A5714B}"/>
    <cellStyle name="Normal 24 5" xfId="9786" xr:uid="{00000000-0005-0000-0000-0000205A0000}"/>
    <cellStyle name="Normal 24 5 2" xfId="17744" xr:uid="{00000000-0005-0000-0000-0000215A0000}"/>
    <cellStyle name="Normal 24 5 2 2" xfId="41584" xr:uid="{CAD9003B-368D-428D-A419-A6C1C16DB730}"/>
    <cellStyle name="Normal 24 5 3" xfId="25688" xr:uid="{00000000-0005-0000-0000-0000225A0000}"/>
    <cellStyle name="Normal 24 5 3 2" xfId="49520" xr:uid="{36112C38-BF51-422E-98A0-D94A47019289}"/>
    <cellStyle name="Normal 24 5 4" xfId="33643" xr:uid="{63BD8D66-8CCC-4F0C-A01C-75C65AF2ADC3}"/>
    <cellStyle name="Normal 24 6" xfId="10682" xr:uid="{00000000-0005-0000-0000-0000235A0000}"/>
    <cellStyle name="Normal 24 6 2" xfId="34531" xr:uid="{C874C65C-9A23-4BB7-BF5C-20A7B718BDA4}"/>
    <cellStyle name="Normal 24 7" xfId="18637" xr:uid="{00000000-0005-0000-0000-0000245A0000}"/>
    <cellStyle name="Normal 24 7 2" xfId="42469" xr:uid="{B8B23BF4-D3A2-408B-AB81-FB6DD9F74712}"/>
    <cellStyle name="Normal 24 8" xfId="26589" xr:uid="{6059FEA6-E40F-4363-B0AE-F362B678C5D0}"/>
    <cellStyle name="Normal 24_Exh G" xfId="3502" xr:uid="{00000000-0005-0000-0000-0000255A0000}"/>
    <cellStyle name="Normal 25" xfId="857" xr:uid="{00000000-0005-0000-0000-0000265A0000}"/>
    <cellStyle name="Normal 26" xfId="1039" xr:uid="{00000000-0005-0000-0000-0000275A0000}"/>
    <cellStyle name="Normal 26 2" xfId="4571" xr:uid="{00000000-0005-0000-0000-0000285A0000}"/>
    <cellStyle name="Normal 26_Exh G" xfId="3504" xr:uid="{00000000-0005-0000-0000-0000295A0000}"/>
    <cellStyle name="Normal 27" xfId="1038" xr:uid="{00000000-0005-0000-0000-00002A5A0000}"/>
    <cellStyle name="Normal 27 2" xfId="25865" xr:uid="{00000000-0005-0000-0000-00002B5A0000}"/>
    <cellStyle name="Normal 28" xfId="5450" xr:uid="{00000000-0005-0000-0000-00002C5A0000}"/>
    <cellStyle name="Normal 29" xfId="5451" xr:uid="{00000000-0005-0000-0000-00002D5A0000}"/>
    <cellStyle name="Normal 29 2" xfId="9041" xr:uid="{00000000-0005-0000-0000-00002E5A0000}"/>
    <cellStyle name="Normal 3" xfId="2" xr:uid="{00000000-0005-0000-0000-00002F5A0000}"/>
    <cellStyle name="Normal 3 10" xfId="6403" xr:uid="{00000000-0005-0000-0000-0000305A0000}"/>
    <cellStyle name="Normal 3 11" xfId="49820" xr:uid="{A9B57D07-A9FA-43B9-B1EA-A68B6BE4180B}"/>
    <cellStyle name="Normal 3 2" xfId="665" xr:uid="{00000000-0005-0000-0000-0000315A0000}"/>
    <cellStyle name="Normal 3 2 10" xfId="26514" xr:uid="{8E735E9D-8663-47AE-A21E-11108BC8919A}"/>
    <cellStyle name="Normal 3 2 2" xfId="666" xr:uid="{00000000-0005-0000-0000-0000325A0000}"/>
    <cellStyle name="Normal 3 2 2 2" xfId="1692" xr:uid="{00000000-0005-0000-0000-0000335A0000}"/>
    <cellStyle name="Normal 3 2 2 2 2" xfId="5219" xr:uid="{00000000-0005-0000-0000-0000345A0000}"/>
    <cellStyle name="Normal 3 2 2 2 2 2" xfId="8810" xr:uid="{00000000-0005-0000-0000-0000355A0000}"/>
    <cellStyle name="Normal 3 2 2 2 2 2 2" xfId="16780" xr:uid="{00000000-0005-0000-0000-0000365A0000}"/>
    <cellStyle name="Normal 3 2 2 2 2 2 2 2" xfId="40622" xr:uid="{5865A4F8-8273-4804-B509-57D87E102BA7}"/>
    <cellStyle name="Normal 3 2 2 2 2 2 3" xfId="24726" xr:uid="{00000000-0005-0000-0000-0000375A0000}"/>
    <cellStyle name="Normal 3 2 2 2 2 2 3 2" xfId="48558" xr:uid="{7203DB1E-39E6-4D29-A068-681AA7DD0662}"/>
    <cellStyle name="Normal 3 2 2 2 2 2 4" xfId="32681" xr:uid="{C7F0333F-C4CA-4C64-A0C4-AF2C899B55FA}"/>
    <cellStyle name="Normal 3 2 2 2 2 3" xfId="13242" xr:uid="{00000000-0005-0000-0000-0000385A0000}"/>
    <cellStyle name="Normal 3 2 2 2 2 3 2" xfId="37091" xr:uid="{198A6414-49E0-4AAA-8EB8-ADE8ACCFEAAD}"/>
    <cellStyle name="Normal 3 2 2 2 2 4" xfId="21197" xr:uid="{00000000-0005-0000-0000-0000395A0000}"/>
    <cellStyle name="Normal 3 2 2 2 2 4 2" xfId="45029" xr:uid="{906A1E8A-0EAE-4303-9B85-D7AA2FB7D843}"/>
    <cellStyle name="Normal 3 2 2 2 2 5" xfId="29150" xr:uid="{FAA7A720-24F0-44AF-89D5-179509EF73F5}"/>
    <cellStyle name="Normal 3 2 2 2 3" xfId="7051" xr:uid="{00000000-0005-0000-0000-00003A5A0000}"/>
    <cellStyle name="Normal 3 2 2 2 3 2" xfId="15022" xr:uid="{00000000-0005-0000-0000-00003B5A0000}"/>
    <cellStyle name="Normal 3 2 2 2 3 2 2" xfId="38864" xr:uid="{85BCEA76-4052-4B96-8A72-90181ED06749}"/>
    <cellStyle name="Normal 3 2 2 2 3 3" xfId="22969" xr:uid="{00000000-0005-0000-0000-00003C5A0000}"/>
    <cellStyle name="Normal 3 2 2 2 3 3 2" xfId="46801" xr:uid="{28D9924A-D694-42A7-BE2A-89DDA6ACEB2A}"/>
    <cellStyle name="Normal 3 2 2 2 3 4" xfId="30923" xr:uid="{19780A3D-9D12-4355-AE2A-2321A01387E4}"/>
    <cellStyle name="Normal 3 2 2 2 4" xfId="11486" xr:uid="{00000000-0005-0000-0000-00003D5A0000}"/>
    <cellStyle name="Normal 3 2 2 2 4 2" xfId="35335" xr:uid="{384F5503-2712-4085-BA73-AB5ED2769E01}"/>
    <cellStyle name="Normal 3 2 2 2 5" xfId="19441" xr:uid="{00000000-0005-0000-0000-00003E5A0000}"/>
    <cellStyle name="Normal 3 2 2 2 5 2" xfId="43273" xr:uid="{41B49686-446A-45E1-9EBE-1A1488814567}"/>
    <cellStyle name="Normal 3 2 2 2 6" xfId="27393" xr:uid="{438345BA-C66B-46A0-8E5D-670471087E9D}"/>
    <cellStyle name="Normal 3 2 2 2_Exh G" xfId="3507" xr:uid="{00000000-0005-0000-0000-00003F5A0000}"/>
    <cellStyle name="Normal 3 2 2 3" xfId="4340" xr:uid="{00000000-0005-0000-0000-0000405A0000}"/>
    <cellStyle name="Normal 3 2 2 3 2" xfId="7932" xr:uid="{00000000-0005-0000-0000-0000415A0000}"/>
    <cellStyle name="Normal 3 2 2 3 2 2" xfId="15902" xr:uid="{00000000-0005-0000-0000-0000425A0000}"/>
    <cellStyle name="Normal 3 2 2 3 2 2 2" xfId="39744" xr:uid="{79C37170-D400-4D0B-BFB3-F25771F6DA3B}"/>
    <cellStyle name="Normal 3 2 2 3 2 3" xfId="23848" xr:uid="{00000000-0005-0000-0000-0000435A0000}"/>
    <cellStyle name="Normal 3 2 2 3 2 3 2" xfId="47680" xr:uid="{C9599BC9-302C-4BD2-992F-8F9F1A771EC6}"/>
    <cellStyle name="Normal 3 2 2 3 2 4" xfId="31803" xr:uid="{10F856B5-78B6-4711-96CA-80AE57D9F34A}"/>
    <cellStyle name="Normal 3 2 2 3 3" xfId="12364" xr:uid="{00000000-0005-0000-0000-0000445A0000}"/>
    <cellStyle name="Normal 3 2 2 3 3 2" xfId="36213" xr:uid="{E373C16C-93FC-4DE5-9A58-F485F6019F2E}"/>
    <cellStyle name="Normal 3 2 2 3 4" xfId="20319" xr:uid="{00000000-0005-0000-0000-0000455A0000}"/>
    <cellStyle name="Normal 3 2 2 3 4 2" xfId="44151" xr:uid="{F6D598D0-98F5-4E90-B76C-6AC86DDF675F}"/>
    <cellStyle name="Normal 3 2 2 3 5" xfId="28272" xr:uid="{E979A139-FFB5-4E5E-AE1F-D3876D813E09}"/>
    <cellStyle name="Normal 3 2 2 4" xfId="6160" xr:uid="{00000000-0005-0000-0000-0000465A0000}"/>
    <cellStyle name="Normal 3 2 2 4 2" xfId="14143" xr:uid="{00000000-0005-0000-0000-0000475A0000}"/>
    <cellStyle name="Normal 3 2 2 4 2 2" xfId="37986" xr:uid="{8D75B7D1-C6A6-42C6-A86E-9E036E5083D0}"/>
    <cellStyle name="Normal 3 2 2 4 3" xfId="22091" xr:uid="{00000000-0005-0000-0000-0000485A0000}"/>
    <cellStyle name="Normal 3 2 2 4 3 2" xfId="45923" xr:uid="{055C676A-6250-4280-89DF-21B9EDCDCD3E}"/>
    <cellStyle name="Normal 3 2 2 4 4" xfId="30045" xr:uid="{EFA0A9FA-95B1-4A7A-8DD0-9E63B6E1AB45}"/>
    <cellStyle name="Normal 3 2 2 5" xfId="9712" xr:uid="{00000000-0005-0000-0000-0000495A0000}"/>
    <cellStyle name="Normal 3 2 2 5 2" xfId="17670" xr:uid="{00000000-0005-0000-0000-00004A5A0000}"/>
    <cellStyle name="Normal 3 2 2 5 2 2" xfId="41510" xr:uid="{4DB77D2B-54F0-481D-9F54-DB1E8D1F9FBD}"/>
    <cellStyle name="Normal 3 2 2 5 3" xfId="25614" xr:uid="{00000000-0005-0000-0000-00004B5A0000}"/>
    <cellStyle name="Normal 3 2 2 5 3 2" xfId="49446" xr:uid="{A8406A9C-F709-4EC1-9AF3-CD49CCABBD2C}"/>
    <cellStyle name="Normal 3 2 2 5 4" xfId="33569" xr:uid="{05D5F4F4-697F-4848-B531-F34F3C683EB4}"/>
    <cellStyle name="Normal 3 2 2 6" xfId="10608" xr:uid="{00000000-0005-0000-0000-00004C5A0000}"/>
    <cellStyle name="Normal 3 2 2 6 2" xfId="34457" xr:uid="{8943871A-87FF-40A9-9E6A-597F08BC674B}"/>
    <cellStyle name="Normal 3 2 2 7" xfId="18563" xr:uid="{00000000-0005-0000-0000-00004D5A0000}"/>
    <cellStyle name="Normal 3 2 2 7 2" xfId="42395" xr:uid="{2A8398DD-7F15-4C25-9A96-BDF5D5F26DDF}"/>
    <cellStyle name="Normal 3 2 2 8" xfId="26515" xr:uid="{471D227A-F66C-4A85-8AAE-959A02327833}"/>
    <cellStyle name="Normal 3 2 2_Exh G" xfId="3506" xr:uid="{00000000-0005-0000-0000-00004E5A0000}"/>
    <cellStyle name="Normal 3 2 3" xfId="1016" xr:uid="{00000000-0005-0000-0000-00004F5A0000}"/>
    <cellStyle name="Normal 3 2 3 2" xfId="1917" xr:uid="{00000000-0005-0000-0000-0000505A0000}"/>
    <cellStyle name="Normal 3 2 3 2 2" xfId="5434" xr:uid="{00000000-0005-0000-0000-0000515A0000}"/>
    <cellStyle name="Normal 3 2 3 2 2 2" xfId="9025" xr:uid="{00000000-0005-0000-0000-0000525A0000}"/>
    <cellStyle name="Normal 3 2 3 2 2 2 2" xfId="16995" xr:uid="{00000000-0005-0000-0000-0000535A0000}"/>
    <cellStyle name="Normal 3 2 3 2 2 2 2 2" xfId="40837" xr:uid="{67516DFB-82C4-40AC-872D-3717EA0F3CD6}"/>
    <cellStyle name="Normal 3 2 3 2 2 2 3" xfId="24941" xr:uid="{00000000-0005-0000-0000-0000545A0000}"/>
    <cellStyle name="Normal 3 2 3 2 2 2 3 2" xfId="48773" xr:uid="{5FC2995E-6B0C-4B3D-8CDD-0703FEF8974D}"/>
    <cellStyle name="Normal 3 2 3 2 2 2 4" xfId="32896" xr:uid="{EECB7DB6-AF6E-46C0-B6D8-081C295DFB0E}"/>
    <cellStyle name="Normal 3 2 3 2 2 3" xfId="13457" xr:uid="{00000000-0005-0000-0000-0000555A0000}"/>
    <cellStyle name="Normal 3 2 3 2 2 3 2" xfId="37306" xr:uid="{56B0857A-D76E-428F-B411-421075514B1F}"/>
    <cellStyle name="Normal 3 2 3 2 2 4" xfId="21412" xr:uid="{00000000-0005-0000-0000-0000565A0000}"/>
    <cellStyle name="Normal 3 2 3 2 2 4 2" xfId="45244" xr:uid="{F0E251FE-5007-47CD-9C6C-180894D0077F}"/>
    <cellStyle name="Normal 3 2 3 2 2 5" xfId="29365" xr:uid="{65B79373-F584-42B4-A70B-6770F792F336}"/>
    <cellStyle name="Normal 3 2 3 2 3" xfId="7266" xr:uid="{00000000-0005-0000-0000-0000575A0000}"/>
    <cellStyle name="Normal 3 2 3 2 3 2" xfId="15237" xr:uid="{00000000-0005-0000-0000-0000585A0000}"/>
    <cellStyle name="Normal 3 2 3 2 3 2 2" xfId="39079" xr:uid="{431A6467-BEB1-440D-A8ED-C10242FD06C8}"/>
    <cellStyle name="Normal 3 2 3 2 3 3" xfId="23184" xr:uid="{00000000-0005-0000-0000-0000595A0000}"/>
    <cellStyle name="Normal 3 2 3 2 3 3 2" xfId="47016" xr:uid="{A529CA79-C820-4BEF-9189-F050FF8F7C1F}"/>
    <cellStyle name="Normal 3 2 3 2 3 4" xfId="31138" xr:uid="{A22FB146-3DBF-458D-BCA2-12CF785CB346}"/>
    <cellStyle name="Normal 3 2 3 2 4" xfId="11701" xr:uid="{00000000-0005-0000-0000-00005A5A0000}"/>
    <cellStyle name="Normal 3 2 3 2 4 2" xfId="35550" xr:uid="{7A5611F6-12FE-4179-99A2-BD7866FD50B1}"/>
    <cellStyle name="Normal 3 2 3 2 5" xfId="19656" xr:uid="{00000000-0005-0000-0000-00005B5A0000}"/>
    <cellStyle name="Normal 3 2 3 2 5 2" xfId="43488" xr:uid="{D90B3EA8-0BD9-4D12-BF98-D643435BBA57}"/>
    <cellStyle name="Normal 3 2 3 2 6" xfId="27608" xr:uid="{4F844FB9-BB5D-4397-92B3-E2DD4675746B}"/>
    <cellStyle name="Normal 3 2 3 2_Exh G" xfId="3509" xr:uid="{00000000-0005-0000-0000-00005C5A0000}"/>
    <cellStyle name="Normal 3 2 3 3" xfId="4555" xr:uid="{00000000-0005-0000-0000-00005D5A0000}"/>
    <cellStyle name="Normal 3 2 3 3 2" xfId="8147" xr:uid="{00000000-0005-0000-0000-00005E5A0000}"/>
    <cellStyle name="Normal 3 2 3 3 2 2" xfId="16117" xr:uid="{00000000-0005-0000-0000-00005F5A0000}"/>
    <cellStyle name="Normal 3 2 3 3 2 2 2" xfId="39959" xr:uid="{9AA4E2FD-7946-4E1F-8E0E-68918AE2EC71}"/>
    <cellStyle name="Normal 3 2 3 3 2 3" xfId="24063" xr:uid="{00000000-0005-0000-0000-0000605A0000}"/>
    <cellStyle name="Normal 3 2 3 3 2 3 2" xfId="47895" xr:uid="{C3088529-6265-42A5-AFDD-C8E2334C3554}"/>
    <cellStyle name="Normal 3 2 3 3 2 4" xfId="32018" xr:uid="{C94848AC-27EC-4225-ADC1-A2EC68761CDD}"/>
    <cellStyle name="Normal 3 2 3 3 3" xfId="12579" xr:uid="{00000000-0005-0000-0000-0000615A0000}"/>
    <cellStyle name="Normal 3 2 3 3 3 2" xfId="36428" xr:uid="{2B25F25B-31AA-40BD-82CE-010738A2CAFD}"/>
    <cellStyle name="Normal 3 2 3 3 4" xfId="20534" xr:uid="{00000000-0005-0000-0000-0000625A0000}"/>
    <cellStyle name="Normal 3 2 3 3 4 2" xfId="44366" xr:uid="{DFDFA728-7969-45ED-ABCE-590095839F2A}"/>
    <cellStyle name="Normal 3 2 3 3 5" xfId="28487" xr:uid="{E8891464-4F84-4EA7-94AF-858E3E426EC9}"/>
    <cellStyle name="Normal 3 2 3 4" xfId="6385" xr:uid="{00000000-0005-0000-0000-0000635A0000}"/>
    <cellStyle name="Normal 3 2 3 4 2" xfId="14359" xr:uid="{00000000-0005-0000-0000-0000645A0000}"/>
    <cellStyle name="Normal 3 2 3 4 2 2" xfId="38201" xr:uid="{3500EF31-F612-4119-94E2-0BC65D4BE3A1}"/>
    <cellStyle name="Normal 3 2 3 4 3" xfId="22306" xr:uid="{00000000-0005-0000-0000-0000655A0000}"/>
    <cellStyle name="Normal 3 2 3 4 3 2" xfId="46138" xr:uid="{1140E684-F922-42CC-9113-56B22B9D06E8}"/>
    <cellStyle name="Normal 3 2 3 4 4" xfId="30260" xr:uid="{7D86A6B7-44D1-48AA-BA1F-86B786408C99}"/>
    <cellStyle name="Normal 3 2 3 5" xfId="9927" xr:uid="{00000000-0005-0000-0000-0000665A0000}"/>
    <cellStyle name="Normal 3 2 3 5 2" xfId="17885" xr:uid="{00000000-0005-0000-0000-0000675A0000}"/>
    <cellStyle name="Normal 3 2 3 5 2 2" xfId="41725" xr:uid="{771074BE-4359-4A7B-8666-C538CC8D9AB1}"/>
    <cellStyle name="Normal 3 2 3 5 3" xfId="25829" xr:uid="{00000000-0005-0000-0000-0000685A0000}"/>
    <cellStyle name="Normal 3 2 3 5 3 2" xfId="49661" xr:uid="{D6A7D107-6AE9-438F-B2CB-D09EAF24D119}"/>
    <cellStyle name="Normal 3 2 3 5 4" xfId="33784" xr:uid="{8F934E8D-04A6-46DA-B8CC-60650BB81FAC}"/>
    <cellStyle name="Normal 3 2 3 6" xfId="10823" xr:uid="{00000000-0005-0000-0000-0000695A0000}"/>
    <cellStyle name="Normal 3 2 3 6 2" xfId="34672" xr:uid="{75E27A0A-C210-484B-ACC4-2ACECF6C6828}"/>
    <cellStyle name="Normal 3 2 3 7" xfId="18778" xr:uid="{00000000-0005-0000-0000-00006A5A0000}"/>
    <cellStyle name="Normal 3 2 3 7 2" xfId="42610" xr:uid="{67D0D14A-98B0-48E2-BD81-8805BD957C19}"/>
    <cellStyle name="Normal 3 2 3 8" xfId="26730" xr:uid="{977CB5AE-A5C2-40CB-8962-9513D46E3DDC}"/>
    <cellStyle name="Normal 3 2 3_Exh G" xfId="3508" xr:uid="{00000000-0005-0000-0000-00006B5A0000}"/>
    <cellStyle name="Normal 3 2 4" xfId="1691" xr:uid="{00000000-0005-0000-0000-00006C5A0000}"/>
    <cellStyle name="Normal 3 2 4 2" xfId="5218" xr:uid="{00000000-0005-0000-0000-00006D5A0000}"/>
    <cellStyle name="Normal 3 2 4 2 2" xfId="8809" xr:uid="{00000000-0005-0000-0000-00006E5A0000}"/>
    <cellStyle name="Normal 3 2 4 2 2 2" xfId="16779" xr:uid="{00000000-0005-0000-0000-00006F5A0000}"/>
    <cellStyle name="Normal 3 2 4 2 2 2 2" xfId="40621" xr:uid="{6BC3349C-6C61-4053-B9C2-1ABBCA1C5B6E}"/>
    <cellStyle name="Normal 3 2 4 2 2 3" xfId="24725" xr:uid="{00000000-0005-0000-0000-0000705A0000}"/>
    <cellStyle name="Normal 3 2 4 2 2 3 2" xfId="48557" xr:uid="{6906E151-31D2-415A-A550-E57CFFA3CD09}"/>
    <cellStyle name="Normal 3 2 4 2 2 4" xfId="32680" xr:uid="{3C8B561D-26CC-4EE0-8C62-A8FEEFA085E1}"/>
    <cellStyle name="Normal 3 2 4 2 3" xfId="13241" xr:uid="{00000000-0005-0000-0000-0000715A0000}"/>
    <cellStyle name="Normal 3 2 4 2 3 2" xfId="37090" xr:uid="{C8E32DE5-F45B-45D4-89D4-4ED66F39E45A}"/>
    <cellStyle name="Normal 3 2 4 2 4" xfId="21196" xr:uid="{00000000-0005-0000-0000-0000725A0000}"/>
    <cellStyle name="Normal 3 2 4 2 4 2" xfId="45028" xr:uid="{26C5FA4A-13F4-4F43-901E-2997FB66D010}"/>
    <cellStyle name="Normal 3 2 4 2 5" xfId="29149" xr:uid="{D259D284-D634-490F-B85D-41E72683EF99}"/>
    <cellStyle name="Normal 3 2 4 3" xfId="7050" xr:uid="{00000000-0005-0000-0000-0000735A0000}"/>
    <cellStyle name="Normal 3 2 4 3 2" xfId="15021" xr:uid="{00000000-0005-0000-0000-0000745A0000}"/>
    <cellStyle name="Normal 3 2 4 3 2 2" xfId="38863" xr:uid="{5BD278FA-3C26-415F-8C14-7248AC0D0AF0}"/>
    <cellStyle name="Normal 3 2 4 3 3" xfId="22968" xr:uid="{00000000-0005-0000-0000-0000755A0000}"/>
    <cellStyle name="Normal 3 2 4 3 3 2" xfId="46800" xr:uid="{4C3D8588-65BC-4B7D-99F0-90F16F4F944F}"/>
    <cellStyle name="Normal 3 2 4 3 4" xfId="30922" xr:uid="{6DDFCC73-BAAA-4FE1-B488-786B58BFDAFD}"/>
    <cellStyle name="Normal 3 2 4 4" xfId="11485" xr:uid="{00000000-0005-0000-0000-0000765A0000}"/>
    <cellStyle name="Normal 3 2 4 4 2" xfId="35334" xr:uid="{BBF94091-D6B7-4C6E-8621-EBB010699ED3}"/>
    <cellStyle name="Normal 3 2 4 5" xfId="19440" xr:uid="{00000000-0005-0000-0000-0000775A0000}"/>
    <cellStyle name="Normal 3 2 4 5 2" xfId="43272" xr:uid="{CD865D77-07B7-4BC2-A3F5-2D98A584A092}"/>
    <cellStyle name="Normal 3 2 4 6" xfId="27392" xr:uid="{59282816-F4AD-4AFF-965F-F86E2B3A1445}"/>
    <cellStyle name="Normal 3 2 4_Exh G" xfId="3510" xr:uid="{00000000-0005-0000-0000-0000785A0000}"/>
    <cellStyle name="Normal 3 2 5" xfId="4339" xr:uid="{00000000-0005-0000-0000-0000795A0000}"/>
    <cellStyle name="Normal 3 2 5 2" xfId="7931" xr:uid="{00000000-0005-0000-0000-00007A5A0000}"/>
    <cellStyle name="Normal 3 2 5 2 2" xfId="15901" xr:uid="{00000000-0005-0000-0000-00007B5A0000}"/>
    <cellStyle name="Normal 3 2 5 2 2 2" xfId="39743" xr:uid="{0C4920B6-9AB5-4DF4-AFE1-682B1BB608C2}"/>
    <cellStyle name="Normal 3 2 5 2 3" xfId="23847" xr:uid="{00000000-0005-0000-0000-00007C5A0000}"/>
    <cellStyle name="Normal 3 2 5 2 3 2" xfId="47679" xr:uid="{E032A6AC-012D-4CB9-BFE7-058870671475}"/>
    <cellStyle name="Normal 3 2 5 2 4" xfId="31802" xr:uid="{67300B4A-5F12-4D4F-AB4B-86A758676D54}"/>
    <cellStyle name="Normal 3 2 5 3" xfId="12363" xr:uid="{00000000-0005-0000-0000-00007D5A0000}"/>
    <cellStyle name="Normal 3 2 5 3 2" xfId="36212" xr:uid="{C03F8669-B420-4824-A594-0617460E24ED}"/>
    <cellStyle name="Normal 3 2 5 4" xfId="20318" xr:uid="{00000000-0005-0000-0000-00007E5A0000}"/>
    <cellStyle name="Normal 3 2 5 4 2" xfId="44150" xr:uid="{75A0780D-E1C9-4526-A76D-1E752E8B696F}"/>
    <cellStyle name="Normal 3 2 5 5" xfId="28271" xr:uid="{512AD40A-A2CD-4402-9AD2-5432678232CC}"/>
    <cellStyle name="Normal 3 2 6" xfId="6159" xr:uid="{00000000-0005-0000-0000-00007F5A0000}"/>
    <cellStyle name="Normal 3 2 6 2" xfId="14142" xr:uid="{00000000-0005-0000-0000-0000805A0000}"/>
    <cellStyle name="Normal 3 2 6 2 2" xfId="37985" xr:uid="{1510BEB2-2F72-4462-9830-D265477B8A9A}"/>
    <cellStyle name="Normal 3 2 6 3" xfId="22090" xr:uid="{00000000-0005-0000-0000-0000815A0000}"/>
    <cellStyle name="Normal 3 2 6 3 2" xfId="45922" xr:uid="{F324C2EC-EA2B-4EB9-8E0C-FB1E9073E267}"/>
    <cellStyle name="Normal 3 2 6 4" xfId="30044" xr:uid="{6425A3E6-3A4B-4456-B6D2-7BDCE277A45F}"/>
    <cellStyle name="Normal 3 2 7" xfId="9711" xr:uid="{00000000-0005-0000-0000-0000825A0000}"/>
    <cellStyle name="Normal 3 2 7 2" xfId="17669" xr:uid="{00000000-0005-0000-0000-0000835A0000}"/>
    <cellStyle name="Normal 3 2 7 2 2" xfId="41509" xr:uid="{ED0CD159-8F33-4F01-B978-186763EEDC4C}"/>
    <cellStyle name="Normal 3 2 7 3" xfId="25613" xr:uid="{00000000-0005-0000-0000-0000845A0000}"/>
    <cellStyle name="Normal 3 2 7 3 2" xfId="49445" xr:uid="{4E039654-3FCD-4810-B3F7-E9529B3352C5}"/>
    <cellStyle name="Normal 3 2 7 4" xfId="33568" xr:uid="{78C7E7E7-EFC5-4527-ACAB-E2F8738CA0A0}"/>
    <cellStyle name="Normal 3 2 8" xfId="10607" xr:uid="{00000000-0005-0000-0000-0000855A0000}"/>
    <cellStyle name="Normal 3 2 8 2" xfId="34456" xr:uid="{D9875C60-3B18-4528-B3E7-037551DD8DB0}"/>
    <cellStyle name="Normal 3 2 9" xfId="18562" xr:uid="{00000000-0005-0000-0000-0000865A0000}"/>
    <cellStyle name="Normal 3 2 9 2" xfId="42394" xr:uid="{C6B9A555-4E24-4438-A91F-5E9B1D003750}"/>
    <cellStyle name="Normal 3 2_Exh G" xfId="3505" xr:uid="{00000000-0005-0000-0000-0000875A0000}"/>
    <cellStyle name="Normal 3 3" xfId="667" xr:uid="{00000000-0005-0000-0000-0000885A0000}"/>
    <cellStyle name="Normal 3 3 2" xfId="1693" xr:uid="{00000000-0005-0000-0000-0000895A0000}"/>
    <cellStyle name="Normal 3 3 2 2" xfId="5220" xr:uid="{00000000-0005-0000-0000-00008A5A0000}"/>
    <cellStyle name="Normal 3 3 2 2 2" xfId="8811" xr:uid="{00000000-0005-0000-0000-00008B5A0000}"/>
    <cellStyle name="Normal 3 3 2 2 2 2" xfId="16781" xr:uid="{00000000-0005-0000-0000-00008C5A0000}"/>
    <cellStyle name="Normal 3 3 2 2 2 2 2" xfId="40623" xr:uid="{A3D283C7-F7A6-42D8-933A-89917DEF10C2}"/>
    <cellStyle name="Normal 3 3 2 2 2 3" xfId="24727" xr:uid="{00000000-0005-0000-0000-00008D5A0000}"/>
    <cellStyle name="Normal 3 3 2 2 2 3 2" xfId="48559" xr:uid="{0F5D9003-EB85-43F1-8364-39591F68ECA9}"/>
    <cellStyle name="Normal 3 3 2 2 2 4" xfId="32682" xr:uid="{E53BA89F-CA66-4DB7-B15E-CC0CCE62491E}"/>
    <cellStyle name="Normal 3 3 2 2 3" xfId="13243" xr:uid="{00000000-0005-0000-0000-00008E5A0000}"/>
    <cellStyle name="Normal 3 3 2 2 3 2" xfId="37092" xr:uid="{7C61AF97-EC6E-4376-B78D-284BB927D2D6}"/>
    <cellStyle name="Normal 3 3 2 2 4" xfId="21198" xr:uid="{00000000-0005-0000-0000-00008F5A0000}"/>
    <cellStyle name="Normal 3 3 2 2 4 2" xfId="45030" xr:uid="{D55D6581-A423-41C8-86BF-B2455ECB4124}"/>
    <cellStyle name="Normal 3 3 2 2 5" xfId="29151" xr:uid="{F3D43E99-603E-4511-BECA-A2DB365C0499}"/>
    <cellStyle name="Normal 3 3 2 3" xfId="7052" xr:uid="{00000000-0005-0000-0000-0000905A0000}"/>
    <cellStyle name="Normal 3 3 2 3 2" xfId="15023" xr:uid="{00000000-0005-0000-0000-0000915A0000}"/>
    <cellStyle name="Normal 3 3 2 3 2 2" xfId="38865" xr:uid="{EC02C9D8-DAAE-4E62-9DB4-3A308F71FF87}"/>
    <cellStyle name="Normal 3 3 2 3 3" xfId="22970" xr:uid="{00000000-0005-0000-0000-0000925A0000}"/>
    <cellStyle name="Normal 3 3 2 3 3 2" xfId="46802" xr:uid="{082AC056-3D73-4C4C-89A6-D1E9F7938438}"/>
    <cellStyle name="Normal 3 3 2 3 4" xfId="30924" xr:uid="{4467CF73-98CA-4752-9063-70A71D94DE41}"/>
    <cellStyle name="Normal 3 3 2 4" xfId="11487" xr:uid="{00000000-0005-0000-0000-0000935A0000}"/>
    <cellStyle name="Normal 3 3 2 4 2" xfId="35336" xr:uid="{C5F39555-367C-4BBF-B00C-4FF60678E257}"/>
    <cellStyle name="Normal 3 3 2 5" xfId="19442" xr:uid="{00000000-0005-0000-0000-0000945A0000}"/>
    <cellStyle name="Normal 3 3 2 5 2" xfId="43274" xr:uid="{60E08524-82F4-4384-90E1-A39E2E9D4543}"/>
    <cellStyle name="Normal 3 3 2 6" xfId="27394" xr:uid="{AABAD101-F0DF-476D-85EA-97EEC33A9900}"/>
    <cellStyle name="Normal 3 3 2_Exh G" xfId="3512" xr:uid="{00000000-0005-0000-0000-0000955A0000}"/>
    <cellStyle name="Normal 3 3 3" xfId="4341" xr:uid="{00000000-0005-0000-0000-0000965A0000}"/>
    <cellStyle name="Normal 3 3 3 2" xfId="7933" xr:uid="{00000000-0005-0000-0000-0000975A0000}"/>
    <cellStyle name="Normal 3 3 3 2 2" xfId="15903" xr:uid="{00000000-0005-0000-0000-0000985A0000}"/>
    <cellStyle name="Normal 3 3 3 2 2 2" xfId="39745" xr:uid="{286D5959-F68D-4AD2-9D87-009FB8160A7C}"/>
    <cellStyle name="Normal 3 3 3 2 3" xfId="23849" xr:uid="{00000000-0005-0000-0000-0000995A0000}"/>
    <cellStyle name="Normal 3 3 3 2 3 2" xfId="47681" xr:uid="{6E844428-E050-405C-A9B3-9D3911A0CF17}"/>
    <cellStyle name="Normal 3 3 3 2 4" xfId="31804" xr:uid="{D6344D2C-A74A-4D01-A81C-E4FF795B424F}"/>
    <cellStyle name="Normal 3 3 3 3" xfId="12365" xr:uid="{00000000-0005-0000-0000-00009A5A0000}"/>
    <cellStyle name="Normal 3 3 3 3 2" xfId="36214" xr:uid="{0019C411-6D58-44D8-8856-D37B0ED633FF}"/>
    <cellStyle name="Normal 3 3 3 4" xfId="20320" xr:uid="{00000000-0005-0000-0000-00009B5A0000}"/>
    <cellStyle name="Normal 3 3 3 4 2" xfId="44152" xr:uid="{26E03B27-C89F-482A-865C-6439527D1D96}"/>
    <cellStyle name="Normal 3 3 3 5" xfId="28273" xr:uid="{48443D11-745C-423B-8C11-D1E3FAA033B1}"/>
    <cellStyle name="Normal 3 3 4" xfId="6161" xr:uid="{00000000-0005-0000-0000-00009C5A0000}"/>
    <cellStyle name="Normal 3 3 4 2" xfId="14144" xr:uid="{00000000-0005-0000-0000-00009D5A0000}"/>
    <cellStyle name="Normal 3 3 4 2 2" xfId="37987" xr:uid="{3652950D-81AF-4DE0-8D43-E1762A836378}"/>
    <cellStyle name="Normal 3 3 4 3" xfId="22092" xr:uid="{00000000-0005-0000-0000-00009E5A0000}"/>
    <cellStyle name="Normal 3 3 4 3 2" xfId="45924" xr:uid="{A29D40F1-E45B-4140-9EB1-4352E8174D74}"/>
    <cellStyle name="Normal 3 3 4 4" xfId="30046" xr:uid="{F4F7EDD7-A6CD-4A50-9316-CE246511F638}"/>
    <cellStyle name="Normal 3 3 5" xfId="9713" xr:uid="{00000000-0005-0000-0000-00009F5A0000}"/>
    <cellStyle name="Normal 3 3 5 2" xfId="17671" xr:uid="{00000000-0005-0000-0000-0000A05A0000}"/>
    <cellStyle name="Normal 3 3 5 2 2" xfId="41511" xr:uid="{D11CEB18-207F-427E-AF08-A7C306630B12}"/>
    <cellStyle name="Normal 3 3 5 3" xfId="25615" xr:uid="{00000000-0005-0000-0000-0000A15A0000}"/>
    <cellStyle name="Normal 3 3 5 3 2" xfId="49447" xr:uid="{790C71AA-C6BA-48DE-83AB-BB8A55376079}"/>
    <cellStyle name="Normal 3 3 5 4" xfId="33570" xr:uid="{E1123C10-A712-4BC0-BF93-29BA7C783D0E}"/>
    <cellStyle name="Normal 3 3 6" xfId="10609" xr:uid="{00000000-0005-0000-0000-0000A25A0000}"/>
    <cellStyle name="Normal 3 3 6 2" xfId="34458" xr:uid="{9A1B2711-D20C-4F1C-8F7C-DB489F720F6F}"/>
    <cellStyle name="Normal 3 3 7" xfId="18564" xr:uid="{00000000-0005-0000-0000-0000A35A0000}"/>
    <cellStyle name="Normal 3 3 7 2" xfId="42396" xr:uid="{45003ED4-4C18-460A-9971-D9F3EC38950B}"/>
    <cellStyle name="Normal 3 3 8" xfId="26516" xr:uid="{74970A78-40DD-4D73-948A-A6195BBDBB31}"/>
    <cellStyle name="Normal 3 3_Exh G" xfId="3511" xr:uid="{00000000-0005-0000-0000-0000A45A0000}"/>
    <cellStyle name="Normal 3 4" xfId="1015" xr:uid="{00000000-0005-0000-0000-0000A55A0000}"/>
    <cellStyle name="Normal 3 4 2" xfId="1916" xr:uid="{00000000-0005-0000-0000-0000A65A0000}"/>
    <cellStyle name="Normal 3 4 2 2" xfId="5433" xr:uid="{00000000-0005-0000-0000-0000A75A0000}"/>
    <cellStyle name="Normal 3 4 2 2 2" xfId="9024" xr:uid="{00000000-0005-0000-0000-0000A85A0000}"/>
    <cellStyle name="Normal 3 4 2 2 2 2" xfId="16994" xr:uid="{00000000-0005-0000-0000-0000A95A0000}"/>
    <cellStyle name="Normal 3 4 2 2 2 2 2" xfId="40836" xr:uid="{D72FDD52-8193-4AE0-A48C-D661AFA11F31}"/>
    <cellStyle name="Normal 3 4 2 2 2 3" xfId="24940" xr:uid="{00000000-0005-0000-0000-0000AA5A0000}"/>
    <cellStyle name="Normal 3 4 2 2 2 3 2" xfId="48772" xr:uid="{14FD1B2D-7DB0-4A48-AA63-7BC5BF46121A}"/>
    <cellStyle name="Normal 3 4 2 2 2 4" xfId="32895" xr:uid="{12261900-5E02-498C-8C11-8F34314F4BA0}"/>
    <cellStyle name="Normal 3 4 2 2 3" xfId="13456" xr:uid="{00000000-0005-0000-0000-0000AB5A0000}"/>
    <cellStyle name="Normal 3 4 2 2 3 2" xfId="37305" xr:uid="{E6E0B72B-B57B-4126-9BFE-AA85DF1F2558}"/>
    <cellStyle name="Normal 3 4 2 2 4" xfId="21411" xr:uid="{00000000-0005-0000-0000-0000AC5A0000}"/>
    <cellStyle name="Normal 3 4 2 2 4 2" xfId="45243" xr:uid="{6FDA1DEA-97F0-4B58-920A-D69CE4D6669A}"/>
    <cellStyle name="Normal 3 4 2 2 5" xfId="29364" xr:uid="{84A0B80B-8207-42AC-A77E-43658E18AC3E}"/>
    <cellStyle name="Normal 3 4 2 3" xfId="7265" xr:uid="{00000000-0005-0000-0000-0000AD5A0000}"/>
    <cellStyle name="Normal 3 4 2 3 2" xfId="15236" xr:uid="{00000000-0005-0000-0000-0000AE5A0000}"/>
    <cellStyle name="Normal 3 4 2 3 2 2" xfId="39078" xr:uid="{6C93929E-B57F-4025-95C6-CC44E857E34C}"/>
    <cellStyle name="Normal 3 4 2 3 3" xfId="23183" xr:uid="{00000000-0005-0000-0000-0000AF5A0000}"/>
    <cellStyle name="Normal 3 4 2 3 3 2" xfId="47015" xr:uid="{726F9917-81EC-474E-941E-2DF6F9531EB5}"/>
    <cellStyle name="Normal 3 4 2 3 4" xfId="31137" xr:uid="{6E5B3D2D-8A5A-47BF-830C-3F9E1B7ED6C5}"/>
    <cellStyle name="Normal 3 4 2 4" xfId="11700" xr:uid="{00000000-0005-0000-0000-0000B05A0000}"/>
    <cellStyle name="Normal 3 4 2 4 2" xfId="35549" xr:uid="{32705D4C-B91E-4024-B501-41523B728302}"/>
    <cellStyle name="Normal 3 4 2 5" xfId="19655" xr:uid="{00000000-0005-0000-0000-0000B15A0000}"/>
    <cellStyle name="Normal 3 4 2 5 2" xfId="43487" xr:uid="{8BB1F2E9-C0B1-4539-A250-ECD9776A1FD3}"/>
    <cellStyle name="Normal 3 4 2 6" xfId="27607" xr:uid="{E4EE7908-236E-4B7C-8EE8-AF7C1B37CBEE}"/>
    <cellStyle name="Normal 3 4 2_Exh G" xfId="3514" xr:uid="{00000000-0005-0000-0000-0000B25A0000}"/>
    <cellStyle name="Normal 3 4 3" xfId="4554" xr:uid="{00000000-0005-0000-0000-0000B35A0000}"/>
    <cellStyle name="Normal 3 4 3 2" xfId="8146" xr:uid="{00000000-0005-0000-0000-0000B45A0000}"/>
    <cellStyle name="Normal 3 4 3 2 2" xfId="16116" xr:uid="{00000000-0005-0000-0000-0000B55A0000}"/>
    <cellStyle name="Normal 3 4 3 2 2 2" xfId="39958" xr:uid="{ADD358FD-FCEE-4C79-8516-39D86593A113}"/>
    <cellStyle name="Normal 3 4 3 2 3" xfId="24062" xr:uid="{00000000-0005-0000-0000-0000B65A0000}"/>
    <cellStyle name="Normal 3 4 3 2 3 2" xfId="47894" xr:uid="{E8AB8E65-7459-4EA5-92CB-8DC35F95021E}"/>
    <cellStyle name="Normal 3 4 3 2 4" xfId="32017" xr:uid="{43303025-1B33-42FC-AC3B-8F95B34908DB}"/>
    <cellStyle name="Normal 3 4 3 3" xfId="12578" xr:uid="{00000000-0005-0000-0000-0000B75A0000}"/>
    <cellStyle name="Normal 3 4 3 3 2" xfId="36427" xr:uid="{E7E48D67-A958-4115-B65D-A8939602978C}"/>
    <cellStyle name="Normal 3 4 3 4" xfId="20533" xr:uid="{00000000-0005-0000-0000-0000B85A0000}"/>
    <cellStyle name="Normal 3 4 3 4 2" xfId="44365" xr:uid="{02C46267-D450-4E80-A51D-EB140A2F951D}"/>
    <cellStyle name="Normal 3 4 3 5" xfId="28486" xr:uid="{7F4F5141-9D06-4D8E-BB0E-126FE67D0C3E}"/>
    <cellStyle name="Normal 3 4 4" xfId="6384" xr:uid="{00000000-0005-0000-0000-0000B95A0000}"/>
    <cellStyle name="Normal 3 4 4 2" xfId="14358" xr:uid="{00000000-0005-0000-0000-0000BA5A0000}"/>
    <cellStyle name="Normal 3 4 4 2 2" xfId="38200" xr:uid="{AA3BA163-7AB6-45B3-A413-EBBECCDEFB23}"/>
    <cellStyle name="Normal 3 4 4 3" xfId="22305" xr:uid="{00000000-0005-0000-0000-0000BB5A0000}"/>
    <cellStyle name="Normal 3 4 4 3 2" xfId="46137" xr:uid="{26B41090-EBD2-4AB8-AC02-A916011A6ACF}"/>
    <cellStyle name="Normal 3 4 4 4" xfId="30259" xr:uid="{B9FFE2D1-9BAC-4C56-9256-A0EF9EAE19A9}"/>
    <cellStyle name="Normal 3 4 5" xfId="9926" xr:uid="{00000000-0005-0000-0000-0000BC5A0000}"/>
    <cellStyle name="Normal 3 4 5 2" xfId="17884" xr:uid="{00000000-0005-0000-0000-0000BD5A0000}"/>
    <cellStyle name="Normal 3 4 5 2 2" xfId="41724" xr:uid="{DC2469D1-353B-4A4C-9DD2-4FD4DC8AB1A8}"/>
    <cellStyle name="Normal 3 4 5 3" xfId="25828" xr:uid="{00000000-0005-0000-0000-0000BE5A0000}"/>
    <cellStyle name="Normal 3 4 5 3 2" xfId="49660" xr:uid="{6FCD0C32-3B0B-4453-BA56-8D89B151D36F}"/>
    <cellStyle name="Normal 3 4 5 4" xfId="33783" xr:uid="{BDE8FD9B-1650-457D-8750-0B540A594732}"/>
    <cellStyle name="Normal 3 4 6" xfId="10822" xr:uid="{00000000-0005-0000-0000-0000BF5A0000}"/>
    <cellStyle name="Normal 3 4 6 2" xfId="34671" xr:uid="{BE064379-358F-4247-91B2-97B215F6B300}"/>
    <cellStyle name="Normal 3 4 7" xfId="18777" xr:uid="{00000000-0005-0000-0000-0000C05A0000}"/>
    <cellStyle name="Normal 3 4 7 2" xfId="42609" xr:uid="{6371ACE5-8124-4DC7-BD20-22DF61395FDF}"/>
    <cellStyle name="Normal 3 4 8" xfId="26729" xr:uid="{93774915-426B-4D4E-B482-E560591BDAAF}"/>
    <cellStyle name="Normal 3 4_Exh G" xfId="3513" xr:uid="{00000000-0005-0000-0000-0000C15A0000}"/>
    <cellStyle name="Normal 3 5" xfId="5458" xr:uid="{00000000-0005-0000-0000-0000C25A0000}"/>
    <cellStyle name="Normal 3 6" xfId="5467" xr:uid="{00000000-0005-0000-0000-0000C35A0000}"/>
    <cellStyle name="Normal 3 7" xfId="5482" xr:uid="{00000000-0005-0000-0000-0000C45A0000}"/>
    <cellStyle name="Normal 3 8" xfId="5508" xr:uid="{00000000-0005-0000-0000-0000C55A0000}"/>
    <cellStyle name="Normal 3 9" xfId="5499" xr:uid="{00000000-0005-0000-0000-0000C65A0000}"/>
    <cellStyle name="Normal 30" xfId="5453" xr:uid="{00000000-0005-0000-0000-0000C75A0000}"/>
    <cellStyle name="Normal 30 2" xfId="9043" xr:uid="{00000000-0005-0000-0000-0000C85A0000}"/>
    <cellStyle name="Normal 31" xfId="5455" xr:uid="{00000000-0005-0000-0000-0000C95A0000}"/>
    <cellStyle name="Normal 31 2" xfId="9045" xr:uid="{00000000-0005-0000-0000-0000CA5A0000}"/>
    <cellStyle name="Normal 32" xfId="5456" xr:uid="{00000000-0005-0000-0000-0000CB5A0000}"/>
    <cellStyle name="Normal 32 2" xfId="9046" xr:uid="{00000000-0005-0000-0000-0000CC5A0000}"/>
    <cellStyle name="Normal 33" xfId="5473" xr:uid="{00000000-0005-0000-0000-0000CD5A0000}"/>
    <cellStyle name="Normal 33 2" xfId="9052" xr:uid="{00000000-0005-0000-0000-0000CE5A0000}"/>
    <cellStyle name="Normal 34" xfId="5474" xr:uid="{00000000-0005-0000-0000-0000CF5A0000}"/>
    <cellStyle name="Normal 34 2" xfId="9053" xr:uid="{00000000-0005-0000-0000-0000D05A0000}"/>
    <cellStyle name="Normal 35" xfId="5476" xr:uid="{00000000-0005-0000-0000-0000D15A0000}"/>
    <cellStyle name="Normal 35 2" xfId="9055" xr:uid="{00000000-0005-0000-0000-0000D25A0000}"/>
    <cellStyle name="Normal 36" xfId="5477" xr:uid="{00000000-0005-0000-0000-0000D35A0000}"/>
    <cellStyle name="Normal 36 2" xfId="9056" xr:uid="{00000000-0005-0000-0000-0000D45A0000}"/>
    <cellStyle name="Normal 37" xfId="5478" xr:uid="{00000000-0005-0000-0000-0000D55A0000}"/>
    <cellStyle name="Normal 37 2" xfId="9057" xr:uid="{00000000-0005-0000-0000-0000D65A0000}"/>
    <cellStyle name="Normal 37 2 2" xfId="17016" xr:uid="{00000000-0005-0000-0000-0000D75A0000}"/>
    <cellStyle name="Normal 37 2 2 2" xfId="40858" xr:uid="{161A778C-1C81-42B4-B578-96CE1BD60C39}"/>
    <cellStyle name="Normal 37 2 3" xfId="24962" xr:uid="{00000000-0005-0000-0000-0000D85A0000}"/>
    <cellStyle name="Normal 37 2 3 2" xfId="48794" xr:uid="{926C806C-ADCA-461F-9BBC-DE25391A9E98}"/>
    <cellStyle name="Normal 37 2 4" xfId="32917" xr:uid="{452D333C-2EC4-4B35-9A56-4D5CE79A4391}"/>
    <cellStyle name="Normal 37 3" xfId="13479" xr:uid="{00000000-0005-0000-0000-0000D95A0000}"/>
    <cellStyle name="Normal 37 3 2" xfId="37328" xr:uid="{2A397325-D99B-47F3-965D-252A9D1C14FF}"/>
    <cellStyle name="Normal 37 4" xfId="21433" xr:uid="{00000000-0005-0000-0000-0000DA5A0000}"/>
    <cellStyle name="Normal 37 4 2" xfId="45265" xr:uid="{00CFBEE0-51E0-4075-A243-D4FF688ACEDC}"/>
    <cellStyle name="Normal 37 5" xfId="29387" xr:uid="{BFEF0C60-6F7E-4C20-B2BC-0B95C8CF453A}"/>
    <cellStyle name="Normal 38" xfId="5480" xr:uid="{00000000-0005-0000-0000-0000DB5A0000}"/>
    <cellStyle name="Normal 39" xfId="5485" xr:uid="{00000000-0005-0000-0000-0000DC5A0000}"/>
    <cellStyle name="Normal 39 2" xfId="5505" xr:uid="{00000000-0005-0000-0000-0000DD5A0000}"/>
    <cellStyle name="Normal 39 2 2" xfId="13495" xr:uid="{00000000-0005-0000-0000-0000DE5A0000}"/>
    <cellStyle name="Normal 39 3" xfId="13482" xr:uid="{00000000-0005-0000-0000-0000DF5A0000}"/>
    <cellStyle name="Normal 4" xfId="3" xr:uid="{00000000-0005-0000-0000-0000E05A0000}"/>
    <cellStyle name="Normal 4 10" xfId="5509" xr:uid="{00000000-0005-0000-0000-0000E15A0000}"/>
    <cellStyle name="Normal 4 11" xfId="5500" xr:uid="{00000000-0005-0000-0000-0000E25A0000}"/>
    <cellStyle name="Normal 4 2" xfId="668" xr:uid="{00000000-0005-0000-0000-0000E35A0000}"/>
    <cellStyle name="Normal 4 2 10" xfId="5497" xr:uid="{00000000-0005-0000-0000-0000E45A0000}"/>
    <cellStyle name="Normal 4 2 11" xfId="9714" xr:uid="{00000000-0005-0000-0000-0000E55A0000}"/>
    <cellStyle name="Normal 4 2 11 2" xfId="17672" xr:uid="{00000000-0005-0000-0000-0000E65A0000}"/>
    <cellStyle name="Normal 4 2 11 2 2" xfId="41512" xr:uid="{D4FE9E9C-91BC-4B29-B51C-3D7DAE5ED16E}"/>
    <cellStyle name="Normal 4 2 11 3" xfId="25616" xr:uid="{00000000-0005-0000-0000-0000E75A0000}"/>
    <cellStyle name="Normal 4 2 11 3 2" xfId="49448" xr:uid="{310BCA1A-62A0-425D-AB16-98F61EEC9399}"/>
    <cellStyle name="Normal 4 2 11 4" xfId="33571" xr:uid="{A3E0D0A8-7965-4503-9D7A-40DA5AB595FB}"/>
    <cellStyle name="Normal 4 2 12" xfId="10610" xr:uid="{00000000-0005-0000-0000-0000E85A0000}"/>
    <cellStyle name="Normal 4 2 12 2" xfId="34459" xr:uid="{B03CABAA-F0D9-41DD-AC63-CBF9D9E94573}"/>
    <cellStyle name="Normal 4 2 13" xfId="18565" xr:uid="{00000000-0005-0000-0000-0000E95A0000}"/>
    <cellStyle name="Normal 4 2 13 2" xfId="42397" xr:uid="{298595F9-5173-48C3-B171-390DC0C19B4A}"/>
    <cellStyle name="Normal 4 2 14" xfId="26517" xr:uid="{754FA3D9-6343-441F-9F0B-46BE5CA76D64}"/>
    <cellStyle name="Normal 4 2 2" xfId="669" xr:uid="{00000000-0005-0000-0000-0000EA5A0000}"/>
    <cellStyle name="Normal 4 2 2 2" xfId="1695" xr:uid="{00000000-0005-0000-0000-0000EB5A0000}"/>
    <cellStyle name="Normal 4 2 2 2 2" xfId="5222" xr:uid="{00000000-0005-0000-0000-0000EC5A0000}"/>
    <cellStyle name="Normal 4 2 2 2 2 2" xfId="8813" xr:uid="{00000000-0005-0000-0000-0000ED5A0000}"/>
    <cellStyle name="Normal 4 2 2 2 2 2 2" xfId="16783" xr:uid="{00000000-0005-0000-0000-0000EE5A0000}"/>
    <cellStyle name="Normal 4 2 2 2 2 2 2 2" xfId="40625" xr:uid="{A2A81480-3A6C-4F85-A3FD-AF259F7C6D54}"/>
    <cellStyle name="Normal 4 2 2 2 2 2 3" xfId="24729" xr:uid="{00000000-0005-0000-0000-0000EF5A0000}"/>
    <cellStyle name="Normal 4 2 2 2 2 2 3 2" xfId="48561" xr:uid="{4A581F53-AA3E-4190-8459-FF1F9B2CC50F}"/>
    <cellStyle name="Normal 4 2 2 2 2 2 4" xfId="32684" xr:uid="{799CBE96-5DBA-4D2C-9A00-4DE632BF60A6}"/>
    <cellStyle name="Normal 4 2 2 2 2 3" xfId="13245" xr:uid="{00000000-0005-0000-0000-0000F05A0000}"/>
    <cellStyle name="Normal 4 2 2 2 2 3 2" xfId="37094" xr:uid="{DA2DAF94-DDF3-4EB9-8212-9D4455631DC1}"/>
    <cellStyle name="Normal 4 2 2 2 2 4" xfId="21200" xr:uid="{00000000-0005-0000-0000-0000F15A0000}"/>
    <cellStyle name="Normal 4 2 2 2 2 4 2" xfId="45032" xr:uid="{C1C7933B-3427-424A-8FF6-1B3749D4838C}"/>
    <cellStyle name="Normal 4 2 2 2 2 5" xfId="29153" xr:uid="{27C14F40-E4D0-4A93-8D4D-811701A0BA27}"/>
    <cellStyle name="Normal 4 2 2 2 3" xfId="7054" xr:uid="{00000000-0005-0000-0000-0000F25A0000}"/>
    <cellStyle name="Normal 4 2 2 2 3 2" xfId="15025" xr:uid="{00000000-0005-0000-0000-0000F35A0000}"/>
    <cellStyle name="Normal 4 2 2 2 3 2 2" xfId="38867" xr:uid="{D5118EF6-D199-48F3-B084-3F344CCA4949}"/>
    <cellStyle name="Normal 4 2 2 2 3 3" xfId="22972" xr:uid="{00000000-0005-0000-0000-0000F45A0000}"/>
    <cellStyle name="Normal 4 2 2 2 3 3 2" xfId="46804" xr:uid="{381EB0C2-0315-4272-BE70-F6EB573FEDC7}"/>
    <cellStyle name="Normal 4 2 2 2 3 4" xfId="30926" xr:uid="{71618219-5AA4-4B1B-B70B-2E56FA36BEF7}"/>
    <cellStyle name="Normal 4 2 2 2 4" xfId="11489" xr:uid="{00000000-0005-0000-0000-0000F55A0000}"/>
    <cellStyle name="Normal 4 2 2 2 4 2" xfId="35338" xr:uid="{FCFE2840-AFEC-4C20-83ED-6CF4259A55A6}"/>
    <cellStyle name="Normal 4 2 2 2 5" xfId="19444" xr:uid="{00000000-0005-0000-0000-0000F65A0000}"/>
    <cellStyle name="Normal 4 2 2 2 5 2" xfId="43276" xr:uid="{24A94AE8-8307-467F-BF0A-83B352FBA97E}"/>
    <cellStyle name="Normal 4 2 2 2 6" xfId="27396" xr:uid="{A8DEDE8F-B4E4-45B0-A80C-81A59345C842}"/>
    <cellStyle name="Normal 4 2 2 2_Exh G" xfId="3518" xr:uid="{00000000-0005-0000-0000-0000F75A0000}"/>
    <cellStyle name="Normal 4 2 2 3" xfId="4343" xr:uid="{00000000-0005-0000-0000-0000F85A0000}"/>
    <cellStyle name="Normal 4 2 2 3 2" xfId="7935" xr:uid="{00000000-0005-0000-0000-0000F95A0000}"/>
    <cellStyle name="Normal 4 2 2 3 2 2" xfId="15905" xr:uid="{00000000-0005-0000-0000-0000FA5A0000}"/>
    <cellStyle name="Normal 4 2 2 3 2 2 2" xfId="39747" xr:uid="{A75CABCC-34C1-43AA-A0FC-4F973E1BB6F8}"/>
    <cellStyle name="Normal 4 2 2 3 2 3" xfId="23851" xr:uid="{00000000-0005-0000-0000-0000FB5A0000}"/>
    <cellStyle name="Normal 4 2 2 3 2 3 2" xfId="47683" xr:uid="{F79A0840-1746-45CE-9224-440502F73A3C}"/>
    <cellStyle name="Normal 4 2 2 3 2 4" xfId="31806" xr:uid="{ABE22496-BEB4-46B9-BA0A-AF1811EAD02C}"/>
    <cellStyle name="Normal 4 2 2 3 3" xfId="12367" xr:uid="{00000000-0005-0000-0000-0000FC5A0000}"/>
    <cellStyle name="Normal 4 2 2 3 3 2" xfId="36216" xr:uid="{26F639CD-9777-4547-8674-100509A68B21}"/>
    <cellStyle name="Normal 4 2 2 3 4" xfId="20322" xr:uid="{00000000-0005-0000-0000-0000FD5A0000}"/>
    <cellStyle name="Normal 4 2 2 3 4 2" xfId="44154" xr:uid="{F76C8ACE-DB65-4908-AC59-1861105CCFA0}"/>
    <cellStyle name="Normal 4 2 2 3 5" xfId="28275" xr:uid="{09DF61B6-47D4-4254-84D8-C30C1BD0E7D9}"/>
    <cellStyle name="Normal 4 2 2 4" xfId="6163" xr:uid="{00000000-0005-0000-0000-0000FE5A0000}"/>
    <cellStyle name="Normal 4 2 2 4 2" xfId="14146" xr:uid="{00000000-0005-0000-0000-0000FF5A0000}"/>
    <cellStyle name="Normal 4 2 2 4 2 2" xfId="37989" xr:uid="{FA7F0CA2-6054-47EB-A4E0-7D69BF601876}"/>
    <cellStyle name="Normal 4 2 2 4 3" xfId="22094" xr:uid="{00000000-0005-0000-0000-0000005B0000}"/>
    <cellStyle name="Normal 4 2 2 4 3 2" xfId="45926" xr:uid="{1AFC6B18-D743-4F69-9D11-305630F53112}"/>
    <cellStyle name="Normal 4 2 2 4 4" xfId="30048" xr:uid="{02606D28-79C3-4735-A768-2D1CF1CFF871}"/>
    <cellStyle name="Normal 4 2 2 5" xfId="9715" xr:uid="{00000000-0005-0000-0000-0000015B0000}"/>
    <cellStyle name="Normal 4 2 2 5 2" xfId="17673" xr:uid="{00000000-0005-0000-0000-0000025B0000}"/>
    <cellStyle name="Normal 4 2 2 5 2 2" xfId="41513" xr:uid="{8C5870B8-907B-4C23-92B1-CF0CAB561C73}"/>
    <cellStyle name="Normal 4 2 2 5 3" xfId="25617" xr:uid="{00000000-0005-0000-0000-0000035B0000}"/>
    <cellStyle name="Normal 4 2 2 5 3 2" xfId="49449" xr:uid="{ECCE9DA5-57E4-460F-9107-2239AA658313}"/>
    <cellStyle name="Normal 4 2 2 5 4" xfId="33572" xr:uid="{AE86A50E-5022-49F3-8AB6-1010D573CABB}"/>
    <cellStyle name="Normal 4 2 2 6" xfId="10611" xr:uid="{00000000-0005-0000-0000-0000045B0000}"/>
    <cellStyle name="Normal 4 2 2 6 2" xfId="34460" xr:uid="{0889EE6D-8E7E-4A3F-9E9A-F152DBA34E75}"/>
    <cellStyle name="Normal 4 2 2 7" xfId="18566" xr:uid="{00000000-0005-0000-0000-0000055B0000}"/>
    <cellStyle name="Normal 4 2 2 7 2" xfId="42398" xr:uid="{E68AB874-D251-46F0-8BA7-E2F437B29A4B}"/>
    <cellStyle name="Normal 4 2 2 8" xfId="26518" xr:uid="{B729D2FE-78F1-448E-BDB0-7D8670DBD3A1}"/>
    <cellStyle name="Normal 4 2 2_Exh G" xfId="3517" xr:uid="{00000000-0005-0000-0000-0000065B0000}"/>
    <cellStyle name="Normal 4 2 3" xfId="1018" xr:uid="{00000000-0005-0000-0000-0000075B0000}"/>
    <cellStyle name="Normal 4 2 3 2" xfId="1919" xr:uid="{00000000-0005-0000-0000-0000085B0000}"/>
    <cellStyle name="Normal 4 2 3 2 2" xfId="5436" xr:uid="{00000000-0005-0000-0000-0000095B0000}"/>
    <cellStyle name="Normal 4 2 3 2 2 2" xfId="9027" xr:uid="{00000000-0005-0000-0000-00000A5B0000}"/>
    <cellStyle name="Normal 4 2 3 2 2 2 2" xfId="16997" xr:uid="{00000000-0005-0000-0000-00000B5B0000}"/>
    <cellStyle name="Normal 4 2 3 2 2 2 2 2" xfId="40839" xr:uid="{0CF12FB3-5C15-4EAB-B3AE-77EC2EDFFCB8}"/>
    <cellStyle name="Normal 4 2 3 2 2 2 3" xfId="24943" xr:uid="{00000000-0005-0000-0000-00000C5B0000}"/>
    <cellStyle name="Normal 4 2 3 2 2 2 3 2" xfId="48775" xr:uid="{6A0A8BDA-5F64-44C9-9B03-4788308DD815}"/>
    <cellStyle name="Normal 4 2 3 2 2 2 4" xfId="32898" xr:uid="{1073A1CD-AE54-4FC9-B2D0-5A678A21415B}"/>
    <cellStyle name="Normal 4 2 3 2 2 3" xfId="13459" xr:uid="{00000000-0005-0000-0000-00000D5B0000}"/>
    <cellStyle name="Normal 4 2 3 2 2 3 2" xfId="37308" xr:uid="{72E1B9D4-7FC3-4760-823C-F8350026680A}"/>
    <cellStyle name="Normal 4 2 3 2 2 4" xfId="21414" xr:uid="{00000000-0005-0000-0000-00000E5B0000}"/>
    <cellStyle name="Normal 4 2 3 2 2 4 2" xfId="45246" xr:uid="{C618C59C-D309-4315-8CBD-1102E2DBB436}"/>
    <cellStyle name="Normal 4 2 3 2 2 5" xfId="29367" xr:uid="{8C86D2C8-E083-4833-B688-50C51AF311E5}"/>
    <cellStyle name="Normal 4 2 3 2 3" xfId="7268" xr:uid="{00000000-0005-0000-0000-00000F5B0000}"/>
    <cellStyle name="Normal 4 2 3 2 3 2" xfId="15239" xr:uid="{00000000-0005-0000-0000-0000105B0000}"/>
    <cellStyle name="Normal 4 2 3 2 3 2 2" xfId="39081" xr:uid="{536A2EEE-942D-4694-AD87-6EE985A9DD89}"/>
    <cellStyle name="Normal 4 2 3 2 3 3" xfId="23186" xr:uid="{00000000-0005-0000-0000-0000115B0000}"/>
    <cellStyle name="Normal 4 2 3 2 3 3 2" xfId="47018" xr:uid="{CA0EAE84-983A-4B88-B970-44601C00E400}"/>
    <cellStyle name="Normal 4 2 3 2 3 4" xfId="31140" xr:uid="{53E2F811-FD2D-4A29-9147-C1B5FA0ECB49}"/>
    <cellStyle name="Normal 4 2 3 2 4" xfId="11703" xr:uid="{00000000-0005-0000-0000-0000125B0000}"/>
    <cellStyle name="Normal 4 2 3 2 4 2" xfId="35552" xr:uid="{8B28B491-DBF3-4D3F-9282-4425DB3C6207}"/>
    <cellStyle name="Normal 4 2 3 2 5" xfId="19658" xr:uid="{00000000-0005-0000-0000-0000135B0000}"/>
    <cellStyle name="Normal 4 2 3 2 5 2" xfId="43490" xr:uid="{3837740A-BC98-43E6-AA2C-AD656DDCB2AD}"/>
    <cellStyle name="Normal 4 2 3 2 6" xfId="27610" xr:uid="{A56F8236-1B83-45B0-B0E4-D5385D1CFFE5}"/>
    <cellStyle name="Normal 4 2 3 2_Exh G" xfId="3520" xr:uid="{00000000-0005-0000-0000-0000145B0000}"/>
    <cellStyle name="Normal 4 2 3 3" xfId="4557" xr:uid="{00000000-0005-0000-0000-0000155B0000}"/>
    <cellStyle name="Normal 4 2 3 3 2" xfId="8149" xr:uid="{00000000-0005-0000-0000-0000165B0000}"/>
    <cellStyle name="Normal 4 2 3 3 2 2" xfId="16119" xr:uid="{00000000-0005-0000-0000-0000175B0000}"/>
    <cellStyle name="Normal 4 2 3 3 2 2 2" xfId="39961" xr:uid="{94F56576-CF9C-4639-BE50-20AD4D7D75EA}"/>
    <cellStyle name="Normal 4 2 3 3 2 3" xfId="24065" xr:uid="{00000000-0005-0000-0000-0000185B0000}"/>
    <cellStyle name="Normal 4 2 3 3 2 3 2" xfId="47897" xr:uid="{B3754F1B-ED1F-4D94-80EF-EECB6C733AAC}"/>
    <cellStyle name="Normal 4 2 3 3 2 4" xfId="32020" xr:uid="{F2A3B4B8-0BA9-4AB6-9566-DFD97F09B682}"/>
    <cellStyle name="Normal 4 2 3 3 3" xfId="12581" xr:uid="{00000000-0005-0000-0000-0000195B0000}"/>
    <cellStyle name="Normal 4 2 3 3 3 2" xfId="36430" xr:uid="{FBC4F45D-2431-495F-8C4B-E00017CAB22A}"/>
    <cellStyle name="Normal 4 2 3 3 4" xfId="20536" xr:uid="{00000000-0005-0000-0000-00001A5B0000}"/>
    <cellStyle name="Normal 4 2 3 3 4 2" xfId="44368" xr:uid="{D5691C13-A449-4F80-883A-A3A7190DB9FB}"/>
    <cellStyle name="Normal 4 2 3 3 5" xfId="28489" xr:uid="{B1BB44B6-D47F-4B0E-AF7D-E53447B6A4E8}"/>
    <cellStyle name="Normal 4 2 3 4" xfId="6387" xr:uid="{00000000-0005-0000-0000-00001B5B0000}"/>
    <cellStyle name="Normal 4 2 3 4 2" xfId="14361" xr:uid="{00000000-0005-0000-0000-00001C5B0000}"/>
    <cellStyle name="Normal 4 2 3 4 2 2" xfId="38203" xr:uid="{C166A558-36E2-446D-B4C4-D7A48CD2F885}"/>
    <cellStyle name="Normal 4 2 3 4 3" xfId="22308" xr:uid="{00000000-0005-0000-0000-00001D5B0000}"/>
    <cellStyle name="Normal 4 2 3 4 3 2" xfId="46140" xr:uid="{E9AEF763-52E5-47DB-B585-7F5BF81A5418}"/>
    <cellStyle name="Normal 4 2 3 4 4" xfId="30262" xr:uid="{C9495894-160F-4ED2-9469-A1E911240E9D}"/>
    <cellStyle name="Normal 4 2 3 5" xfId="9929" xr:uid="{00000000-0005-0000-0000-00001E5B0000}"/>
    <cellStyle name="Normal 4 2 3 5 2" xfId="17887" xr:uid="{00000000-0005-0000-0000-00001F5B0000}"/>
    <cellStyle name="Normal 4 2 3 5 2 2" xfId="41727" xr:uid="{570043E6-E2BD-4587-A7D4-FEF9D954B8FE}"/>
    <cellStyle name="Normal 4 2 3 5 3" xfId="25831" xr:uid="{00000000-0005-0000-0000-0000205B0000}"/>
    <cellStyle name="Normal 4 2 3 5 3 2" xfId="49663" xr:uid="{92B21F28-9034-43A1-91E8-8CDDC495FB8B}"/>
    <cellStyle name="Normal 4 2 3 5 4" xfId="33786" xr:uid="{D577321F-0279-4970-99F3-D92707E5DB46}"/>
    <cellStyle name="Normal 4 2 3 6" xfId="10825" xr:uid="{00000000-0005-0000-0000-0000215B0000}"/>
    <cellStyle name="Normal 4 2 3 6 2" xfId="34674" xr:uid="{26726439-CBD4-44D0-A9D5-C00A37AC1F0B}"/>
    <cellStyle name="Normal 4 2 3 7" xfId="18780" xr:uid="{00000000-0005-0000-0000-0000225B0000}"/>
    <cellStyle name="Normal 4 2 3 7 2" xfId="42612" xr:uid="{ADD81AEB-0D0E-48A3-9A5E-3D6CF5600DA9}"/>
    <cellStyle name="Normal 4 2 3 8" xfId="26732" xr:uid="{F8495095-4CC4-4EA7-9A7A-4FA31C0C69E6}"/>
    <cellStyle name="Normal 4 2 3_Exh G" xfId="3519" xr:uid="{00000000-0005-0000-0000-0000235B0000}"/>
    <cellStyle name="Normal 4 2 4" xfId="1694" xr:uid="{00000000-0005-0000-0000-0000245B0000}"/>
    <cellStyle name="Normal 4 2 4 2" xfId="5221" xr:uid="{00000000-0005-0000-0000-0000255B0000}"/>
    <cellStyle name="Normal 4 2 4 2 2" xfId="8812" xr:uid="{00000000-0005-0000-0000-0000265B0000}"/>
    <cellStyle name="Normal 4 2 4 2 2 2" xfId="16782" xr:uid="{00000000-0005-0000-0000-0000275B0000}"/>
    <cellStyle name="Normal 4 2 4 2 2 2 2" xfId="40624" xr:uid="{8A410990-40E1-4801-AE54-A143673E7130}"/>
    <cellStyle name="Normal 4 2 4 2 2 3" xfId="24728" xr:uid="{00000000-0005-0000-0000-0000285B0000}"/>
    <cellStyle name="Normal 4 2 4 2 2 3 2" xfId="48560" xr:uid="{1CE42006-675F-4317-A689-133A372F3DC5}"/>
    <cellStyle name="Normal 4 2 4 2 2 4" xfId="32683" xr:uid="{E293A1C7-B377-4A88-A3B0-2DA393120BBD}"/>
    <cellStyle name="Normal 4 2 4 2 3" xfId="13244" xr:uid="{00000000-0005-0000-0000-0000295B0000}"/>
    <cellStyle name="Normal 4 2 4 2 3 2" xfId="37093" xr:uid="{537CBFC5-84F8-4E92-9D40-D8E3DB0B9EA7}"/>
    <cellStyle name="Normal 4 2 4 2 4" xfId="21199" xr:uid="{00000000-0005-0000-0000-00002A5B0000}"/>
    <cellStyle name="Normal 4 2 4 2 4 2" xfId="45031" xr:uid="{6959E99D-EC4A-448F-B533-CE3627AA9827}"/>
    <cellStyle name="Normal 4 2 4 2 5" xfId="29152" xr:uid="{7E6D5CEE-8EAD-4FFB-BD4F-6ED36BE09CB3}"/>
    <cellStyle name="Normal 4 2 4 3" xfId="7053" xr:uid="{00000000-0005-0000-0000-00002B5B0000}"/>
    <cellStyle name="Normal 4 2 4 3 2" xfId="15024" xr:uid="{00000000-0005-0000-0000-00002C5B0000}"/>
    <cellStyle name="Normal 4 2 4 3 2 2" xfId="38866" xr:uid="{C98D3F7F-B19D-4F88-AC3C-C2C3580C6993}"/>
    <cellStyle name="Normal 4 2 4 3 3" xfId="22971" xr:uid="{00000000-0005-0000-0000-00002D5B0000}"/>
    <cellStyle name="Normal 4 2 4 3 3 2" xfId="46803" xr:uid="{7BA9A754-3D55-4D2A-800B-DB18A507184C}"/>
    <cellStyle name="Normal 4 2 4 3 4" xfId="30925" xr:uid="{CDD7A2DD-E3D1-4049-AB34-BA5239CC3325}"/>
    <cellStyle name="Normal 4 2 4 4" xfId="11488" xr:uid="{00000000-0005-0000-0000-00002E5B0000}"/>
    <cellStyle name="Normal 4 2 4 4 2" xfId="35337" xr:uid="{1ED9514F-E234-427D-B7DD-1BB515F7CF15}"/>
    <cellStyle name="Normal 4 2 4 5" xfId="19443" xr:uid="{00000000-0005-0000-0000-00002F5B0000}"/>
    <cellStyle name="Normal 4 2 4 5 2" xfId="43275" xr:uid="{DB39A032-6452-4015-B8CF-9540E4FCCCB0}"/>
    <cellStyle name="Normal 4 2 4 6" xfId="27395" xr:uid="{118B784C-2995-4B04-B3AA-594E6634BC5F}"/>
    <cellStyle name="Normal 4 2 4_Exh G" xfId="3521" xr:uid="{00000000-0005-0000-0000-0000305B0000}"/>
    <cellStyle name="Normal 4 2 5" xfId="4342" xr:uid="{00000000-0005-0000-0000-0000315B0000}"/>
    <cellStyle name="Normal 4 2 5 2" xfId="7934" xr:uid="{00000000-0005-0000-0000-0000325B0000}"/>
    <cellStyle name="Normal 4 2 5 2 2" xfId="15904" xr:uid="{00000000-0005-0000-0000-0000335B0000}"/>
    <cellStyle name="Normal 4 2 5 2 2 2" xfId="39746" xr:uid="{4A670C80-07AD-4B52-A6F4-DB5504429589}"/>
    <cellStyle name="Normal 4 2 5 2 3" xfId="23850" xr:uid="{00000000-0005-0000-0000-0000345B0000}"/>
    <cellStyle name="Normal 4 2 5 2 3 2" xfId="47682" xr:uid="{F3A60766-7EDF-403F-8033-24699256D9AD}"/>
    <cellStyle name="Normal 4 2 5 2 4" xfId="31805" xr:uid="{CD2C5F65-6A7A-48BC-B0F1-097D3E789DCB}"/>
    <cellStyle name="Normal 4 2 5 3" xfId="12366" xr:uid="{00000000-0005-0000-0000-0000355B0000}"/>
    <cellStyle name="Normal 4 2 5 3 2" xfId="36215" xr:uid="{0B675E7D-FB76-47D0-892C-352BBF57CF88}"/>
    <cellStyle name="Normal 4 2 5 4" xfId="20321" xr:uid="{00000000-0005-0000-0000-0000365B0000}"/>
    <cellStyle name="Normal 4 2 5 4 2" xfId="44153" xr:uid="{E104A238-5118-4929-A999-FAF3141EE6AF}"/>
    <cellStyle name="Normal 4 2 5 5" xfId="28274" xr:uid="{07187815-E500-474F-B6D4-86137F70F48B}"/>
    <cellStyle name="Normal 4 2 6" xfId="5464" xr:uid="{00000000-0005-0000-0000-0000375B0000}"/>
    <cellStyle name="Normal 4 2 7" xfId="5471" xr:uid="{00000000-0005-0000-0000-0000385B0000}"/>
    <cellStyle name="Normal 4 2 8" xfId="6162" xr:uid="{00000000-0005-0000-0000-0000395B0000}"/>
    <cellStyle name="Normal 4 2 8 2" xfId="14145" xr:uid="{00000000-0005-0000-0000-00003A5B0000}"/>
    <cellStyle name="Normal 4 2 8 2 2" xfId="37988" xr:uid="{D1CD2FE6-0782-4826-82EE-4665A3D0A63C}"/>
    <cellStyle name="Normal 4 2 8 3" xfId="22093" xr:uid="{00000000-0005-0000-0000-00003B5B0000}"/>
    <cellStyle name="Normal 4 2 8 3 2" xfId="45925" xr:uid="{8D8728F7-3F39-446B-A3B4-281F4C3AF1EC}"/>
    <cellStyle name="Normal 4 2 8 4" xfId="30047" xr:uid="{9A867873-03DF-4F40-A46B-5F99ADCA6AF3}"/>
    <cellStyle name="Normal 4 2 9" xfId="5503" xr:uid="{00000000-0005-0000-0000-00003C5B0000}"/>
    <cellStyle name="Normal 4 2_Exh G" xfId="3516" xr:uid="{00000000-0005-0000-0000-00003D5B0000}"/>
    <cellStyle name="Normal 4 3" xfId="670" xr:uid="{00000000-0005-0000-0000-00003E5B0000}"/>
    <cellStyle name="Normal 4 3 2" xfId="1696" xr:uid="{00000000-0005-0000-0000-00003F5B0000}"/>
    <cellStyle name="Normal 4 3 2 2" xfId="5223" xr:uid="{00000000-0005-0000-0000-0000405B0000}"/>
    <cellStyle name="Normal 4 3 2 2 2" xfId="8814" xr:uid="{00000000-0005-0000-0000-0000415B0000}"/>
    <cellStyle name="Normal 4 3 2 2 2 2" xfId="16784" xr:uid="{00000000-0005-0000-0000-0000425B0000}"/>
    <cellStyle name="Normal 4 3 2 2 2 2 2" xfId="40626" xr:uid="{66D390C3-4969-4953-9E36-F6CF5D7ABA44}"/>
    <cellStyle name="Normal 4 3 2 2 2 3" xfId="24730" xr:uid="{00000000-0005-0000-0000-0000435B0000}"/>
    <cellStyle name="Normal 4 3 2 2 2 3 2" xfId="48562" xr:uid="{8D93ED8E-2EFB-483C-BA01-5004CB7E60AE}"/>
    <cellStyle name="Normal 4 3 2 2 2 4" xfId="32685" xr:uid="{5BA1CF63-8DC2-4956-BFDE-2CCB04D7D407}"/>
    <cellStyle name="Normal 4 3 2 2 3" xfId="13246" xr:uid="{00000000-0005-0000-0000-0000445B0000}"/>
    <cellStyle name="Normal 4 3 2 2 3 2" xfId="37095" xr:uid="{762DCD33-1319-4B61-B580-A1E9CA9300AC}"/>
    <cellStyle name="Normal 4 3 2 2 4" xfId="21201" xr:uid="{00000000-0005-0000-0000-0000455B0000}"/>
    <cellStyle name="Normal 4 3 2 2 4 2" xfId="45033" xr:uid="{E5D61FA6-5CEC-4EFF-A1AB-27A4ADECF760}"/>
    <cellStyle name="Normal 4 3 2 2 5" xfId="29154" xr:uid="{EFB0814A-A3B8-4231-ACF6-8393411BC55F}"/>
    <cellStyle name="Normal 4 3 2 3" xfId="7055" xr:uid="{00000000-0005-0000-0000-0000465B0000}"/>
    <cellStyle name="Normal 4 3 2 3 2" xfId="15026" xr:uid="{00000000-0005-0000-0000-0000475B0000}"/>
    <cellStyle name="Normal 4 3 2 3 2 2" xfId="38868" xr:uid="{4221E60A-CB09-4D73-8BC4-B3FB92A5D044}"/>
    <cellStyle name="Normal 4 3 2 3 3" xfId="22973" xr:uid="{00000000-0005-0000-0000-0000485B0000}"/>
    <cellStyle name="Normal 4 3 2 3 3 2" xfId="46805" xr:uid="{0004A40F-57A9-4C11-9F58-8CCFCFCD9173}"/>
    <cellStyle name="Normal 4 3 2 3 4" xfId="30927" xr:uid="{48B3A057-6757-4C0C-AF1F-A979914BDB97}"/>
    <cellStyle name="Normal 4 3 2 4" xfId="11490" xr:uid="{00000000-0005-0000-0000-0000495B0000}"/>
    <cellStyle name="Normal 4 3 2 4 2" xfId="35339" xr:uid="{0A53A42B-E07D-45B0-9A7A-2A198E893293}"/>
    <cellStyle name="Normal 4 3 2 5" xfId="19445" xr:uid="{00000000-0005-0000-0000-00004A5B0000}"/>
    <cellStyle name="Normal 4 3 2 5 2" xfId="43277" xr:uid="{4505F875-47BA-4F16-A572-9631150928DA}"/>
    <cellStyle name="Normal 4 3 2 6" xfId="27397" xr:uid="{A101CBDD-C2E6-46D5-8BC8-58483DB516C3}"/>
    <cellStyle name="Normal 4 3 2_Exh G" xfId="3523" xr:uid="{00000000-0005-0000-0000-00004B5B0000}"/>
    <cellStyle name="Normal 4 3 3" xfId="4344" xr:uid="{00000000-0005-0000-0000-00004C5B0000}"/>
    <cellStyle name="Normal 4 3 3 2" xfId="7936" xr:uid="{00000000-0005-0000-0000-00004D5B0000}"/>
    <cellStyle name="Normal 4 3 3 2 2" xfId="15906" xr:uid="{00000000-0005-0000-0000-00004E5B0000}"/>
    <cellStyle name="Normal 4 3 3 2 2 2" xfId="39748" xr:uid="{6C5989C6-3084-49BA-B66B-4813F2E37220}"/>
    <cellStyle name="Normal 4 3 3 2 3" xfId="23852" xr:uid="{00000000-0005-0000-0000-00004F5B0000}"/>
    <cellStyle name="Normal 4 3 3 2 3 2" xfId="47684" xr:uid="{24293E9B-E507-452F-9753-8271796D41F1}"/>
    <cellStyle name="Normal 4 3 3 2 4" xfId="31807" xr:uid="{EE1D5EFC-49ED-474A-93EF-8216A413B26E}"/>
    <cellStyle name="Normal 4 3 3 3" xfId="12368" xr:uid="{00000000-0005-0000-0000-0000505B0000}"/>
    <cellStyle name="Normal 4 3 3 3 2" xfId="36217" xr:uid="{BEB12262-1317-4F75-B314-73CE7EDB4C97}"/>
    <cellStyle name="Normal 4 3 3 4" xfId="20323" xr:uid="{00000000-0005-0000-0000-0000515B0000}"/>
    <cellStyle name="Normal 4 3 3 4 2" xfId="44155" xr:uid="{D3FDEDC8-5961-41E5-B1E7-40335BE4DD42}"/>
    <cellStyle name="Normal 4 3 3 5" xfId="28276" xr:uid="{53D1ACDF-B7E7-40E7-8F43-988A032B2A35}"/>
    <cellStyle name="Normal 4 3 4" xfId="6164" xr:uid="{00000000-0005-0000-0000-0000525B0000}"/>
    <cellStyle name="Normal 4 3 4 2" xfId="14147" xr:uid="{00000000-0005-0000-0000-0000535B0000}"/>
    <cellStyle name="Normal 4 3 4 2 2" xfId="37990" xr:uid="{63DC00F6-A8C4-4569-8066-2532D59CC017}"/>
    <cellStyle name="Normal 4 3 4 3" xfId="22095" xr:uid="{00000000-0005-0000-0000-0000545B0000}"/>
    <cellStyle name="Normal 4 3 4 3 2" xfId="45927" xr:uid="{7CBA2233-A23C-4F28-ACE6-5EBE6C065F28}"/>
    <cellStyle name="Normal 4 3 4 4" xfId="30049" xr:uid="{6FB79863-6B68-4610-8A5C-F556EAB15121}"/>
    <cellStyle name="Normal 4 3 5" xfId="9716" xr:uid="{00000000-0005-0000-0000-0000555B0000}"/>
    <cellStyle name="Normal 4 3 5 2" xfId="17674" xr:uid="{00000000-0005-0000-0000-0000565B0000}"/>
    <cellStyle name="Normal 4 3 5 2 2" xfId="41514" xr:uid="{939F35A7-43FF-4863-AE07-EA6B9DEFC711}"/>
    <cellStyle name="Normal 4 3 5 3" xfId="25618" xr:uid="{00000000-0005-0000-0000-0000575B0000}"/>
    <cellStyle name="Normal 4 3 5 3 2" xfId="49450" xr:uid="{D43BFEF4-B5DB-487E-89B8-1B1B885810A6}"/>
    <cellStyle name="Normal 4 3 5 4" xfId="33573" xr:uid="{EEC43314-BC42-4FA4-9DAB-F86D897F14C0}"/>
    <cellStyle name="Normal 4 3 6" xfId="10612" xr:uid="{00000000-0005-0000-0000-0000585B0000}"/>
    <cellStyle name="Normal 4 3 6 2" xfId="34461" xr:uid="{EFA05D23-6BFC-4B15-8929-D599AEA11D71}"/>
    <cellStyle name="Normal 4 3 7" xfId="18567" xr:uid="{00000000-0005-0000-0000-0000595B0000}"/>
    <cellStyle name="Normal 4 3 7 2" xfId="42399" xr:uid="{EFF53BE8-82A5-4A1C-8FA6-2770F4C152D3}"/>
    <cellStyle name="Normal 4 3 8" xfId="26519" xr:uid="{BAD7F576-DA1C-491A-8EE2-AB2287C461B1}"/>
    <cellStyle name="Normal 4 3_Exh G" xfId="3522" xr:uid="{00000000-0005-0000-0000-00005A5B0000}"/>
    <cellStyle name="Normal 4 4" xfId="1017" xr:uid="{00000000-0005-0000-0000-00005B5B0000}"/>
    <cellStyle name="Normal 4 4 2" xfId="1918" xr:uid="{00000000-0005-0000-0000-00005C5B0000}"/>
    <cellStyle name="Normal 4 4 2 2" xfId="5435" xr:uid="{00000000-0005-0000-0000-00005D5B0000}"/>
    <cellStyle name="Normal 4 4 2 2 2" xfId="9026" xr:uid="{00000000-0005-0000-0000-00005E5B0000}"/>
    <cellStyle name="Normal 4 4 2 2 2 2" xfId="16996" xr:uid="{00000000-0005-0000-0000-00005F5B0000}"/>
    <cellStyle name="Normal 4 4 2 2 2 2 2" xfId="40838" xr:uid="{74A092C0-0DE6-4B7D-AD63-5D945A49A528}"/>
    <cellStyle name="Normal 4 4 2 2 2 3" xfId="24942" xr:uid="{00000000-0005-0000-0000-0000605B0000}"/>
    <cellStyle name="Normal 4 4 2 2 2 3 2" xfId="48774" xr:uid="{74844784-60A9-47BB-8A1B-93C1354420B7}"/>
    <cellStyle name="Normal 4 4 2 2 2 4" xfId="32897" xr:uid="{84C7D302-3F66-41B1-82BD-74B71F5FF3DB}"/>
    <cellStyle name="Normal 4 4 2 2 3" xfId="13458" xr:uid="{00000000-0005-0000-0000-0000615B0000}"/>
    <cellStyle name="Normal 4 4 2 2 3 2" xfId="37307" xr:uid="{54198E69-EB02-4FFA-8429-67AE5FB644F1}"/>
    <cellStyle name="Normal 4 4 2 2 4" xfId="21413" xr:uid="{00000000-0005-0000-0000-0000625B0000}"/>
    <cellStyle name="Normal 4 4 2 2 4 2" xfId="45245" xr:uid="{8E3A7681-FACC-499F-BEFE-02966BB10A56}"/>
    <cellStyle name="Normal 4 4 2 2 5" xfId="29366" xr:uid="{1E8D4740-6123-4DEF-A0A5-AC61F2C2C78C}"/>
    <cellStyle name="Normal 4 4 2 3" xfId="7267" xr:uid="{00000000-0005-0000-0000-0000635B0000}"/>
    <cellStyle name="Normal 4 4 2 3 2" xfId="15238" xr:uid="{00000000-0005-0000-0000-0000645B0000}"/>
    <cellStyle name="Normal 4 4 2 3 2 2" xfId="39080" xr:uid="{878BA881-B7E1-45ED-BC99-E44865A74F8C}"/>
    <cellStyle name="Normal 4 4 2 3 3" xfId="23185" xr:uid="{00000000-0005-0000-0000-0000655B0000}"/>
    <cellStyle name="Normal 4 4 2 3 3 2" xfId="47017" xr:uid="{1035E536-331E-40E5-8361-0C7554CD3863}"/>
    <cellStyle name="Normal 4 4 2 3 4" xfId="31139" xr:uid="{720C91A9-6F55-4FB1-8C74-E5467C56A558}"/>
    <cellStyle name="Normal 4 4 2 4" xfId="11702" xr:uid="{00000000-0005-0000-0000-0000665B0000}"/>
    <cellStyle name="Normal 4 4 2 4 2" xfId="35551" xr:uid="{06978E9F-3746-48DF-920F-3F3CF89883A3}"/>
    <cellStyle name="Normal 4 4 2 5" xfId="19657" xr:uid="{00000000-0005-0000-0000-0000675B0000}"/>
    <cellStyle name="Normal 4 4 2 5 2" xfId="43489" xr:uid="{B7DFDE71-D03B-455B-8095-E7E7A465DC28}"/>
    <cellStyle name="Normal 4 4 2 6" xfId="27609" xr:uid="{5945A45A-E3FF-44FB-81AA-AA1708856EB1}"/>
    <cellStyle name="Normal 4 4 2_Exh G" xfId="3525" xr:uid="{00000000-0005-0000-0000-0000685B0000}"/>
    <cellStyle name="Normal 4 4 3" xfId="4556" xr:uid="{00000000-0005-0000-0000-0000695B0000}"/>
    <cellStyle name="Normal 4 4 3 2" xfId="8148" xr:uid="{00000000-0005-0000-0000-00006A5B0000}"/>
    <cellStyle name="Normal 4 4 3 2 2" xfId="16118" xr:uid="{00000000-0005-0000-0000-00006B5B0000}"/>
    <cellStyle name="Normal 4 4 3 2 2 2" xfId="39960" xr:uid="{C9CE5802-E5C5-4A44-B86A-8CEE15A19FD5}"/>
    <cellStyle name="Normal 4 4 3 2 3" xfId="24064" xr:uid="{00000000-0005-0000-0000-00006C5B0000}"/>
    <cellStyle name="Normal 4 4 3 2 3 2" xfId="47896" xr:uid="{93E122ED-DE40-4F03-8F61-8722396093CC}"/>
    <cellStyle name="Normal 4 4 3 2 4" xfId="32019" xr:uid="{9743689D-95EE-44C6-9F22-5DDC0B71A83B}"/>
    <cellStyle name="Normal 4 4 3 3" xfId="12580" xr:uid="{00000000-0005-0000-0000-00006D5B0000}"/>
    <cellStyle name="Normal 4 4 3 3 2" xfId="36429" xr:uid="{981F37E0-8795-4AB9-B950-D5A90F1061CD}"/>
    <cellStyle name="Normal 4 4 3 4" xfId="20535" xr:uid="{00000000-0005-0000-0000-00006E5B0000}"/>
    <cellStyle name="Normal 4 4 3 4 2" xfId="44367" xr:uid="{6699BF0E-8F46-4775-AF29-004595A293D9}"/>
    <cellStyle name="Normal 4 4 3 5" xfId="28488" xr:uid="{1C9D3FAC-D607-41E2-955B-44DA5FF454A9}"/>
    <cellStyle name="Normal 4 4 4" xfId="6386" xr:uid="{00000000-0005-0000-0000-00006F5B0000}"/>
    <cellStyle name="Normal 4 4 4 2" xfId="14360" xr:uid="{00000000-0005-0000-0000-0000705B0000}"/>
    <cellStyle name="Normal 4 4 4 2 2" xfId="38202" xr:uid="{4397CCB3-25ED-4705-B385-2C252A21F977}"/>
    <cellStyle name="Normal 4 4 4 3" xfId="22307" xr:uid="{00000000-0005-0000-0000-0000715B0000}"/>
    <cellStyle name="Normal 4 4 4 3 2" xfId="46139" xr:uid="{46F5ACFD-FBAE-4AC2-9BBA-F47973D01B9B}"/>
    <cellStyle name="Normal 4 4 4 4" xfId="30261" xr:uid="{C296F7FF-913D-45AE-AE15-8A97953B5C06}"/>
    <cellStyle name="Normal 4 4 5" xfId="9928" xr:uid="{00000000-0005-0000-0000-0000725B0000}"/>
    <cellStyle name="Normal 4 4 5 2" xfId="17886" xr:uid="{00000000-0005-0000-0000-0000735B0000}"/>
    <cellStyle name="Normal 4 4 5 2 2" xfId="41726" xr:uid="{1FFE099F-8863-4D36-ADA2-3900ECF8B3E9}"/>
    <cellStyle name="Normal 4 4 5 3" xfId="25830" xr:uid="{00000000-0005-0000-0000-0000745B0000}"/>
    <cellStyle name="Normal 4 4 5 3 2" xfId="49662" xr:uid="{20ACC2F1-55EB-458E-A910-68EC6D0F6394}"/>
    <cellStyle name="Normal 4 4 5 4" xfId="33785" xr:uid="{EE5F08CF-20C7-49AB-9BC0-2CE5EC72ECE8}"/>
    <cellStyle name="Normal 4 4 6" xfId="10824" xr:uid="{00000000-0005-0000-0000-0000755B0000}"/>
    <cellStyle name="Normal 4 4 6 2" xfId="34673" xr:uid="{458229C9-D527-4455-B53D-E1CE4C76C16D}"/>
    <cellStyle name="Normal 4 4 7" xfId="18779" xr:uid="{00000000-0005-0000-0000-0000765B0000}"/>
    <cellStyle name="Normal 4 4 7 2" xfId="42611" xr:uid="{6A0D028F-4F27-4B36-AC9C-0FFDEBF087C8}"/>
    <cellStyle name="Normal 4 4 8" xfId="26731" xr:uid="{C0219FA1-FB3A-4FEE-8E9D-4C93206E869F}"/>
    <cellStyle name="Normal 4 4_Exh G" xfId="3524" xr:uid="{00000000-0005-0000-0000-0000775B0000}"/>
    <cellStyle name="Normal 4 5" xfId="1042" xr:uid="{00000000-0005-0000-0000-0000785B0000}"/>
    <cellStyle name="Normal 4 6" xfId="3690" xr:uid="{00000000-0005-0000-0000-0000795B0000}"/>
    <cellStyle name="Normal 4 7" xfId="5460" xr:uid="{00000000-0005-0000-0000-00007A5B0000}"/>
    <cellStyle name="Normal 4 8" xfId="5468" xr:uid="{00000000-0005-0000-0000-00007B5B0000}"/>
    <cellStyle name="Normal 4 9" xfId="5483" xr:uid="{00000000-0005-0000-0000-00007C5B0000}"/>
    <cellStyle name="Normal 4_Exh G" xfId="3515" xr:uid="{00000000-0005-0000-0000-00007D5B0000}"/>
    <cellStyle name="Normal 40" xfId="5486" xr:uid="{00000000-0005-0000-0000-00007E5B0000}"/>
    <cellStyle name="Normal 40 2" xfId="13483" xr:uid="{00000000-0005-0000-0000-00007F5B0000}"/>
    <cellStyle name="Normal 41" xfId="5491" xr:uid="{00000000-0005-0000-0000-0000805B0000}"/>
    <cellStyle name="Normal 41 2" xfId="13487" xr:uid="{00000000-0005-0000-0000-0000815B0000}"/>
    <cellStyle name="Normal 42" xfId="5492" xr:uid="{00000000-0005-0000-0000-0000825B0000}"/>
    <cellStyle name="Normal 42 2" xfId="13488" xr:uid="{00000000-0005-0000-0000-0000835B0000}"/>
    <cellStyle name="Normal 43" xfId="5496" xr:uid="{00000000-0005-0000-0000-0000845B0000}"/>
    <cellStyle name="Normal 43 2" xfId="13492" xr:uid="{00000000-0005-0000-0000-0000855B0000}"/>
    <cellStyle name="Normal 44" xfId="6240" xr:uid="{00000000-0005-0000-0000-0000865B0000}"/>
    <cellStyle name="Normal 44 2" xfId="14214" xr:uid="{00000000-0005-0000-0000-0000875B0000}"/>
    <cellStyle name="Normal 45" xfId="9060" xr:uid="{00000000-0005-0000-0000-0000885B0000}"/>
    <cellStyle name="Normal 45 2" xfId="17019" xr:uid="{00000000-0005-0000-0000-0000895B0000}"/>
    <cellStyle name="Normal 46" xfId="9061" xr:uid="{00000000-0005-0000-0000-00008A5B0000}"/>
    <cellStyle name="Normal 46 2" xfId="17020" xr:uid="{00000000-0005-0000-0000-00008B5B0000}"/>
    <cellStyle name="Normal 47" xfId="9943" xr:uid="{00000000-0005-0000-0000-00008C5B0000}"/>
    <cellStyle name="Normal 47 2" xfId="17901" xr:uid="{00000000-0005-0000-0000-00008D5B0000}"/>
    <cellStyle name="Normal 47 2 2" xfId="41741" xr:uid="{C894D257-7AF7-48BB-95F7-86BB2C13A818}"/>
    <cellStyle name="Normal 47 3" xfId="25845" xr:uid="{00000000-0005-0000-0000-00008E5B0000}"/>
    <cellStyle name="Normal 47 3 2" xfId="49677" xr:uid="{D044D8AC-9682-4C44-AAFA-370B85BAE31F}"/>
    <cellStyle name="Normal 47 4" xfId="33800" xr:uid="{A43380EB-3EF9-4457-AF16-349251BBB010}"/>
    <cellStyle name="Normal 48" xfId="9945" xr:uid="{00000000-0005-0000-0000-00008F5B0000}"/>
    <cellStyle name="Normal 48 2" xfId="17903" xr:uid="{00000000-0005-0000-0000-0000905B0000}"/>
    <cellStyle name="Normal 48 2 2" xfId="41743" xr:uid="{540217B4-1E7C-461C-808A-3DE2E0BA5101}"/>
    <cellStyle name="Normal 48 3" xfId="25847" xr:uid="{00000000-0005-0000-0000-0000915B0000}"/>
    <cellStyle name="Normal 48 3 2" xfId="49679" xr:uid="{7C8AA8F7-0C81-4642-986D-F18E097DC54F}"/>
    <cellStyle name="Normal 48 4" xfId="33802" xr:uid="{598253AF-8E19-4B31-AB13-CCA715060B29}"/>
    <cellStyle name="Normal 49" xfId="9947" xr:uid="{00000000-0005-0000-0000-0000925B0000}"/>
    <cellStyle name="Normal 5" xfId="5" xr:uid="{00000000-0005-0000-0000-0000935B0000}"/>
    <cellStyle name="Normal 5 2" xfId="811" xr:uid="{00000000-0005-0000-0000-0000945B0000}"/>
    <cellStyle name="Normal 5 2 10" xfId="9782" xr:uid="{00000000-0005-0000-0000-0000955B0000}"/>
    <cellStyle name="Normal 5 2 10 2" xfId="17740" xr:uid="{00000000-0005-0000-0000-0000965B0000}"/>
    <cellStyle name="Normal 5 2 10 2 2" xfId="41580" xr:uid="{16C3E8A5-534B-4BC7-B5E1-B5974B6274A9}"/>
    <cellStyle name="Normal 5 2 10 3" xfId="25684" xr:uid="{00000000-0005-0000-0000-0000975B0000}"/>
    <cellStyle name="Normal 5 2 10 3 2" xfId="49516" xr:uid="{E35E1C0B-7B39-40FD-AE4E-8B49057AC38C}"/>
    <cellStyle name="Normal 5 2 10 4" xfId="33639" xr:uid="{EEDF0490-3B4D-425C-9E8B-757981CD3267}"/>
    <cellStyle name="Normal 5 2 11" xfId="10678" xr:uid="{00000000-0005-0000-0000-0000985B0000}"/>
    <cellStyle name="Normal 5 2 11 2" xfId="34527" xr:uid="{AA2E0682-8F9A-4079-8755-397E19E02D94}"/>
    <cellStyle name="Normal 5 2 12" xfId="18633" xr:uid="{00000000-0005-0000-0000-0000995B0000}"/>
    <cellStyle name="Normal 5 2 12 2" xfId="42465" xr:uid="{2D206685-6124-4225-8A11-0561D7981DEF}"/>
    <cellStyle name="Normal 5 2 13" xfId="26585" xr:uid="{E0B9890E-C7C9-476A-B49E-6FB390DB6E06}"/>
    <cellStyle name="Normal 5 2 2" xfId="1020" xr:uid="{00000000-0005-0000-0000-00009A5B0000}"/>
    <cellStyle name="Normal 5 2 2 2" xfId="1921" xr:uid="{00000000-0005-0000-0000-00009B5B0000}"/>
    <cellStyle name="Normal 5 2 2 2 2" xfId="5438" xr:uid="{00000000-0005-0000-0000-00009C5B0000}"/>
    <cellStyle name="Normal 5 2 2 2 2 2" xfId="9029" xr:uid="{00000000-0005-0000-0000-00009D5B0000}"/>
    <cellStyle name="Normal 5 2 2 2 2 2 2" xfId="16999" xr:uid="{00000000-0005-0000-0000-00009E5B0000}"/>
    <cellStyle name="Normal 5 2 2 2 2 2 2 2" xfId="40841" xr:uid="{7E366E3B-50A2-42A2-A8DE-253A59E5C8B0}"/>
    <cellStyle name="Normal 5 2 2 2 2 2 3" xfId="24945" xr:uid="{00000000-0005-0000-0000-00009F5B0000}"/>
    <cellStyle name="Normal 5 2 2 2 2 2 3 2" xfId="48777" xr:uid="{137B9155-9C87-4597-A801-9A366DCF087F}"/>
    <cellStyle name="Normal 5 2 2 2 2 2 4" xfId="32900" xr:uid="{0BE18F5A-2B64-4177-8B09-F669F3F07B59}"/>
    <cellStyle name="Normal 5 2 2 2 2 3" xfId="13461" xr:uid="{00000000-0005-0000-0000-0000A05B0000}"/>
    <cellStyle name="Normal 5 2 2 2 2 3 2" xfId="37310" xr:uid="{955A9DE0-383D-4C89-A9CD-D28AEAE06D1E}"/>
    <cellStyle name="Normal 5 2 2 2 2 4" xfId="21416" xr:uid="{00000000-0005-0000-0000-0000A15B0000}"/>
    <cellStyle name="Normal 5 2 2 2 2 4 2" xfId="45248" xr:uid="{C7E575B0-1985-4BAF-B938-BC624F53C1EA}"/>
    <cellStyle name="Normal 5 2 2 2 2 5" xfId="29369" xr:uid="{0FDF0E6F-6C89-426F-972E-6F3ADBBDE59C}"/>
    <cellStyle name="Normal 5 2 2 2 3" xfId="7270" xr:uid="{00000000-0005-0000-0000-0000A25B0000}"/>
    <cellStyle name="Normal 5 2 2 2 3 2" xfId="15241" xr:uid="{00000000-0005-0000-0000-0000A35B0000}"/>
    <cellStyle name="Normal 5 2 2 2 3 2 2" xfId="39083" xr:uid="{E7433DBA-B238-4988-8A70-B34026376B9A}"/>
    <cellStyle name="Normal 5 2 2 2 3 3" xfId="23188" xr:uid="{00000000-0005-0000-0000-0000A45B0000}"/>
    <cellStyle name="Normal 5 2 2 2 3 3 2" xfId="47020" xr:uid="{A7E8C9D5-EA83-4868-BBAF-D13A0122C74E}"/>
    <cellStyle name="Normal 5 2 2 2 3 4" xfId="31142" xr:uid="{5805930B-BCE0-4229-991E-B49681451F89}"/>
    <cellStyle name="Normal 5 2 2 2 4" xfId="11705" xr:uid="{00000000-0005-0000-0000-0000A55B0000}"/>
    <cellStyle name="Normal 5 2 2 2 4 2" xfId="35554" xr:uid="{09F094CB-5818-483B-9E81-E30DA4713D79}"/>
    <cellStyle name="Normal 5 2 2 2 5" xfId="19660" xr:uid="{00000000-0005-0000-0000-0000A65B0000}"/>
    <cellStyle name="Normal 5 2 2 2 5 2" xfId="43492" xr:uid="{49F3535D-3F95-4CBF-BBF8-B7B14282E0E3}"/>
    <cellStyle name="Normal 5 2 2 2 6" xfId="27612" xr:uid="{45EBBE49-AF53-43DD-92F9-5765DB43D6D0}"/>
    <cellStyle name="Normal 5 2 2 2_Exh G" xfId="3528" xr:uid="{00000000-0005-0000-0000-0000A75B0000}"/>
    <cellStyle name="Normal 5 2 2 3" xfId="4559" xr:uid="{00000000-0005-0000-0000-0000A85B0000}"/>
    <cellStyle name="Normal 5 2 2 3 2" xfId="8151" xr:uid="{00000000-0005-0000-0000-0000A95B0000}"/>
    <cellStyle name="Normal 5 2 2 3 2 2" xfId="16121" xr:uid="{00000000-0005-0000-0000-0000AA5B0000}"/>
    <cellStyle name="Normal 5 2 2 3 2 2 2" xfId="39963" xr:uid="{0C4463CC-3A6A-452E-9BA4-1A002031FAB9}"/>
    <cellStyle name="Normal 5 2 2 3 2 3" xfId="24067" xr:uid="{00000000-0005-0000-0000-0000AB5B0000}"/>
    <cellStyle name="Normal 5 2 2 3 2 3 2" xfId="47899" xr:uid="{454D7446-D955-4B52-9E81-CF0CD56E154E}"/>
    <cellStyle name="Normal 5 2 2 3 2 4" xfId="32022" xr:uid="{509749A0-3A2C-44BA-84E2-0B85A9904894}"/>
    <cellStyle name="Normal 5 2 2 3 3" xfId="12583" xr:uid="{00000000-0005-0000-0000-0000AC5B0000}"/>
    <cellStyle name="Normal 5 2 2 3 3 2" xfId="36432" xr:uid="{3E5A4959-2DD0-44B1-A11E-355A050A82EE}"/>
    <cellStyle name="Normal 5 2 2 3 4" xfId="20538" xr:uid="{00000000-0005-0000-0000-0000AD5B0000}"/>
    <cellStyle name="Normal 5 2 2 3 4 2" xfId="44370" xr:uid="{1AEBC6B7-44BA-4761-9B0E-7B671963589B}"/>
    <cellStyle name="Normal 5 2 2 3 5" xfId="28491" xr:uid="{92957B10-CB19-45CB-BF94-9E49543DD8C0}"/>
    <cellStyle name="Normal 5 2 2 4" xfId="6389" xr:uid="{00000000-0005-0000-0000-0000AE5B0000}"/>
    <cellStyle name="Normal 5 2 2 4 2" xfId="14363" xr:uid="{00000000-0005-0000-0000-0000AF5B0000}"/>
    <cellStyle name="Normal 5 2 2 4 2 2" xfId="38205" xr:uid="{8DDBF1F4-C6C3-4436-98A7-96D98890A772}"/>
    <cellStyle name="Normal 5 2 2 4 3" xfId="22310" xr:uid="{00000000-0005-0000-0000-0000B05B0000}"/>
    <cellStyle name="Normal 5 2 2 4 3 2" xfId="46142" xr:uid="{757BA193-D55A-4AEB-9070-D14BEC617B8B}"/>
    <cellStyle name="Normal 5 2 2 4 4" xfId="30264" xr:uid="{47A7850A-FCDB-49C4-93F6-6589A1DFEE25}"/>
    <cellStyle name="Normal 5 2 2 5" xfId="9931" xr:uid="{00000000-0005-0000-0000-0000B15B0000}"/>
    <cellStyle name="Normal 5 2 2 5 2" xfId="17889" xr:uid="{00000000-0005-0000-0000-0000B25B0000}"/>
    <cellStyle name="Normal 5 2 2 5 2 2" xfId="41729" xr:uid="{06BAEBE7-2CF1-453E-90C5-567A033BF960}"/>
    <cellStyle name="Normal 5 2 2 5 3" xfId="25833" xr:uid="{00000000-0005-0000-0000-0000B35B0000}"/>
    <cellStyle name="Normal 5 2 2 5 3 2" xfId="49665" xr:uid="{D91E9FBB-E713-44AF-B65D-ED7501B6391F}"/>
    <cellStyle name="Normal 5 2 2 5 4" xfId="33788" xr:uid="{D2ADB937-DA0F-4688-81E2-C75F7F7742F1}"/>
    <cellStyle name="Normal 5 2 2 6" xfId="10827" xr:uid="{00000000-0005-0000-0000-0000B45B0000}"/>
    <cellStyle name="Normal 5 2 2 6 2" xfId="34676" xr:uid="{E7C770D6-F97A-494C-903D-98D2DE6F6829}"/>
    <cellStyle name="Normal 5 2 2 7" xfId="18782" xr:uid="{00000000-0005-0000-0000-0000B55B0000}"/>
    <cellStyle name="Normal 5 2 2 7 2" xfId="42614" xr:uid="{52C745D1-6C81-423F-BF8D-DC0D83B2B7AF}"/>
    <cellStyle name="Normal 5 2 2 8" xfId="26734" xr:uid="{10370B5A-4D33-4A06-84EE-882359402FBD}"/>
    <cellStyle name="Normal 5 2 2_Exh G" xfId="3527" xr:uid="{00000000-0005-0000-0000-0000B65B0000}"/>
    <cellStyle name="Normal 5 2 3" xfId="1762" xr:uid="{00000000-0005-0000-0000-0000B75B0000}"/>
    <cellStyle name="Normal 5 2 3 2" xfId="5289" xr:uid="{00000000-0005-0000-0000-0000B85B0000}"/>
    <cellStyle name="Normal 5 2 3 2 2" xfId="8880" xr:uid="{00000000-0005-0000-0000-0000B95B0000}"/>
    <cellStyle name="Normal 5 2 3 2 2 2" xfId="16850" xr:uid="{00000000-0005-0000-0000-0000BA5B0000}"/>
    <cellStyle name="Normal 5 2 3 2 2 2 2" xfId="40692" xr:uid="{2F9F77F2-5589-401A-AA40-CCEAB7E858A5}"/>
    <cellStyle name="Normal 5 2 3 2 2 3" xfId="24796" xr:uid="{00000000-0005-0000-0000-0000BB5B0000}"/>
    <cellStyle name="Normal 5 2 3 2 2 3 2" xfId="48628" xr:uid="{350A08F0-AA2B-4BB0-90BA-4DAF6F285C53}"/>
    <cellStyle name="Normal 5 2 3 2 2 4" xfId="32751" xr:uid="{A7A01E46-F503-4C73-AAA4-2F0A29AE9643}"/>
    <cellStyle name="Normal 5 2 3 2 3" xfId="13312" xr:uid="{00000000-0005-0000-0000-0000BC5B0000}"/>
    <cellStyle name="Normal 5 2 3 2 3 2" xfId="37161" xr:uid="{7D69541D-FD7A-4AD0-8005-9564BDE9DD55}"/>
    <cellStyle name="Normal 5 2 3 2 4" xfId="21267" xr:uid="{00000000-0005-0000-0000-0000BD5B0000}"/>
    <cellStyle name="Normal 5 2 3 2 4 2" xfId="45099" xr:uid="{01513940-4492-4675-984F-03E284564AF8}"/>
    <cellStyle name="Normal 5 2 3 2 5" xfId="29220" xr:uid="{55B33F87-6BA5-459E-B1FB-259787306935}"/>
    <cellStyle name="Normal 5 2 3 3" xfId="7121" xr:uid="{00000000-0005-0000-0000-0000BE5B0000}"/>
    <cellStyle name="Normal 5 2 3 3 2" xfId="15092" xr:uid="{00000000-0005-0000-0000-0000BF5B0000}"/>
    <cellStyle name="Normal 5 2 3 3 2 2" xfId="38934" xr:uid="{9722E5C6-55EE-4C1A-8DDC-66E0EFC3543D}"/>
    <cellStyle name="Normal 5 2 3 3 3" xfId="23039" xr:uid="{00000000-0005-0000-0000-0000C05B0000}"/>
    <cellStyle name="Normal 5 2 3 3 3 2" xfId="46871" xr:uid="{5E0C0A87-5657-4A36-852C-C099F8244AB5}"/>
    <cellStyle name="Normal 5 2 3 3 4" xfId="30993" xr:uid="{C6D60E03-AAE4-4836-BCCF-8CB339807737}"/>
    <cellStyle name="Normal 5 2 3 4" xfId="11556" xr:uid="{00000000-0005-0000-0000-0000C15B0000}"/>
    <cellStyle name="Normal 5 2 3 4 2" xfId="35405" xr:uid="{536EF997-A927-444E-8762-0A50670C7F01}"/>
    <cellStyle name="Normal 5 2 3 5" xfId="19511" xr:uid="{00000000-0005-0000-0000-0000C25B0000}"/>
    <cellStyle name="Normal 5 2 3 5 2" xfId="43343" xr:uid="{4C0C4D69-5EB9-46B7-8291-CDF935847EF4}"/>
    <cellStyle name="Normal 5 2 3 6" xfId="27463" xr:uid="{2C183011-FB94-4704-A688-87BBFD988821}"/>
    <cellStyle name="Normal 5 2 3_Exh G" xfId="3529" xr:uid="{00000000-0005-0000-0000-0000C35B0000}"/>
    <cellStyle name="Normal 5 2 4" xfId="4410" xr:uid="{00000000-0005-0000-0000-0000C45B0000}"/>
    <cellStyle name="Normal 5 2 4 2" xfId="8002" xr:uid="{00000000-0005-0000-0000-0000C55B0000}"/>
    <cellStyle name="Normal 5 2 4 2 2" xfId="15972" xr:uid="{00000000-0005-0000-0000-0000C65B0000}"/>
    <cellStyle name="Normal 5 2 4 2 2 2" xfId="39814" xr:uid="{85B9F26E-AFAF-4443-A274-A824631C8271}"/>
    <cellStyle name="Normal 5 2 4 2 3" xfId="23918" xr:uid="{00000000-0005-0000-0000-0000C75B0000}"/>
    <cellStyle name="Normal 5 2 4 2 3 2" xfId="47750" xr:uid="{B010533D-EE43-42E2-974D-ADB31254C1C2}"/>
    <cellStyle name="Normal 5 2 4 2 4" xfId="31873" xr:uid="{E013174E-02CB-4987-A471-52CDCF7DCE6F}"/>
    <cellStyle name="Normal 5 2 4 3" xfId="12434" xr:uid="{00000000-0005-0000-0000-0000C85B0000}"/>
    <cellStyle name="Normal 5 2 4 3 2" xfId="36283" xr:uid="{EDE0EA03-F12F-4440-9100-BC1CC4E89116}"/>
    <cellStyle name="Normal 5 2 4 4" xfId="20389" xr:uid="{00000000-0005-0000-0000-0000C95B0000}"/>
    <cellStyle name="Normal 5 2 4 4 2" xfId="44221" xr:uid="{D1700D8E-63A6-4BE8-A46B-4AD9990AE7E9}"/>
    <cellStyle name="Normal 5 2 4 5" xfId="28342" xr:uid="{AC1028BA-2228-4E77-9303-F240246B99A2}"/>
    <cellStyle name="Normal 5 2 5" xfId="5466" xr:uid="{00000000-0005-0000-0000-0000CA5B0000}"/>
    <cellStyle name="Normal 5 2 5 2" xfId="9049" xr:uid="{00000000-0005-0000-0000-0000CB5B0000}"/>
    <cellStyle name="Normal 5 2 6" xfId="5472" xr:uid="{00000000-0005-0000-0000-0000CC5B0000}"/>
    <cellStyle name="Normal 5 2 6 2" xfId="9051" xr:uid="{00000000-0005-0000-0000-0000CD5B0000}"/>
    <cellStyle name="Normal 5 2 7" xfId="6234" xr:uid="{00000000-0005-0000-0000-0000CE5B0000}"/>
    <cellStyle name="Normal 5 2 7 2" xfId="14213" xr:uid="{00000000-0005-0000-0000-0000CF5B0000}"/>
    <cellStyle name="Normal 5 2 7 2 2" xfId="38056" xr:uid="{E4000B0F-0E27-45D1-A895-856B6E9D4D35}"/>
    <cellStyle name="Normal 5 2 7 3" xfId="22161" xr:uid="{00000000-0005-0000-0000-0000D05B0000}"/>
    <cellStyle name="Normal 5 2 7 3 2" xfId="45993" xr:uid="{FF6DA7BD-C3E1-4367-BE1C-6C6E4D8A263F}"/>
    <cellStyle name="Normal 5 2 7 4" xfId="30115" xr:uid="{1A40978C-304D-4E65-9664-35F956A53E81}"/>
    <cellStyle name="Normal 5 2 8" xfId="5504" xr:uid="{00000000-0005-0000-0000-0000D15B0000}"/>
    <cellStyle name="Normal 5 2 9" xfId="6235" xr:uid="{00000000-0005-0000-0000-0000D25B0000}"/>
    <cellStyle name="Normal 5 2_Exh G" xfId="3526" xr:uid="{00000000-0005-0000-0000-0000D35B0000}"/>
    <cellStyle name="Normal 5 3" xfId="1019" xr:uid="{00000000-0005-0000-0000-0000D45B0000}"/>
    <cellStyle name="Normal 5 3 2" xfId="1920" xr:uid="{00000000-0005-0000-0000-0000D55B0000}"/>
    <cellStyle name="Normal 5 3 2 2" xfId="5437" xr:uid="{00000000-0005-0000-0000-0000D65B0000}"/>
    <cellStyle name="Normal 5 3 2 2 2" xfId="9028" xr:uid="{00000000-0005-0000-0000-0000D75B0000}"/>
    <cellStyle name="Normal 5 3 2 2 2 2" xfId="16998" xr:uid="{00000000-0005-0000-0000-0000D85B0000}"/>
    <cellStyle name="Normal 5 3 2 2 2 2 2" xfId="40840" xr:uid="{83B2E9CD-4AD7-4F48-A32F-B578D5D9FD2F}"/>
    <cellStyle name="Normal 5 3 2 2 2 3" xfId="24944" xr:uid="{00000000-0005-0000-0000-0000D95B0000}"/>
    <cellStyle name="Normal 5 3 2 2 2 3 2" xfId="48776" xr:uid="{5B9D0430-0CB4-4E67-8620-3027085B62AB}"/>
    <cellStyle name="Normal 5 3 2 2 2 4" xfId="32899" xr:uid="{ECDC09E2-C56F-4009-AD03-6C64F547B1A8}"/>
    <cellStyle name="Normal 5 3 2 2 3" xfId="13460" xr:uid="{00000000-0005-0000-0000-0000DA5B0000}"/>
    <cellStyle name="Normal 5 3 2 2 3 2" xfId="37309" xr:uid="{B6B18022-CBF4-4B94-9E82-4A39B669AC75}"/>
    <cellStyle name="Normal 5 3 2 2 4" xfId="21415" xr:uid="{00000000-0005-0000-0000-0000DB5B0000}"/>
    <cellStyle name="Normal 5 3 2 2 4 2" xfId="45247" xr:uid="{53328BFC-5B10-491A-9AB5-3612ABE5F017}"/>
    <cellStyle name="Normal 5 3 2 2 5" xfId="29368" xr:uid="{CF4FAD9D-6B34-4577-9F96-0EF84819DFEA}"/>
    <cellStyle name="Normal 5 3 2 3" xfId="7269" xr:uid="{00000000-0005-0000-0000-0000DC5B0000}"/>
    <cellStyle name="Normal 5 3 2 3 2" xfId="15240" xr:uid="{00000000-0005-0000-0000-0000DD5B0000}"/>
    <cellStyle name="Normal 5 3 2 3 2 2" xfId="39082" xr:uid="{112008D6-DF4D-4472-8C9F-7D4FA7757DED}"/>
    <cellStyle name="Normal 5 3 2 3 3" xfId="23187" xr:uid="{00000000-0005-0000-0000-0000DE5B0000}"/>
    <cellStyle name="Normal 5 3 2 3 3 2" xfId="47019" xr:uid="{6AC69D58-B8E1-42FF-BB3E-3695BC5D800B}"/>
    <cellStyle name="Normal 5 3 2 3 4" xfId="31141" xr:uid="{9F735EBB-027E-4BD9-A3D2-CBC79AB51707}"/>
    <cellStyle name="Normal 5 3 2 4" xfId="11704" xr:uid="{00000000-0005-0000-0000-0000DF5B0000}"/>
    <cellStyle name="Normal 5 3 2 4 2" xfId="35553" xr:uid="{0368FE80-D7AE-4DDD-BDBF-F084F0347D2B}"/>
    <cellStyle name="Normal 5 3 2 5" xfId="19659" xr:uid="{00000000-0005-0000-0000-0000E05B0000}"/>
    <cellStyle name="Normal 5 3 2 5 2" xfId="43491" xr:uid="{FF47D24E-74F5-4CC9-ABD9-0E34B404E801}"/>
    <cellStyle name="Normal 5 3 2 6" xfId="27611" xr:uid="{D6E7B058-F54C-44A6-9E0B-C76784D19018}"/>
    <cellStyle name="Normal 5 3 2_Exh G" xfId="3531" xr:uid="{00000000-0005-0000-0000-0000E15B0000}"/>
    <cellStyle name="Normal 5 3 3" xfId="4558" xr:uid="{00000000-0005-0000-0000-0000E25B0000}"/>
    <cellStyle name="Normal 5 3 3 2" xfId="8150" xr:uid="{00000000-0005-0000-0000-0000E35B0000}"/>
    <cellStyle name="Normal 5 3 3 2 2" xfId="16120" xr:uid="{00000000-0005-0000-0000-0000E45B0000}"/>
    <cellStyle name="Normal 5 3 3 2 2 2" xfId="39962" xr:uid="{E834D649-0E49-4056-871E-96699D517125}"/>
    <cellStyle name="Normal 5 3 3 2 3" xfId="24066" xr:uid="{00000000-0005-0000-0000-0000E55B0000}"/>
    <cellStyle name="Normal 5 3 3 2 3 2" xfId="47898" xr:uid="{3217F206-93AA-4492-8126-2FF698E29D8B}"/>
    <cellStyle name="Normal 5 3 3 2 4" xfId="32021" xr:uid="{E9026164-E5F4-40CA-B138-BDA335978C7B}"/>
    <cellStyle name="Normal 5 3 3 3" xfId="12582" xr:uid="{00000000-0005-0000-0000-0000E65B0000}"/>
    <cellStyle name="Normal 5 3 3 3 2" xfId="36431" xr:uid="{C3B3825D-A1ED-4119-823B-6EDC70125366}"/>
    <cellStyle name="Normal 5 3 3 4" xfId="20537" xr:uid="{00000000-0005-0000-0000-0000E75B0000}"/>
    <cellStyle name="Normal 5 3 3 4 2" xfId="44369" xr:uid="{9B978B88-B0A5-4F3E-9262-48CBB6BA0E8B}"/>
    <cellStyle name="Normal 5 3 3 5" xfId="28490" xr:uid="{744699C6-ECB8-4DFF-935A-8BAE00C4A4F4}"/>
    <cellStyle name="Normal 5 3 4" xfId="6388" xr:uid="{00000000-0005-0000-0000-0000E85B0000}"/>
    <cellStyle name="Normal 5 3 4 2" xfId="14362" xr:uid="{00000000-0005-0000-0000-0000E95B0000}"/>
    <cellStyle name="Normal 5 3 4 2 2" xfId="38204" xr:uid="{8FE16914-CC25-4F54-B5A1-A4DE44F5057B}"/>
    <cellStyle name="Normal 5 3 4 3" xfId="22309" xr:uid="{00000000-0005-0000-0000-0000EA5B0000}"/>
    <cellStyle name="Normal 5 3 4 3 2" xfId="46141" xr:uid="{1AE713E9-5208-4009-BE94-2DA9C2012DEE}"/>
    <cellStyle name="Normal 5 3 4 4" xfId="30263" xr:uid="{D99B4A87-69FB-4BF7-ABEF-250B26F45BF5}"/>
    <cellStyle name="Normal 5 3 5" xfId="9930" xr:uid="{00000000-0005-0000-0000-0000EB5B0000}"/>
    <cellStyle name="Normal 5 3 5 2" xfId="17888" xr:uid="{00000000-0005-0000-0000-0000EC5B0000}"/>
    <cellStyle name="Normal 5 3 5 2 2" xfId="41728" xr:uid="{E2BE326D-54F4-4115-9489-958119280ADA}"/>
    <cellStyle name="Normal 5 3 5 3" xfId="25832" xr:uid="{00000000-0005-0000-0000-0000ED5B0000}"/>
    <cellStyle name="Normal 5 3 5 3 2" xfId="49664" xr:uid="{4873AD86-F653-4672-AB4B-474E77164655}"/>
    <cellStyle name="Normal 5 3 5 4" xfId="33787" xr:uid="{3D6B51E8-0D34-4985-B30F-66FE45BCCAFF}"/>
    <cellStyle name="Normal 5 3 6" xfId="10826" xr:uid="{00000000-0005-0000-0000-0000EE5B0000}"/>
    <cellStyle name="Normal 5 3 6 2" xfId="34675" xr:uid="{B9386769-14B6-4FA8-9BD2-8EF347976FD9}"/>
    <cellStyle name="Normal 5 3 7" xfId="18781" xr:uid="{00000000-0005-0000-0000-0000EF5B0000}"/>
    <cellStyle name="Normal 5 3 7 2" xfId="42613" xr:uid="{F1346E3C-9112-4D48-9E09-CFB96237CC3B}"/>
    <cellStyle name="Normal 5 3 8" xfId="26733" xr:uid="{D4E09084-3C80-4A4B-AA34-160446B2C41C}"/>
    <cellStyle name="Normal 5 3_Exh G" xfId="3530" xr:uid="{00000000-0005-0000-0000-0000F05B0000}"/>
    <cellStyle name="Normal 5 4" xfId="5462" xr:uid="{00000000-0005-0000-0000-0000F15B0000}"/>
    <cellStyle name="Normal 5 5" xfId="5469" xr:uid="{00000000-0005-0000-0000-0000F25B0000}"/>
    <cellStyle name="Normal 5 6" xfId="5484" xr:uid="{00000000-0005-0000-0000-0000F35B0000}"/>
    <cellStyle name="Normal 5 7" xfId="5511" xr:uid="{00000000-0005-0000-0000-0000F45B0000}"/>
    <cellStyle name="Normal 5 8" xfId="5501" xr:uid="{00000000-0005-0000-0000-0000F55B0000}"/>
    <cellStyle name="Normal 5 9" xfId="9042" xr:uid="{00000000-0005-0000-0000-0000F65B0000}"/>
    <cellStyle name="Normal 50" xfId="9948" xr:uid="{00000000-0005-0000-0000-0000F75B0000}"/>
    <cellStyle name="Normal 50 2" xfId="17905" xr:uid="{00000000-0005-0000-0000-0000F85B0000}"/>
    <cellStyle name="Normal 51" xfId="9949" xr:uid="{00000000-0005-0000-0000-0000F95B0000}"/>
    <cellStyle name="Normal 51 2" xfId="17906" xr:uid="{00000000-0005-0000-0000-0000FA5B0000}"/>
    <cellStyle name="Normal 52" xfId="9952" xr:uid="{00000000-0005-0000-0000-0000FB5B0000}"/>
    <cellStyle name="Normal 52 2" xfId="17909" xr:uid="{00000000-0005-0000-0000-0000FC5B0000}"/>
    <cellStyle name="Normal 53" xfId="9953" xr:uid="{00000000-0005-0000-0000-0000FD5B0000}"/>
    <cellStyle name="Normal 53 2" xfId="17910" xr:uid="{00000000-0005-0000-0000-0000FE5B0000}"/>
    <cellStyle name="Normal 54" xfId="9954" xr:uid="{00000000-0005-0000-0000-0000FF5B0000}"/>
    <cellStyle name="Normal 54 2" xfId="17911" xr:uid="{00000000-0005-0000-0000-0000005C0000}"/>
    <cellStyle name="Normal 55" xfId="9955" xr:uid="{00000000-0005-0000-0000-0000015C0000}"/>
    <cellStyle name="Normal 55 2" xfId="17912" xr:uid="{00000000-0005-0000-0000-0000025C0000}"/>
    <cellStyle name="Normal 56" xfId="9956" xr:uid="{00000000-0005-0000-0000-0000035C0000}"/>
    <cellStyle name="Normal 56 2" xfId="17913" xr:uid="{00000000-0005-0000-0000-0000045C0000}"/>
    <cellStyle name="Normal 57" xfId="9957" xr:uid="{00000000-0005-0000-0000-0000055C0000}"/>
    <cellStyle name="Normal 57 2" xfId="17914" xr:uid="{00000000-0005-0000-0000-0000065C0000}"/>
    <cellStyle name="Normal 57 2 2" xfId="41747" xr:uid="{4C5C7D43-961A-4D88-A8D5-F0BA5099414C}"/>
    <cellStyle name="Normal 57 3" xfId="25851" xr:uid="{00000000-0005-0000-0000-0000075C0000}"/>
    <cellStyle name="Normal 57 3 2" xfId="49683" xr:uid="{665CC5C5-9CEE-490B-B2C3-F778DEA4CFE7}"/>
    <cellStyle name="Normal 57 4" xfId="33806" xr:uid="{D884C984-9BD2-4347-B768-977185CA12C2}"/>
    <cellStyle name="Normal 58" xfId="9958" xr:uid="{00000000-0005-0000-0000-0000085C0000}"/>
    <cellStyle name="Normal 58 2" xfId="33807" xr:uid="{F9247D12-CEF2-43E0-B39C-40F9DB6B6DD2}"/>
    <cellStyle name="Normal 59" xfId="25853" xr:uid="{00000000-0005-0000-0000-0000095C0000}"/>
    <cellStyle name="Normal 59 2" xfId="49684" xr:uid="{E59435A3-FCE8-46C9-B64A-6DFE78A97A02}"/>
    <cellStyle name="Normal 6" xfId="7" xr:uid="{00000000-0005-0000-0000-00000A5C0000}"/>
    <cellStyle name="Normal 6 2" xfId="671" xr:uid="{00000000-0005-0000-0000-00000B5C0000}"/>
    <cellStyle name="Normal 6 2 2" xfId="672" xr:uid="{00000000-0005-0000-0000-00000C5C0000}"/>
    <cellStyle name="Normal 6 2 2 2" xfId="1698" xr:uid="{00000000-0005-0000-0000-00000D5C0000}"/>
    <cellStyle name="Normal 6 2 2 2 2" xfId="5225" xr:uid="{00000000-0005-0000-0000-00000E5C0000}"/>
    <cellStyle name="Normal 6 2 2 2 2 2" xfId="8816" xr:uid="{00000000-0005-0000-0000-00000F5C0000}"/>
    <cellStyle name="Normal 6 2 2 2 2 2 2" xfId="16786" xr:uid="{00000000-0005-0000-0000-0000105C0000}"/>
    <cellStyle name="Normal 6 2 2 2 2 2 2 2" xfId="40628" xr:uid="{81D0AD05-99DD-4E89-A868-EFA14370AD60}"/>
    <cellStyle name="Normal 6 2 2 2 2 2 3" xfId="24732" xr:uid="{00000000-0005-0000-0000-0000115C0000}"/>
    <cellStyle name="Normal 6 2 2 2 2 2 3 2" xfId="48564" xr:uid="{4A67A498-B854-4B66-98F8-752DE4CC9769}"/>
    <cellStyle name="Normal 6 2 2 2 2 2 4" xfId="32687" xr:uid="{A6039D21-85B7-46A4-AAF0-1FF7FEF512F8}"/>
    <cellStyle name="Normal 6 2 2 2 2 3" xfId="13248" xr:uid="{00000000-0005-0000-0000-0000125C0000}"/>
    <cellStyle name="Normal 6 2 2 2 2 3 2" xfId="37097" xr:uid="{9E24BB74-0F6B-4D4E-BB64-0C882B5CA493}"/>
    <cellStyle name="Normal 6 2 2 2 2 4" xfId="21203" xr:uid="{00000000-0005-0000-0000-0000135C0000}"/>
    <cellStyle name="Normal 6 2 2 2 2 4 2" xfId="45035" xr:uid="{2A91D031-072A-4CA0-B1E6-02C6F949B2BC}"/>
    <cellStyle name="Normal 6 2 2 2 2 5" xfId="29156" xr:uid="{772A7F78-F2FE-4017-9B80-B1642F0CCA6B}"/>
    <cellStyle name="Normal 6 2 2 2 3" xfId="7057" xr:uid="{00000000-0005-0000-0000-0000145C0000}"/>
    <cellStyle name="Normal 6 2 2 2 3 2" xfId="15028" xr:uid="{00000000-0005-0000-0000-0000155C0000}"/>
    <cellStyle name="Normal 6 2 2 2 3 2 2" xfId="38870" xr:uid="{C590DD3B-8013-41DD-B015-3FD751B7AA8A}"/>
    <cellStyle name="Normal 6 2 2 2 3 3" xfId="22975" xr:uid="{00000000-0005-0000-0000-0000165C0000}"/>
    <cellStyle name="Normal 6 2 2 2 3 3 2" xfId="46807" xr:uid="{89AD3532-C710-4A07-896C-FA4D9D467BE0}"/>
    <cellStyle name="Normal 6 2 2 2 3 4" xfId="30929" xr:uid="{04FDE233-A134-4BBD-9F08-1A3C83FFA1E0}"/>
    <cellStyle name="Normal 6 2 2 2 4" xfId="11492" xr:uid="{00000000-0005-0000-0000-0000175C0000}"/>
    <cellStyle name="Normal 6 2 2 2 4 2" xfId="35341" xr:uid="{AA7313D5-EBB4-4DA6-91FC-8E45D1626A67}"/>
    <cellStyle name="Normal 6 2 2 2 5" xfId="19447" xr:uid="{00000000-0005-0000-0000-0000185C0000}"/>
    <cellStyle name="Normal 6 2 2 2 5 2" xfId="43279" xr:uid="{00E4149D-E8D1-4614-9BF9-FE18E1BF9A89}"/>
    <cellStyle name="Normal 6 2 2 2 6" xfId="27399" xr:uid="{9B8406D9-E501-42B4-B1A6-BD7A0D3E2734}"/>
    <cellStyle name="Normal 6 2 2 2_Exh G" xfId="3534" xr:uid="{00000000-0005-0000-0000-0000195C0000}"/>
    <cellStyle name="Normal 6 2 2 3" xfId="4346" xr:uid="{00000000-0005-0000-0000-00001A5C0000}"/>
    <cellStyle name="Normal 6 2 2 3 2" xfId="7938" xr:uid="{00000000-0005-0000-0000-00001B5C0000}"/>
    <cellStyle name="Normal 6 2 2 3 2 2" xfId="15908" xr:uid="{00000000-0005-0000-0000-00001C5C0000}"/>
    <cellStyle name="Normal 6 2 2 3 2 2 2" xfId="39750" xr:uid="{3EF4DFA8-3B40-4216-928B-F8C981DBC784}"/>
    <cellStyle name="Normal 6 2 2 3 2 3" xfId="23854" xr:uid="{00000000-0005-0000-0000-00001D5C0000}"/>
    <cellStyle name="Normal 6 2 2 3 2 3 2" xfId="47686" xr:uid="{C0801D33-858C-4FF5-9FD9-4FDB4AF51B6A}"/>
    <cellStyle name="Normal 6 2 2 3 2 4" xfId="31809" xr:uid="{CECEF1CF-E438-4D3C-9BFC-3029F6EA97F3}"/>
    <cellStyle name="Normal 6 2 2 3 3" xfId="12370" xr:uid="{00000000-0005-0000-0000-00001E5C0000}"/>
    <cellStyle name="Normal 6 2 2 3 3 2" xfId="36219" xr:uid="{6CA1BE02-E27B-4EF3-9A62-EF89E2FD03D6}"/>
    <cellStyle name="Normal 6 2 2 3 4" xfId="20325" xr:uid="{00000000-0005-0000-0000-00001F5C0000}"/>
    <cellStyle name="Normal 6 2 2 3 4 2" xfId="44157" xr:uid="{BF728E80-1A57-40F7-A845-081796F1F7D6}"/>
    <cellStyle name="Normal 6 2 2 3 5" xfId="28278" xr:uid="{19922E8F-AA98-4E08-956D-21BA6B25CDE9}"/>
    <cellStyle name="Normal 6 2 2 4" xfId="6166" xr:uid="{00000000-0005-0000-0000-0000205C0000}"/>
    <cellStyle name="Normal 6 2 2 4 2" xfId="14149" xr:uid="{00000000-0005-0000-0000-0000215C0000}"/>
    <cellStyle name="Normal 6 2 2 4 2 2" xfId="37992" xr:uid="{F4768A7A-8E88-4278-AFBC-DF52AC368D16}"/>
    <cellStyle name="Normal 6 2 2 4 3" xfId="22097" xr:uid="{00000000-0005-0000-0000-0000225C0000}"/>
    <cellStyle name="Normal 6 2 2 4 3 2" xfId="45929" xr:uid="{1A06E939-5CA9-4819-80AB-C40F1A673BDB}"/>
    <cellStyle name="Normal 6 2 2 4 4" xfId="30051" xr:uid="{67E4CEB6-DC2D-4FE5-9B3E-47BBC2495275}"/>
    <cellStyle name="Normal 6 2 2 5" xfId="9718" xr:uid="{00000000-0005-0000-0000-0000235C0000}"/>
    <cellStyle name="Normal 6 2 2 5 2" xfId="17676" xr:uid="{00000000-0005-0000-0000-0000245C0000}"/>
    <cellStyle name="Normal 6 2 2 5 2 2" xfId="41516" xr:uid="{833F6E88-3D66-47EF-9C3E-E52A53EF59A1}"/>
    <cellStyle name="Normal 6 2 2 5 3" xfId="25620" xr:uid="{00000000-0005-0000-0000-0000255C0000}"/>
    <cellStyle name="Normal 6 2 2 5 3 2" xfId="49452" xr:uid="{20C3B42C-AE77-47EA-92B7-BC8C78A30EE1}"/>
    <cellStyle name="Normal 6 2 2 5 4" xfId="33575" xr:uid="{F3ACACAA-3006-48E7-A56B-5B3F5022B1E6}"/>
    <cellStyle name="Normal 6 2 2 6" xfId="10614" xr:uid="{00000000-0005-0000-0000-0000265C0000}"/>
    <cellStyle name="Normal 6 2 2 6 2" xfId="34463" xr:uid="{8169C5F2-333D-48EE-9519-9C17D921BBAA}"/>
    <cellStyle name="Normal 6 2 2 7" xfId="18569" xr:uid="{00000000-0005-0000-0000-0000275C0000}"/>
    <cellStyle name="Normal 6 2 2 7 2" xfId="42401" xr:uid="{286C9CEF-DC98-4F66-BAB4-9C28EC2B854D}"/>
    <cellStyle name="Normal 6 2 2 8" xfId="26521" xr:uid="{E1410258-C146-4C65-84E7-9CBE05E2F635}"/>
    <cellStyle name="Normal 6 2 2_Exh G" xfId="3533" xr:uid="{00000000-0005-0000-0000-0000285C0000}"/>
    <cellStyle name="Normal 6 2 3" xfId="1697" xr:uid="{00000000-0005-0000-0000-0000295C0000}"/>
    <cellStyle name="Normal 6 2 3 2" xfId="5224" xr:uid="{00000000-0005-0000-0000-00002A5C0000}"/>
    <cellStyle name="Normal 6 2 3 2 2" xfId="8815" xr:uid="{00000000-0005-0000-0000-00002B5C0000}"/>
    <cellStyle name="Normal 6 2 3 2 2 2" xfId="16785" xr:uid="{00000000-0005-0000-0000-00002C5C0000}"/>
    <cellStyle name="Normal 6 2 3 2 2 2 2" xfId="40627" xr:uid="{F80032EE-831E-4206-BCF3-AC26BA445220}"/>
    <cellStyle name="Normal 6 2 3 2 2 3" xfId="24731" xr:uid="{00000000-0005-0000-0000-00002D5C0000}"/>
    <cellStyle name="Normal 6 2 3 2 2 3 2" xfId="48563" xr:uid="{D0D8B8AF-44EF-4FB2-B8A8-578166DD7E79}"/>
    <cellStyle name="Normal 6 2 3 2 2 4" xfId="32686" xr:uid="{72582EEC-6D34-4FCE-B003-7B842715721F}"/>
    <cellStyle name="Normal 6 2 3 2 3" xfId="13247" xr:uid="{00000000-0005-0000-0000-00002E5C0000}"/>
    <cellStyle name="Normal 6 2 3 2 3 2" xfId="37096" xr:uid="{397B15E9-0B97-45DC-A3C7-13AD021DD2DD}"/>
    <cellStyle name="Normal 6 2 3 2 4" xfId="21202" xr:uid="{00000000-0005-0000-0000-00002F5C0000}"/>
    <cellStyle name="Normal 6 2 3 2 4 2" xfId="45034" xr:uid="{B504C9D6-029F-435A-92EA-C8DC820C50B8}"/>
    <cellStyle name="Normal 6 2 3 2 5" xfId="29155" xr:uid="{A20D9CB1-4B6E-45ED-8910-0093E9D9D6BF}"/>
    <cellStyle name="Normal 6 2 3 3" xfId="7056" xr:uid="{00000000-0005-0000-0000-0000305C0000}"/>
    <cellStyle name="Normal 6 2 3 3 2" xfId="15027" xr:uid="{00000000-0005-0000-0000-0000315C0000}"/>
    <cellStyle name="Normal 6 2 3 3 2 2" xfId="38869" xr:uid="{27193CE4-3DE8-43B8-9C3B-17378E5E0556}"/>
    <cellStyle name="Normal 6 2 3 3 3" xfId="22974" xr:uid="{00000000-0005-0000-0000-0000325C0000}"/>
    <cellStyle name="Normal 6 2 3 3 3 2" xfId="46806" xr:uid="{18AEA82B-EA64-4DF8-B099-7F0EDE3E2266}"/>
    <cellStyle name="Normal 6 2 3 3 4" xfId="30928" xr:uid="{F8C2AC97-BA18-43D0-ABF9-8B85BB3BB2DC}"/>
    <cellStyle name="Normal 6 2 3 4" xfId="11491" xr:uid="{00000000-0005-0000-0000-0000335C0000}"/>
    <cellStyle name="Normal 6 2 3 4 2" xfId="35340" xr:uid="{D8BCDF6F-1D7A-4ACD-804C-E4E4D71FFF65}"/>
    <cellStyle name="Normal 6 2 3 5" xfId="19446" xr:uid="{00000000-0005-0000-0000-0000345C0000}"/>
    <cellStyle name="Normal 6 2 3 5 2" xfId="43278" xr:uid="{BC917E7F-DDE0-4585-A4F7-F3744DC954A2}"/>
    <cellStyle name="Normal 6 2 3 6" xfId="27398" xr:uid="{4A754FA9-C4CB-466B-AF0F-3513B654D754}"/>
    <cellStyle name="Normal 6 2 3_Exh G" xfId="3535" xr:uid="{00000000-0005-0000-0000-0000355C0000}"/>
    <cellStyle name="Normal 6 2 4" xfId="4345" xr:uid="{00000000-0005-0000-0000-0000365C0000}"/>
    <cellStyle name="Normal 6 2 4 2" xfId="7937" xr:uid="{00000000-0005-0000-0000-0000375C0000}"/>
    <cellStyle name="Normal 6 2 4 2 2" xfId="15907" xr:uid="{00000000-0005-0000-0000-0000385C0000}"/>
    <cellStyle name="Normal 6 2 4 2 2 2" xfId="39749" xr:uid="{8C757703-6A4F-407A-8D7D-CC8AA63965D3}"/>
    <cellStyle name="Normal 6 2 4 2 3" xfId="23853" xr:uid="{00000000-0005-0000-0000-0000395C0000}"/>
    <cellStyle name="Normal 6 2 4 2 3 2" xfId="47685" xr:uid="{1C1CA53D-A682-4283-8F4F-30F197B1DB7C}"/>
    <cellStyle name="Normal 6 2 4 2 4" xfId="31808" xr:uid="{41F20BF4-79ED-4B30-BF52-CAE36C82B394}"/>
    <cellStyle name="Normal 6 2 4 3" xfId="12369" xr:uid="{00000000-0005-0000-0000-00003A5C0000}"/>
    <cellStyle name="Normal 6 2 4 3 2" xfId="36218" xr:uid="{931D03A3-8CD1-49D6-B1B5-3508DAA01487}"/>
    <cellStyle name="Normal 6 2 4 4" xfId="20324" xr:uid="{00000000-0005-0000-0000-00003B5C0000}"/>
    <cellStyle name="Normal 6 2 4 4 2" xfId="44156" xr:uid="{5ADB4EDA-F32F-4C32-9174-727E12513DDF}"/>
    <cellStyle name="Normal 6 2 4 5" xfId="28277" xr:uid="{CC2EE59E-3425-4228-81DD-59016DA9C7DD}"/>
    <cellStyle name="Normal 6 2 5" xfId="6165" xr:uid="{00000000-0005-0000-0000-00003C5C0000}"/>
    <cellStyle name="Normal 6 2 5 2" xfId="14148" xr:uid="{00000000-0005-0000-0000-00003D5C0000}"/>
    <cellStyle name="Normal 6 2 5 2 2" xfId="37991" xr:uid="{CA4AE2D1-A7BC-4705-A31F-09D2CBC6F3F4}"/>
    <cellStyle name="Normal 6 2 5 3" xfId="22096" xr:uid="{00000000-0005-0000-0000-00003E5C0000}"/>
    <cellStyle name="Normal 6 2 5 3 2" xfId="45928" xr:uid="{55FC8930-BDFE-4D0F-8D4C-B61B0247FADB}"/>
    <cellStyle name="Normal 6 2 5 4" xfId="30050" xr:uid="{E9D09E70-09E5-49D6-9B7C-DCD5E86FBD7A}"/>
    <cellStyle name="Normal 6 2 6" xfId="9717" xr:uid="{00000000-0005-0000-0000-00003F5C0000}"/>
    <cellStyle name="Normal 6 2 6 2" xfId="17675" xr:uid="{00000000-0005-0000-0000-0000405C0000}"/>
    <cellStyle name="Normal 6 2 6 2 2" xfId="41515" xr:uid="{3244AA27-7FCC-4AD3-A742-755E5FCD6F48}"/>
    <cellStyle name="Normal 6 2 6 3" xfId="25619" xr:uid="{00000000-0005-0000-0000-0000415C0000}"/>
    <cellStyle name="Normal 6 2 6 3 2" xfId="49451" xr:uid="{F36F319F-0512-4EDA-8BAE-222A4659E8E1}"/>
    <cellStyle name="Normal 6 2 6 4" xfId="33574" xr:uid="{7A2F59FC-D1A0-472C-BDCC-4B40ACCA1372}"/>
    <cellStyle name="Normal 6 2 7" xfId="10613" xr:uid="{00000000-0005-0000-0000-0000425C0000}"/>
    <cellStyle name="Normal 6 2 7 2" xfId="34462" xr:uid="{3EDAD2C4-6A3D-4D79-BA70-AFD5063BA864}"/>
    <cellStyle name="Normal 6 2 8" xfId="18568" xr:uid="{00000000-0005-0000-0000-0000435C0000}"/>
    <cellStyle name="Normal 6 2 8 2" xfId="42400" xr:uid="{3299C5C9-8A5C-49B6-8DA3-B423C24B5938}"/>
    <cellStyle name="Normal 6 2 9" xfId="26520" xr:uid="{54B9AA36-DBBF-4E76-88E7-F1310A2B5792}"/>
    <cellStyle name="Normal 6 2_Exh G" xfId="3532" xr:uid="{00000000-0005-0000-0000-0000445C0000}"/>
    <cellStyle name="Normal 6 3" xfId="673" xr:uid="{00000000-0005-0000-0000-0000455C0000}"/>
    <cellStyle name="Normal 6 3 2" xfId="1699" xr:uid="{00000000-0005-0000-0000-0000465C0000}"/>
    <cellStyle name="Normal 6 3 2 2" xfId="5226" xr:uid="{00000000-0005-0000-0000-0000475C0000}"/>
    <cellStyle name="Normal 6 3 2 2 2" xfId="8817" xr:uid="{00000000-0005-0000-0000-0000485C0000}"/>
    <cellStyle name="Normal 6 3 2 2 2 2" xfId="16787" xr:uid="{00000000-0005-0000-0000-0000495C0000}"/>
    <cellStyle name="Normal 6 3 2 2 2 2 2" xfId="40629" xr:uid="{B107A4C3-CD79-48A6-9AF8-996C81B66084}"/>
    <cellStyle name="Normal 6 3 2 2 2 3" xfId="24733" xr:uid="{00000000-0005-0000-0000-00004A5C0000}"/>
    <cellStyle name="Normal 6 3 2 2 2 3 2" xfId="48565" xr:uid="{7B1EA573-95EC-4348-84C3-371F79711434}"/>
    <cellStyle name="Normal 6 3 2 2 2 4" xfId="32688" xr:uid="{609D2C46-C8B3-4188-BF80-9118A28C6000}"/>
    <cellStyle name="Normal 6 3 2 2 3" xfId="13249" xr:uid="{00000000-0005-0000-0000-00004B5C0000}"/>
    <cellStyle name="Normal 6 3 2 2 3 2" xfId="37098" xr:uid="{7A77CBBB-CA4C-428C-B9E8-3A5817D93E8E}"/>
    <cellStyle name="Normal 6 3 2 2 4" xfId="21204" xr:uid="{00000000-0005-0000-0000-00004C5C0000}"/>
    <cellStyle name="Normal 6 3 2 2 4 2" xfId="45036" xr:uid="{C90BA967-88B6-489A-AAF4-ED3ECA6AF403}"/>
    <cellStyle name="Normal 6 3 2 2 5" xfId="29157" xr:uid="{109D5074-47A3-4916-AE0F-2EC3BF935922}"/>
    <cellStyle name="Normal 6 3 2 3" xfId="7058" xr:uid="{00000000-0005-0000-0000-00004D5C0000}"/>
    <cellStyle name="Normal 6 3 2 3 2" xfId="15029" xr:uid="{00000000-0005-0000-0000-00004E5C0000}"/>
    <cellStyle name="Normal 6 3 2 3 2 2" xfId="38871" xr:uid="{A28FEA7A-9440-4C97-BF00-E19FB468019A}"/>
    <cellStyle name="Normal 6 3 2 3 3" xfId="22976" xr:uid="{00000000-0005-0000-0000-00004F5C0000}"/>
    <cellStyle name="Normal 6 3 2 3 3 2" xfId="46808" xr:uid="{149F52C8-A687-4F72-B976-52529488CBAF}"/>
    <cellStyle name="Normal 6 3 2 3 4" xfId="30930" xr:uid="{88AC5ABC-7BF2-421D-A2D5-81A11768101D}"/>
    <cellStyle name="Normal 6 3 2 4" xfId="11493" xr:uid="{00000000-0005-0000-0000-0000505C0000}"/>
    <cellStyle name="Normal 6 3 2 4 2" xfId="35342" xr:uid="{58532F9B-4021-45B3-9889-D1FCC24F2001}"/>
    <cellStyle name="Normal 6 3 2 5" xfId="19448" xr:uid="{00000000-0005-0000-0000-0000515C0000}"/>
    <cellStyle name="Normal 6 3 2 5 2" xfId="43280" xr:uid="{5E184F73-4AA1-4B7B-85DE-E4C9620F2975}"/>
    <cellStyle name="Normal 6 3 2 6" xfId="27400" xr:uid="{F4DF8306-F677-4142-893E-1ABEB2FB314E}"/>
    <cellStyle name="Normal 6 3 2_Exh G" xfId="3537" xr:uid="{00000000-0005-0000-0000-0000525C0000}"/>
    <cellStyle name="Normal 6 3 3" xfId="4347" xr:uid="{00000000-0005-0000-0000-0000535C0000}"/>
    <cellStyle name="Normal 6 3 3 2" xfId="7939" xr:uid="{00000000-0005-0000-0000-0000545C0000}"/>
    <cellStyle name="Normal 6 3 3 2 2" xfId="15909" xr:uid="{00000000-0005-0000-0000-0000555C0000}"/>
    <cellStyle name="Normal 6 3 3 2 2 2" xfId="39751" xr:uid="{1CC7D53E-10EF-4486-8FEF-A5846B6172BD}"/>
    <cellStyle name="Normal 6 3 3 2 3" xfId="23855" xr:uid="{00000000-0005-0000-0000-0000565C0000}"/>
    <cellStyle name="Normal 6 3 3 2 3 2" xfId="47687" xr:uid="{1FEBB912-4048-463F-BE3B-56AE7EDDC3DC}"/>
    <cellStyle name="Normal 6 3 3 2 4" xfId="31810" xr:uid="{71FA5EE9-B89E-443B-8F79-8E1DF2DDF45D}"/>
    <cellStyle name="Normal 6 3 3 3" xfId="12371" xr:uid="{00000000-0005-0000-0000-0000575C0000}"/>
    <cellStyle name="Normal 6 3 3 3 2" xfId="36220" xr:uid="{3C26122F-E700-4589-8404-9FE1DEA26EA4}"/>
    <cellStyle name="Normal 6 3 3 4" xfId="20326" xr:uid="{00000000-0005-0000-0000-0000585C0000}"/>
    <cellStyle name="Normal 6 3 3 4 2" xfId="44158" xr:uid="{7CF6BC36-A932-4B9F-A911-326B4B76BADC}"/>
    <cellStyle name="Normal 6 3 3 5" xfId="28279" xr:uid="{F6D24A9B-8C5D-4D4B-8921-EF26C73A4CE1}"/>
    <cellStyle name="Normal 6 3 4" xfId="6167" xr:uid="{00000000-0005-0000-0000-0000595C0000}"/>
    <cellStyle name="Normal 6 3 4 2" xfId="14150" xr:uid="{00000000-0005-0000-0000-00005A5C0000}"/>
    <cellStyle name="Normal 6 3 4 2 2" xfId="37993" xr:uid="{7BF43140-5167-4829-AA09-C9BDE3C463B7}"/>
    <cellStyle name="Normal 6 3 4 3" xfId="22098" xr:uid="{00000000-0005-0000-0000-00005B5C0000}"/>
    <cellStyle name="Normal 6 3 4 3 2" xfId="45930" xr:uid="{2D7B8D60-C50F-4CF3-A5DD-23541A59BDCC}"/>
    <cellStyle name="Normal 6 3 4 4" xfId="30052" xr:uid="{A4B9F9BE-C245-481A-B303-36C00B7ABAF8}"/>
    <cellStyle name="Normal 6 3 5" xfId="9719" xr:uid="{00000000-0005-0000-0000-00005C5C0000}"/>
    <cellStyle name="Normal 6 3 5 2" xfId="17677" xr:uid="{00000000-0005-0000-0000-00005D5C0000}"/>
    <cellStyle name="Normal 6 3 5 2 2" xfId="41517" xr:uid="{3228814C-F6EC-4036-9145-1A10B1B3FA51}"/>
    <cellStyle name="Normal 6 3 5 3" xfId="25621" xr:uid="{00000000-0005-0000-0000-00005E5C0000}"/>
    <cellStyle name="Normal 6 3 5 3 2" xfId="49453" xr:uid="{F9529FC5-1530-4028-BC54-8089BB5CA674}"/>
    <cellStyle name="Normal 6 3 5 4" xfId="33576" xr:uid="{6AB2804D-D83A-44D5-BC3C-A474E0FA762B}"/>
    <cellStyle name="Normal 6 3 6" xfId="10615" xr:uid="{00000000-0005-0000-0000-00005F5C0000}"/>
    <cellStyle name="Normal 6 3 6 2" xfId="34464" xr:uid="{3D86AAC3-3F94-418D-BB2E-9A652AA50797}"/>
    <cellStyle name="Normal 6 3 7" xfId="18570" xr:uid="{00000000-0005-0000-0000-0000605C0000}"/>
    <cellStyle name="Normal 6 3 7 2" xfId="42402" xr:uid="{D11ED0BD-93EC-41DC-AE8F-4E069ACBCFE0}"/>
    <cellStyle name="Normal 6 3 8" xfId="26522" xr:uid="{473D5499-E958-4650-A063-804F9F2E76C2}"/>
    <cellStyle name="Normal 6 3_Exh G" xfId="3536" xr:uid="{00000000-0005-0000-0000-0000615C0000}"/>
    <cellStyle name="Normal 6 4" xfId="1021" xr:uid="{00000000-0005-0000-0000-0000625C0000}"/>
    <cellStyle name="Normal 60" xfId="49697" xr:uid="{21714B4E-006B-4FAF-8A57-C62674FCFD8C}"/>
    <cellStyle name="Normal 61" xfId="49782" xr:uid="{E268CA34-7E45-483D-ABEB-5CE3333CD824}"/>
    <cellStyle name="Normal 62" xfId="49821" xr:uid="{B34CF199-254D-4CBD-A328-5E9B29B8025B}"/>
    <cellStyle name="Normal 7" xfId="14" xr:uid="{00000000-0005-0000-0000-0000635C0000}"/>
    <cellStyle name="Normal 7 2" xfId="674" xr:uid="{00000000-0005-0000-0000-0000645C0000}"/>
    <cellStyle name="Normal 7 2 2" xfId="675" xr:uid="{00000000-0005-0000-0000-0000655C0000}"/>
    <cellStyle name="Normal 7 2 2 2" xfId="1701" xr:uid="{00000000-0005-0000-0000-0000665C0000}"/>
    <cellStyle name="Normal 7 2 2 2 2" xfId="5228" xr:uid="{00000000-0005-0000-0000-0000675C0000}"/>
    <cellStyle name="Normal 7 2 2 2 2 2" xfId="8819" xr:uid="{00000000-0005-0000-0000-0000685C0000}"/>
    <cellStyle name="Normal 7 2 2 2 2 2 2" xfId="16789" xr:uid="{00000000-0005-0000-0000-0000695C0000}"/>
    <cellStyle name="Normal 7 2 2 2 2 2 2 2" xfId="40631" xr:uid="{FF0F6E1B-1864-41BD-BD9B-345625AF7802}"/>
    <cellStyle name="Normal 7 2 2 2 2 2 3" xfId="24735" xr:uid="{00000000-0005-0000-0000-00006A5C0000}"/>
    <cellStyle name="Normal 7 2 2 2 2 2 3 2" xfId="48567" xr:uid="{B5F1DB96-2BC8-4C04-8BCB-2CF7D2AD02E5}"/>
    <cellStyle name="Normal 7 2 2 2 2 2 4" xfId="32690" xr:uid="{472590A4-F1D1-490A-BEB5-7B4806AF5B7C}"/>
    <cellStyle name="Normal 7 2 2 2 2 3" xfId="13251" xr:uid="{00000000-0005-0000-0000-00006B5C0000}"/>
    <cellStyle name="Normal 7 2 2 2 2 3 2" xfId="37100" xr:uid="{1942B260-F92F-45FA-B808-92F4D85D0F20}"/>
    <cellStyle name="Normal 7 2 2 2 2 4" xfId="21206" xr:uid="{00000000-0005-0000-0000-00006C5C0000}"/>
    <cellStyle name="Normal 7 2 2 2 2 4 2" xfId="45038" xr:uid="{066EA486-23DB-4909-B7EC-99DEA8DECB59}"/>
    <cellStyle name="Normal 7 2 2 2 2 5" xfId="29159" xr:uid="{2547F517-646B-4C3D-8F1F-748A312D8F77}"/>
    <cellStyle name="Normal 7 2 2 2 3" xfId="7060" xr:uid="{00000000-0005-0000-0000-00006D5C0000}"/>
    <cellStyle name="Normal 7 2 2 2 3 2" xfId="15031" xr:uid="{00000000-0005-0000-0000-00006E5C0000}"/>
    <cellStyle name="Normal 7 2 2 2 3 2 2" xfId="38873" xr:uid="{D9A74686-2EB8-42AA-A465-54D0B8C4069F}"/>
    <cellStyle name="Normal 7 2 2 2 3 3" xfId="22978" xr:uid="{00000000-0005-0000-0000-00006F5C0000}"/>
    <cellStyle name="Normal 7 2 2 2 3 3 2" xfId="46810" xr:uid="{9E3C9F62-3830-4996-90FA-15FA29CF1E86}"/>
    <cellStyle name="Normal 7 2 2 2 3 4" xfId="30932" xr:uid="{F0FD206A-314F-4BEF-9AFD-C46E67B41F38}"/>
    <cellStyle name="Normal 7 2 2 2 4" xfId="11495" xr:uid="{00000000-0005-0000-0000-0000705C0000}"/>
    <cellStyle name="Normal 7 2 2 2 4 2" xfId="35344" xr:uid="{382417E8-0E0B-4BD1-AF53-9217C775288A}"/>
    <cellStyle name="Normal 7 2 2 2 5" xfId="19450" xr:uid="{00000000-0005-0000-0000-0000715C0000}"/>
    <cellStyle name="Normal 7 2 2 2 5 2" xfId="43282" xr:uid="{4F3A0E46-8302-4215-A111-15B2F7892B19}"/>
    <cellStyle name="Normal 7 2 2 2 6" xfId="27402" xr:uid="{3EE80686-747F-4827-A84C-F57BDFAEB6A1}"/>
    <cellStyle name="Normal 7 2 2 2_Exh G" xfId="3540" xr:uid="{00000000-0005-0000-0000-0000725C0000}"/>
    <cellStyle name="Normal 7 2 2 3" xfId="4349" xr:uid="{00000000-0005-0000-0000-0000735C0000}"/>
    <cellStyle name="Normal 7 2 2 3 2" xfId="7941" xr:uid="{00000000-0005-0000-0000-0000745C0000}"/>
    <cellStyle name="Normal 7 2 2 3 2 2" xfId="15911" xr:uid="{00000000-0005-0000-0000-0000755C0000}"/>
    <cellStyle name="Normal 7 2 2 3 2 2 2" xfId="39753" xr:uid="{042C69B6-11F9-4A39-AA84-B4A919CBB6C4}"/>
    <cellStyle name="Normal 7 2 2 3 2 3" xfId="23857" xr:uid="{00000000-0005-0000-0000-0000765C0000}"/>
    <cellStyle name="Normal 7 2 2 3 2 3 2" xfId="47689" xr:uid="{45FBE99D-6B4E-4BC6-806A-ADAB6339A9B9}"/>
    <cellStyle name="Normal 7 2 2 3 2 4" xfId="31812" xr:uid="{9E51E2BE-0F98-46E5-A7AA-37F9CD988E0F}"/>
    <cellStyle name="Normal 7 2 2 3 3" xfId="12373" xr:uid="{00000000-0005-0000-0000-0000775C0000}"/>
    <cellStyle name="Normal 7 2 2 3 3 2" xfId="36222" xr:uid="{11AC048F-6697-408E-8E84-173DC98995BE}"/>
    <cellStyle name="Normal 7 2 2 3 4" xfId="20328" xr:uid="{00000000-0005-0000-0000-0000785C0000}"/>
    <cellStyle name="Normal 7 2 2 3 4 2" xfId="44160" xr:uid="{A2AD6F73-558C-41AA-87C2-D4EC52A79033}"/>
    <cellStyle name="Normal 7 2 2 3 5" xfId="28281" xr:uid="{001E2925-7D82-4165-BA0E-A52785D7013D}"/>
    <cellStyle name="Normal 7 2 2 4" xfId="6169" xr:uid="{00000000-0005-0000-0000-0000795C0000}"/>
    <cellStyle name="Normal 7 2 2 4 2" xfId="14152" xr:uid="{00000000-0005-0000-0000-00007A5C0000}"/>
    <cellStyle name="Normal 7 2 2 4 2 2" xfId="37995" xr:uid="{4961A324-CE04-41DD-8EAB-D62596A9DDCD}"/>
    <cellStyle name="Normal 7 2 2 4 3" xfId="22100" xr:uid="{00000000-0005-0000-0000-00007B5C0000}"/>
    <cellStyle name="Normal 7 2 2 4 3 2" xfId="45932" xr:uid="{56A698C0-B75B-48F2-85CC-5E58118A7BAD}"/>
    <cellStyle name="Normal 7 2 2 4 4" xfId="30054" xr:uid="{8DBE7797-DC92-4FC5-B0F8-B93C5ABE0BED}"/>
    <cellStyle name="Normal 7 2 2 5" xfId="9721" xr:uid="{00000000-0005-0000-0000-00007C5C0000}"/>
    <cellStyle name="Normal 7 2 2 5 2" xfId="17679" xr:uid="{00000000-0005-0000-0000-00007D5C0000}"/>
    <cellStyle name="Normal 7 2 2 5 2 2" xfId="41519" xr:uid="{326FD392-C0BF-4A0F-8ACF-BDF7C6466EA4}"/>
    <cellStyle name="Normal 7 2 2 5 3" xfId="25623" xr:uid="{00000000-0005-0000-0000-00007E5C0000}"/>
    <cellStyle name="Normal 7 2 2 5 3 2" xfId="49455" xr:uid="{BC634A06-D743-4ECC-A818-CD490B86A96C}"/>
    <cellStyle name="Normal 7 2 2 5 4" xfId="33578" xr:uid="{0D3FC9AA-C692-4FFA-9FA2-15B6DBF5E3C5}"/>
    <cellStyle name="Normal 7 2 2 6" xfId="10617" xr:uid="{00000000-0005-0000-0000-00007F5C0000}"/>
    <cellStyle name="Normal 7 2 2 6 2" xfId="34466" xr:uid="{5FC7DB22-02BF-405B-9CC8-099B2D3AB48A}"/>
    <cellStyle name="Normal 7 2 2 7" xfId="18572" xr:uid="{00000000-0005-0000-0000-0000805C0000}"/>
    <cellStyle name="Normal 7 2 2 7 2" xfId="42404" xr:uid="{8C8F492D-59A3-43BA-8103-C6CDEFEF5C56}"/>
    <cellStyle name="Normal 7 2 2 8" xfId="26524" xr:uid="{99C004A8-790C-4DCE-94DA-AF4D274CA8EA}"/>
    <cellStyle name="Normal 7 2 2_Exh G" xfId="3539" xr:uid="{00000000-0005-0000-0000-0000815C0000}"/>
    <cellStyle name="Normal 7 2 3" xfId="1700" xr:uid="{00000000-0005-0000-0000-0000825C0000}"/>
    <cellStyle name="Normal 7 2 3 2" xfId="5227" xr:uid="{00000000-0005-0000-0000-0000835C0000}"/>
    <cellStyle name="Normal 7 2 3 2 2" xfId="8818" xr:uid="{00000000-0005-0000-0000-0000845C0000}"/>
    <cellStyle name="Normal 7 2 3 2 2 2" xfId="16788" xr:uid="{00000000-0005-0000-0000-0000855C0000}"/>
    <cellStyle name="Normal 7 2 3 2 2 2 2" xfId="40630" xr:uid="{D22B0DF6-D8A9-4BDB-A234-901A09F65409}"/>
    <cellStyle name="Normal 7 2 3 2 2 3" xfId="24734" xr:uid="{00000000-0005-0000-0000-0000865C0000}"/>
    <cellStyle name="Normal 7 2 3 2 2 3 2" xfId="48566" xr:uid="{950842B3-74EC-4DB1-999D-E90B1B8D9458}"/>
    <cellStyle name="Normal 7 2 3 2 2 4" xfId="32689" xr:uid="{77C7EC99-9845-4994-9F84-D5276A776D34}"/>
    <cellStyle name="Normal 7 2 3 2 3" xfId="13250" xr:uid="{00000000-0005-0000-0000-0000875C0000}"/>
    <cellStyle name="Normal 7 2 3 2 3 2" xfId="37099" xr:uid="{BC847302-3854-45D1-A1B4-1C8ED96D57EC}"/>
    <cellStyle name="Normal 7 2 3 2 4" xfId="21205" xr:uid="{00000000-0005-0000-0000-0000885C0000}"/>
    <cellStyle name="Normal 7 2 3 2 4 2" xfId="45037" xr:uid="{F2EA5B77-520C-4268-82C0-183C6E58075F}"/>
    <cellStyle name="Normal 7 2 3 2 5" xfId="29158" xr:uid="{4CA66B30-9BA4-4E8C-922B-34AE3C9D76AC}"/>
    <cellStyle name="Normal 7 2 3 3" xfId="7059" xr:uid="{00000000-0005-0000-0000-0000895C0000}"/>
    <cellStyle name="Normal 7 2 3 3 2" xfId="15030" xr:uid="{00000000-0005-0000-0000-00008A5C0000}"/>
    <cellStyle name="Normal 7 2 3 3 2 2" xfId="38872" xr:uid="{50F6BEA6-D039-4069-A6BA-DBBDD22947F1}"/>
    <cellStyle name="Normal 7 2 3 3 3" xfId="22977" xr:uid="{00000000-0005-0000-0000-00008B5C0000}"/>
    <cellStyle name="Normal 7 2 3 3 3 2" xfId="46809" xr:uid="{86C72ABF-C094-454F-96DC-1C1B8A2317FA}"/>
    <cellStyle name="Normal 7 2 3 3 4" xfId="30931" xr:uid="{7738E423-FAC9-4AE3-9D6D-857B4847847D}"/>
    <cellStyle name="Normal 7 2 3 4" xfId="11494" xr:uid="{00000000-0005-0000-0000-00008C5C0000}"/>
    <cellStyle name="Normal 7 2 3 4 2" xfId="35343" xr:uid="{BB25CD30-6A37-4233-A5C8-B5130A8A0078}"/>
    <cellStyle name="Normal 7 2 3 5" xfId="19449" xr:uid="{00000000-0005-0000-0000-00008D5C0000}"/>
    <cellStyle name="Normal 7 2 3 5 2" xfId="43281" xr:uid="{4BBD77DD-016E-49E2-A740-C845358E6316}"/>
    <cellStyle name="Normal 7 2 3 6" xfId="27401" xr:uid="{D2200BAA-CCAE-4D8C-BB32-3E16D0FDB267}"/>
    <cellStyle name="Normal 7 2 3_Exh G" xfId="3541" xr:uid="{00000000-0005-0000-0000-00008E5C0000}"/>
    <cellStyle name="Normal 7 2 4" xfId="4348" xr:uid="{00000000-0005-0000-0000-00008F5C0000}"/>
    <cellStyle name="Normal 7 2 4 2" xfId="7940" xr:uid="{00000000-0005-0000-0000-0000905C0000}"/>
    <cellStyle name="Normal 7 2 4 2 2" xfId="15910" xr:uid="{00000000-0005-0000-0000-0000915C0000}"/>
    <cellStyle name="Normal 7 2 4 2 2 2" xfId="39752" xr:uid="{E89FD23A-E398-4923-BD68-0DCC5101F313}"/>
    <cellStyle name="Normal 7 2 4 2 3" xfId="23856" xr:uid="{00000000-0005-0000-0000-0000925C0000}"/>
    <cellStyle name="Normal 7 2 4 2 3 2" xfId="47688" xr:uid="{BFD8D6EB-B6B0-4135-90F9-9B5E629DD777}"/>
    <cellStyle name="Normal 7 2 4 2 4" xfId="31811" xr:uid="{F97636BD-CF90-49C3-B0C8-D13F8EAE0B3B}"/>
    <cellStyle name="Normal 7 2 4 3" xfId="12372" xr:uid="{00000000-0005-0000-0000-0000935C0000}"/>
    <cellStyle name="Normal 7 2 4 3 2" xfId="36221" xr:uid="{ED9E73DB-19FB-4722-A68D-204E26A1CD4F}"/>
    <cellStyle name="Normal 7 2 4 4" xfId="20327" xr:uid="{00000000-0005-0000-0000-0000945C0000}"/>
    <cellStyle name="Normal 7 2 4 4 2" xfId="44159" xr:uid="{A99E3B2E-7672-486B-BA92-EF4156D4D6BE}"/>
    <cellStyle name="Normal 7 2 4 5" xfId="28280" xr:uid="{54775B63-D7A6-4F04-99AE-BB5C36A761C5}"/>
    <cellStyle name="Normal 7 2 5" xfId="6168" xr:uid="{00000000-0005-0000-0000-0000955C0000}"/>
    <cellStyle name="Normal 7 2 5 2" xfId="14151" xr:uid="{00000000-0005-0000-0000-0000965C0000}"/>
    <cellStyle name="Normal 7 2 5 2 2" xfId="37994" xr:uid="{7B94E44A-A6EE-42D5-9A6E-0FDAF17BD9E8}"/>
    <cellStyle name="Normal 7 2 5 3" xfId="22099" xr:uid="{00000000-0005-0000-0000-0000975C0000}"/>
    <cellStyle name="Normal 7 2 5 3 2" xfId="45931" xr:uid="{DDFA4B30-72A1-4AC8-A88C-574F156BC890}"/>
    <cellStyle name="Normal 7 2 5 4" xfId="30053" xr:uid="{41B6EE24-8F98-4206-9BFF-0DAAFB269087}"/>
    <cellStyle name="Normal 7 2 6" xfId="9720" xr:uid="{00000000-0005-0000-0000-0000985C0000}"/>
    <cellStyle name="Normal 7 2 6 2" xfId="17678" xr:uid="{00000000-0005-0000-0000-0000995C0000}"/>
    <cellStyle name="Normal 7 2 6 2 2" xfId="41518" xr:uid="{44CDF1C1-2280-45C0-A6B4-B9C770AE86E2}"/>
    <cellStyle name="Normal 7 2 6 3" xfId="25622" xr:uid="{00000000-0005-0000-0000-00009A5C0000}"/>
    <cellStyle name="Normal 7 2 6 3 2" xfId="49454" xr:uid="{C26E3672-E43A-497D-809C-5A3F7B421F6C}"/>
    <cellStyle name="Normal 7 2 6 4" xfId="33577" xr:uid="{BFC50412-7798-4C01-8C8C-12F4E9A972D5}"/>
    <cellStyle name="Normal 7 2 7" xfId="10616" xr:uid="{00000000-0005-0000-0000-00009B5C0000}"/>
    <cellStyle name="Normal 7 2 7 2" xfId="34465" xr:uid="{BD510F7D-5342-4BF3-B83E-367E2E86947C}"/>
    <cellStyle name="Normal 7 2 8" xfId="18571" xr:uid="{00000000-0005-0000-0000-00009C5C0000}"/>
    <cellStyle name="Normal 7 2 8 2" xfId="42403" xr:uid="{3AE38050-4B9B-4B3C-9BAB-E029CC6604B0}"/>
    <cellStyle name="Normal 7 2 9" xfId="26523" xr:uid="{1449B79A-09A1-4BB1-A19B-0556E1204FEB}"/>
    <cellStyle name="Normal 7 2_Exh G" xfId="3538" xr:uid="{00000000-0005-0000-0000-00009D5C0000}"/>
    <cellStyle name="Normal 7 3" xfId="676" xr:uid="{00000000-0005-0000-0000-00009E5C0000}"/>
    <cellStyle name="Normal 7 3 2" xfId="1702" xr:uid="{00000000-0005-0000-0000-00009F5C0000}"/>
    <cellStyle name="Normal 7 3 2 2" xfId="5229" xr:uid="{00000000-0005-0000-0000-0000A05C0000}"/>
    <cellStyle name="Normal 7 3 2 2 2" xfId="8820" xr:uid="{00000000-0005-0000-0000-0000A15C0000}"/>
    <cellStyle name="Normal 7 3 2 2 2 2" xfId="16790" xr:uid="{00000000-0005-0000-0000-0000A25C0000}"/>
    <cellStyle name="Normal 7 3 2 2 2 2 2" xfId="40632" xr:uid="{C4DB7C2C-1F5D-44EE-97C3-984E0D95970C}"/>
    <cellStyle name="Normal 7 3 2 2 2 3" xfId="24736" xr:uid="{00000000-0005-0000-0000-0000A35C0000}"/>
    <cellStyle name="Normal 7 3 2 2 2 3 2" xfId="48568" xr:uid="{0DC3283A-069C-437C-BF89-38134A07BFA1}"/>
    <cellStyle name="Normal 7 3 2 2 2 4" xfId="32691" xr:uid="{235A41E1-E647-402B-8B86-AA4801DDFC2C}"/>
    <cellStyle name="Normal 7 3 2 2 3" xfId="13252" xr:uid="{00000000-0005-0000-0000-0000A45C0000}"/>
    <cellStyle name="Normal 7 3 2 2 3 2" xfId="37101" xr:uid="{33D37FA1-79C0-45F1-B297-3A61C3B92291}"/>
    <cellStyle name="Normal 7 3 2 2 4" xfId="21207" xr:uid="{00000000-0005-0000-0000-0000A55C0000}"/>
    <cellStyle name="Normal 7 3 2 2 4 2" xfId="45039" xr:uid="{9EEA8B19-49AF-4539-9543-F18BEDE9F67E}"/>
    <cellStyle name="Normal 7 3 2 2 5" xfId="29160" xr:uid="{79041CBC-8AB8-4EBA-8AAF-60A7A4D7158C}"/>
    <cellStyle name="Normal 7 3 2 3" xfId="7061" xr:uid="{00000000-0005-0000-0000-0000A65C0000}"/>
    <cellStyle name="Normal 7 3 2 3 2" xfId="15032" xr:uid="{00000000-0005-0000-0000-0000A75C0000}"/>
    <cellStyle name="Normal 7 3 2 3 2 2" xfId="38874" xr:uid="{6FB720FD-149F-45B5-9520-E4CA5E6C4A0D}"/>
    <cellStyle name="Normal 7 3 2 3 3" xfId="22979" xr:uid="{00000000-0005-0000-0000-0000A85C0000}"/>
    <cellStyle name="Normal 7 3 2 3 3 2" xfId="46811" xr:uid="{C735AC3F-3AD3-43E6-B338-9B125635D3DF}"/>
    <cellStyle name="Normal 7 3 2 3 4" xfId="30933" xr:uid="{EC1B7583-CCDF-4280-80D5-F0C40E991F35}"/>
    <cellStyle name="Normal 7 3 2 4" xfId="11496" xr:uid="{00000000-0005-0000-0000-0000A95C0000}"/>
    <cellStyle name="Normal 7 3 2 4 2" xfId="35345" xr:uid="{17A47C8B-343C-457E-9480-7B8FEBFCCCF0}"/>
    <cellStyle name="Normal 7 3 2 5" xfId="19451" xr:uid="{00000000-0005-0000-0000-0000AA5C0000}"/>
    <cellStyle name="Normal 7 3 2 5 2" xfId="43283" xr:uid="{AA260415-9F59-4E8B-8339-2A70472C1379}"/>
    <cellStyle name="Normal 7 3 2 6" xfId="27403" xr:uid="{6128C80A-DD68-425C-B80A-29542A4410CC}"/>
    <cellStyle name="Normal 7 3 2_Exh G" xfId="3543" xr:uid="{00000000-0005-0000-0000-0000AB5C0000}"/>
    <cellStyle name="Normal 7 3 3" xfId="4350" xr:uid="{00000000-0005-0000-0000-0000AC5C0000}"/>
    <cellStyle name="Normal 7 3 3 2" xfId="7942" xr:uid="{00000000-0005-0000-0000-0000AD5C0000}"/>
    <cellStyle name="Normal 7 3 3 2 2" xfId="15912" xr:uid="{00000000-0005-0000-0000-0000AE5C0000}"/>
    <cellStyle name="Normal 7 3 3 2 2 2" xfId="39754" xr:uid="{E59B7E23-8F0E-4022-8BE1-D360589E8BA1}"/>
    <cellStyle name="Normal 7 3 3 2 3" xfId="23858" xr:uid="{00000000-0005-0000-0000-0000AF5C0000}"/>
    <cellStyle name="Normal 7 3 3 2 3 2" xfId="47690" xr:uid="{F48473AF-C3BB-41EF-B64E-B3C1AEACAEE8}"/>
    <cellStyle name="Normal 7 3 3 2 4" xfId="31813" xr:uid="{BB147F57-6EB7-470D-800E-E7BCAD0982B9}"/>
    <cellStyle name="Normal 7 3 3 3" xfId="12374" xr:uid="{00000000-0005-0000-0000-0000B05C0000}"/>
    <cellStyle name="Normal 7 3 3 3 2" xfId="36223" xr:uid="{A600801F-A728-4A46-A1BF-221123FF7998}"/>
    <cellStyle name="Normal 7 3 3 4" xfId="20329" xr:uid="{00000000-0005-0000-0000-0000B15C0000}"/>
    <cellStyle name="Normal 7 3 3 4 2" xfId="44161" xr:uid="{F2C9C6F1-90F6-44CB-84F2-A8F35DEC9EAF}"/>
    <cellStyle name="Normal 7 3 3 5" xfId="28282" xr:uid="{1824D0AA-1968-42F4-BA18-52894F0197A8}"/>
    <cellStyle name="Normal 7 3 4" xfId="6170" xr:uid="{00000000-0005-0000-0000-0000B25C0000}"/>
    <cellStyle name="Normal 7 3 4 2" xfId="14153" xr:uid="{00000000-0005-0000-0000-0000B35C0000}"/>
    <cellStyle name="Normal 7 3 4 2 2" xfId="37996" xr:uid="{F73EB7B2-636A-432B-A98D-E1917F26B012}"/>
    <cellStyle name="Normal 7 3 4 3" xfId="22101" xr:uid="{00000000-0005-0000-0000-0000B45C0000}"/>
    <cellStyle name="Normal 7 3 4 3 2" xfId="45933" xr:uid="{A7844438-6A0D-4FAA-8D8C-E1E416622C5C}"/>
    <cellStyle name="Normal 7 3 4 4" xfId="30055" xr:uid="{98316EDA-2B5B-483C-BB3A-C5A9C2EC7957}"/>
    <cellStyle name="Normal 7 3 5" xfId="9722" xr:uid="{00000000-0005-0000-0000-0000B55C0000}"/>
    <cellStyle name="Normal 7 3 5 2" xfId="17680" xr:uid="{00000000-0005-0000-0000-0000B65C0000}"/>
    <cellStyle name="Normal 7 3 5 2 2" xfId="41520" xr:uid="{F8DBD918-4432-40C5-A492-EA59590E75FF}"/>
    <cellStyle name="Normal 7 3 5 3" xfId="25624" xr:uid="{00000000-0005-0000-0000-0000B75C0000}"/>
    <cellStyle name="Normal 7 3 5 3 2" xfId="49456" xr:uid="{D6AF2357-9B0A-4430-8E5E-4FF4D3B24FC6}"/>
    <cellStyle name="Normal 7 3 5 4" xfId="33579" xr:uid="{078F311B-1584-4283-8420-77BBC32DA5FF}"/>
    <cellStyle name="Normal 7 3 6" xfId="10618" xr:uid="{00000000-0005-0000-0000-0000B85C0000}"/>
    <cellStyle name="Normal 7 3 6 2" xfId="34467" xr:uid="{26CD6393-79A2-4D46-B4E2-3CF575747D19}"/>
    <cellStyle name="Normal 7 3 7" xfId="18573" xr:uid="{00000000-0005-0000-0000-0000B95C0000}"/>
    <cellStyle name="Normal 7 3 7 2" xfId="42405" xr:uid="{2321ED3A-B9F3-4F3F-A0B7-203AE421A322}"/>
    <cellStyle name="Normal 7 3 8" xfId="26525" xr:uid="{D540DBFE-0764-4F74-A923-D26EF57ABE6B}"/>
    <cellStyle name="Normal 7 3_Exh G" xfId="3542" xr:uid="{00000000-0005-0000-0000-0000BA5C0000}"/>
    <cellStyle name="Normal 7 4" xfId="1022" xr:uid="{00000000-0005-0000-0000-0000BB5C0000}"/>
    <cellStyle name="Normal 8" xfId="17" xr:uid="{00000000-0005-0000-0000-0000BC5C0000}"/>
    <cellStyle name="Normal 8 10" xfId="17916" xr:uid="{00000000-0005-0000-0000-0000BD5C0000}"/>
    <cellStyle name="Normal 8 10 2" xfId="41748" xr:uid="{88F606E3-5CAF-4EB3-ADB7-058FF64FA3BA}"/>
    <cellStyle name="Normal 8 11" xfId="25868" xr:uid="{ADA657A7-0DAF-47EB-B242-D4C5E6B965F9}"/>
    <cellStyle name="Normal 8 2" xfId="677" xr:uid="{00000000-0005-0000-0000-0000BE5C0000}"/>
    <cellStyle name="Normal 8 2 2" xfId="678" xr:uid="{00000000-0005-0000-0000-0000BF5C0000}"/>
    <cellStyle name="Normal 8 2 2 2" xfId="1704" xr:uid="{00000000-0005-0000-0000-0000C05C0000}"/>
    <cellStyle name="Normal 8 2 2 2 2" xfId="5231" xr:uid="{00000000-0005-0000-0000-0000C15C0000}"/>
    <cellStyle name="Normal 8 2 2 2 2 2" xfId="8822" xr:uid="{00000000-0005-0000-0000-0000C25C0000}"/>
    <cellStyle name="Normal 8 2 2 2 2 2 2" xfId="16792" xr:uid="{00000000-0005-0000-0000-0000C35C0000}"/>
    <cellStyle name="Normal 8 2 2 2 2 2 2 2" xfId="40634" xr:uid="{84E813C7-6477-42C9-B41B-93CD45F38D43}"/>
    <cellStyle name="Normal 8 2 2 2 2 2 3" xfId="24738" xr:uid="{00000000-0005-0000-0000-0000C45C0000}"/>
    <cellStyle name="Normal 8 2 2 2 2 2 3 2" xfId="48570" xr:uid="{43930959-B052-430A-9D88-7CB0A726C748}"/>
    <cellStyle name="Normal 8 2 2 2 2 2 4" xfId="32693" xr:uid="{51D21878-C63E-4B6C-93D5-46A088B6DBC5}"/>
    <cellStyle name="Normal 8 2 2 2 2 3" xfId="13254" xr:uid="{00000000-0005-0000-0000-0000C55C0000}"/>
    <cellStyle name="Normal 8 2 2 2 2 3 2" xfId="37103" xr:uid="{D2FA213B-097D-4BC0-8D61-A35D641AC228}"/>
    <cellStyle name="Normal 8 2 2 2 2 4" xfId="21209" xr:uid="{00000000-0005-0000-0000-0000C65C0000}"/>
    <cellStyle name="Normal 8 2 2 2 2 4 2" xfId="45041" xr:uid="{ABA351C5-4AC0-44F4-AA5A-4045A4F94AE9}"/>
    <cellStyle name="Normal 8 2 2 2 2 5" xfId="29162" xr:uid="{37B9D941-80B6-4114-AE6B-07415A59FCC0}"/>
    <cellStyle name="Normal 8 2 2 2 3" xfId="7063" xr:uid="{00000000-0005-0000-0000-0000C75C0000}"/>
    <cellStyle name="Normal 8 2 2 2 3 2" xfId="15034" xr:uid="{00000000-0005-0000-0000-0000C85C0000}"/>
    <cellStyle name="Normal 8 2 2 2 3 2 2" xfId="38876" xr:uid="{6062B615-38A0-4A36-866B-7DF3594624C9}"/>
    <cellStyle name="Normal 8 2 2 2 3 3" xfId="22981" xr:uid="{00000000-0005-0000-0000-0000C95C0000}"/>
    <cellStyle name="Normal 8 2 2 2 3 3 2" xfId="46813" xr:uid="{DB44900C-CA71-41EC-A6B5-8E9BA8D1F69B}"/>
    <cellStyle name="Normal 8 2 2 2 3 4" xfId="30935" xr:uid="{A3227AC0-86AB-499F-BF77-441060E1F2E1}"/>
    <cellStyle name="Normal 8 2 2 2 4" xfId="11498" xr:uid="{00000000-0005-0000-0000-0000CA5C0000}"/>
    <cellStyle name="Normal 8 2 2 2 4 2" xfId="35347" xr:uid="{124A4825-9B99-4EAA-8EDB-DA6A6A3B3590}"/>
    <cellStyle name="Normal 8 2 2 2 5" xfId="19453" xr:uid="{00000000-0005-0000-0000-0000CB5C0000}"/>
    <cellStyle name="Normal 8 2 2 2 5 2" xfId="43285" xr:uid="{F4810A0E-4B71-4205-8EE2-25AE8785597D}"/>
    <cellStyle name="Normal 8 2 2 2 6" xfId="27405" xr:uid="{CE93A1AA-AC0F-4C84-954C-9221E8F0F91B}"/>
    <cellStyle name="Normal 8 2 2 2_Exh G" xfId="3547" xr:uid="{00000000-0005-0000-0000-0000CC5C0000}"/>
    <cellStyle name="Normal 8 2 2 3" xfId="4352" xr:uid="{00000000-0005-0000-0000-0000CD5C0000}"/>
    <cellStyle name="Normal 8 2 2 3 2" xfId="7944" xr:uid="{00000000-0005-0000-0000-0000CE5C0000}"/>
    <cellStyle name="Normal 8 2 2 3 2 2" xfId="15914" xr:uid="{00000000-0005-0000-0000-0000CF5C0000}"/>
    <cellStyle name="Normal 8 2 2 3 2 2 2" xfId="39756" xr:uid="{64E4367C-CE98-4C24-B30F-B863979ABB9D}"/>
    <cellStyle name="Normal 8 2 2 3 2 3" xfId="23860" xr:uid="{00000000-0005-0000-0000-0000D05C0000}"/>
    <cellStyle name="Normal 8 2 2 3 2 3 2" xfId="47692" xr:uid="{6520D215-1EA2-4CE2-AC5C-CD10CE6B633B}"/>
    <cellStyle name="Normal 8 2 2 3 2 4" xfId="31815" xr:uid="{A3EB5D09-4B32-4186-AF0C-617C723E0224}"/>
    <cellStyle name="Normal 8 2 2 3 3" xfId="12376" xr:uid="{00000000-0005-0000-0000-0000D15C0000}"/>
    <cellStyle name="Normal 8 2 2 3 3 2" xfId="36225" xr:uid="{1A8D16D3-8152-4BF6-83B7-0563EDC9A2E1}"/>
    <cellStyle name="Normal 8 2 2 3 4" xfId="20331" xr:uid="{00000000-0005-0000-0000-0000D25C0000}"/>
    <cellStyle name="Normal 8 2 2 3 4 2" xfId="44163" xr:uid="{12E18EC9-1FBF-446A-8F49-24426B3D6E4D}"/>
    <cellStyle name="Normal 8 2 2 3 5" xfId="28284" xr:uid="{D116EE40-AB47-435D-9888-D86CF05F7881}"/>
    <cellStyle name="Normal 8 2 2 4" xfId="6172" xr:uid="{00000000-0005-0000-0000-0000D35C0000}"/>
    <cellStyle name="Normal 8 2 2 4 2" xfId="14155" xr:uid="{00000000-0005-0000-0000-0000D45C0000}"/>
    <cellStyle name="Normal 8 2 2 4 2 2" xfId="37998" xr:uid="{2B54D896-BC3B-453D-B8E8-4DB40D6554D9}"/>
    <cellStyle name="Normal 8 2 2 4 3" xfId="22103" xr:uid="{00000000-0005-0000-0000-0000D55C0000}"/>
    <cellStyle name="Normal 8 2 2 4 3 2" xfId="45935" xr:uid="{5981F9BB-9B68-4561-A99E-630260EBDEB3}"/>
    <cellStyle name="Normal 8 2 2 4 4" xfId="30057" xr:uid="{F77E9B05-90F1-4F0B-B8DD-F1D49C200E26}"/>
    <cellStyle name="Normal 8 2 2 5" xfId="9724" xr:uid="{00000000-0005-0000-0000-0000D65C0000}"/>
    <cellStyle name="Normal 8 2 2 5 2" xfId="17682" xr:uid="{00000000-0005-0000-0000-0000D75C0000}"/>
    <cellStyle name="Normal 8 2 2 5 2 2" xfId="41522" xr:uid="{D2BFC31F-ABC6-40B1-BB6E-11100BE35119}"/>
    <cellStyle name="Normal 8 2 2 5 3" xfId="25626" xr:uid="{00000000-0005-0000-0000-0000D85C0000}"/>
    <cellStyle name="Normal 8 2 2 5 3 2" xfId="49458" xr:uid="{6F7649E6-2C8C-4B43-9BC8-532428D30C17}"/>
    <cellStyle name="Normal 8 2 2 5 4" xfId="33581" xr:uid="{68654532-EFB5-425E-8F08-FB01B987E2CC}"/>
    <cellStyle name="Normal 8 2 2 6" xfId="10620" xr:uid="{00000000-0005-0000-0000-0000D95C0000}"/>
    <cellStyle name="Normal 8 2 2 6 2" xfId="34469" xr:uid="{46CC65C0-CC6F-4C22-A448-88E2DFEFDE2C}"/>
    <cellStyle name="Normal 8 2 2 7" xfId="18575" xr:uid="{00000000-0005-0000-0000-0000DA5C0000}"/>
    <cellStyle name="Normal 8 2 2 7 2" xfId="42407" xr:uid="{BDF0D757-344B-43E3-B82B-186CBED907AB}"/>
    <cellStyle name="Normal 8 2 2 8" xfId="26527" xr:uid="{4BE2A993-3C94-41C6-93B5-4A896DD7B01D}"/>
    <cellStyle name="Normal 8 2 2_Exh G" xfId="3546" xr:uid="{00000000-0005-0000-0000-0000DB5C0000}"/>
    <cellStyle name="Normal 8 2 3" xfId="1703" xr:uid="{00000000-0005-0000-0000-0000DC5C0000}"/>
    <cellStyle name="Normal 8 2 3 2" xfId="5230" xr:uid="{00000000-0005-0000-0000-0000DD5C0000}"/>
    <cellStyle name="Normal 8 2 3 2 2" xfId="8821" xr:uid="{00000000-0005-0000-0000-0000DE5C0000}"/>
    <cellStyle name="Normal 8 2 3 2 2 2" xfId="16791" xr:uid="{00000000-0005-0000-0000-0000DF5C0000}"/>
    <cellStyle name="Normal 8 2 3 2 2 2 2" xfId="40633" xr:uid="{8AB98D2F-046F-42BA-8255-EC40FFC73EB5}"/>
    <cellStyle name="Normal 8 2 3 2 2 3" xfId="24737" xr:uid="{00000000-0005-0000-0000-0000E05C0000}"/>
    <cellStyle name="Normal 8 2 3 2 2 3 2" xfId="48569" xr:uid="{8AC3BD3E-4D59-4549-8115-CE5447FB8707}"/>
    <cellStyle name="Normal 8 2 3 2 2 4" xfId="32692" xr:uid="{766451CC-407F-465E-B636-CF413C6F0665}"/>
    <cellStyle name="Normal 8 2 3 2 3" xfId="13253" xr:uid="{00000000-0005-0000-0000-0000E15C0000}"/>
    <cellStyle name="Normal 8 2 3 2 3 2" xfId="37102" xr:uid="{AF5A5DD0-6E7E-40E8-A79D-E128B5354FC0}"/>
    <cellStyle name="Normal 8 2 3 2 4" xfId="21208" xr:uid="{00000000-0005-0000-0000-0000E25C0000}"/>
    <cellStyle name="Normal 8 2 3 2 4 2" xfId="45040" xr:uid="{D111ECF6-1543-4D35-AF1B-A8D0B49DE44F}"/>
    <cellStyle name="Normal 8 2 3 2 5" xfId="29161" xr:uid="{611B82CD-2749-4BB6-A9A0-B0016E591850}"/>
    <cellStyle name="Normal 8 2 3 3" xfId="7062" xr:uid="{00000000-0005-0000-0000-0000E35C0000}"/>
    <cellStyle name="Normal 8 2 3 3 2" xfId="15033" xr:uid="{00000000-0005-0000-0000-0000E45C0000}"/>
    <cellStyle name="Normal 8 2 3 3 2 2" xfId="38875" xr:uid="{B4B7C5F5-1B9D-4C3B-9443-304333B13DFD}"/>
    <cellStyle name="Normal 8 2 3 3 3" xfId="22980" xr:uid="{00000000-0005-0000-0000-0000E55C0000}"/>
    <cellStyle name="Normal 8 2 3 3 3 2" xfId="46812" xr:uid="{8A6E7059-B234-45A6-A8AA-D4099E645C0A}"/>
    <cellStyle name="Normal 8 2 3 3 4" xfId="30934" xr:uid="{7EF4FDCC-9264-4035-972B-32FAC6762FD6}"/>
    <cellStyle name="Normal 8 2 3 4" xfId="11497" xr:uid="{00000000-0005-0000-0000-0000E65C0000}"/>
    <cellStyle name="Normal 8 2 3 4 2" xfId="35346" xr:uid="{09973C76-344B-4445-A9E2-126A79A04859}"/>
    <cellStyle name="Normal 8 2 3 5" xfId="19452" xr:uid="{00000000-0005-0000-0000-0000E75C0000}"/>
    <cellStyle name="Normal 8 2 3 5 2" xfId="43284" xr:uid="{87A544B6-62F7-4CF3-BEBA-24718A07CAC4}"/>
    <cellStyle name="Normal 8 2 3 6" xfId="27404" xr:uid="{E5BD2166-02D9-45C4-9DFF-6B3F15D4A2D4}"/>
    <cellStyle name="Normal 8 2 3_Exh G" xfId="3548" xr:uid="{00000000-0005-0000-0000-0000E85C0000}"/>
    <cellStyle name="Normal 8 2 4" xfId="4351" xr:uid="{00000000-0005-0000-0000-0000E95C0000}"/>
    <cellStyle name="Normal 8 2 4 2" xfId="7943" xr:uid="{00000000-0005-0000-0000-0000EA5C0000}"/>
    <cellStyle name="Normal 8 2 4 2 2" xfId="15913" xr:uid="{00000000-0005-0000-0000-0000EB5C0000}"/>
    <cellStyle name="Normal 8 2 4 2 2 2" xfId="39755" xr:uid="{C1F0BB29-E58A-4300-BF1F-BC88A57A5331}"/>
    <cellStyle name="Normal 8 2 4 2 3" xfId="23859" xr:uid="{00000000-0005-0000-0000-0000EC5C0000}"/>
    <cellStyle name="Normal 8 2 4 2 3 2" xfId="47691" xr:uid="{AE6C6530-5496-4006-9867-8C524E545631}"/>
    <cellStyle name="Normal 8 2 4 2 4" xfId="31814" xr:uid="{B07BBB8D-6E1C-48B1-B65A-2105F70F879A}"/>
    <cellStyle name="Normal 8 2 4 3" xfId="12375" xr:uid="{00000000-0005-0000-0000-0000ED5C0000}"/>
    <cellStyle name="Normal 8 2 4 3 2" xfId="36224" xr:uid="{CDC5C577-B783-46AB-8BEC-10CE5009639B}"/>
    <cellStyle name="Normal 8 2 4 4" xfId="20330" xr:uid="{00000000-0005-0000-0000-0000EE5C0000}"/>
    <cellStyle name="Normal 8 2 4 4 2" xfId="44162" xr:uid="{F09B61D8-6037-47EB-AD2F-84E27F5A58FB}"/>
    <cellStyle name="Normal 8 2 4 5" xfId="28283" xr:uid="{DF747BDF-3BD8-42C6-A1A4-54486DB0DFCE}"/>
    <cellStyle name="Normal 8 2 5" xfId="6171" xr:uid="{00000000-0005-0000-0000-0000EF5C0000}"/>
    <cellStyle name="Normal 8 2 5 2" xfId="14154" xr:uid="{00000000-0005-0000-0000-0000F05C0000}"/>
    <cellStyle name="Normal 8 2 5 2 2" xfId="37997" xr:uid="{30B7E8FB-E653-4FA0-AEB2-FE552F913E31}"/>
    <cellStyle name="Normal 8 2 5 3" xfId="22102" xr:uid="{00000000-0005-0000-0000-0000F15C0000}"/>
    <cellStyle name="Normal 8 2 5 3 2" xfId="45934" xr:uid="{1EF6B9F2-9C55-4450-9907-FF0B8B65EB64}"/>
    <cellStyle name="Normal 8 2 5 4" xfId="30056" xr:uid="{43D2CA10-9BA2-4887-9AE5-06740C6A725C}"/>
    <cellStyle name="Normal 8 2 6" xfId="9723" xr:uid="{00000000-0005-0000-0000-0000F25C0000}"/>
    <cellStyle name="Normal 8 2 6 2" xfId="17681" xr:uid="{00000000-0005-0000-0000-0000F35C0000}"/>
    <cellStyle name="Normal 8 2 6 2 2" xfId="41521" xr:uid="{15215A3E-3DEA-4365-BEF3-4904BD90F0F1}"/>
    <cellStyle name="Normal 8 2 6 3" xfId="25625" xr:uid="{00000000-0005-0000-0000-0000F45C0000}"/>
    <cellStyle name="Normal 8 2 6 3 2" xfId="49457" xr:uid="{393E9442-401A-4BF4-B029-225202562EC6}"/>
    <cellStyle name="Normal 8 2 6 4" xfId="33580" xr:uid="{1BF38E6E-249F-4EBA-BD5E-ABB43650D5B6}"/>
    <cellStyle name="Normal 8 2 7" xfId="10619" xr:uid="{00000000-0005-0000-0000-0000F55C0000}"/>
    <cellStyle name="Normal 8 2 7 2" xfId="34468" xr:uid="{8AFDCEEA-5DBA-4B64-99C0-C1D41F966378}"/>
    <cellStyle name="Normal 8 2 8" xfId="18574" xr:uid="{00000000-0005-0000-0000-0000F65C0000}"/>
    <cellStyle name="Normal 8 2 8 2" xfId="42406" xr:uid="{33401550-F263-4AEC-9F09-F456642262F3}"/>
    <cellStyle name="Normal 8 2 9" xfId="26526" xr:uid="{468A5E4D-1D58-4D93-BF66-23EF05406E99}"/>
    <cellStyle name="Normal 8 2_Exh G" xfId="3545" xr:uid="{00000000-0005-0000-0000-0000F75C0000}"/>
    <cellStyle name="Normal 8 3" xfId="679" xr:uid="{00000000-0005-0000-0000-0000F85C0000}"/>
    <cellStyle name="Normal 8 3 2" xfId="1705" xr:uid="{00000000-0005-0000-0000-0000F95C0000}"/>
    <cellStyle name="Normal 8 3 2 2" xfId="5232" xr:uid="{00000000-0005-0000-0000-0000FA5C0000}"/>
    <cellStyle name="Normal 8 3 2 2 2" xfId="8823" xr:uid="{00000000-0005-0000-0000-0000FB5C0000}"/>
    <cellStyle name="Normal 8 3 2 2 2 2" xfId="16793" xr:uid="{00000000-0005-0000-0000-0000FC5C0000}"/>
    <cellStyle name="Normal 8 3 2 2 2 2 2" xfId="40635" xr:uid="{08FEAABA-E6FE-4F28-9E80-4E0308C094E1}"/>
    <cellStyle name="Normal 8 3 2 2 2 3" xfId="24739" xr:uid="{00000000-0005-0000-0000-0000FD5C0000}"/>
    <cellStyle name="Normal 8 3 2 2 2 3 2" xfId="48571" xr:uid="{9F79789C-0805-4A15-AD92-9C6CC3851E76}"/>
    <cellStyle name="Normal 8 3 2 2 2 4" xfId="32694" xr:uid="{27E9B574-0312-4985-804F-45528A8735BD}"/>
    <cellStyle name="Normal 8 3 2 2 3" xfId="13255" xr:uid="{00000000-0005-0000-0000-0000FE5C0000}"/>
    <cellStyle name="Normal 8 3 2 2 3 2" xfId="37104" xr:uid="{050D9EA3-4EB5-41CA-AF58-09E62787F9A7}"/>
    <cellStyle name="Normal 8 3 2 2 4" xfId="21210" xr:uid="{00000000-0005-0000-0000-0000FF5C0000}"/>
    <cellStyle name="Normal 8 3 2 2 4 2" xfId="45042" xr:uid="{7715C16B-CD66-4112-9213-6024622E0D93}"/>
    <cellStyle name="Normal 8 3 2 2 5" xfId="29163" xr:uid="{C8618F27-DF38-4A09-A136-6F08F9D366FC}"/>
    <cellStyle name="Normal 8 3 2 3" xfId="7064" xr:uid="{00000000-0005-0000-0000-0000005D0000}"/>
    <cellStyle name="Normal 8 3 2 3 2" xfId="15035" xr:uid="{00000000-0005-0000-0000-0000015D0000}"/>
    <cellStyle name="Normal 8 3 2 3 2 2" xfId="38877" xr:uid="{D5490B9F-2B46-4021-AF95-50784F1A1326}"/>
    <cellStyle name="Normal 8 3 2 3 3" xfId="22982" xr:uid="{00000000-0005-0000-0000-0000025D0000}"/>
    <cellStyle name="Normal 8 3 2 3 3 2" xfId="46814" xr:uid="{255D4317-8635-42B8-9197-D24E26949DCE}"/>
    <cellStyle name="Normal 8 3 2 3 4" xfId="30936" xr:uid="{4E860C36-46CB-4D48-A8C2-3F33D24932CF}"/>
    <cellStyle name="Normal 8 3 2 4" xfId="11499" xr:uid="{00000000-0005-0000-0000-0000035D0000}"/>
    <cellStyle name="Normal 8 3 2 4 2" xfId="35348" xr:uid="{DF663694-0075-4FAD-B3BC-E5B1D6B3CCD8}"/>
    <cellStyle name="Normal 8 3 2 5" xfId="19454" xr:uid="{00000000-0005-0000-0000-0000045D0000}"/>
    <cellStyle name="Normal 8 3 2 5 2" xfId="43286" xr:uid="{00D5C056-AD3C-4C17-B662-C1193C65541B}"/>
    <cellStyle name="Normal 8 3 2 6" xfId="27406" xr:uid="{C881EFEF-3851-47E9-AD51-EFF75D19FBE2}"/>
    <cellStyle name="Normal 8 3 2_Exh G" xfId="3550" xr:uid="{00000000-0005-0000-0000-0000055D0000}"/>
    <cellStyle name="Normal 8 3 3" xfId="4353" xr:uid="{00000000-0005-0000-0000-0000065D0000}"/>
    <cellStyle name="Normal 8 3 3 2" xfId="7945" xr:uid="{00000000-0005-0000-0000-0000075D0000}"/>
    <cellStyle name="Normal 8 3 3 2 2" xfId="15915" xr:uid="{00000000-0005-0000-0000-0000085D0000}"/>
    <cellStyle name="Normal 8 3 3 2 2 2" xfId="39757" xr:uid="{078AB45F-79B1-4C87-B2CB-A56BBB1962BE}"/>
    <cellStyle name="Normal 8 3 3 2 3" xfId="23861" xr:uid="{00000000-0005-0000-0000-0000095D0000}"/>
    <cellStyle name="Normal 8 3 3 2 3 2" xfId="47693" xr:uid="{EBC1CA77-2813-4CBA-8CDC-39CE6631E747}"/>
    <cellStyle name="Normal 8 3 3 2 4" xfId="31816" xr:uid="{9BB2BDE4-9DA0-4D23-9E88-AD0D7D75F5FD}"/>
    <cellStyle name="Normal 8 3 3 3" xfId="12377" xr:uid="{00000000-0005-0000-0000-00000A5D0000}"/>
    <cellStyle name="Normal 8 3 3 3 2" xfId="36226" xr:uid="{12237F24-4CE8-4D80-8C53-3A0BDE7117E7}"/>
    <cellStyle name="Normal 8 3 3 4" xfId="20332" xr:uid="{00000000-0005-0000-0000-00000B5D0000}"/>
    <cellStyle name="Normal 8 3 3 4 2" xfId="44164" xr:uid="{48F58250-F17E-47B7-A1A1-08F177BEFB58}"/>
    <cellStyle name="Normal 8 3 3 5" xfId="28285" xr:uid="{12157AFA-44DA-4636-86AE-34E356001069}"/>
    <cellStyle name="Normal 8 3 4" xfId="6173" xr:uid="{00000000-0005-0000-0000-00000C5D0000}"/>
    <cellStyle name="Normal 8 3 4 2" xfId="14156" xr:uid="{00000000-0005-0000-0000-00000D5D0000}"/>
    <cellStyle name="Normal 8 3 4 2 2" xfId="37999" xr:uid="{7B64CDB6-1E15-4CBF-9148-4F018DB9DF64}"/>
    <cellStyle name="Normal 8 3 4 3" xfId="22104" xr:uid="{00000000-0005-0000-0000-00000E5D0000}"/>
    <cellStyle name="Normal 8 3 4 3 2" xfId="45936" xr:uid="{25311F7B-4779-4B9D-9AA6-0F6D5D3B8D80}"/>
    <cellStyle name="Normal 8 3 4 4" xfId="30058" xr:uid="{36608529-1573-4C07-901F-29655DD16633}"/>
    <cellStyle name="Normal 8 3 5" xfId="9725" xr:uid="{00000000-0005-0000-0000-00000F5D0000}"/>
    <cellStyle name="Normal 8 3 5 2" xfId="17683" xr:uid="{00000000-0005-0000-0000-0000105D0000}"/>
    <cellStyle name="Normal 8 3 5 2 2" xfId="41523" xr:uid="{E8B00019-8FD2-40D9-9274-FEB714D1A756}"/>
    <cellStyle name="Normal 8 3 5 3" xfId="25627" xr:uid="{00000000-0005-0000-0000-0000115D0000}"/>
    <cellStyle name="Normal 8 3 5 3 2" xfId="49459" xr:uid="{19BDE02D-D171-409E-8BB9-F91B4AAFC894}"/>
    <cellStyle name="Normal 8 3 5 4" xfId="33582" xr:uid="{5E789B54-EA85-44D2-A163-389C75F45D01}"/>
    <cellStyle name="Normal 8 3 6" xfId="10621" xr:uid="{00000000-0005-0000-0000-0000125D0000}"/>
    <cellStyle name="Normal 8 3 6 2" xfId="34470" xr:uid="{8AF66E74-0E79-46FE-84F2-8BFBB17AD817}"/>
    <cellStyle name="Normal 8 3 7" xfId="18576" xr:uid="{00000000-0005-0000-0000-0000135D0000}"/>
    <cellStyle name="Normal 8 3 7 2" xfId="42408" xr:uid="{8A5CA100-B4E5-4250-93C0-652803E868F2}"/>
    <cellStyle name="Normal 8 3 8" xfId="26528" xr:uid="{AC23CE1F-AD9C-446A-A5A9-E80F79423996}"/>
    <cellStyle name="Normal 8 3_Exh G" xfId="3549" xr:uid="{00000000-0005-0000-0000-0000145D0000}"/>
    <cellStyle name="Normal 8 4" xfId="1023" xr:uid="{00000000-0005-0000-0000-0000155D0000}"/>
    <cellStyle name="Normal 8 5" xfId="1045" xr:uid="{00000000-0005-0000-0000-0000165D0000}"/>
    <cellStyle name="Normal 8 5 2" xfId="4572" xr:uid="{00000000-0005-0000-0000-0000175D0000}"/>
    <cellStyle name="Normal 8 5 2 2" xfId="8163" xr:uid="{00000000-0005-0000-0000-0000185D0000}"/>
    <cellStyle name="Normal 8 5 2 2 2" xfId="16133" xr:uid="{00000000-0005-0000-0000-0000195D0000}"/>
    <cellStyle name="Normal 8 5 2 2 2 2" xfId="39975" xr:uid="{0AF7272A-67E0-4715-BAEC-A8BCBB49DC22}"/>
    <cellStyle name="Normal 8 5 2 2 3" xfId="24079" xr:uid="{00000000-0005-0000-0000-00001A5D0000}"/>
    <cellStyle name="Normal 8 5 2 2 3 2" xfId="47911" xr:uid="{560F34DB-6A17-4A5A-B81C-258606F87EF1}"/>
    <cellStyle name="Normal 8 5 2 2 4" xfId="32034" xr:uid="{65A29923-EF79-48B6-84F4-17A66F21C92E}"/>
    <cellStyle name="Normal 8 5 2 3" xfId="12595" xr:uid="{00000000-0005-0000-0000-00001B5D0000}"/>
    <cellStyle name="Normal 8 5 2 3 2" xfId="36444" xr:uid="{7FD45F56-704D-4947-B67D-5A883644D8A5}"/>
    <cellStyle name="Normal 8 5 2 4" xfId="20550" xr:uid="{00000000-0005-0000-0000-00001C5D0000}"/>
    <cellStyle name="Normal 8 5 2 4 2" xfId="44382" xr:uid="{B6AF6627-E573-4065-B9BC-BAE7D0A46C9A}"/>
    <cellStyle name="Normal 8 5 2 5" xfId="28503" xr:uid="{38C13BC7-C3C9-4058-8E59-761F473CD3B7}"/>
    <cellStyle name="Normal 8 5 3" xfId="6404" xr:uid="{00000000-0005-0000-0000-00001D5D0000}"/>
    <cellStyle name="Normal 8 5 3 2" xfId="14375" xr:uid="{00000000-0005-0000-0000-00001E5D0000}"/>
    <cellStyle name="Normal 8 5 3 2 2" xfId="38217" xr:uid="{2CE82C03-DA1B-4F24-A030-F387A7E1CF14}"/>
    <cellStyle name="Normal 8 5 3 3" xfId="22322" xr:uid="{00000000-0005-0000-0000-00001F5D0000}"/>
    <cellStyle name="Normal 8 5 3 3 2" xfId="46154" xr:uid="{864A56D2-0FBB-4A90-A15F-41670610BCD0}"/>
    <cellStyle name="Normal 8 5 3 4" xfId="30276" xr:uid="{FCB18097-FA50-48CF-9719-D0BC3F8C6D33}"/>
    <cellStyle name="Normal 8 5 4" xfId="10839" xr:uid="{00000000-0005-0000-0000-0000205D0000}"/>
    <cellStyle name="Normal 8 5 4 2" xfId="34688" xr:uid="{CEFC448C-E2E9-4F7A-A395-FEA5A1CA980B}"/>
    <cellStyle name="Normal 8 5 5" xfId="18794" xr:uid="{00000000-0005-0000-0000-0000215D0000}"/>
    <cellStyle name="Normal 8 5 5 2" xfId="42626" xr:uid="{54F35F78-D94E-43D3-AC18-09EF131B0C0C}"/>
    <cellStyle name="Normal 8 5 6" xfId="26746" xr:uid="{580A508E-2384-428B-B209-FD251F5230AF}"/>
    <cellStyle name="Normal 8 5_Exh G" xfId="3551" xr:uid="{00000000-0005-0000-0000-0000225D0000}"/>
    <cellStyle name="Normal 8 6" xfId="3693" xr:uid="{00000000-0005-0000-0000-0000235D0000}"/>
    <cellStyle name="Normal 8 6 2" xfId="7285" xr:uid="{00000000-0005-0000-0000-0000245D0000}"/>
    <cellStyle name="Normal 8 6 2 2" xfId="15255" xr:uid="{00000000-0005-0000-0000-0000255D0000}"/>
    <cellStyle name="Normal 8 6 2 2 2" xfId="39097" xr:uid="{476C6F23-F9F1-4420-8BC8-357B34BA8B8D}"/>
    <cellStyle name="Normal 8 6 2 3" xfId="23201" xr:uid="{00000000-0005-0000-0000-0000265D0000}"/>
    <cellStyle name="Normal 8 6 2 3 2" xfId="47033" xr:uid="{2D1123FD-1E69-43CB-BEEC-32F69FCE834E}"/>
    <cellStyle name="Normal 8 6 2 4" xfId="31156" xr:uid="{2DB7F8AB-7851-4F4E-A720-2545E6B8FAC7}"/>
    <cellStyle name="Normal 8 6 3" xfId="11717" xr:uid="{00000000-0005-0000-0000-0000275D0000}"/>
    <cellStyle name="Normal 8 6 3 2" xfId="35566" xr:uid="{472C2F70-05BD-4389-906A-D8C12F70ABA4}"/>
    <cellStyle name="Normal 8 6 4" xfId="19672" xr:uid="{00000000-0005-0000-0000-0000285D0000}"/>
    <cellStyle name="Normal 8 6 4 2" xfId="43504" xr:uid="{3FBDB115-C666-4A1A-AFCB-D3772255CCC0}"/>
    <cellStyle name="Normal 8 6 5" xfId="27625" xr:uid="{AE52E15E-1B90-466E-8E93-5F38B84F627C}"/>
    <cellStyle name="Normal 8 7" xfId="5513" xr:uid="{00000000-0005-0000-0000-0000295D0000}"/>
    <cellStyle name="Normal 8 7 2" xfId="13496" xr:uid="{00000000-0005-0000-0000-00002A5D0000}"/>
    <cellStyle name="Normal 8 7 2 2" xfId="37339" xr:uid="{906A635D-89ED-4CE4-84E4-25AEC23DE52F}"/>
    <cellStyle name="Normal 8 7 3" xfId="21444" xr:uid="{00000000-0005-0000-0000-00002B5D0000}"/>
    <cellStyle name="Normal 8 7 3 2" xfId="45276" xr:uid="{4A30A027-F9F8-4B48-B528-FC8FB2F744EF}"/>
    <cellStyle name="Normal 8 7 4" xfId="29398" xr:uid="{E17E3AE9-915E-415D-820D-896CA3814EF4}"/>
    <cellStyle name="Normal 8 8" xfId="9065" xr:uid="{00000000-0005-0000-0000-00002C5D0000}"/>
    <cellStyle name="Normal 8 8 2" xfId="17023" xr:uid="{00000000-0005-0000-0000-00002D5D0000}"/>
    <cellStyle name="Normal 8 8 2 2" xfId="40863" xr:uid="{3E43EE21-B54C-4086-92F0-2F48E18FDF05}"/>
    <cellStyle name="Normal 8 8 3" xfId="24967" xr:uid="{00000000-0005-0000-0000-00002E5D0000}"/>
    <cellStyle name="Normal 8 8 3 2" xfId="48799" xr:uid="{6C0E0FAF-72A0-46EC-9A51-A194A8248300}"/>
    <cellStyle name="Normal 8 8 4" xfId="32922" xr:uid="{BE063995-FD90-4793-8783-7CC567A0F45B}"/>
    <cellStyle name="Normal 8 9" xfId="9961" xr:uid="{00000000-0005-0000-0000-00002F5D0000}"/>
    <cellStyle name="Normal 8 9 2" xfId="33810" xr:uid="{6C1C3F92-D535-442C-B708-904A2323AFC9}"/>
    <cellStyle name="Normal 8_Exh G" xfId="3544" xr:uid="{00000000-0005-0000-0000-0000305D0000}"/>
    <cellStyle name="Normal 9" xfId="20" xr:uid="{00000000-0005-0000-0000-0000315D0000}"/>
    <cellStyle name="Normal 9 2" xfId="680" xr:uid="{00000000-0005-0000-0000-0000325D0000}"/>
    <cellStyle name="Normal 9 2 2" xfId="681" xr:uid="{00000000-0005-0000-0000-0000335D0000}"/>
    <cellStyle name="Normal 9 2 2 2" xfId="1707" xr:uid="{00000000-0005-0000-0000-0000345D0000}"/>
    <cellStyle name="Normal 9 2 2 2 2" xfId="5234" xr:uid="{00000000-0005-0000-0000-0000355D0000}"/>
    <cellStyle name="Normal 9 2 2 2 2 2" xfId="8825" xr:uid="{00000000-0005-0000-0000-0000365D0000}"/>
    <cellStyle name="Normal 9 2 2 2 2 2 2" xfId="16795" xr:uid="{00000000-0005-0000-0000-0000375D0000}"/>
    <cellStyle name="Normal 9 2 2 2 2 2 2 2" xfId="40637" xr:uid="{31AFDA83-11B8-46CB-8DFA-77EB6AFD0403}"/>
    <cellStyle name="Normal 9 2 2 2 2 2 3" xfId="24741" xr:uid="{00000000-0005-0000-0000-0000385D0000}"/>
    <cellStyle name="Normal 9 2 2 2 2 2 3 2" xfId="48573" xr:uid="{FB408584-AABE-4301-B75C-F5DF448C7662}"/>
    <cellStyle name="Normal 9 2 2 2 2 2 4" xfId="32696" xr:uid="{E3921746-B206-4C79-A08C-EFDD2E8B94E0}"/>
    <cellStyle name="Normal 9 2 2 2 2 3" xfId="13257" xr:uid="{00000000-0005-0000-0000-0000395D0000}"/>
    <cellStyle name="Normal 9 2 2 2 2 3 2" xfId="37106" xr:uid="{473652E6-9A41-4152-8902-EA0041BB87CD}"/>
    <cellStyle name="Normal 9 2 2 2 2 4" xfId="21212" xr:uid="{00000000-0005-0000-0000-00003A5D0000}"/>
    <cellStyle name="Normal 9 2 2 2 2 4 2" xfId="45044" xr:uid="{639490C5-63D3-469B-89D6-1B509072AD9D}"/>
    <cellStyle name="Normal 9 2 2 2 2 5" xfId="29165" xr:uid="{2335678E-24A7-4AE7-A435-4743FC62E1AE}"/>
    <cellStyle name="Normal 9 2 2 2 3" xfId="7066" xr:uid="{00000000-0005-0000-0000-00003B5D0000}"/>
    <cellStyle name="Normal 9 2 2 2 3 2" xfId="15037" xr:uid="{00000000-0005-0000-0000-00003C5D0000}"/>
    <cellStyle name="Normal 9 2 2 2 3 2 2" xfId="38879" xr:uid="{7E8676B3-DA46-4060-8477-ED33E82A51B1}"/>
    <cellStyle name="Normal 9 2 2 2 3 3" xfId="22984" xr:uid="{00000000-0005-0000-0000-00003D5D0000}"/>
    <cellStyle name="Normal 9 2 2 2 3 3 2" xfId="46816" xr:uid="{71BD6777-C9AD-4710-810B-12F2D0839C9B}"/>
    <cellStyle name="Normal 9 2 2 2 3 4" xfId="30938" xr:uid="{F19B86A9-7E69-4B48-B1BF-6219D3AB7718}"/>
    <cellStyle name="Normal 9 2 2 2 4" xfId="11501" xr:uid="{00000000-0005-0000-0000-00003E5D0000}"/>
    <cellStyle name="Normal 9 2 2 2 4 2" xfId="35350" xr:uid="{81E1F28C-0F2B-4FA9-B13E-125AE126B24A}"/>
    <cellStyle name="Normal 9 2 2 2 5" xfId="19456" xr:uid="{00000000-0005-0000-0000-00003F5D0000}"/>
    <cellStyle name="Normal 9 2 2 2 5 2" xfId="43288" xr:uid="{7320AE84-94B6-4ADC-A755-586C7973BA5D}"/>
    <cellStyle name="Normal 9 2 2 2 6" xfId="27408" xr:uid="{9862B43C-0906-4137-9AA9-1D1A28FF8190}"/>
    <cellStyle name="Normal 9 2 2 2_Exh G" xfId="3555" xr:uid="{00000000-0005-0000-0000-0000405D0000}"/>
    <cellStyle name="Normal 9 2 2 3" xfId="4355" xr:uid="{00000000-0005-0000-0000-0000415D0000}"/>
    <cellStyle name="Normal 9 2 2 3 2" xfId="7947" xr:uid="{00000000-0005-0000-0000-0000425D0000}"/>
    <cellStyle name="Normal 9 2 2 3 2 2" xfId="15917" xr:uid="{00000000-0005-0000-0000-0000435D0000}"/>
    <cellStyle name="Normal 9 2 2 3 2 2 2" xfId="39759" xr:uid="{429CE6B3-B0E4-413E-99AA-FDD49DCD8A96}"/>
    <cellStyle name="Normal 9 2 2 3 2 3" xfId="23863" xr:uid="{00000000-0005-0000-0000-0000445D0000}"/>
    <cellStyle name="Normal 9 2 2 3 2 3 2" xfId="47695" xr:uid="{FDFD3E2A-50B3-4262-B7D8-A99ACFB34891}"/>
    <cellStyle name="Normal 9 2 2 3 2 4" xfId="31818" xr:uid="{506DE2A3-21C0-4075-9EB9-4BC4FFB03430}"/>
    <cellStyle name="Normal 9 2 2 3 3" xfId="12379" xr:uid="{00000000-0005-0000-0000-0000455D0000}"/>
    <cellStyle name="Normal 9 2 2 3 3 2" xfId="36228" xr:uid="{04411B99-11DE-4C8C-B72E-11A50802169F}"/>
    <cellStyle name="Normal 9 2 2 3 4" xfId="20334" xr:uid="{00000000-0005-0000-0000-0000465D0000}"/>
    <cellStyle name="Normal 9 2 2 3 4 2" xfId="44166" xr:uid="{A3A34FFF-25D9-43FD-B9AA-AB9423424D4E}"/>
    <cellStyle name="Normal 9 2 2 3 5" xfId="28287" xr:uid="{CBA5D05A-B0DA-4DAE-978B-CC743A6D7A42}"/>
    <cellStyle name="Normal 9 2 2 4" xfId="6175" xr:uid="{00000000-0005-0000-0000-0000475D0000}"/>
    <cellStyle name="Normal 9 2 2 4 2" xfId="14158" xr:uid="{00000000-0005-0000-0000-0000485D0000}"/>
    <cellStyle name="Normal 9 2 2 4 2 2" xfId="38001" xr:uid="{4F7EC98C-D6F8-474B-BB2D-163C62CEBA60}"/>
    <cellStyle name="Normal 9 2 2 4 3" xfId="22106" xr:uid="{00000000-0005-0000-0000-0000495D0000}"/>
    <cellStyle name="Normal 9 2 2 4 3 2" xfId="45938" xr:uid="{7D3D4DFA-115D-4C70-A528-AAEB19E353A2}"/>
    <cellStyle name="Normal 9 2 2 4 4" xfId="30060" xr:uid="{63702ABB-0365-4636-AB72-DC32731A7344}"/>
    <cellStyle name="Normal 9 2 2 5" xfId="9727" xr:uid="{00000000-0005-0000-0000-00004A5D0000}"/>
    <cellStyle name="Normal 9 2 2 5 2" xfId="17685" xr:uid="{00000000-0005-0000-0000-00004B5D0000}"/>
    <cellStyle name="Normal 9 2 2 5 2 2" xfId="41525" xr:uid="{47478E62-43C3-421B-978F-8C998F17D52D}"/>
    <cellStyle name="Normal 9 2 2 5 3" xfId="25629" xr:uid="{00000000-0005-0000-0000-00004C5D0000}"/>
    <cellStyle name="Normal 9 2 2 5 3 2" xfId="49461" xr:uid="{2AC72F9B-7799-4CC1-9481-3231C3495C3D}"/>
    <cellStyle name="Normal 9 2 2 5 4" xfId="33584" xr:uid="{5C4F607C-062C-4039-BD8E-097237ED0EF0}"/>
    <cellStyle name="Normal 9 2 2 6" xfId="10623" xr:uid="{00000000-0005-0000-0000-00004D5D0000}"/>
    <cellStyle name="Normal 9 2 2 6 2" xfId="34472" xr:uid="{A22B842F-7E12-4789-8242-9B64819AC21F}"/>
    <cellStyle name="Normal 9 2 2 7" xfId="18578" xr:uid="{00000000-0005-0000-0000-00004E5D0000}"/>
    <cellStyle name="Normal 9 2 2 7 2" xfId="42410" xr:uid="{55FC89C1-D6AA-4469-B225-5B89B6A636BA}"/>
    <cellStyle name="Normal 9 2 2 8" xfId="26530" xr:uid="{AA93E874-F588-4BF7-8FDB-381854DE9E62}"/>
    <cellStyle name="Normal 9 2 2_Exh G" xfId="3554" xr:uid="{00000000-0005-0000-0000-00004F5D0000}"/>
    <cellStyle name="Normal 9 2 3" xfId="1706" xr:uid="{00000000-0005-0000-0000-0000505D0000}"/>
    <cellStyle name="Normal 9 2 3 2" xfId="5233" xr:uid="{00000000-0005-0000-0000-0000515D0000}"/>
    <cellStyle name="Normal 9 2 3 2 2" xfId="8824" xr:uid="{00000000-0005-0000-0000-0000525D0000}"/>
    <cellStyle name="Normal 9 2 3 2 2 2" xfId="16794" xr:uid="{00000000-0005-0000-0000-0000535D0000}"/>
    <cellStyle name="Normal 9 2 3 2 2 2 2" xfId="40636" xr:uid="{1096F5F0-AA8F-4206-BA8A-8C6A2059AE87}"/>
    <cellStyle name="Normal 9 2 3 2 2 3" xfId="24740" xr:uid="{00000000-0005-0000-0000-0000545D0000}"/>
    <cellStyle name="Normal 9 2 3 2 2 3 2" xfId="48572" xr:uid="{22CED8B8-D846-49F5-BE96-413B5BB2ED12}"/>
    <cellStyle name="Normal 9 2 3 2 2 4" xfId="32695" xr:uid="{EA942A5C-120A-4626-882D-65E144A22159}"/>
    <cellStyle name="Normal 9 2 3 2 3" xfId="13256" xr:uid="{00000000-0005-0000-0000-0000555D0000}"/>
    <cellStyle name="Normal 9 2 3 2 3 2" xfId="37105" xr:uid="{FAF029FE-202E-4C62-B3C3-64A1AF6FFC2B}"/>
    <cellStyle name="Normal 9 2 3 2 4" xfId="21211" xr:uid="{00000000-0005-0000-0000-0000565D0000}"/>
    <cellStyle name="Normal 9 2 3 2 4 2" xfId="45043" xr:uid="{A5748F4B-90AE-4874-B404-E5DB0D6A3BB1}"/>
    <cellStyle name="Normal 9 2 3 2 5" xfId="29164" xr:uid="{6A201999-C3F2-40B8-9BED-0E3B4E113135}"/>
    <cellStyle name="Normal 9 2 3 3" xfId="7065" xr:uid="{00000000-0005-0000-0000-0000575D0000}"/>
    <cellStyle name="Normal 9 2 3 3 2" xfId="15036" xr:uid="{00000000-0005-0000-0000-0000585D0000}"/>
    <cellStyle name="Normal 9 2 3 3 2 2" xfId="38878" xr:uid="{5F93C304-C07D-40D7-8CF7-470584F782A5}"/>
    <cellStyle name="Normal 9 2 3 3 3" xfId="22983" xr:uid="{00000000-0005-0000-0000-0000595D0000}"/>
    <cellStyle name="Normal 9 2 3 3 3 2" xfId="46815" xr:uid="{F662998E-B5EA-4C05-A956-51CCD4508C8A}"/>
    <cellStyle name="Normal 9 2 3 3 4" xfId="30937" xr:uid="{2C86DEB6-8AFA-4F32-997B-46FC79376A6E}"/>
    <cellStyle name="Normal 9 2 3 4" xfId="11500" xr:uid="{00000000-0005-0000-0000-00005A5D0000}"/>
    <cellStyle name="Normal 9 2 3 4 2" xfId="35349" xr:uid="{26DFA86C-990D-44F5-A177-8F06AF7E6C5B}"/>
    <cellStyle name="Normal 9 2 3 5" xfId="19455" xr:uid="{00000000-0005-0000-0000-00005B5D0000}"/>
    <cellStyle name="Normal 9 2 3 5 2" xfId="43287" xr:uid="{CF5998EE-0D8E-4C2A-822F-F11524B5F00D}"/>
    <cellStyle name="Normal 9 2 3 6" xfId="27407" xr:uid="{E8D77E77-BB05-475E-A339-ECBD5D46AEFD}"/>
    <cellStyle name="Normal 9 2 3_Exh G" xfId="3556" xr:uid="{00000000-0005-0000-0000-00005C5D0000}"/>
    <cellStyle name="Normal 9 2 4" xfId="4354" xr:uid="{00000000-0005-0000-0000-00005D5D0000}"/>
    <cellStyle name="Normal 9 2 4 2" xfId="7946" xr:uid="{00000000-0005-0000-0000-00005E5D0000}"/>
    <cellStyle name="Normal 9 2 4 2 2" xfId="15916" xr:uid="{00000000-0005-0000-0000-00005F5D0000}"/>
    <cellStyle name="Normal 9 2 4 2 2 2" xfId="39758" xr:uid="{59058DB0-25C0-4EB7-9C53-8024FAC6D9BB}"/>
    <cellStyle name="Normal 9 2 4 2 3" xfId="23862" xr:uid="{00000000-0005-0000-0000-0000605D0000}"/>
    <cellStyle name="Normal 9 2 4 2 3 2" xfId="47694" xr:uid="{84466C33-B826-4071-8420-4B2934E6BFC7}"/>
    <cellStyle name="Normal 9 2 4 2 4" xfId="31817" xr:uid="{BA1BEB49-2DB4-4D10-B534-3462F9379F1F}"/>
    <cellStyle name="Normal 9 2 4 3" xfId="12378" xr:uid="{00000000-0005-0000-0000-0000615D0000}"/>
    <cellStyle name="Normal 9 2 4 3 2" xfId="36227" xr:uid="{2A8B0A7B-7E33-4960-8DA2-4C4A25F1B718}"/>
    <cellStyle name="Normal 9 2 4 4" xfId="20333" xr:uid="{00000000-0005-0000-0000-0000625D0000}"/>
    <cellStyle name="Normal 9 2 4 4 2" xfId="44165" xr:uid="{6FF052BB-1AD1-4FB0-B9A5-2138445CB619}"/>
    <cellStyle name="Normal 9 2 4 5" xfId="28286" xr:uid="{C65B4E50-1406-4582-A4EB-05FC9CF2A231}"/>
    <cellStyle name="Normal 9 2 5" xfId="6174" xr:uid="{00000000-0005-0000-0000-0000635D0000}"/>
    <cellStyle name="Normal 9 2 5 2" xfId="14157" xr:uid="{00000000-0005-0000-0000-0000645D0000}"/>
    <cellStyle name="Normal 9 2 5 2 2" xfId="38000" xr:uid="{7B4FC3DF-D78A-4C93-AC99-E6EEDEB16D02}"/>
    <cellStyle name="Normal 9 2 5 3" xfId="22105" xr:uid="{00000000-0005-0000-0000-0000655D0000}"/>
    <cellStyle name="Normal 9 2 5 3 2" xfId="45937" xr:uid="{1593D5FC-4BE5-4ECB-854F-2E8142236A1E}"/>
    <cellStyle name="Normal 9 2 5 4" xfId="30059" xr:uid="{B696C983-9358-45F5-BBBE-DC737111DD0C}"/>
    <cellStyle name="Normal 9 2 6" xfId="9726" xr:uid="{00000000-0005-0000-0000-0000665D0000}"/>
    <cellStyle name="Normal 9 2 6 2" xfId="17684" xr:uid="{00000000-0005-0000-0000-0000675D0000}"/>
    <cellStyle name="Normal 9 2 6 2 2" xfId="41524" xr:uid="{C473A185-6253-4C62-9920-F853FD380769}"/>
    <cellStyle name="Normal 9 2 6 3" xfId="25628" xr:uid="{00000000-0005-0000-0000-0000685D0000}"/>
    <cellStyle name="Normal 9 2 6 3 2" xfId="49460" xr:uid="{B7726DE7-6C3A-4A8A-8F0A-A0520A6CF060}"/>
    <cellStyle name="Normal 9 2 6 4" xfId="33583" xr:uid="{0104B41E-C8C1-4B4A-B693-9144D712266D}"/>
    <cellStyle name="Normal 9 2 7" xfId="10622" xr:uid="{00000000-0005-0000-0000-0000695D0000}"/>
    <cellStyle name="Normal 9 2 7 2" xfId="34471" xr:uid="{597A2970-3F9A-4BD9-BB75-BD455E2A828A}"/>
    <cellStyle name="Normal 9 2 8" xfId="18577" xr:uid="{00000000-0005-0000-0000-00006A5D0000}"/>
    <cellStyle name="Normal 9 2 8 2" xfId="42409" xr:uid="{75922DDD-5F1E-4213-BA45-4EB6814EB336}"/>
    <cellStyle name="Normal 9 2 9" xfId="26529" xr:uid="{3D60A566-004E-42DD-A465-F6E95D6E35E1}"/>
    <cellStyle name="Normal 9 2_Exh G" xfId="3553" xr:uid="{00000000-0005-0000-0000-00006B5D0000}"/>
    <cellStyle name="Normal 9 3" xfId="682" xr:uid="{00000000-0005-0000-0000-00006C5D0000}"/>
    <cellStyle name="Normal 9 3 2" xfId="1708" xr:uid="{00000000-0005-0000-0000-00006D5D0000}"/>
    <cellStyle name="Normal 9 3 2 2" xfId="5235" xr:uid="{00000000-0005-0000-0000-00006E5D0000}"/>
    <cellStyle name="Normal 9 3 2 2 2" xfId="8826" xr:uid="{00000000-0005-0000-0000-00006F5D0000}"/>
    <cellStyle name="Normal 9 3 2 2 2 2" xfId="16796" xr:uid="{00000000-0005-0000-0000-0000705D0000}"/>
    <cellStyle name="Normal 9 3 2 2 2 2 2" xfId="40638" xr:uid="{0867E83C-F29D-4CD9-9D69-88F8D1F6445E}"/>
    <cellStyle name="Normal 9 3 2 2 2 3" xfId="24742" xr:uid="{00000000-0005-0000-0000-0000715D0000}"/>
    <cellStyle name="Normal 9 3 2 2 2 3 2" xfId="48574" xr:uid="{05C44EB5-A0C8-4364-829C-F6900491C056}"/>
    <cellStyle name="Normal 9 3 2 2 2 4" xfId="32697" xr:uid="{03446BB6-4601-444F-B30C-BDADD1D6D577}"/>
    <cellStyle name="Normal 9 3 2 2 3" xfId="13258" xr:uid="{00000000-0005-0000-0000-0000725D0000}"/>
    <cellStyle name="Normal 9 3 2 2 3 2" xfId="37107" xr:uid="{72D37D46-20EF-4688-887A-9A7E82150BE1}"/>
    <cellStyle name="Normal 9 3 2 2 4" xfId="21213" xr:uid="{00000000-0005-0000-0000-0000735D0000}"/>
    <cellStyle name="Normal 9 3 2 2 4 2" xfId="45045" xr:uid="{C48DE4CE-9272-495C-A4DA-7467B782A574}"/>
    <cellStyle name="Normal 9 3 2 2 5" xfId="29166" xr:uid="{016DB06F-7CD5-4005-A592-5650CC95826C}"/>
    <cellStyle name="Normal 9 3 2 3" xfId="7067" xr:uid="{00000000-0005-0000-0000-0000745D0000}"/>
    <cellStyle name="Normal 9 3 2 3 2" xfId="15038" xr:uid="{00000000-0005-0000-0000-0000755D0000}"/>
    <cellStyle name="Normal 9 3 2 3 2 2" xfId="38880" xr:uid="{46D2AE92-3D19-497E-80A0-2131CBA69D75}"/>
    <cellStyle name="Normal 9 3 2 3 3" xfId="22985" xr:uid="{00000000-0005-0000-0000-0000765D0000}"/>
    <cellStyle name="Normal 9 3 2 3 3 2" xfId="46817" xr:uid="{7CE86B90-8778-445D-8757-834F263EF150}"/>
    <cellStyle name="Normal 9 3 2 3 4" xfId="30939" xr:uid="{FB0803FE-5A24-435D-A56F-99B2D9D2340B}"/>
    <cellStyle name="Normal 9 3 2 4" xfId="11502" xr:uid="{00000000-0005-0000-0000-0000775D0000}"/>
    <cellStyle name="Normal 9 3 2 4 2" xfId="35351" xr:uid="{CC9C321D-3D21-4FAA-9E1C-20D88D1794FC}"/>
    <cellStyle name="Normal 9 3 2 5" xfId="19457" xr:uid="{00000000-0005-0000-0000-0000785D0000}"/>
    <cellStyle name="Normal 9 3 2 5 2" xfId="43289" xr:uid="{14032111-0E36-4357-A69F-245D96F773ED}"/>
    <cellStyle name="Normal 9 3 2 6" xfId="27409" xr:uid="{077BA26D-FE76-4405-B5A8-576E6330D979}"/>
    <cellStyle name="Normal 9 3 2_Exh G" xfId="3558" xr:uid="{00000000-0005-0000-0000-0000795D0000}"/>
    <cellStyle name="Normal 9 3 3" xfId="4356" xr:uid="{00000000-0005-0000-0000-00007A5D0000}"/>
    <cellStyle name="Normal 9 3 3 2" xfId="7948" xr:uid="{00000000-0005-0000-0000-00007B5D0000}"/>
    <cellStyle name="Normal 9 3 3 2 2" xfId="15918" xr:uid="{00000000-0005-0000-0000-00007C5D0000}"/>
    <cellStyle name="Normal 9 3 3 2 2 2" xfId="39760" xr:uid="{F5E7D05D-6F71-4953-9DEE-27D842B1FDA5}"/>
    <cellStyle name="Normal 9 3 3 2 3" xfId="23864" xr:uid="{00000000-0005-0000-0000-00007D5D0000}"/>
    <cellStyle name="Normal 9 3 3 2 3 2" xfId="47696" xr:uid="{1E8FB1AC-B868-4FAF-9B60-1CCCC2BBAE96}"/>
    <cellStyle name="Normal 9 3 3 2 4" xfId="31819" xr:uid="{0BE5418B-3453-4B1D-99BE-1AE976FAD343}"/>
    <cellStyle name="Normal 9 3 3 3" xfId="12380" xr:uid="{00000000-0005-0000-0000-00007E5D0000}"/>
    <cellStyle name="Normal 9 3 3 3 2" xfId="36229" xr:uid="{ED0D1C75-A123-4CF1-874A-3E92074038AF}"/>
    <cellStyle name="Normal 9 3 3 4" xfId="20335" xr:uid="{00000000-0005-0000-0000-00007F5D0000}"/>
    <cellStyle name="Normal 9 3 3 4 2" xfId="44167" xr:uid="{8C6AFEF4-EEA7-404A-BF00-B2951D2E01AC}"/>
    <cellStyle name="Normal 9 3 3 5" xfId="28288" xr:uid="{33C09A77-3018-477A-8BC9-BE50CBE6357C}"/>
    <cellStyle name="Normal 9 3 4" xfId="6176" xr:uid="{00000000-0005-0000-0000-0000805D0000}"/>
    <cellStyle name="Normal 9 3 4 2" xfId="14159" xr:uid="{00000000-0005-0000-0000-0000815D0000}"/>
    <cellStyle name="Normal 9 3 4 2 2" xfId="38002" xr:uid="{D1BD21BB-07A1-44A1-88B1-680A5A0B7C47}"/>
    <cellStyle name="Normal 9 3 4 3" xfId="22107" xr:uid="{00000000-0005-0000-0000-0000825D0000}"/>
    <cellStyle name="Normal 9 3 4 3 2" xfId="45939" xr:uid="{0F58DFFC-81A0-4A81-A1BC-3C3CB7855227}"/>
    <cellStyle name="Normal 9 3 4 4" xfId="30061" xr:uid="{9F6255FA-9F34-48AA-ACB9-F5335ED268B6}"/>
    <cellStyle name="Normal 9 3 5" xfId="9728" xr:uid="{00000000-0005-0000-0000-0000835D0000}"/>
    <cellStyle name="Normal 9 3 5 2" xfId="17686" xr:uid="{00000000-0005-0000-0000-0000845D0000}"/>
    <cellStyle name="Normal 9 3 5 2 2" xfId="41526" xr:uid="{284BB6F5-B584-4566-B884-B0B7511B3E9A}"/>
    <cellStyle name="Normal 9 3 5 3" xfId="25630" xr:uid="{00000000-0005-0000-0000-0000855D0000}"/>
    <cellStyle name="Normal 9 3 5 3 2" xfId="49462" xr:uid="{41527972-EA86-4AB6-B1C9-F5697360EF6C}"/>
    <cellStyle name="Normal 9 3 5 4" xfId="33585" xr:uid="{14DB8310-F2B5-496C-908E-C92749DA848C}"/>
    <cellStyle name="Normal 9 3 6" xfId="10624" xr:uid="{00000000-0005-0000-0000-0000865D0000}"/>
    <cellStyle name="Normal 9 3 6 2" xfId="34473" xr:uid="{B1073145-306E-4B96-8B34-5BD166BBC40D}"/>
    <cellStyle name="Normal 9 3 7" xfId="18579" xr:uid="{00000000-0005-0000-0000-0000875D0000}"/>
    <cellStyle name="Normal 9 3 7 2" xfId="42411" xr:uid="{9B09E826-10E6-4BC1-A9FE-43196FC76519}"/>
    <cellStyle name="Normal 9 3 8" xfId="26531" xr:uid="{DBADD298-0709-4CA0-8A4F-5D2F6BD1B197}"/>
    <cellStyle name="Normal 9 3_Exh G" xfId="3557" xr:uid="{00000000-0005-0000-0000-0000885D0000}"/>
    <cellStyle name="Normal 9 4" xfId="1024" xr:uid="{00000000-0005-0000-0000-0000895D0000}"/>
    <cellStyle name="Normal 9 4 2" xfId="1922" xr:uid="{00000000-0005-0000-0000-00008A5D0000}"/>
    <cellStyle name="Normal 9 4 2 2" xfId="5439" xr:uid="{00000000-0005-0000-0000-00008B5D0000}"/>
    <cellStyle name="Normal 9 4 2 2 2" xfId="9030" xr:uid="{00000000-0005-0000-0000-00008C5D0000}"/>
    <cellStyle name="Normal 9 4 2 2 2 2" xfId="17000" xr:uid="{00000000-0005-0000-0000-00008D5D0000}"/>
    <cellStyle name="Normal 9 4 2 2 2 2 2" xfId="40842" xr:uid="{32C6739D-76DE-4A77-A070-50BC2672D35A}"/>
    <cellStyle name="Normal 9 4 2 2 2 3" xfId="24946" xr:uid="{00000000-0005-0000-0000-00008E5D0000}"/>
    <cellStyle name="Normal 9 4 2 2 2 3 2" xfId="48778" xr:uid="{526A2850-CFF0-4373-BAC6-0C070DEAA876}"/>
    <cellStyle name="Normal 9 4 2 2 2 4" xfId="32901" xr:uid="{1362283F-EB08-4B4E-B604-9484CDD0BDD5}"/>
    <cellStyle name="Normal 9 4 2 2 3" xfId="13462" xr:uid="{00000000-0005-0000-0000-00008F5D0000}"/>
    <cellStyle name="Normal 9 4 2 2 3 2" xfId="37311" xr:uid="{68D2A07F-7F13-48D8-8899-D7FBE5DB9B15}"/>
    <cellStyle name="Normal 9 4 2 2 4" xfId="21417" xr:uid="{00000000-0005-0000-0000-0000905D0000}"/>
    <cellStyle name="Normal 9 4 2 2 4 2" xfId="45249" xr:uid="{CC4E2B56-4CB5-4A99-BF97-BF87B2DADED4}"/>
    <cellStyle name="Normal 9 4 2 2 5" xfId="29370" xr:uid="{5F8D9472-2E5B-45E9-8B36-3F141498A176}"/>
    <cellStyle name="Normal 9 4 2 3" xfId="7271" xr:uid="{00000000-0005-0000-0000-0000915D0000}"/>
    <cellStyle name="Normal 9 4 2 3 2" xfId="15242" xr:uid="{00000000-0005-0000-0000-0000925D0000}"/>
    <cellStyle name="Normal 9 4 2 3 2 2" xfId="39084" xr:uid="{0D5CD203-CA2E-4AA1-BCE6-0015C3C2E613}"/>
    <cellStyle name="Normal 9 4 2 3 3" xfId="23189" xr:uid="{00000000-0005-0000-0000-0000935D0000}"/>
    <cellStyle name="Normal 9 4 2 3 3 2" xfId="47021" xr:uid="{6AD667E6-FB7B-41F6-A361-7E45BFB4E1E8}"/>
    <cellStyle name="Normal 9 4 2 3 4" xfId="31143" xr:uid="{7B49A630-468D-46D2-9AAD-E5E7D8F94FE3}"/>
    <cellStyle name="Normal 9 4 2 4" xfId="11706" xr:uid="{00000000-0005-0000-0000-0000945D0000}"/>
    <cellStyle name="Normal 9 4 2 4 2" xfId="35555" xr:uid="{07957492-7174-42C0-A2E8-702C5CEBFDE6}"/>
    <cellStyle name="Normal 9 4 2 5" xfId="19661" xr:uid="{00000000-0005-0000-0000-0000955D0000}"/>
    <cellStyle name="Normal 9 4 2 5 2" xfId="43493" xr:uid="{1199BF8F-05B6-4F45-8BDE-69552E6DA562}"/>
    <cellStyle name="Normal 9 4 2 6" xfId="27613" xr:uid="{9316E394-EF73-4C67-8297-7157C7C9BB0E}"/>
    <cellStyle name="Normal 9 4 2_Exh G" xfId="3560" xr:uid="{00000000-0005-0000-0000-0000965D0000}"/>
    <cellStyle name="Normal 9 4 3" xfId="4560" xr:uid="{00000000-0005-0000-0000-0000975D0000}"/>
    <cellStyle name="Normal 9 4 3 2" xfId="8152" xr:uid="{00000000-0005-0000-0000-0000985D0000}"/>
    <cellStyle name="Normal 9 4 3 2 2" xfId="16122" xr:uid="{00000000-0005-0000-0000-0000995D0000}"/>
    <cellStyle name="Normal 9 4 3 2 2 2" xfId="39964" xr:uid="{174CAC2D-99D2-41EC-905F-0B49567B769F}"/>
    <cellStyle name="Normal 9 4 3 2 3" xfId="24068" xr:uid="{00000000-0005-0000-0000-00009A5D0000}"/>
    <cellStyle name="Normal 9 4 3 2 3 2" xfId="47900" xr:uid="{50E4E083-6AB5-46C2-83A0-35F582E02930}"/>
    <cellStyle name="Normal 9 4 3 2 4" xfId="32023" xr:uid="{3DA8519D-4A7E-4962-9BD6-F5EB21203B54}"/>
    <cellStyle name="Normal 9 4 3 3" xfId="12584" xr:uid="{00000000-0005-0000-0000-00009B5D0000}"/>
    <cellStyle name="Normal 9 4 3 3 2" xfId="36433" xr:uid="{A42BF1C1-F998-4C8C-87EF-46EE30609F25}"/>
    <cellStyle name="Normal 9 4 3 4" xfId="20539" xr:uid="{00000000-0005-0000-0000-00009C5D0000}"/>
    <cellStyle name="Normal 9 4 3 4 2" xfId="44371" xr:uid="{8A6BFBE0-387B-433B-AFE5-7457CD3353D0}"/>
    <cellStyle name="Normal 9 4 3 5" xfId="28492" xr:uid="{4F3C5504-3C48-4FA7-9289-DCBC459B103A}"/>
    <cellStyle name="Normal 9 4 4" xfId="6390" xr:uid="{00000000-0005-0000-0000-00009D5D0000}"/>
    <cellStyle name="Normal 9 4 4 2" xfId="14364" xr:uid="{00000000-0005-0000-0000-00009E5D0000}"/>
    <cellStyle name="Normal 9 4 4 2 2" xfId="38206" xr:uid="{BBB12647-4BEB-4A94-8506-B2DEF3D98F52}"/>
    <cellStyle name="Normal 9 4 4 3" xfId="22311" xr:uid="{00000000-0005-0000-0000-00009F5D0000}"/>
    <cellStyle name="Normal 9 4 4 3 2" xfId="46143" xr:uid="{F99A4906-9905-4A25-B226-6D9844F59146}"/>
    <cellStyle name="Normal 9 4 4 4" xfId="30265" xr:uid="{2C47DBE0-8E0A-42DC-9B10-8F051882924F}"/>
    <cellStyle name="Normal 9 4 5" xfId="9932" xr:uid="{00000000-0005-0000-0000-0000A05D0000}"/>
    <cellStyle name="Normal 9 4 5 2" xfId="17890" xr:uid="{00000000-0005-0000-0000-0000A15D0000}"/>
    <cellStyle name="Normal 9 4 5 2 2" xfId="41730" xr:uid="{34F32108-BE57-4611-A37B-830D7440E4C0}"/>
    <cellStyle name="Normal 9 4 5 3" xfId="25834" xr:uid="{00000000-0005-0000-0000-0000A25D0000}"/>
    <cellStyle name="Normal 9 4 5 3 2" xfId="49666" xr:uid="{399F9C2B-29F9-4BE5-BF45-25B4A1B1A4BE}"/>
    <cellStyle name="Normal 9 4 5 4" xfId="33789" xr:uid="{424BE975-17FE-42DE-92F7-047D68146C34}"/>
    <cellStyle name="Normal 9 4 6" xfId="10828" xr:uid="{00000000-0005-0000-0000-0000A35D0000}"/>
    <cellStyle name="Normal 9 4 6 2" xfId="34677" xr:uid="{3118F787-5801-479B-B93B-CA209D8042C8}"/>
    <cellStyle name="Normal 9 4 7" xfId="18783" xr:uid="{00000000-0005-0000-0000-0000A45D0000}"/>
    <cellStyle name="Normal 9 4 7 2" xfId="42615" xr:uid="{870DB111-5E36-4222-A0E3-42DFD905E807}"/>
    <cellStyle name="Normal 9 4 8" xfId="26735" xr:uid="{958602D8-7E24-4B0C-953D-EB0336DE7CA7}"/>
    <cellStyle name="Normal 9 4_Exh G" xfId="3559" xr:uid="{00000000-0005-0000-0000-0000A55D0000}"/>
    <cellStyle name="Normal 9_Exh G" xfId="3552" xr:uid="{00000000-0005-0000-0000-0000A65D0000}"/>
    <cellStyle name="Normal_Appendix G 11 FEBRUARY 10 temploan no 303 ver2 2" xfId="1025" xr:uid="{00000000-0005-0000-0000-0000A75D0000}"/>
    <cellStyle name="Normal_ExhibitF_05-06" xfId="16" xr:uid="{00000000-0005-0000-0000-0000A85D0000}"/>
    <cellStyle name="Normal_ExhibitF_05-06 2" xfId="25852" xr:uid="{00000000-0005-0000-0000-0000A95D0000}"/>
    <cellStyle name="Normal_Summary Analysis" xfId="25866" xr:uid="{00000000-0005-0000-0000-0000AA5D0000}"/>
    <cellStyle name="Note 10" xfId="683" xr:uid="{00000000-0005-0000-0000-0000AB5D0000}"/>
    <cellStyle name="Note 10 10" xfId="18580" xr:uid="{00000000-0005-0000-0000-0000AC5D0000}"/>
    <cellStyle name="Note 10 10 2" xfId="42412" xr:uid="{B4A4751D-A348-4128-B140-2F7DA7977575}"/>
    <cellStyle name="Note 10 11" xfId="26532" xr:uid="{170622BA-A862-4ECF-9A41-9BB1FFE1C0BC}"/>
    <cellStyle name="Note 10 2" xfId="684" xr:uid="{00000000-0005-0000-0000-0000AD5D0000}"/>
    <cellStyle name="Note 10 2 2" xfId="685" xr:uid="{00000000-0005-0000-0000-0000AE5D0000}"/>
    <cellStyle name="Note 10 2 2 2" xfId="1711" xr:uid="{00000000-0005-0000-0000-0000AF5D0000}"/>
    <cellStyle name="Note 10 2 2 2 2" xfId="5238" xr:uid="{00000000-0005-0000-0000-0000B05D0000}"/>
    <cellStyle name="Note 10 2 2 2 2 2" xfId="8829" xr:uid="{00000000-0005-0000-0000-0000B15D0000}"/>
    <cellStyle name="Note 10 2 2 2 2 2 2" xfId="16799" xr:uid="{00000000-0005-0000-0000-0000B25D0000}"/>
    <cellStyle name="Note 10 2 2 2 2 2 2 2" xfId="40641" xr:uid="{1490DD00-CDFE-4D04-A0AE-573BDF6A7C2B}"/>
    <cellStyle name="Note 10 2 2 2 2 2 3" xfId="24745" xr:uid="{00000000-0005-0000-0000-0000B35D0000}"/>
    <cellStyle name="Note 10 2 2 2 2 2 3 2" xfId="48577" xr:uid="{11FD39CC-EB21-49EF-BD95-0316F2B07347}"/>
    <cellStyle name="Note 10 2 2 2 2 2 4" xfId="32700" xr:uid="{018C9CF5-10E4-45B1-9DF5-62FF8BED762E}"/>
    <cellStyle name="Note 10 2 2 2 2 3" xfId="13261" xr:uid="{00000000-0005-0000-0000-0000B45D0000}"/>
    <cellStyle name="Note 10 2 2 2 2 3 2" xfId="37110" xr:uid="{4404C457-7672-41A6-996E-79840EBE06C2}"/>
    <cellStyle name="Note 10 2 2 2 2 4" xfId="21216" xr:uid="{00000000-0005-0000-0000-0000B55D0000}"/>
    <cellStyle name="Note 10 2 2 2 2 4 2" xfId="45048" xr:uid="{1E9211A2-D342-42B2-A275-EE55461160E3}"/>
    <cellStyle name="Note 10 2 2 2 2 5" xfId="29169" xr:uid="{C15539FA-5404-406A-8A0D-9ADFF44A2F3E}"/>
    <cellStyle name="Note 10 2 2 2 3" xfId="7070" xr:uid="{00000000-0005-0000-0000-0000B65D0000}"/>
    <cellStyle name="Note 10 2 2 2 3 2" xfId="15041" xr:uid="{00000000-0005-0000-0000-0000B75D0000}"/>
    <cellStyle name="Note 10 2 2 2 3 2 2" xfId="38883" xr:uid="{89B19CB6-EA01-49EA-BD82-93A67921F102}"/>
    <cellStyle name="Note 10 2 2 2 3 3" xfId="22988" xr:uid="{00000000-0005-0000-0000-0000B85D0000}"/>
    <cellStyle name="Note 10 2 2 2 3 3 2" xfId="46820" xr:uid="{F55F58B3-5D80-4529-9270-AC0BA554DF17}"/>
    <cellStyle name="Note 10 2 2 2 3 4" xfId="30942" xr:uid="{2E3BD48D-D467-4C75-BEAE-3CE5A04A1C93}"/>
    <cellStyle name="Note 10 2 2 2 4" xfId="11505" xr:uid="{00000000-0005-0000-0000-0000B95D0000}"/>
    <cellStyle name="Note 10 2 2 2 4 2" xfId="35354" xr:uid="{F7BC85E4-7902-4F07-BBC7-E98EE1E38D51}"/>
    <cellStyle name="Note 10 2 2 2 5" xfId="19460" xr:uid="{00000000-0005-0000-0000-0000BA5D0000}"/>
    <cellStyle name="Note 10 2 2 2 5 2" xfId="43292" xr:uid="{66FB5783-DE2E-413E-B679-7F62EE865006}"/>
    <cellStyle name="Note 10 2 2 2 6" xfId="27412" xr:uid="{D95A1833-EB7F-4336-BAF9-8F0334946E3C}"/>
    <cellStyle name="Note 10 2 2 2_Exh G" xfId="3564" xr:uid="{00000000-0005-0000-0000-0000BB5D0000}"/>
    <cellStyle name="Note 10 2 2 3" xfId="4359" xr:uid="{00000000-0005-0000-0000-0000BC5D0000}"/>
    <cellStyle name="Note 10 2 2 3 2" xfId="7951" xr:uid="{00000000-0005-0000-0000-0000BD5D0000}"/>
    <cellStyle name="Note 10 2 2 3 2 2" xfId="15921" xr:uid="{00000000-0005-0000-0000-0000BE5D0000}"/>
    <cellStyle name="Note 10 2 2 3 2 2 2" xfId="39763" xr:uid="{F628BFA7-0138-404D-8293-DDC32F2D61F6}"/>
    <cellStyle name="Note 10 2 2 3 2 3" xfId="23867" xr:uid="{00000000-0005-0000-0000-0000BF5D0000}"/>
    <cellStyle name="Note 10 2 2 3 2 3 2" xfId="47699" xr:uid="{E26F4AA7-8583-43D3-8AF0-BA2D674506FC}"/>
    <cellStyle name="Note 10 2 2 3 2 4" xfId="31822" xr:uid="{B3DADC3F-89A4-4688-88E9-353CB37835DE}"/>
    <cellStyle name="Note 10 2 2 3 3" xfId="12383" xr:uid="{00000000-0005-0000-0000-0000C05D0000}"/>
    <cellStyle name="Note 10 2 2 3 3 2" xfId="36232" xr:uid="{D5CA6250-ECA6-4E16-84A9-0C4B94D372EE}"/>
    <cellStyle name="Note 10 2 2 3 4" xfId="20338" xr:uid="{00000000-0005-0000-0000-0000C15D0000}"/>
    <cellStyle name="Note 10 2 2 3 4 2" xfId="44170" xr:uid="{F669E793-7FB9-464E-97F8-4CF0196F17A6}"/>
    <cellStyle name="Note 10 2 2 3 5" xfId="28291" xr:uid="{FCDD3FD7-324C-4868-98B9-41B2B385C1DA}"/>
    <cellStyle name="Note 10 2 2 4" xfId="6179" xr:uid="{00000000-0005-0000-0000-0000C25D0000}"/>
    <cellStyle name="Note 10 2 2 4 2" xfId="14162" xr:uid="{00000000-0005-0000-0000-0000C35D0000}"/>
    <cellStyle name="Note 10 2 2 4 2 2" xfId="38005" xr:uid="{6E444B27-9BED-4A5D-9951-3A0EACB6EAFC}"/>
    <cellStyle name="Note 10 2 2 4 3" xfId="22110" xr:uid="{00000000-0005-0000-0000-0000C45D0000}"/>
    <cellStyle name="Note 10 2 2 4 3 2" xfId="45942" xr:uid="{BA36D904-A27A-4283-A25F-B081C76B1574}"/>
    <cellStyle name="Note 10 2 2 4 4" xfId="30064" xr:uid="{B80CC1CC-3D53-4156-87D7-330D975264F4}"/>
    <cellStyle name="Note 10 2 2 5" xfId="9731" xr:uid="{00000000-0005-0000-0000-0000C55D0000}"/>
    <cellStyle name="Note 10 2 2 5 2" xfId="17689" xr:uid="{00000000-0005-0000-0000-0000C65D0000}"/>
    <cellStyle name="Note 10 2 2 5 2 2" xfId="41529" xr:uid="{790BC151-BD71-4D5E-9C0B-F8FFAC064CDA}"/>
    <cellStyle name="Note 10 2 2 5 3" xfId="25633" xr:uid="{00000000-0005-0000-0000-0000C75D0000}"/>
    <cellStyle name="Note 10 2 2 5 3 2" xfId="49465" xr:uid="{EE003F27-D5CA-461A-A135-1D28C89BAAC3}"/>
    <cellStyle name="Note 10 2 2 5 4" xfId="33588" xr:uid="{E1830BCB-4DCE-436E-80A0-510C53C3B0EB}"/>
    <cellStyle name="Note 10 2 2 6" xfId="10627" xr:uid="{00000000-0005-0000-0000-0000C85D0000}"/>
    <cellStyle name="Note 10 2 2 6 2" xfId="34476" xr:uid="{3B65DE2A-1FFD-402F-BB87-AC17A31ED759}"/>
    <cellStyle name="Note 10 2 2 7" xfId="18582" xr:uid="{00000000-0005-0000-0000-0000C95D0000}"/>
    <cellStyle name="Note 10 2 2 7 2" xfId="42414" xr:uid="{D4819311-77D5-444A-BB1F-C305257218BA}"/>
    <cellStyle name="Note 10 2 2 8" xfId="26534" xr:uid="{604B63B3-530A-4DBF-B4FD-DA25C4C5A0DB}"/>
    <cellStyle name="Note 10 2 2_Exh G" xfId="3563" xr:uid="{00000000-0005-0000-0000-0000CA5D0000}"/>
    <cellStyle name="Note 10 2 3" xfId="1710" xr:uid="{00000000-0005-0000-0000-0000CB5D0000}"/>
    <cellStyle name="Note 10 2 3 2" xfId="5237" xr:uid="{00000000-0005-0000-0000-0000CC5D0000}"/>
    <cellStyle name="Note 10 2 3 2 2" xfId="8828" xr:uid="{00000000-0005-0000-0000-0000CD5D0000}"/>
    <cellStyle name="Note 10 2 3 2 2 2" xfId="16798" xr:uid="{00000000-0005-0000-0000-0000CE5D0000}"/>
    <cellStyle name="Note 10 2 3 2 2 2 2" xfId="40640" xr:uid="{AECF2571-4702-4DF6-A2EF-0ACBA272634E}"/>
    <cellStyle name="Note 10 2 3 2 2 3" xfId="24744" xr:uid="{00000000-0005-0000-0000-0000CF5D0000}"/>
    <cellStyle name="Note 10 2 3 2 2 3 2" xfId="48576" xr:uid="{7170AEAA-D595-4CC4-84FE-39B613A4EA58}"/>
    <cellStyle name="Note 10 2 3 2 2 4" xfId="32699" xr:uid="{B66DD962-6549-4671-BC36-AB5B41009528}"/>
    <cellStyle name="Note 10 2 3 2 3" xfId="13260" xr:uid="{00000000-0005-0000-0000-0000D05D0000}"/>
    <cellStyle name="Note 10 2 3 2 3 2" xfId="37109" xr:uid="{D1E043B4-7A14-4DA3-BB2D-23BF792020BC}"/>
    <cellStyle name="Note 10 2 3 2 4" xfId="21215" xr:uid="{00000000-0005-0000-0000-0000D15D0000}"/>
    <cellStyle name="Note 10 2 3 2 4 2" xfId="45047" xr:uid="{64B9102B-C9D9-4959-B1F9-4FB09BFD5982}"/>
    <cellStyle name="Note 10 2 3 2 5" xfId="29168" xr:uid="{6B15E573-6DBA-4273-AC6D-513A3CEB7316}"/>
    <cellStyle name="Note 10 2 3 3" xfId="7069" xr:uid="{00000000-0005-0000-0000-0000D25D0000}"/>
    <cellStyle name="Note 10 2 3 3 2" xfId="15040" xr:uid="{00000000-0005-0000-0000-0000D35D0000}"/>
    <cellStyle name="Note 10 2 3 3 2 2" xfId="38882" xr:uid="{30400AC1-BA81-41B2-8E4A-04FEBF2C94CE}"/>
    <cellStyle name="Note 10 2 3 3 3" xfId="22987" xr:uid="{00000000-0005-0000-0000-0000D45D0000}"/>
    <cellStyle name="Note 10 2 3 3 3 2" xfId="46819" xr:uid="{16D542E3-18E8-4FF4-BAC0-9F8BDFD36C9F}"/>
    <cellStyle name="Note 10 2 3 3 4" xfId="30941" xr:uid="{EBAD7FB9-EC9D-48A2-862E-423895629125}"/>
    <cellStyle name="Note 10 2 3 4" xfId="11504" xr:uid="{00000000-0005-0000-0000-0000D55D0000}"/>
    <cellStyle name="Note 10 2 3 4 2" xfId="35353" xr:uid="{9DACD60E-4DFC-4A08-B6C5-752CA815F355}"/>
    <cellStyle name="Note 10 2 3 5" xfId="19459" xr:uid="{00000000-0005-0000-0000-0000D65D0000}"/>
    <cellStyle name="Note 10 2 3 5 2" xfId="43291" xr:uid="{F5BE6D8A-6469-4011-8B94-812BA3ACDFA3}"/>
    <cellStyle name="Note 10 2 3 6" xfId="27411" xr:uid="{D94C5ED7-F1C3-45ED-9B71-56BF11845C8E}"/>
    <cellStyle name="Note 10 2 3_Exh G" xfId="3565" xr:uid="{00000000-0005-0000-0000-0000D75D0000}"/>
    <cellStyle name="Note 10 2 4" xfId="4358" xr:uid="{00000000-0005-0000-0000-0000D85D0000}"/>
    <cellStyle name="Note 10 2 4 2" xfId="7950" xr:uid="{00000000-0005-0000-0000-0000D95D0000}"/>
    <cellStyle name="Note 10 2 4 2 2" xfId="15920" xr:uid="{00000000-0005-0000-0000-0000DA5D0000}"/>
    <cellStyle name="Note 10 2 4 2 2 2" xfId="39762" xr:uid="{4F110200-1344-4CC1-B6B0-90D8D32FDD5E}"/>
    <cellStyle name="Note 10 2 4 2 3" xfId="23866" xr:uid="{00000000-0005-0000-0000-0000DB5D0000}"/>
    <cellStyle name="Note 10 2 4 2 3 2" xfId="47698" xr:uid="{A79C15A5-EDAA-4E52-BE1C-FEFF6A876CE9}"/>
    <cellStyle name="Note 10 2 4 2 4" xfId="31821" xr:uid="{0C0D29BF-A5B0-4F8C-8A06-CE6B2A9E31C9}"/>
    <cellStyle name="Note 10 2 4 3" xfId="12382" xr:uid="{00000000-0005-0000-0000-0000DC5D0000}"/>
    <cellStyle name="Note 10 2 4 3 2" xfId="36231" xr:uid="{85EE77F7-BDF3-4481-9900-03FEB4B4F16E}"/>
    <cellStyle name="Note 10 2 4 4" xfId="20337" xr:uid="{00000000-0005-0000-0000-0000DD5D0000}"/>
    <cellStyle name="Note 10 2 4 4 2" xfId="44169" xr:uid="{9A033D24-F1FF-4C75-B651-8948DEDBF6B2}"/>
    <cellStyle name="Note 10 2 4 5" xfId="28290" xr:uid="{6F07A4A5-0756-4599-B3B2-86C5F8537AD6}"/>
    <cellStyle name="Note 10 2 5" xfId="6178" xr:uid="{00000000-0005-0000-0000-0000DE5D0000}"/>
    <cellStyle name="Note 10 2 5 2" xfId="14161" xr:uid="{00000000-0005-0000-0000-0000DF5D0000}"/>
    <cellStyle name="Note 10 2 5 2 2" xfId="38004" xr:uid="{F1253C75-5245-4503-BDB1-BC6CEEEB4307}"/>
    <cellStyle name="Note 10 2 5 3" xfId="22109" xr:uid="{00000000-0005-0000-0000-0000E05D0000}"/>
    <cellStyle name="Note 10 2 5 3 2" xfId="45941" xr:uid="{ADE5950D-8FA5-42E6-8813-38A75EC1B9C0}"/>
    <cellStyle name="Note 10 2 5 4" xfId="30063" xr:uid="{AC49522A-A2B8-4915-AD11-06D9764F0BF7}"/>
    <cellStyle name="Note 10 2 6" xfId="9730" xr:uid="{00000000-0005-0000-0000-0000E15D0000}"/>
    <cellStyle name="Note 10 2 6 2" xfId="17688" xr:uid="{00000000-0005-0000-0000-0000E25D0000}"/>
    <cellStyle name="Note 10 2 6 2 2" xfId="41528" xr:uid="{DF21C95F-A3BC-40EA-8769-3C040ECB4C5A}"/>
    <cellStyle name="Note 10 2 6 3" xfId="25632" xr:uid="{00000000-0005-0000-0000-0000E35D0000}"/>
    <cellStyle name="Note 10 2 6 3 2" xfId="49464" xr:uid="{CB976899-6B2A-4B45-8832-F966E2B41DF0}"/>
    <cellStyle name="Note 10 2 6 4" xfId="33587" xr:uid="{BAD3A0B4-B02D-4031-96CE-0914B2AB62E6}"/>
    <cellStyle name="Note 10 2 7" xfId="10626" xr:uid="{00000000-0005-0000-0000-0000E45D0000}"/>
    <cellStyle name="Note 10 2 7 2" xfId="34475" xr:uid="{5534D42E-DFD7-4F51-92BB-EA9412653D36}"/>
    <cellStyle name="Note 10 2 8" xfId="18581" xr:uid="{00000000-0005-0000-0000-0000E55D0000}"/>
    <cellStyle name="Note 10 2 8 2" xfId="42413" xr:uid="{5935D558-1E13-4AA4-B0FD-F556A6B059C8}"/>
    <cellStyle name="Note 10 2 9" xfId="26533" xr:uid="{D8150226-1888-49F5-8072-3DD6685E0D8D}"/>
    <cellStyle name="Note 10 2_Exh G" xfId="3562" xr:uid="{00000000-0005-0000-0000-0000E65D0000}"/>
    <cellStyle name="Note 10 3" xfId="686" xr:uid="{00000000-0005-0000-0000-0000E75D0000}"/>
    <cellStyle name="Note 10 3 2" xfId="1712" xr:uid="{00000000-0005-0000-0000-0000E85D0000}"/>
    <cellStyle name="Note 10 3 2 2" xfId="5239" xr:uid="{00000000-0005-0000-0000-0000E95D0000}"/>
    <cellStyle name="Note 10 3 2 2 2" xfId="8830" xr:uid="{00000000-0005-0000-0000-0000EA5D0000}"/>
    <cellStyle name="Note 10 3 2 2 2 2" xfId="16800" xr:uid="{00000000-0005-0000-0000-0000EB5D0000}"/>
    <cellStyle name="Note 10 3 2 2 2 2 2" xfId="40642" xr:uid="{93DBB7C2-736C-4E9E-9C81-D3E19311595E}"/>
    <cellStyle name="Note 10 3 2 2 2 3" xfId="24746" xr:uid="{00000000-0005-0000-0000-0000EC5D0000}"/>
    <cellStyle name="Note 10 3 2 2 2 3 2" xfId="48578" xr:uid="{392EEE8B-61C8-4C2D-BCC4-FF7888D3BEDA}"/>
    <cellStyle name="Note 10 3 2 2 2 4" xfId="32701" xr:uid="{011A74FD-7FDE-477A-874A-CF23FB51AC22}"/>
    <cellStyle name="Note 10 3 2 2 3" xfId="13262" xr:uid="{00000000-0005-0000-0000-0000ED5D0000}"/>
    <cellStyle name="Note 10 3 2 2 3 2" xfId="37111" xr:uid="{69034329-2489-4359-9142-9DF556993DBE}"/>
    <cellStyle name="Note 10 3 2 2 4" xfId="21217" xr:uid="{00000000-0005-0000-0000-0000EE5D0000}"/>
    <cellStyle name="Note 10 3 2 2 4 2" xfId="45049" xr:uid="{3A81930D-535F-4EB4-8190-ECA107C3B620}"/>
    <cellStyle name="Note 10 3 2 2 5" xfId="29170" xr:uid="{F1E5A12B-F6C7-4249-B4BD-848F3E138502}"/>
    <cellStyle name="Note 10 3 2 3" xfId="7071" xr:uid="{00000000-0005-0000-0000-0000EF5D0000}"/>
    <cellStyle name="Note 10 3 2 3 2" xfId="15042" xr:uid="{00000000-0005-0000-0000-0000F05D0000}"/>
    <cellStyle name="Note 10 3 2 3 2 2" xfId="38884" xr:uid="{224A0B50-B012-4415-9E28-1A16982116CF}"/>
    <cellStyle name="Note 10 3 2 3 3" xfId="22989" xr:uid="{00000000-0005-0000-0000-0000F15D0000}"/>
    <cellStyle name="Note 10 3 2 3 3 2" xfId="46821" xr:uid="{E3EFBBAD-563D-4AD9-B352-2C4F6EDF9A5F}"/>
    <cellStyle name="Note 10 3 2 3 4" xfId="30943" xr:uid="{D66E009C-DC13-46F4-92C0-29386610090A}"/>
    <cellStyle name="Note 10 3 2 4" xfId="11506" xr:uid="{00000000-0005-0000-0000-0000F25D0000}"/>
    <cellStyle name="Note 10 3 2 4 2" xfId="35355" xr:uid="{E55282D2-5B29-4744-B33D-AA03AC064A11}"/>
    <cellStyle name="Note 10 3 2 5" xfId="19461" xr:uid="{00000000-0005-0000-0000-0000F35D0000}"/>
    <cellStyle name="Note 10 3 2 5 2" xfId="43293" xr:uid="{D733343C-7757-4119-809F-8DBF5EC4DDFA}"/>
    <cellStyle name="Note 10 3 2 6" xfId="27413" xr:uid="{0C2559BA-7214-432C-AF27-1B0FAFDD84B2}"/>
    <cellStyle name="Note 10 3 2_Exh G" xfId="3567" xr:uid="{00000000-0005-0000-0000-0000F45D0000}"/>
    <cellStyle name="Note 10 3 3" xfId="4360" xr:uid="{00000000-0005-0000-0000-0000F55D0000}"/>
    <cellStyle name="Note 10 3 3 2" xfId="7952" xr:uid="{00000000-0005-0000-0000-0000F65D0000}"/>
    <cellStyle name="Note 10 3 3 2 2" xfId="15922" xr:uid="{00000000-0005-0000-0000-0000F75D0000}"/>
    <cellStyle name="Note 10 3 3 2 2 2" xfId="39764" xr:uid="{CC89AA70-42D8-4070-8618-1B8B222BD180}"/>
    <cellStyle name="Note 10 3 3 2 3" xfId="23868" xr:uid="{00000000-0005-0000-0000-0000F85D0000}"/>
    <cellStyle name="Note 10 3 3 2 3 2" xfId="47700" xr:uid="{0232DCDE-5857-4B1B-9870-01C54E9C0F51}"/>
    <cellStyle name="Note 10 3 3 2 4" xfId="31823" xr:uid="{37EFB53C-A027-44CA-8523-9CA9C0ED661C}"/>
    <cellStyle name="Note 10 3 3 3" xfId="12384" xr:uid="{00000000-0005-0000-0000-0000F95D0000}"/>
    <cellStyle name="Note 10 3 3 3 2" xfId="36233" xr:uid="{9AED8CC0-E5AE-4AE6-B4A7-7D526778334B}"/>
    <cellStyle name="Note 10 3 3 4" xfId="20339" xr:uid="{00000000-0005-0000-0000-0000FA5D0000}"/>
    <cellStyle name="Note 10 3 3 4 2" xfId="44171" xr:uid="{025894E3-3D38-410A-83A4-D6FDCEE1242B}"/>
    <cellStyle name="Note 10 3 3 5" xfId="28292" xr:uid="{DA7D1939-FFF5-4389-93DF-C3C8610B82B8}"/>
    <cellStyle name="Note 10 3 4" xfId="6180" xr:uid="{00000000-0005-0000-0000-0000FB5D0000}"/>
    <cellStyle name="Note 10 3 4 2" xfId="14163" xr:uid="{00000000-0005-0000-0000-0000FC5D0000}"/>
    <cellStyle name="Note 10 3 4 2 2" xfId="38006" xr:uid="{A643D03E-5FC4-441A-A85A-EF1F6CDAD45F}"/>
    <cellStyle name="Note 10 3 4 3" xfId="22111" xr:uid="{00000000-0005-0000-0000-0000FD5D0000}"/>
    <cellStyle name="Note 10 3 4 3 2" xfId="45943" xr:uid="{A7F91B9A-0E70-4741-B4FF-1CCC6A375AFF}"/>
    <cellStyle name="Note 10 3 4 4" xfId="30065" xr:uid="{95D62A08-2014-4611-90B7-8B39B111F960}"/>
    <cellStyle name="Note 10 3 5" xfId="9732" xr:uid="{00000000-0005-0000-0000-0000FE5D0000}"/>
    <cellStyle name="Note 10 3 5 2" xfId="17690" xr:uid="{00000000-0005-0000-0000-0000FF5D0000}"/>
    <cellStyle name="Note 10 3 5 2 2" xfId="41530" xr:uid="{8750041F-793E-48C9-B3FE-A9764967ABFA}"/>
    <cellStyle name="Note 10 3 5 3" xfId="25634" xr:uid="{00000000-0005-0000-0000-0000005E0000}"/>
    <cellStyle name="Note 10 3 5 3 2" xfId="49466" xr:uid="{B310BA77-288C-43B5-9DD5-F2AD1D778661}"/>
    <cellStyle name="Note 10 3 5 4" xfId="33589" xr:uid="{27C9862E-260D-4A62-A183-DA1525210B1F}"/>
    <cellStyle name="Note 10 3 6" xfId="10628" xr:uid="{00000000-0005-0000-0000-0000015E0000}"/>
    <cellStyle name="Note 10 3 6 2" xfId="34477" xr:uid="{7D4C2C73-2426-4D6D-B815-59EA9CB64D7D}"/>
    <cellStyle name="Note 10 3 7" xfId="18583" xr:uid="{00000000-0005-0000-0000-0000025E0000}"/>
    <cellStyle name="Note 10 3 7 2" xfId="42415" xr:uid="{D4EA7FB1-10C0-45AA-8DE1-2D0E85DCECDD}"/>
    <cellStyle name="Note 10 3 8" xfId="26535" xr:uid="{9D371C36-E494-410E-8836-E3F845FB80A0}"/>
    <cellStyle name="Note 10 3_Exh G" xfId="3566" xr:uid="{00000000-0005-0000-0000-0000035E0000}"/>
    <cellStyle name="Note 10 4" xfId="1026" xr:uid="{00000000-0005-0000-0000-0000045E0000}"/>
    <cellStyle name="Note 10 4 2" xfId="6391" xr:uid="{00000000-0005-0000-0000-0000055E0000}"/>
    <cellStyle name="Note 10 5" xfId="1709" xr:uid="{00000000-0005-0000-0000-0000065E0000}"/>
    <cellStyle name="Note 10 5 2" xfId="5236" xr:uid="{00000000-0005-0000-0000-0000075E0000}"/>
    <cellStyle name="Note 10 5 2 2" xfId="8827" xr:uid="{00000000-0005-0000-0000-0000085E0000}"/>
    <cellStyle name="Note 10 5 2 2 2" xfId="16797" xr:uid="{00000000-0005-0000-0000-0000095E0000}"/>
    <cellStyle name="Note 10 5 2 2 2 2" xfId="40639" xr:uid="{0EB4C82E-4FA2-45CE-9425-30E9AD21FF89}"/>
    <cellStyle name="Note 10 5 2 2 3" xfId="24743" xr:uid="{00000000-0005-0000-0000-00000A5E0000}"/>
    <cellStyle name="Note 10 5 2 2 3 2" xfId="48575" xr:uid="{8CB982B9-8466-4353-BF84-42EACF615DA6}"/>
    <cellStyle name="Note 10 5 2 2 4" xfId="32698" xr:uid="{098B5D08-4649-4433-9464-A83FCBD13E58}"/>
    <cellStyle name="Note 10 5 2 3" xfId="13259" xr:uid="{00000000-0005-0000-0000-00000B5E0000}"/>
    <cellStyle name="Note 10 5 2 3 2" xfId="37108" xr:uid="{5D778B4B-B038-4918-AA8C-4AF0A2E5C182}"/>
    <cellStyle name="Note 10 5 2 4" xfId="21214" xr:uid="{00000000-0005-0000-0000-00000C5E0000}"/>
    <cellStyle name="Note 10 5 2 4 2" xfId="45046" xr:uid="{B341AB2C-A733-434C-95B0-7E8B2A015E1A}"/>
    <cellStyle name="Note 10 5 2 5" xfId="29167" xr:uid="{3D3A213F-01A1-4813-9CED-FF5F2D0BCAFB}"/>
    <cellStyle name="Note 10 5 3" xfId="7068" xr:uid="{00000000-0005-0000-0000-00000D5E0000}"/>
    <cellStyle name="Note 10 5 3 2" xfId="15039" xr:uid="{00000000-0005-0000-0000-00000E5E0000}"/>
    <cellStyle name="Note 10 5 3 2 2" xfId="38881" xr:uid="{217EB7AF-77A3-4FE4-BEE7-607FAAB05378}"/>
    <cellStyle name="Note 10 5 3 3" xfId="22986" xr:uid="{00000000-0005-0000-0000-00000F5E0000}"/>
    <cellStyle name="Note 10 5 3 3 2" xfId="46818" xr:uid="{EFDFFC0E-ADDB-4431-B90F-7E3E05D9DCAC}"/>
    <cellStyle name="Note 10 5 3 4" xfId="30940" xr:uid="{B06A96AF-C34C-4DB5-BA7F-04B7AEAB27E9}"/>
    <cellStyle name="Note 10 5 4" xfId="11503" xr:uid="{00000000-0005-0000-0000-0000105E0000}"/>
    <cellStyle name="Note 10 5 4 2" xfId="35352" xr:uid="{4C74F94D-949F-4830-8C7C-E58F7C477BA9}"/>
    <cellStyle name="Note 10 5 5" xfId="19458" xr:uid="{00000000-0005-0000-0000-0000115E0000}"/>
    <cellStyle name="Note 10 5 5 2" xfId="43290" xr:uid="{8DFB658E-6F39-4179-828D-321DAAC6C7A5}"/>
    <cellStyle name="Note 10 5 6" xfId="27410" xr:uid="{D29929F4-5463-4C43-8809-4CA1A6E5B562}"/>
    <cellStyle name="Note 10 5_Exh G" xfId="3568" xr:uid="{00000000-0005-0000-0000-0000125E0000}"/>
    <cellStyle name="Note 10 6" xfId="4357" xr:uid="{00000000-0005-0000-0000-0000135E0000}"/>
    <cellStyle name="Note 10 6 2" xfId="7949" xr:uid="{00000000-0005-0000-0000-0000145E0000}"/>
    <cellStyle name="Note 10 6 2 2" xfId="15919" xr:uid="{00000000-0005-0000-0000-0000155E0000}"/>
    <cellStyle name="Note 10 6 2 2 2" xfId="39761" xr:uid="{44626A73-64C5-4579-989B-A441E27B5420}"/>
    <cellStyle name="Note 10 6 2 3" xfId="23865" xr:uid="{00000000-0005-0000-0000-0000165E0000}"/>
    <cellStyle name="Note 10 6 2 3 2" xfId="47697" xr:uid="{58DD46FB-6A5F-4438-B8EB-B57574F87660}"/>
    <cellStyle name="Note 10 6 2 4" xfId="31820" xr:uid="{4B658873-0A6D-49C8-ADBB-2EBB9603BF9B}"/>
    <cellStyle name="Note 10 6 3" xfId="12381" xr:uid="{00000000-0005-0000-0000-0000175E0000}"/>
    <cellStyle name="Note 10 6 3 2" xfId="36230" xr:uid="{9A543664-3487-4C00-83E0-828FF7E9E830}"/>
    <cellStyle name="Note 10 6 4" xfId="20336" xr:uid="{00000000-0005-0000-0000-0000185E0000}"/>
    <cellStyle name="Note 10 6 4 2" xfId="44168" xr:uid="{D253D1C5-D8DD-4986-83BF-9F1BE1558FA2}"/>
    <cellStyle name="Note 10 6 5" xfId="28289" xr:uid="{BC437D1C-2E5D-4585-BBB5-12A00C93DCA4}"/>
    <cellStyle name="Note 10 7" xfId="6177" xr:uid="{00000000-0005-0000-0000-0000195E0000}"/>
    <cellStyle name="Note 10 7 2" xfId="14160" xr:uid="{00000000-0005-0000-0000-00001A5E0000}"/>
    <cellStyle name="Note 10 7 2 2" xfId="38003" xr:uid="{EE21B758-7E4E-48BB-9F9F-C8A5CB187B74}"/>
    <cellStyle name="Note 10 7 3" xfId="22108" xr:uid="{00000000-0005-0000-0000-00001B5E0000}"/>
    <cellStyle name="Note 10 7 3 2" xfId="45940" xr:uid="{23C9551B-D962-49FE-A99E-4CE1C494B958}"/>
    <cellStyle name="Note 10 7 4" xfId="30062" xr:uid="{33469D56-9521-4434-BBEC-9FB2814EA7B8}"/>
    <cellStyle name="Note 10 8" xfId="9729" xr:uid="{00000000-0005-0000-0000-00001C5E0000}"/>
    <cellStyle name="Note 10 8 2" xfId="17687" xr:uid="{00000000-0005-0000-0000-00001D5E0000}"/>
    <cellStyle name="Note 10 8 2 2" xfId="41527" xr:uid="{E0334137-843F-482A-9811-782366288129}"/>
    <cellStyle name="Note 10 8 3" xfId="25631" xr:uid="{00000000-0005-0000-0000-00001E5E0000}"/>
    <cellStyle name="Note 10 8 3 2" xfId="49463" xr:uid="{84208654-A65D-4FDA-8547-623EBA2A61DF}"/>
    <cellStyle name="Note 10 8 4" xfId="33586" xr:uid="{213201B0-173F-4736-BB7C-8118C497C286}"/>
    <cellStyle name="Note 10 9" xfId="10625" xr:uid="{00000000-0005-0000-0000-00001F5E0000}"/>
    <cellStyle name="Note 10 9 2" xfId="34474" xr:uid="{6E262670-C577-4CBA-8951-7C95F86A37D3}"/>
    <cellStyle name="Note 10_Exh G" xfId="3561" xr:uid="{00000000-0005-0000-0000-0000205E0000}"/>
    <cellStyle name="Note 11" xfId="687" xr:uid="{00000000-0005-0000-0000-0000215E0000}"/>
    <cellStyle name="Note 11 10" xfId="26536" xr:uid="{2772E2A4-028E-42C3-BE92-E4453FA13237}"/>
    <cellStyle name="Note 11 2" xfId="688" xr:uid="{00000000-0005-0000-0000-0000225E0000}"/>
    <cellStyle name="Note 11 2 2" xfId="689" xr:uid="{00000000-0005-0000-0000-0000235E0000}"/>
    <cellStyle name="Note 11 2 2 2" xfId="1715" xr:uid="{00000000-0005-0000-0000-0000245E0000}"/>
    <cellStyle name="Note 11 2 2 2 2" xfId="5242" xr:uid="{00000000-0005-0000-0000-0000255E0000}"/>
    <cellStyle name="Note 11 2 2 2 2 2" xfId="8833" xr:uid="{00000000-0005-0000-0000-0000265E0000}"/>
    <cellStyle name="Note 11 2 2 2 2 2 2" xfId="16803" xr:uid="{00000000-0005-0000-0000-0000275E0000}"/>
    <cellStyle name="Note 11 2 2 2 2 2 2 2" xfId="40645" xr:uid="{E64B8A8F-9100-4BF8-89BE-6F65E22E80F7}"/>
    <cellStyle name="Note 11 2 2 2 2 2 3" xfId="24749" xr:uid="{00000000-0005-0000-0000-0000285E0000}"/>
    <cellStyle name="Note 11 2 2 2 2 2 3 2" xfId="48581" xr:uid="{BAE8DCB4-B8B1-4E4B-9895-8BF9DD0BE734}"/>
    <cellStyle name="Note 11 2 2 2 2 2 4" xfId="32704" xr:uid="{D7E1F3BC-8878-4D05-A59E-53AF9C150036}"/>
    <cellStyle name="Note 11 2 2 2 2 3" xfId="13265" xr:uid="{00000000-0005-0000-0000-0000295E0000}"/>
    <cellStyle name="Note 11 2 2 2 2 3 2" xfId="37114" xr:uid="{4DA85904-3966-4010-B196-33C2C4DFFD85}"/>
    <cellStyle name="Note 11 2 2 2 2 4" xfId="21220" xr:uid="{00000000-0005-0000-0000-00002A5E0000}"/>
    <cellStyle name="Note 11 2 2 2 2 4 2" xfId="45052" xr:uid="{488C2674-FAFC-4AC5-B24F-F3A41C800CCD}"/>
    <cellStyle name="Note 11 2 2 2 2 5" xfId="29173" xr:uid="{780E5C32-16B6-42B1-8D4A-28A9150DB98B}"/>
    <cellStyle name="Note 11 2 2 2 3" xfId="7074" xr:uid="{00000000-0005-0000-0000-00002B5E0000}"/>
    <cellStyle name="Note 11 2 2 2 3 2" xfId="15045" xr:uid="{00000000-0005-0000-0000-00002C5E0000}"/>
    <cellStyle name="Note 11 2 2 2 3 2 2" xfId="38887" xr:uid="{4BF09063-B5E6-4CBB-AA7B-9E9E1A0FEA83}"/>
    <cellStyle name="Note 11 2 2 2 3 3" xfId="22992" xr:uid="{00000000-0005-0000-0000-00002D5E0000}"/>
    <cellStyle name="Note 11 2 2 2 3 3 2" xfId="46824" xr:uid="{B84ACC48-780B-4B2D-9F29-4044C536D8D4}"/>
    <cellStyle name="Note 11 2 2 2 3 4" xfId="30946" xr:uid="{4414CAF7-A1A9-4E0D-B120-D038FE1A4FB1}"/>
    <cellStyle name="Note 11 2 2 2 4" xfId="11509" xr:uid="{00000000-0005-0000-0000-00002E5E0000}"/>
    <cellStyle name="Note 11 2 2 2 4 2" xfId="35358" xr:uid="{53C8782C-43FC-4971-A039-7A4A8BC70ABC}"/>
    <cellStyle name="Note 11 2 2 2 5" xfId="19464" xr:uid="{00000000-0005-0000-0000-00002F5E0000}"/>
    <cellStyle name="Note 11 2 2 2 5 2" xfId="43296" xr:uid="{CAACA4DB-F97A-406E-BAE0-2B1C68075655}"/>
    <cellStyle name="Note 11 2 2 2 6" xfId="27416" xr:uid="{36374237-41AC-455A-899C-8A9F201031A9}"/>
    <cellStyle name="Note 11 2 2 2_Exh G" xfId="3572" xr:uid="{00000000-0005-0000-0000-0000305E0000}"/>
    <cellStyle name="Note 11 2 2 3" xfId="4363" xr:uid="{00000000-0005-0000-0000-0000315E0000}"/>
    <cellStyle name="Note 11 2 2 3 2" xfId="7955" xr:uid="{00000000-0005-0000-0000-0000325E0000}"/>
    <cellStyle name="Note 11 2 2 3 2 2" xfId="15925" xr:uid="{00000000-0005-0000-0000-0000335E0000}"/>
    <cellStyle name="Note 11 2 2 3 2 2 2" xfId="39767" xr:uid="{742B7DF5-F47B-42CC-B488-1FB540560633}"/>
    <cellStyle name="Note 11 2 2 3 2 3" xfId="23871" xr:uid="{00000000-0005-0000-0000-0000345E0000}"/>
    <cellStyle name="Note 11 2 2 3 2 3 2" xfId="47703" xr:uid="{076DEEEA-608A-47E5-903C-5F81C048F432}"/>
    <cellStyle name="Note 11 2 2 3 2 4" xfId="31826" xr:uid="{77205B89-68C3-4FF8-B538-8E6114AE4714}"/>
    <cellStyle name="Note 11 2 2 3 3" xfId="12387" xr:uid="{00000000-0005-0000-0000-0000355E0000}"/>
    <cellStyle name="Note 11 2 2 3 3 2" xfId="36236" xr:uid="{E6DC345C-4258-4D78-9ED8-EFC3419692AD}"/>
    <cellStyle name="Note 11 2 2 3 4" xfId="20342" xr:uid="{00000000-0005-0000-0000-0000365E0000}"/>
    <cellStyle name="Note 11 2 2 3 4 2" xfId="44174" xr:uid="{DF973D62-870A-4327-A22E-616C1D125621}"/>
    <cellStyle name="Note 11 2 2 3 5" xfId="28295" xr:uid="{BB86783B-1379-430A-9AF0-5F5F080CCAD8}"/>
    <cellStyle name="Note 11 2 2 4" xfId="6183" xr:uid="{00000000-0005-0000-0000-0000375E0000}"/>
    <cellStyle name="Note 11 2 2 4 2" xfId="14166" xr:uid="{00000000-0005-0000-0000-0000385E0000}"/>
    <cellStyle name="Note 11 2 2 4 2 2" xfId="38009" xr:uid="{71E37706-4A01-4F16-95AC-97E6FC09F5CB}"/>
    <cellStyle name="Note 11 2 2 4 3" xfId="22114" xr:uid="{00000000-0005-0000-0000-0000395E0000}"/>
    <cellStyle name="Note 11 2 2 4 3 2" xfId="45946" xr:uid="{FE5A30F3-EA59-432B-9892-87CB77DA17E5}"/>
    <cellStyle name="Note 11 2 2 4 4" xfId="30068" xr:uid="{9A7F59CC-414A-4587-BCBF-CD5E99698B5A}"/>
    <cellStyle name="Note 11 2 2 5" xfId="9735" xr:uid="{00000000-0005-0000-0000-00003A5E0000}"/>
    <cellStyle name="Note 11 2 2 5 2" xfId="17693" xr:uid="{00000000-0005-0000-0000-00003B5E0000}"/>
    <cellStyle name="Note 11 2 2 5 2 2" xfId="41533" xr:uid="{5C7955AF-D70C-4A20-A1E7-EB65364D8DDA}"/>
    <cellStyle name="Note 11 2 2 5 3" xfId="25637" xr:uid="{00000000-0005-0000-0000-00003C5E0000}"/>
    <cellStyle name="Note 11 2 2 5 3 2" xfId="49469" xr:uid="{25F666A9-3EB1-4A44-BCFC-436A938BBAE9}"/>
    <cellStyle name="Note 11 2 2 5 4" xfId="33592" xr:uid="{AD5B7E39-7556-4729-8431-EC4B79977E90}"/>
    <cellStyle name="Note 11 2 2 6" xfId="10631" xr:uid="{00000000-0005-0000-0000-00003D5E0000}"/>
    <cellStyle name="Note 11 2 2 6 2" xfId="34480" xr:uid="{B55FE4FA-AA92-4DFA-B588-62CE2051DE98}"/>
    <cellStyle name="Note 11 2 2 7" xfId="18586" xr:uid="{00000000-0005-0000-0000-00003E5E0000}"/>
    <cellStyle name="Note 11 2 2 7 2" xfId="42418" xr:uid="{D3823AC8-F45B-46EC-AEA9-C434A2D9C54B}"/>
    <cellStyle name="Note 11 2 2 8" xfId="26538" xr:uid="{7C11E179-0326-41BA-8E59-B0EE4BE74E71}"/>
    <cellStyle name="Note 11 2 2_Exh G" xfId="3571" xr:uid="{00000000-0005-0000-0000-00003F5E0000}"/>
    <cellStyle name="Note 11 2 3" xfId="1714" xr:uid="{00000000-0005-0000-0000-0000405E0000}"/>
    <cellStyle name="Note 11 2 3 2" xfId="5241" xr:uid="{00000000-0005-0000-0000-0000415E0000}"/>
    <cellStyle name="Note 11 2 3 2 2" xfId="8832" xr:uid="{00000000-0005-0000-0000-0000425E0000}"/>
    <cellStyle name="Note 11 2 3 2 2 2" xfId="16802" xr:uid="{00000000-0005-0000-0000-0000435E0000}"/>
    <cellStyle name="Note 11 2 3 2 2 2 2" xfId="40644" xr:uid="{025F76BF-F999-44B6-A801-0A7E99E6251E}"/>
    <cellStyle name="Note 11 2 3 2 2 3" xfId="24748" xr:uid="{00000000-0005-0000-0000-0000445E0000}"/>
    <cellStyle name="Note 11 2 3 2 2 3 2" xfId="48580" xr:uid="{0718A8FA-8C4A-484C-99E7-8B9B5811DE8C}"/>
    <cellStyle name="Note 11 2 3 2 2 4" xfId="32703" xr:uid="{1FE62F41-FC29-47E4-8AA8-8AE1C66DF1B3}"/>
    <cellStyle name="Note 11 2 3 2 3" xfId="13264" xr:uid="{00000000-0005-0000-0000-0000455E0000}"/>
    <cellStyle name="Note 11 2 3 2 3 2" xfId="37113" xr:uid="{1AAC3B41-0100-4DE7-9542-B0E41C2EC5D5}"/>
    <cellStyle name="Note 11 2 3 2 4" xfId="21219" xr:uid="{00000000-0005-0000-0000-0000465E0000}"/>
    <cellStyle name="Note 11 2 3 2 4 2" xfId="45051" xr:uid="{7789D6BD-B51B-42B6-B4E2-24F05EDA8F15}"/>
    <cellStyle name="Note 11 2 3 2 5" xfId="29172" xr:uid="{CF8D4F40-533F-4304-BE83-223F55AA09DD}"/>
    <cellStyle name="Note 11 2 3 3" xfId="7073" xr:uid="{00000000-0005-0000-0000-0000475E0000}"/>
    <cellStyle name="Note 11 2 3 3 2" xfId="15044" xr:uid="{00000000-0005-0000-0000-0000485E0000}"/>
    <cellStyle name="Note 11 2 3 3 2 2" xfId="38886" xr:uid="{D5D3B0CD-55B2-4215-8294-92058955D043}"/>
    <cellStyle name="Note 11 2 3 3 3" xfId="22991" xr:uid="{00000000-0005-0000-0000-0000495E0000}"/>
    <cellStyle name="Note 11 2 3 3 3 2" xfId="46823" xr:uid="{4E9670F2-33D0-4F2D-86E6-A759D21B6C78}"/>
    <cellStyle name="Note 11 2 3 3 4" xfId="30945" xr:uid="{BAD69133-D2B4-46F9-8F1B-FF3998F8D944}"/>
    <cellStyle name="Note 11 2 3 4" xfId="11508" xr:uid="{00000000-0005-0000-0000-00004A5E0000}"/>
    <cellStyle name="Note 11 2 3 4 2" xfId="35357" xr:uid="{D5F7C4A3-21D3-4D97-BFAE-B610718578C8}"/>
    <cellStyle name="Note 11 2 3 5" xfId="19463" xr:uid="{00000000-0005-0000-0000-00004B5E0000}"/>
    <cellStyle name="Note 11 2 3 5 2" xfId="43295" xr:uid="{D7D6DC8D-6753-4F34-8AF8-F10DC08DE617}"/>
    <cellStyle name="Note 11 2 3 6" xfId="27415" xr:uid="{ECA9DFD3-4499-4248-A921-C4565295AC3A}"/>
    <cellStyle name="Note 11 2 3_Exh G" xfId="3573" xr:uid="{00000000-0005-0000-0000-00004C5E0000}"/>
    <cellStyle name="Note 11 2 4" xfId="4362" xr:uid="{00000000-0005-0000-0000-00004D5E0000}"/>
    <cellStyle name="Note 11 2 4 2" xfId="7954" xr:uid="{00000000-0005-0000-0000-00004E5E0000}"/>
    <cellStyle name="Note 11 2 4 2 2" xfId="15924" xr:uid="{00000000-0005-0000-0000-00004F5E0000}"/>
    <cellStyle name="Note 11 2 4 2 2 2" xfId="39766" xr:uid="{8B579F00-7B9C-4880-B7BA-5D1F0BC7DA0D}"/>
    <cellStyle name="Note 11 2 4 2 3" xfId="23870" xr:uid="{00000000-0005-0000-0000-0000505E0000}"/>
    <cellStyle name="Note 11 2 4 2 3 2" xfId="47702" xr:uid="{C3BC14DB-594A-4D89-8DBA-C3724E35B314}"/>
    <cellStyle name="Note 11 2 4 2 4" xfId="31825" xr:uid="{59216E86-0CBE-4D91-8916-FD93F81F8623}"/>
    <cellStyle name="Note 11 2 4 3" xfId="12386" xr:uid="{00000000-0005-0000-0000-0000515E0000}"/>
    <cellStyle name="Note 11 2 4 3 2" xfId="36235" xr:uid="{CA8FB3C2-7340-40CF-B803-A348EB4FA531}"/>
    <cellStyle name="Note 11 2 4 4" xfId="20341" xr:uid="{00000000-0005-0000-0000-0000525E0000}"/>
    <cellStyle name="Note 11 2 4 4 2" xfId="44173" xr:uid="{F5870B9C-D036-4A50-8BD1-3D1E95EAF3A4}"/>
    <cellStyle name="Note 11 2 4 5" xfId="28294" xr:uid="{D2E4DC05-7F96-47DB-AD4D-1D45C4DEB6D5}"/>
    <cellStyle name="Note 11 2 5" xfId="6182" xr:uid="{00000000-0005-0000-0000-0000535E0000}"/>
    <cellStyle name="Note 11 2 5 2" xfId="14165" xr:uid="{00000000-0005-0000-0000-0000545E0000}"/>
    <cellStyle name="Note 11 2 5 2 2" xfId="38008" xr:uid="{6F7EE94E-9DE9-402B-90CC-4F742436D4AC}"/>
    <cellStyle name="Note 11 2 5 3" xfId="22113" xr:uid="{00000000-0005-0000-0000-0000555E0000}"/>
    <cellStyle name="Note 11 2 5 3 2" xfId="45945" xr:uid="{C10D8241-01C1-478B-9D8A-1E653986D7DC}"/>
    <cellStyle name="Note 11 2 5 4" xfId="30067" xr:uid="{1C9D47D1-5B22-4C14-A803-3AD206602164}"/>
    <cellStyle name="Note 11 2 6" xfId="9734" xr:uid="{00000000-0005-0000-0000-0000565E0000}"/>
    <cellStyle name="Note 11 2 6 2" xfId="17692" xr:uid="{00000000-0005-0000-0000-0000575E0000}"/>
    <cellStyle name="Note 11 2 6 2 2" xfId="41532" xr:uid="{C3C82148-8518-437B-B7C4-338BAB1696C8}"/>
    <cellStyle name="Note 11 2 6 3" xfId="25636" xr:uid="{00000000-0005-0000-0000-0000585E0000}"/>
    <cellStyle name="Note 11 2 6 3 2" xfId="49468" xr:uid="{DA17696B-34FC-42DB-95FA-402818CB7A1E}"/>
    <cellStyle name="Note 11 2 6 4" xfId="33591" xr:uid="{46CA2D41-52D7-4FA5-AF5C-6B3738D758E0}"/>
    <cellStyle name="Note 11 2 7" xfId="10630" xr:uid="{00000000-0005-0000-0000-0000595E0000}"/>
    <cellStyle name="Note 11 2 7 2" xfId="34479" xr:uid="{B5433961-EDF8-4CD2-8967-22F4A86DE262}"/>
    <cellStyle name="Note 11 2 8" xfId="18585" xr:uid="{00000000-0005-0000-0000-00005A5E0000}"/>
    <cellStyle name="Note 11 2 8 2" xfId="42417" xr:uid="{A76BD0D9-8A1E-4AF2-A5F5-C5EBBC4630D4}"/>
    <cellStyle name="Note 11 2 9" xfId="26537" xr:uid="{A9215C11-F55C-4E7D-A21A-62B7B405FF84}"/>
    <cellStyle name="Note 11 2_Exh G" xfId="3570" xr:uid="{00000000-0005-0000-0000-00005B5E0000}"/>
    <cellStyle name="Note 11 3" xfId="690" xr:uid="{00000000-0005-0000-0000-00005C5E0000}"/>
    <cellStyle name="Note 11 3 2" xfId="1716" xr:uid="{00000000-0005-0000-0000-00005D5E0000}"/>
    <cellStyle name="Note 11 3 2 2" xfId="5243" xr:uid="{00000000-0005-0000-0000-00005E5E0000}"/>
    <cellStyle name="Note 11 3 2 2 2" xfId="8834" xr:uid="{00000000-0005-0000-0000-00005F5E0000}"/>
    <cellStyle name="Note 11 3 2 2 2 2" xfId="16804" xr:uid="{00000000-0005-0000-0000-0000605E0000}"/>
    <cellStyle name="Note 11 3 2 2 2 2 2" xfId="40646" xr:uid="{4EA1183B-10B6-41BD-959A-0E74600E8D29}"/>
    <cellStyle name="Note 11 3 2 2 2 3" xfId="24750" xr:uid="{00000000-0005-0000-0000-0000615E0000}"/>
    <cellStyle name="Note 11 3 2 2 2 3 2" xfId="48582" xr:uid="{22FD8824-A5E8-482A-A2E6-2B8832AAE110}"/>
    <cellStyle name="Note 11 3 2 2 2 4" xfId="32705" xr:uid="{5B2A147A-1263-43F9-8CE9-EA1E8C0C9E23}"/>
    <cellStyle name="Note 11 3 2 2 3" xfId="13266" xr:uid="{00000000-0005-0000-0000-0000625E0000}"/>
    <cellStyle name="Note 11 3 2 2 3 2" xfId="37115" xr:uid="{3BABF7DD-2AA5-40A5-9876-D938367C1496}"/>
    <cellStyle name="Note 11 3 2 2 4" xfId="21221" xr:uid="{00000000-0005-0000-0000-0000635E0000}"/>
    <cellStyle name="Note 11 3 2 2 4 2" xfId="45053" xr:uid="{3F9D67E8-5CA1-459E-BD4B-AE607C1003D8}"/>
    <cellStyle name="Note 11 3 2 2 5" xfId="29174" xr:uid="{3F9C4F71-D652-462E-9AD6-C75B838F26C3}"/>
    <cellStyle name="Note 11 3 2 3" xfId="7075" xr:uid="{00000000-0005-0000-0000-0000645E0000}"/>
    <cellStyle name="Note 11 3 2 3 2" xfId="15046" xr:uid="{00000000-0005-0000-0000-0000655E0000}"/>
    <cellStyle name="Note 11 3 2 3 2 2" xfId="38888" xr:uid="{2A0EEEB0-043D-4436-8F2F-DCDDF675B593}"/>
    <cellStyle name="Note 11 3 2 3 3" xfId="22993" xr:uid="{00000000-0005-0000-0000-0000665E0000}"/>
    <cellStyle name="Note 11 3 2 3 3 2" xfId="46825" xr:uid="{19775B6E-C260-480D-938B-38B2BF3F4AA8}"/>
    <cellStyle name="Note 11 3 2 3 4" xfId="30947" xr:uid="{679CCF4C-146F-4101-A3E2-451EB12B2E7C}"/>
    <cellStyle name="Note 11 3 2 4" xfId="11510" xr:uid="{00000000-0005-0000-0000-0000675E0000}"/>
    <cellStyle name="Note 11 3 2 4 2" xfId="35359" xr:uid="{6ECB0833-9AAA-4C8C-B33A-11BD4A76A984}"/>
    <cellStyle name="Note 11 3 2 5" xfId="19465" xr:uid="{00000000-0005-0000-0000-0000685E0000}"/>
    <cellStyle name="Note 11 3 2 5 2" xfId="43297" xr:uid="{1B2C8E86-7CFD-4B27-8157-B2438AC96A6D}"/>
    <cellStyle name="Note 11 3 2 6" xfId="27417" xr:uid="{ACFFED94-E339-47EB-88AD-9ADEA17FD10F}"/>
    <cellStyle name="Note 11 3 2_Exh G" xfId="3575" xr:uid="{00000000-0005-0000-0000-0000695E0000}"/>
    <cellStyle name="Note 11 3 3" xfId="4364" xr:uid="{00000000-0005-0000-0000-00006A5E0000}"/>
    <cellStyle name="Note 11 3 3 2" xfId="7956" xr:uid="{00000000-0005-0000-0000-00006B5E0000}"/>
    <cellStyle name="Note 11 3 3 2 2" xfId="15926" xr:uid="{00000000-0005-0000-0000-00006C5E0000}"/>
    <cellStyle name="Note 11 3 3 2 2 2" xfId="39768" xr:uid="{AA396D04-A5C5-4567-8C62-8290CCC34FF2}"/>
    <cellStyle name="Note 11 3 3 2 3" xfId="23872" xr:uid="{00000000-0005-0000-0000-00006D5E0000}"/>
    <cellStyle name="Note 11 3 3 2 3 2" xfId="47704" xr:uid="{05B917DB-BB85-44EE-B48A-C8C05B36570E}"/>
    <cellStyle name="Note 11 3 3 2 4" xfId="31827" xr:uid="{A4FED450-E1F8-4553-984E-49FC5ED786B1}"/>
    <cellStyle name="Note 11 3 3 3" xfId="12388" xr:uid="{00000000-0005-0000-0000-00006E5E0000}"/>
    <cellStyle name="Note 11 3 3 3 2" xfId="36237" xr:uid="{EC93E455-9E3C-4FD1-98EE-11F395298D11}"/>
    <cellStyle name="Note 11 3 3 4" xfId="20343" xr:uid="{00000000-0005-0000-0000-00006F5E0000}"/>
    <cellStyle name="Note 11 3 3 4 2" xfId="44175" xr:uid="{3835409E-0418-427B-B0F8-8ED2901E7A11}"/>
    <cellStyle name="Note 11 3 3 5" xfId="28296" xr:uid="{631B392D-C2FE-47EB-A273-F09277CFAC1C}"/>
    <cellStyle name="Note 11 3 4" xfId="6184" xr:uid="{00000000-0005-0000-0000-0000705E0000}"/>
    <cellStyle name="Note 11 3 4 2" xfId="14167" xr:uid="{00000000-0005-0000-0000-0000715E0000}"/>
    <cellStyle name="Note 11 3 4 2 2" xfId="38010" xr:uid="{0A95C67E-DE79-492D-B787-A6A57C319EC6}"/>
    <cellStyle name="Note 11 3 4 3" xfId="22115" xr:uid="{00000000-0005-0000-0000-0000725E0000}"/>
    <cellStyle name="Note 11 3 4 3 2" xfId="45947" xr:uid="{420C8557-BEDD-45BE-BB4F-E3BA597A425E}"/>
    <cellStyle name="Note 11 3 4 4" xfId="30069" xr:uid="{35ACBA66-36CA-49EC-8F1C-855E872FA7ED}"/>
    <cellStyle name="Note 11 3 5" xfId="9736" xr:uid="{00000000-0005-0000-0000-0000735E0000}"/>
    <cellStyle name="Note 11 3 5 2" xfId="17694" xr:uid="{00000000-0005-0000-0000-0000745E0000}"/>
    <cellStyle name="Note 11 3 5 2 2" xfId="41534" xr:uid="{595D139E-09FD-4C04-BD87-91CD91A4746F}"/>
    <cellStyle name="Note 11 3 5 3" xfId="25638" xr:uid="{00000000-0005-0000-0000-0000755E0000}"/>
    <cellStyle name="Note 11 3 5 3 2" xfId="49470" xr:uid="{2BD4B6C4-1068-4AB1-A600-F3C2ADAF83EA}"/>
    <cellStyle name="Note 11 3 5 4" xfId="33593" xr:uid="{A78B44A9-763B-4CCF-B304-0A0030456C1A}"/>
    <cellStyle name="Note 11 3 6" xfId="10632" xr:uid="{00000000-0005-0000-0000-0000765E0000}"/>
    <cellStyle name="Note 11 3 6 2" xfId="34481" xr:uid="{3E7BCA0D-D23C-4A17-890C-5CB359054698}"/>
    <cellStyle name="Note 11 3 7" xfId="18587" xr:uid="{00000000-0005-0000-0000-0000775E0000}"/>
    <cellStyle name="Note 11 3 7 2" xfId="42419" xr:uid="{A079EC33-27AB-46F8-A21B-DEB4FF128E91}"/>
    <cellStyle name="Note 11 3 8" xfId="26539" xr:uid="{34778D38-7B72-4C3D-B6BA-64B536212EF0}"/>
    <cellStyle name="Note 11 3_Exh G" xfId="3574" xr:uid="{00000000-0005-0000-0000-0000785E0000}"/>
    <cellStyle name="Note 11 4" xfId="1713" xr:uid="{00000000-0005-0000-0000-0000795E0000}"/>
    <cellStyle name="Note 11 4 2" xfId="5240" xr:uid="{00000000-0005-0000-0000-00007A5E0000}"/>
    <cellStyle name="Note 11 4 2 2" xfId="8831" xr:uid="{00000000-0005-0000-0000-00007B5E0000}"/>
    <cellStyle name="Note 11 4 2 2 2" xfId="16801" xr:uid="{00000000-0005-0000-0000-00007C5E0000}"/>
    <cellStyle name="Note 11 4 2 2 2 2" xfId="40643" xr:uid="{442B280D-7EB7-4270-A416-C94344FB5AE1}"/>
    <cellStyle name="Note 11 4 2 2 3" xfId="24747" xr:uid="{00000000-0005-0000-0000-00007D5E0000}"/>
    <cellStyle name="Note 11 4 2 2 3 2" xfId="48579" xr:uid="{FEBAAEDB-48F2-437B-A485-E63AC425957B}"/>
    <cellStyle name="Note 11 4 2 2 4" xfId="32702" xr:uid="{2290B46A-E357-4BFD-B5F3-E714D54480BB}"/>
    <cellStyle name="Note 11 4 2 3" xfId="13263" xr:uid="{00000000-0005-0000-0000-00007E5E0000}"/>
    <cellStyle name="Note 11 4 2 3 2" xfId="37112" xr:uid="{539B6834-C92B-4BD8-8D47-D5104F15C76E}"/>
    <cellStyle name="Note 11 4 2 4" xfId="21218" xr:uid="{00000000-0005-0000-0000-00007F5E0000}"/>
    <cellStyle name="Note 11 4 2 4 2" xfId="45050" xr:uid="{EDDB026B-D471-4141-B799-3D0BAF639ED8}"/>
    <cellStyle name="Note 11 4 2 5" xfId="29171" xr:uid="{0E7D69CB-FD6F-4708-B75F-5D2DBDB83425}"/>
    <cellStyle name="Note 11 4 3" xfId="7072" xr:uid="{00000000-0005-0000-0000-0000805E0000}"/>
    <cellStyle name="Note 11 4 3 2" xfId="15043" xr:uid="{00000000-0005-0000-0000-0000815E0000}"/>
    <cellStyle name="Note 11 4 3 2 2" xfId="38885" xr:uid="{904032FA-325F-48E8-88F9-65320D18592D}"/>
    <cellStyle name="Note 11 4 3 3" xfId="22990" xr:uid="{00000000-0005-0000-0000-0000825E0000}"/>
    <cellStyle name="Note 11 4 3 3 2" xfId="46822" xr:uid="{1F5D98B4-EB98-4031-9A64-A5DAECAA000A}"/>
    <cellStyle name="Note 11 4 3 4" xfId="30944" xr:uid="{46D64DAB-F148-4414-BC7B-5237576661AD}"/>
    <cellStyle name="Note 11 4 4" xfId="11507" xr:uid="{00000000-0005-0000-0000-0000835E0000}"/>
    <cellStyle name="Note 11 4 4 2" xfId="35356" xr:uid="{0568B62E-40DE-4372-A67D-7B2736A72C65}"/>
    <cellStyle name="Note 11 4 5" xfId="19462" xr:uid="{00000000-0005-0000-0000-0000845E0000}"/>
    <cellStyle name="Note 11 4 5 2" xfId="43294" xr:uid="{D9885F11-54AE-49D1-A1F5-18587111F152}"/>
    <cellStyle name="Note 11 4 6" xfId="27414" xr:uid="{3C9EE7F5-89D4-4CAF-9E87-3E0C2B6B17CF}"/>
    <cellStyle name="Note 11 4_Exh G" xfId="3576" xr:uid="{00000000-0005-0000-0000-0000855E0000}"/>
    <cellStyle name="Note 11 5" xfId="4361" xr:uid="{00000000-0005-0000-0000-0000865E0000}"/>
    <cellStyle name="Note 11 5 2" xfId="7953" xr:uid="{00000000-0005-0000-0000-0000875E0000}"/>
    <cellStyle name="Note 11 5 2 2" xfId="15923" xr:uid="{00000000-0005-0000-0000-0000885E0000}"/>
    <cellStyle name="Note 11 5 2 2 2" xfId="39765" xr:uid="{5FAADA2F-4DCF-42F3-8718-5EFC122E1A9C}"/>
    <cellStyle name="Note 11 5 2 3" xfId="23869" xr:uid="{00000000-0005-0000-0000-0000895E0000}"/>
    <cellStyle name="Note 11 5 2 3 2" xfId="47701" xr:uid="{45997B01-EDEB-4D6F-B41E-ED5F3A102A62}"/>
    <cellStyle name="Note 11 5 2 4" xfId="31824" xr:uid="{DAC9184C-FEF6-47D9-8B99-D87D14341EF4}"/>
    <cellStyle name="Note 11 5 3" xfId="12385" xr:uid="{00000000-0005-0000-0000-00008A5E0000}"/>
    <cellStyle name="Note 11 5 3 2" xfId="36234" xr:uid="{26044A94-9B1B-4569-AC47-C5884CD9622F}"/>
    <cellStyle name="Note 11 5 4" xfId="20340" xr:uid="{00000000-0005-0000-0000-00008B5E0000}"/>
    <cellStyle name="Note 11 5 4 2" xfId="44172" xr:uid="{9FBDDF47-0EBE-4764-A3BA-EEFBC91FE384}"/>
    <cellStyle name="Note 11 5 5" xfId="28293" xr:uid="{D1AA0AF7-06AB-4A2A-B6A7-C87C7F2D5556}"/>
    <cellStyle name="Note 11 6" xfId="6181" xr:uid="{00000000-0005-0000-0000-00008C5E0000}"/>
    <cellStyle name="Note 11 6 2" xfId="14164" xr:uid="{00000000-0005-0000-0000-00008D5E0000}"/>
    <cellStyle name="Note 11 6 2 2" xfId="38007" xr:uid="{96D2CDD5-D350-46F5-A141-FF98F557E84E}"/>
    <cellStyle name="Note 11 6 3" xfId="22112" xr:uid="{00000000-0005-0000-0000-00008E5E0000}"/>
    <cellStyle name="Note 11 6 3 2" xfId="45944" xr:uid="{D0B75DCE-F8FC-4A3D-B6C9-29C3E1BE6293}"/>
    <cellStyle name="Note 11 6 4" xfId="30066" xr:uid="{1883113B-B48F-4666-91E8-AF49C5DB9C4C}"/>
    <cellStyle name="Note 11 7" xfId="9733" xr:uid="{00000000-0005-0000-0000-00008F5E0000}"/>
    <cellStyle name="Note 11 7 2" xfId="17691" xr:uid="{00000000-0005-0000-0000-0000905E0000}"/>
    <cellStyle name="Note 11 7 2 2" xfId="41531" xr:uid="{4260AE21-91EE-45A0-BD70-57C23A1F7FC0}"/>
    <cellStyle name="Note 11 7 3" xfId="25635" xr:uid="{00000000-0005-0000-0000-0000915E0000}"/>
    <cellStyle name="Note 11 7 3 2" xfId="49467" xr:uid="{42895597-D6A2-4498-80AE-ACE2DCFA4B1B}"/>
    <cellStyle name="Note 11 7 4" xfId="33590" xr:uid="{18708582-6774-4499-A751-E66543C7EF49}"/>
    <cellStyle name="Note 11 8" xfId="10629" xr:uid="{00000000-0005-0000-0000-0000925E0000}"/>
    <cellStyle name="Note 11 8 2" xfId="34478" xr:uid="{DEFEC8AC-7E06-4656-9588-9B143C589CF1}"/>
    <cellStyle name="Note 11 9" xfId="18584" xr:uid="{00000000-0005-0000-0000-0000935E0000}"/>
    <cellStyle name="Note 11 9 2" xfId="42416" xr:uid="{8F0F3FF6-CF2F-4986-A9C5-3ECD87FE8DC9}"/>
    <cellStyle name="Note 11_Exh G" xfId="3569" xr:uid="{00000000-0005-0000-0000-0000945E0000}"/>
    <cellStyle name="Note 12" xfId="691" xr:uid="{00000000-0005-0000-0000-0000955E0000}"/>
    <cellStyle name="Note 12 10" xfId="26540" xr:uid="{BA2C6DAA-B55F-42F2-8569-858D90D80BBD}"/>
    <cellStyle name="Note 12 2" xfId="692" xr:uid="{00000000-0005-0000-0000-0000965E0000}"/>
    <cellStyle name="Note 12 2 2" xfId="693" xr:uid="{00000000-0005-0000-0000-0000975E0000}"/>
    <cellStyle name="Note 12 2 2 2" xfId="1719" xr:uid="{00000000-0005-0000-0000-0000985E0000}"/>
    <cellStyle name="Note 12 2 2 2 2" xfId="5246" xr:uid="{00000000-0005-0000-0000-0000995E0000}"/>
    <cellStyle name="Note 12 2 2 2 2 2" xfId="8837" xr:uid="{00000000-0005-0000-0000-00009A5E0000}"/>
    <cellStyle name="Note 12 2 2 2 2 2 2" xfId="16807" xr:uid="{00000000-0005-0000-0000-00009B5E0000}"/>
    <cellStyle name="Note 12 2 2 2 2 2 2 2" xfId="40649" xr:uid="{678840FF-CC71-4F50-BFFF-1B3B90FF516D}"/>
    <cellStyle name="Note 12 2 2 2 2 2 3" xfId="24753" xr:uid="{00000000-0005-0000-0000-00009C5E0000}"/>
    <cellStyle name="Note 12 2 2 2 2 2 3 2" xfId="48585" xr:uid="{7322BA47-C8F8-4E56-A292-6AF29CE540B0}"/>
    <cellStyle name="Note 12 2 2 2 2 2 4" xfId="32708" xr:uid="{DDF307BC-B990-4908-B7EB-89CECB1483CA}"/>
    <cellStyle name="Note 12 2 2 2 2 3" xfId="13269" xr:uid="{00000000-0005-0000-0000-00009D5E0000}"/>
    <cellStyle name="Note 12 2 2 2 2 3 2" xfId="37118" xr:uid="{1ABBEA83-4DF3-4687-9339-709AFEF51082}"/>
    <cellStyle name="Note 12 2 2 2 2 4" xfId="21224" xr:uid="{00000000-0005-0000-0000-00009E5E0000}"/>
    <cellStyle name="Note 12 2 2 2 2 4 2" xfId="45056" xr:uid="{F7BF0C80-B5BA-4228-BEFF-FC10C7E9388F}"/>
    <cellStyle name="Note 12 2 2 2 2 5" xfId="29177" xr:uid="{2921B559-D54F-4E8A-AEFD-CC3B93C771A0}"/>
    <cellStyle name="Note 12 2 2 2 3" xfId="7078" xr:uid="{00000000-0005-0000-0000-00009F5E0000}"/>
    <cellStyle name="Note 12 2 2 2 3 2" xfId="15049" xr:uid="{00000000-0005-0000-0000-0000A05E0000}"/>
    <cellStyle name="Note 12 2 2 2 3 2 2" xfId="38891" xr:uid="{3C0F05FF-7D3B-4394-86B6-A4FCC5F97BAE}"/>
    <cellStyle name="Note 12 2 2 2 3 3" xfId="22996" xr:uid="{00000000-0005-0000-0000-0000A15E0000}"/>
    <cellStyle name="Note 12 2 2 2 3 3 2" xfId="46828" xr:uid="{824243CB-3D70-4381-BAFB-E01687D094DF}"/>
    <cellStyle name="Note 12 2 2 2 3 4" xfId="30950" xr:uid="{D0434809-260A-468C-A740-FE55E5A5D47F}"/>
    <cellStyle name="Note 12 2 2 2 4" xfId="11513" xr:uid="{00000000-0005-0000-0000-0000A25E0000}"/>
    <cellStyle name="Note 12 2 2 2 4 2" xfId="35362" xr:uid="{E68FA592-2937-44ED-BE5A-C2EDF8499A91}"/>
    <cellStyle name="Note 12 2 2 2 5" xfId="19468" xr:uid="{00000000-0005-0000-0000-0000A35E0000}"/>
    <cellStyle name="Note 12 2 2 2 5 2" xfId="43300" xr:uid="{DEC1A623-9D49-454D-B24B-3568EFD7041A}"/>
    <cellStyle name="Note 12 2 2 2 6" xfId="27420" xr:uid="{5D94C44A-BBBA-477C-A55D-506FFD79541F}"/>
    <cellStyle name="Note 12 2 2 2_Exh G" xfId="3580" xr:uid="{00000000-0005-0000-0000-0000A45E0000}"/>
    <cellStyle name="Note 12 2 2 3" xfId="4367" xr:uid="{00000000-0005-0000-0000-0000A55E0000}"/>
    <cellStyle name="Note 12 2 2 3 2" xfId="7959" xr:uid="{00000000-0005-0000-0000-0000A65E0000}"/>
    <cellStyle name="Note 12 2 2 3 2 2" xfId="15929" xr:uid="{00000000-0005-0000-0000-0000A75E0000}"/>
    <cellStyle name="Note 12 2 2 3 2 2 2" xfId="39771" xr:uid="{6AC8F567-08E6-4839-B3D0-67F1B4E2CEA7}"/>
    <cellStyle name="Note 12 2 2 3 2 3" xfId="23875" xr:uid="{00000000-0005-0000-0000-0000A85E0000}"/>
    <cellStyle name="Note 12 2 2 3 2 3 2" xfId="47707" xr:uid="{9F94E431-E00D-4321-A667-5A4023180AD4}"/>
    <cellStyle name="Note 12 2 2 3 2 4" xfId="31830" xr:uid="{79EE0801-18C2-4C08-8182-B9E02A620BED}"/>
    <cellStyle name="Note 12 2 2 3 3" xfId="12391" xr:uid="{00000000-0005-0000-0000-0000A95E0000}"/>
    <cellStyle name="Note 12 2 2 3 3 2" xfId="36240" xr:uid="{5BC8EC7A-E3DA-47B8-ACDD-BB44BDD4BD5E}"/>
    <cellStyle name="Note 12 2 2 3 4" xfId="20346" xr:uid="{00000000-0005-0000-0000-0000AA5E0000}"/>
    <cellStyle name="Note 12 2 2 3 4 2" xfId="44178" xr:uid="{E145C323-31A1-43BC-B812-F42B1CDEFDF0}"/>
    <cellStyle name="Note 12 2 2 3 5" xfId="28299" xr:uid="{DF4F1886-EEBE-4735-B873-9A2328485A26}"/>
    <cellStyle name="Note 12 2 2 4" xfId="6187" xr:uid="{00000000-0005-0000-0000-0000AB5E0000}"/>
    <cellStyle name="Note 12 2 2 4 2" xfId="14170" xr:uid="{00000000-0005-0000-0000-0000AC5E0000}"/>
    <cellStyle name="Note 12 2 2 4 2 2" xfId="38013" xr:uid="{79ABAB10-C8EB-4225-858C-0D61F7FA78F9}"/>
    <cellStyle name="Note 12 2 2 4 3" xfId="22118" xr:uid="{00000000-0005-0000-0000-0000AD5E0000}"/>
    <cellStyle name="Note 12 2 2 4 3 2" xfId="45950" xr:uid="{B3193197-585C-4A25-98B7-6DBD3993ADC7}"/>
    <cellStyle name="Note 12 2 2 4 4" xfId="30072" xr:uid="{A01093E0-B3DD-4203-8B52-27D184D13678}"/>
    <cellStyle name="Note 12 2 2 5" xfId="9739" xr:uid="{00000000-0005-0000-0000-0000AE5E0000}"/>
    <cellStyle name="Note 12 2 2 5 2" xfId="17697" xr:uid="{00000000-0005-0000-0000-0000AF5E0000}"/>
    <cellStyle name="Note 12 2 2 5 2 2" xfId="41537" xr:uid="{16BA824B-9C1C-43F2-9A40-C5B76A952634}"/>
    <cellStyle name="Note 12 2 2 5 3" xfId="25641" xr:uid="{00000000-0005-0000-0000-0000B05E0000}"/>
    <cellStyle name="Note 12 2 2 5 3 2" xfId="49473" xr:uid="{687D22E1-27A1-4C2B-9A62-E4EC126C86B3}"/>
    <cellStyle name="Note 12 2 2 5 4" xfId="33596" xr:uid="{3C137A43-0DA6-48FE-BE77-3B2A678C1BE5}"/>
    <cellStyle name="Note 12 2 2 6" xfId="10635" xr:uid="{00000000-0005-0000-0000-0000B15E0000}"/>
    <cellStyle name="Note 12 2 2 6 2" xfId="34484" xr:uid="{697573F7-2E7E-4F6C-A19B-C3840F51A6BF}"/>
    <cellStyle name="Note 12 2 2 7" xfId="18590" xr:uid="{00000000-0005-0000-0000-0000B25E0000}"/>
    <cellStyle name="Note 12 2 2 7 2" xfId="42422" xr:uid="{27A77840-5BE6-4B34-92BC-E959DE391534}"/>
    <cellStyle name="Note 12 2 2 8" xfId="26542" xr:uid="{7E401A51-8AD1-4631-990E-7773A82F7398}"/>
    <cellStyle name="Note 12 2 2_Exh G" xfId="3579" xr:uid="{00000000-0005-0000-0000-0000B35E0000}"/>
    <cellStyle name="Note 12 2 3" xfId="1718" xr:uid="{00000000-0005-0000-0000-0000B45E0000}"/>
    <cellStyle name="Note 12 2 3 2" xfId="5245" xr:uid="{00000000-0005-0000-0000-0000B55E0000}"/>
    <cellStyle name="Note 12 2 3 2 2" xfId="8836" xr:uid="{00000000-0005-0000-0000-0000B65E0000}"/>
    <cellStyle name="Note 12 2 3 2 2 2" xfId="16806" xr:uid="{00000000-0005-0000-0000-0000B75E0000}"/>
    <cellStyle name="Note 12 2 3 2 2 2 2" xfId="40648" xr:uid="{D7045618-860A-4DD5-B128-E8E4255E87FB}"/>
    <cellStyle name="Note 12 2 3 2 2 3" xfId="24752" xr:uid="{00000000-0005-0000-0000-0000B85E0000}"/>
    <cellStyle name="Note 12 2 3 2 2 3 2" xfId="48584" xr:uid="{78C5836D-0A49-4665-A772-F29BAE9E4E15}"/>
    <cellStyle name="Note 12 2 3 2 2 4" xfId="32707" xr:uid="{4EBCB3E9-48D6-4365-ACC2-CFA5C65392B3}"/>
    <cellStyle name="Note 12 2 3 2 3" xfId="13268" xr:uid="{00000000-0005-0000-0000-0000B95E0000}"/>
    <cellStyle name="Note 12 2 3 2 3 2" xfId="37117" xr:uid="{D8AF160C-02E8-4FA3-9307-0B8C46947353}"/>
    <cellStyle name="Note 12 2 3 2 4" xfId="21223" xr:uid="{00000000-0005-0000-0000-0000BA5E0000}"/>
    <cellStyle name="Note 12 2 3 2 4 2" xfId="45055" xr:uid="{1B1816EB-E3A2-42F1-9C69-EE62ED487A4C}"/>
    <cellStyle name="Note 12 2 3 2 5" xfId="29176" xr:uid="{0857566A-9EE4-4A17-8003-36508464E5CE}"/>
    <cellStyle name="Note 12 2 3 3" xfId="7077" xr:uid="{00000000-0005-0000-0000-0000BB5E0000}"/>
    <cellStyle name="Note 12 2 3 3 2" xfId="15048" xr:uid="{00000000-0005-0000-0000-0000BC5E0000}"/>
    <cellStyle name="Note 12 2 3 3 2 2" xfId="38890" xr:uid="{B4891B40-8C8D-44CB-A6FC-0D5AA3DF7102}"/>
    <cellStyle name="Note 12 2 3 3 3" xfId="22995" xr:uid="{00000000-0005-0000-0000-0000BD5E0000}"/>
    <cellStyle name="Note 12 2 3 3 3 2" xfId="46827" xr:uid="{5D6A457E-9619-40C6-80FB-1105DBD64D68}"/>
    <cellStyle name="Note 12 2 3 3 4" xfId="30949" xr:uid="{B0E2D52D-16E3-4C19-A711-7D9DF4973838}"/>
    <cellStyle name="Note 12 2 3 4" xfId="11512" xr:uid="{00000000-0005-0000-0000-0000BE5E0000}"/>
    <cellStyle name="Note 12 2 3 4 2" xfId="35361" xr:uid="{7FE51C37-132F-492A-8932-4EF1DF5EC07F}"/>
    <cellStyle name="Note 12 2 3 5" xfId="19467" xr:uid="{00000000-0005-0000-0000-0000BF5E0000}"/>
    <cellStyle name="Note 12 2 3 5 2" xfId="43299" xr:uid="{5D602EAC-F21B-489D-B773-5F41D91B9903}"/>
    <cellStyle name="Note 12 2 3 6" xfId="27419" xr:uid="{925E18C4-281A-4730-BFBD-C2C59BF32D47}"/>
    <cellStyle name="Note 12 2 3_Exh G" xfId="3581" xr:uid="{00000000-0005-0000-0000-0000C05E0000}"/>
    <cellStyle name="Note 12 2 4" xfId="4366" xr:uid="{00000000-0005-0000-0000-0000C15E0000}"/>
    <cellStyle name="Note 12 2 4 2" xfId="7958" xr:uid="{00000000-0005-0000-0000-0000C25E0000}"/>
    <cellStyle name="Note 12 2 4 2 2" xfId="15928" xr:uid="{00000000-0005-0000-0000-0000C35E0000}"/>
    <cellStyle name="Note 12 2 4 2 2 2" xfId="39770" xr:uid="{81DDE60C-E6C2-4EF6-B4F6-B0AA6EFFFB19}"/>
    <cellStyle name="Note 12 2 4 2 3" xfId="23874" xr:uid="{00000000-0005-0000-0000-0000C45E0000}"/>
    <cellStyle name="Note 12 2 4 2 3 2" xfId="47706" xr:uid="{BC4D6F5B-E838-44CB-90C0-E8D2C346142C}"/>
    <cellStyle name="Note 12 2 4 2 4" xfId="31829" xr:uid="{61CDB169-928A-4A40-834A-BB846BD926B5}"/>
    <cellStyle name="Note 12 2 4 3" xfId="12390" xr:uid="{00000000-0005-0000-0000-0000C55E0000}"/>
    <cellStyle name="Note 12 2 4 3 2" xfId="36239" xr:uid="{BB227793-10A3-44BB-AD28-150151EFB0CC}"/>
    <cellStyle name="Note 12 2 4 4" xfId="20345" xr:uid="{00000000-0005-0000-0000-0000C65E0000}"/>
    <cellStyle name="Note 12 2 4 4 2" xfId="44177" xr:uid="{DC250D31-522B-4E50-948B-214379D58959}"/>
    <cellStyle name="Note 12 2 4 5" xfId="28298" xr:uid="{A0F487BC-7379-4895-9586-6A9DBBE5EA69}"/>
    <cellStyle name="Note 12 2 5" xfId="6186" xr:uid="{00000000-0005-0000-0000-0000C75E0000}"/>
    <cellStyle name="Note 12 2 5 2" xfId="14169" xr:uid="{00000000-0005-0000-0000-0000C85E0000}"/>
    <cellStyle name="Note 12 2 5 2 2" xfId="38012" xr:uid="{2796C590-C067-4AFB-96F9-F329E989460B}"/>
    <cellStyle name="Note 12 2 5 3" xfId="22117" xr:uid="{00000000-0005-0000-0000-0000C95E0000}"/>
    <cellStyle name="Note 12 2 5 3 2" xfId="45949" xr:uid="{5A4C1C8D-DE9C-4E24-9D7B-3CF1BE8D14E3}"/>
    <cellStyle name="Note 12 2 5 4" xfId="30071" xr:uid="{B14E999D-0B40-46D1-AEBA-19921B79DFC0}"/>
    <cellStyle name="Note 12 2 6" xfId="9738" xr:uid="{00000000-0005-0000-0000-0000CA5E0000}"/>
    <cellStyle name="Note 12 2 6 2" xfId="17696" xr:uid="{00000000-0005-0000-0000-0000CB5E0000}"/>
    <cellStyle name="Note 12 2 6 2 2" xfId="41536" xr:uid="{8C8CC0A7-56C5-4240-BCAE-458A73A3140E}"/>
    <cellStyle name="Note 12 2 6 3" xfId="25640" xr:uid="{00000000-0005-0000-0000-0000CC5E0000}"/>
    <cellStyle name="Note 12 2 6 3 2" xfId="49472" xr:uid="{060417AF-3C7D-41AD-A6C3-6A9BCB0655A8}"/>
    <cellStyle name="Note 12 2 6 4" xfId="33595" xr:uid="{3FD34420-686A-4CF7-9602-77906F65C883}"/>
    <cellStyle name="Note 12 2 7" xfId="10634" xr:uid="{00000000-0005-0000-0000-0000CD5E0000}"/>
    <cellStyle name="Note 12 2 7 2" xfId="34483" xr:uid="{3BE78548-A38E-4F93-A7F0-368A6B8E34AD}"/>
    <cellStyle name="Note 12 2 8" xfId="18589" xr:uid="{00000000-0005-0000-0000-0000CE5E0000}"/>
    <cellStyle name="Note 12 2 8 2" xfId="42421" xr:uid="{CC4592DD-503A-4D75-B33A-04156A3027B3}"/>
    <cellStyle name="Note 12 2 9" xfId="26541" xr:uid="{6A5E1A6B-FF39-4345-89AF-95CE559071C5}"/>
    <cellStyle name="Note 12 2_Exh G" xfId="3578" xr:uid="{00000000-0005-0000-0000-0000CF5E0000}"/>
    <cellStyle name="Note 12 3" xfId="694" xr:uid="{00000000-0005-0000-0000-0000D05E0000}"/>
    <cellStyle name="Note 12 3 2" xfId="1720" xr:uid="{00000000-0005-0000-0000-0000D15E0000}"/>
    <cellStyle name="Note 12 3 2 2" xfId="5247" xr:uid="{00000000-0005-0000-0000-0000D25E0000}"/>
    <cellStyle name="Note 12 3 2 2 2" xfId="8838" xr:uid="{00000000-0005-0000-0000-0000D35E0000}"/>
    <cellStyle name="Note 12 3 2 2 2 2" xfId="16808" xr:uid="{00000000-0005-0000-0000-0000D45E0000}"/>
    <cellStyle name="Note 12 3 2 2 2 2 2" xfId="40650" xr:uid="{C677C747-13BC-4865-8E7B-287CDE8CF9F7}"/>
    <cellStyle name="Note 12 3 2 2 2 3" xfId="24754" xr:uid="{00000000-0005-0000-0000-0000D55E0000}"/>
    <cellStyle name="Note 12 3 2 2 2 3 2" xfId="48586" xr:uid="{17F59018-9AB0-4DE8-B1A4-34A2E5EB915D}"/>
    <cellStyle name="Note 12 3 2 2 2 4" xfId="32709" xr:uid="{B2FE36D6-B997-4F25-AC99-0078824C2AFF}"/>
    <cellStyle name="Note 12 3 2 2 3" xfId="13270" xr:uid="{00000000-0005-0000-0000-0000D65E0000}"/>
    <cellStyle name="Note 12 3 2 2 3 2" xfId="37119" xr:uid="{64AADF3F-05B6-43CB-AE84-F49034B240BA}"/>
    <cellStyle name="Note 12 3 2 2 4" xfId="21225" xr:uid="{00000000-0005-0000-0000-0000D75E0000}"/>
    <cellStyle name="Note 12 3 2 2 4 2" xfId="45057" xr:uid="{D803C0E7-E7AB-49B3-A092-A7F1D832D551}"/>
    <cellStyle name="Note 12 3 2 2 5" xfId="29178" xr:uid="{8BD20342-E252-4207-B11E-DDA5089615A0}"/>
    <cellStyle name="Note 12 3 2 3" xfId="7079" xr:uid="{00000000-0005-0000-0000-0000D85E0000}"/>
    <cellStyle name="Note 12 3 2 3 2" xfId="15050" xr:uid="{00000000-0005-0000-0000-0000D95E0000}"/>
    <cellStyle name="Note 12 3 2 3 2 2" xfId="38892" xr:uid="{78F6926D-DDD6-4137-8E25-56D099BA3F7D}"/>
    <cellStyle name="Note 12 3 2 3 3" xfId="22997" xr:uid="{00000000-0005-0000-0000-0000DA5E0000}"/>
    <cellStyle name="Note 12 3 2 3 3 2" xfId="46829" xr:uid="{0794B60D-1BE5-4763-869D-085AC8004911}"/>
    <cellStyle name="Note 12 3 2 3 4" xfId="30951" xr:uid="{7125CA74-138F-4955-AB6E-06CC7606623B}"/>
    <cellStyle name="Note 12 3 2 4" xfId="11514" xr:uid="{00000000-0005-0000-0000-0000DB5E0000}"/>
    <cellStyle name="Note 12 3 2 4 2" xfId="35363" xr:uid="{B4D2B30E-6BE6-440E-AEA0-65CDA27F5BC7}"/>
    <cellStyle name="Note 12 3 2 5" xfId="19469" xr:uid="{00000000-0005-0000-0000-0000DC5E0000}"/>
    <cellStyle name="Note 12 3 2 5 2" xfId="43301" xr:uid="{264DBF1A-44B7-4D3C-B030-B153DDADEB11}"/>
    <cellStyle name="Note 12 3 2 6" xfId="27421" xr:uid="{A663A690-B3D1-4436-85FD-AE3033BD41FB}"/>
    <cellStyle name="Note 12 3 2_Exh G" xfId="3583" xr:uid="{00000000-0005-0000-0000-0000DD5E0000}"/>
    <cellStyle name="Note 12 3 3" xfId="4368" xr:uid="{00000000-0005-0000-0000-0000DE5E0000}"/>
    <cellStyle name="Note 12 3 3 2" xfId="7960" xr:uid="{00000000-0005-0000-0000-0000DF5E0000}"/>
    <cellStyle name="Note 12 3 3 2 2" xfId="15930" xr:uid="{00000000-0005-0000-0000-0000E05E0000}"/>
    <cellStyle name="Note 12 3 3 2 2 2" xfId="39772" xr:uid="{7B5A4BA9-8533-45AE-886C-27DF9F26292F}"/>
    <cellStyle name="Note 12 3 3 2 3" xfId="23876" xr:uid="{00000000-0005-0000-0000-0000E15E0000}"/>
    <cellStyle name="Note 12 3 3 2 3 2" xfId="47708" xr:uid="{B795084A-A153-426B-8666-0AFE86039706}"/>
    <cellStyle name="Note 12 3 3 2 4" xfId="31831" xr:uid="{ACE80E73-30AD-4495-A96E-B3C22243D67D}"/>
    <cellStyle name="Note 12 3 3 3" xfId="12392" xr:uid="{00000000-0005-0000-0000-0000E25E0000}"/>
    <cellStyle name="Note 12 3 3 3 2" xfId="36241" xr:uid="{50D833DD-E74A-436B-A456-93C80FEF65B6}"/>
    <cellStyle name="Note 12 3 3 4" xfId="20347" xr:uid="{00000000-0005-0000-0000-0000E35E0000}"/>
    <cellStyle name="Note 12 3 3 4 2" xfId="44179" xr:uid="{C989D7ED-B0B7-4D5F-AA4A-8D4B6898CBC9}"/>
    <cellStyle name="Note 12 3 3 5" xfId="28300" xr:uid="{C6EC0920-D0C2-488A-9048-1EA38DA6BD02}"/>
    <cellStyle name="Note 12 3 4" xfId="6188" xr:uid="{00000000-0005-0000-0000-0000E45E0000}"/>
    <cellStyle name="Note 12 3 4 2" xfId="14171" xr:uid="{00000000-0005-0000-0000-0000E55E0000}"/>
    <cellStyle name="Note 12 3 4 2 2" xfId="38014" xr:uid="{FF81D524-E364-4E60-8BA2-D63425F65FEF}"/>
    <cellStyle name="Note 12 3 4 3" xfId="22119" xr:uid="{00000000-0005-0000-0000-0000E65E0000}"/>
    <cellStyle name="Note 12 3 4 3 2" xfId="45951" xr:uid="{45036A85-0FF8-4FEE-9BD0-FB9EE41A26A2}"/>
    <cellStyle name="Note 12 3 4 4" xfId="30073" xr:uid="{B7D75C49-0E84-4A1D-ACA8-88F2A3D59057}"/>
    <cellStyle name="Note 12 3 5" xfId="9740" xr:uid="{00000000-0005-0000-0000-0000E75E0000}"/>
    <cellStyle name="Note 12 3 5 2" xfId="17698" xr:uid="{00000000-0005-0000-0000-0000E85E0000}"/>
    <cellStyle name="Note 12 3 5 2 2" xfId="41538" xr:uid="{C801CC78-BD07-4FB0-958F-B2458B8D833D}"/>
    <cellStyle name="Note 12 3 5 3" xfId="25642" xr:uid="{00000000-0005-0000-0000-0000E95E0000}"/>
    <cellStyle name="Note 12 3 5 3 2" xfId="49474" xr:uid="{28204D1A-FA4A-4AA4-8F61-9254B03232BA}"/>
    <cellStyle name="Note 12 3 5 4" xfId="33597" xr:uid="{DE9D8990-94F2-43CA-A625-72AF467205C8}"/>
    <cellStyle name="Note 12 3 6" xfId="10636" xr:uid="{00000000-0005-0000-0000-0000EA5E0000}"/>
    <cellStyle name="Note 12 3 6 2" xfId="34485" xr:uid="{C33E00F1-E8E6-441D-A06A-FDDF6C7AFB88}"/>
    <cellStyle name="Note 12 3 7" xfId="18591" xr:uid="{00000000-0005-0000-0000-0000EB5E0000}"/>
    <cellStyle name="Note 12 3 7 2" xfId="42423" xr:uid="{E90C367B-C907-4B94-AB22-2E4C99E90703}"/>
    <cellStyle name="Note 12 3 8" xfId="26543" xr:uid="{06EBD11A-3F04-403F-B0E1-78B5DEB1B61F}"/>
    <cellStyle name="Note 12 3_Exh G" xfId="3582" xr:uid="{00000000-0005-0000-0000-0000EC5E0000}"/>
    <cellStyle name="Note 12 4" xfId="1717" xr:uid="{00000000-0005-0000-0000-0000ED5E0000}"/>
    <cellStyle name="Note 12 4 2" xfId="5244" xr:uid="{00000000-0005-0000-0000-0000EE5E0000}"/>
    <cellStyle name="Note 12 4 2 2" xfId="8835" xr:uid="{00000000-0005-0000-0000-0000EF5E0000}"/>
    <cellStyle name="Note 12 4 2 2 2" xfId="16805" xr:uid="{00000000-0005-0000-0000-0000F05E0000}"/>
    <cellStyle name="Note 12 4 2 2 2 2" xfId="40647" xr:uid="{8EC1C01A-CF52-490B-92EB-33C0CF473043}"/>
    <cellStyle name="Note 12 4 2 2 3" xfId="24751" xr:uid="{00000000-0005-0000-0000-0000F15E0000}"/>
    <cellStyle name="Note 12 4 2 2 3 2" xfId="48583" xr:uid="{122E0169-04DC-4BE0-8FB8-1DA26DE91D47}"/>
    <cellStyle name="Note 12 4 2 2 4" xfId="32706" xr:uid="{1CDCE5BB-774B-4A4D-BD0E-D3541596F8F2}"/>
    <cellStyle name="Note 12 4 2 3" xfId="13267" xr:uid="{00000000-0005-0000-0000-0000F25E0000}"/>
    <cellStyle name="Note 12 4 2 3 2" xfId="37116" xr:uid="{56DA742B-FB4D-4A38-8364-D14353D16982}"/>
    <cellStyle name="Note 12 4 2 4" xfId="21222" xr:uid="{00000000-0005-0000-0000-0000F35E0000}"/>
    <cellStyle name="Note 12 4 2 4 2" xfId="45054" xr:uid="{270ACBDE-DBDD-47EF-8E47-A2087FB63F51}"/>
    <cellStyle name="Note 12 4 2 5" xfId="29175" xr:uid="{4B1D5856-093F-4F32-9698-45C5CE4CEF7B}"/>
    <cellStyle name="Note 12 4 3" xfId="7076" xr:uid="{00000000-0005-0000-0000-0000F45E0000}"/>
    <cellStyle name="Note 12 4 3 2" xfId="15047" xr:uid="{00000000-0005-0000-0000-0000F55E0000}"/>
    <cellStyle name="Note 12 4 3 2 2" xfId="38889" xr:uid="{B302ACA3-327E-44B4-B543-B65242694A5F}"/>
    <cellStyle name="Note 12 4 3 3" xfId="22994" xr:uid="{00000000-0005-0000-0000-0000F65E0000}"/>
    <cellStyle name="Note 12 4 3 3 2" xfId="46826" xr:uid="{84C143C8-27F5-4F70-9C56-B1565552B86A}"/>
    <cellStyle name="Note 12 4 3 4" xfId="30948" xr:uid="{2CCCA911-18EB-4A9A-885A-0FA0C08904AD}"/>
    <cellStyle name="Note 12 4 4" xfId="11511" xr:uid="{00000000-0005-0000-0000-0000F75E0000}"/>
    <cellStyle name="Note 12 4 4 2" xfId="35360" xr:uid="{456B0001-2A30-47C5-8045-1410D30B3117}"/>
    <cellStyle name="Note 12 4 5" xfId="19466" xr:uid="{00000000-0005-0000-0000-0000F85E0000}"/>
    <cellStyle name="Note 12 4 5 2" xfId="43298" xr:uid="{E56247C1-22B2-4AAA-A419-BBD1844DAA7A}"/>
    <cellStyle name="Note 12 4 6" xfId="27418" xr:uid="{0FC1C5EF-382D-45EA-B116-B1EC502D184B}"/>
    <cellStyle name="Note 12 4_Exh G" xfId="3584" xr:uid="{00000000-0005-0000-0000-0000F95E0000}"/>
    <cellStyle name="Note 12 5" xfId="4365" xr:uid="{00000000-0005-0000-0000-0000FA5E0000}"/>
    <cellStyle name="Note 12 5 2" xfId="7957" xr:uid="{00000000-0005-0000-0000-0000FB5E0000}"/>
    <cellStyle name="Note 12 5 2 2" xfId="15927" xr:uid="{00000000-0005-0000-0000-0000FC5E0000}"/>
    <cellStyle name="Note 12 5 2 2 2" xfId="39769" xr:uid="{D0746E4D-A962-4C39-9C3E-78EC671E08AF}"/>
    <cellStyle name="Note 12 5 2 3" xfId="23873" xr:uid="{00000000-0005-0000-0000-0000FD5E0000}"/>
    <cellStyle name="Note 12 5 2 3 2" xfId="47705" xr:uid="{E98E1133-605B-459A-86E5-86EA7E772101}"/>
    <cellStyle name="Note 12 5 2 4" xfId="31828" xr:uid="{14B5F8E4-5506-4DBC-BBDB-A98D0B556D4D}"/>
    <cellStyle name="Note 12 5 3" xfId="12389" xr:uid="{00000000-0005-0000-0000-0000FE5E0000}"/>
    <cellStyle name="Note 12 5 3 2" xfId="36238" xr:uid="{43BD6A63-4C96-419A-BBB8-4339F94F1844}"/>
    <cellStyle name="Note 12 5 4" xfId="20344" xr:uid="{00000000-0005-0000-0000-0000FF5E0000}"/>
    <cellStyle name="Note 12 5 4 2" xfId="44176" xr:uid="{4AE0AF07-3921-446F-B4DA-CA4097722AE8}"/>
    <cellStyle name="Note 12 5 5" xfId="28297" xr:uid="{1E51CEF1-4A75-4488-9B8E-06EF378584CB}"/>
    <cellStyle name="Note 12 6" xfId="6185" xr:uid="{00000000-0005-0000-0000-0000005F0000}"/>
    <cellStyle name="Note 12 6 2" xfId="14168" xr:uid="{00000000-0005-0000-0000-0000015F0000}"/>
    <cellStyle name="Note 12 6 2 2" xfId="38011" xr:uid="{DB51D4E9-2CC5-472F-9E4B-802B4618301C}"/>
    <cellStyle name="Note 12 6 3" xfId="22116" xr:uid="{00000000-0005-0000-0000-0000025F0000}"/>
    <cellStyle name="Note 12 6 3 2" xfId="45948" xr:uid="{88FCA3C5-D5DA-4A0F-A5B5-6B4C7FB3B425}"/>
    <cellStyle name="Note 12 6 4" xfId="30070" xr:uid="{66F3454E-9CF4-4E76-A1C4-845A5C44FA51}"/>
    <cellStyle name="Note 12 7" xfId="9737" xr:uid="{00000000-0005-0000-0000-0000035F0000}"/>
    <cellStyle name="Note 12 7 2" xfId="17695" xr:uid="{00000000-0005-0000-0000-0000045F0000}"/>
    <cellStyle name="Note 12 7 2 2" xfId="41535" xr:uid="{D1106AC5-3BAB-412C-9B5D-0F9946073817}"/>
    <cellStyle name="Note 12 7 3" xfId="25639" xr:uid="{00000000-0005-0000-0000-0000055F0000}"/>
    <cellStyle name="Note 12 7 3 2" xfId="49471" xr:uid="{C3ECCB9C-ADA2-4A83-BF03-A7330D08C12B}"/>
    <cellStyle name="Note 12 7 4" xfId="33594" xr:uid="{00DD684C-02A2-4BDF-81E3-D3A74054E81E}"/>
    <cellStyle name="Note 12 8" xfId="10633" xr:uid="{00000000-0005-0000-0000-0000065F0000}"/>
    <cellStyle name="Note 12 8 2" xfId="34482" xr:uid="{C6AB8FB3-4873-4B4F-8F56-532133CF28DF}"/>
    <cellStyle name="Note 12 9" xfId="18588" xr:uid="{00000000-0005-0000-0000-0000075F0000}"/>
    <cellStyle name="Note 12 9 2" xfId="42420" xr:uid="{1EFF910A-E803-45E1-8BF0-AB11C1078A1F}"/>
    <cellStyle name="Note 12_Exh G" xfId="3577" xr:uid="{00000000-0005-0000-0000-0000085F0000}"/>
    <cellStyle name="Note 13" xfId="695" xr:uid="{00000000-0005-0000-0000-0000095F0000}"/>
    <cellStyle name="Note 13 10" xfId="26544" xr:uid="{79FD5979-0253-49E1-A7D9-E7F7DE2CECBD}"/>
    <cellStyle name="Note 13 2" xfId="696" xr:uid="{00000000-0005-0000-0000-00000A5F0000}"/>
    <cellStyle name="Note 13 2 2" xfId="697" xr:uid="{00000000-0005-0000-0000-00000B5F0000}"/>
    <cellStyle name="Note 13 2 2 2" xfId="1723" xr:uid="{00000000-0005-0000-0000-00000C5F0000}"/>
    <cellStyle name="Note 13 2 2 2 2" xfId="5250" xr:uid="{00000000-0005-0000-0000-00000D5F0000}"/>
    <cellStyle name="Note 13 2 2 2 2 2" xfId="8841" xr:uid="{00000000-0005-0000-0000-00000E5F0000}"/>
    <cellStyle name="Note 13 2 2 2 2 2 2" xfId="16811" xr:uid="{00000000-0005-0000-0000-00000F5F0000}"/>
    <cellStyle name="Note 13 2 2 2 2 2 2 2" xfId="40653" xr:uid="{66713EA3-60EA-44C5-BA1D-59A7CFB8F11E}"/>
    <cellStyle name="Note 13 2 2 2 2 2 3" xfId="24757" xr:uid="{00000000-0005-0000-0000-0000105F0000}"/>
    <cellStyle name="Note 13 2 2 2 2 2 3 2" xfId="48589" xr:uid="{4078F387-9BCD-4242-9D16-0C336C4DC225}"/>
    <cellStyle name="Note 13 2 2 2 2 2 4" xfId="32712" xr:uid="{E1D23F08-A383-47BD-A280-81E74A491848}"/>
    <cellStyle name="Note 13 2 2 2 2 3" xfId="13273" xr:uid="{00000000-0005-0000-0000-0000115F0000}"/>
    <cellStyle name="Note 13 2 2 2 2 3 2" xfId="37122" xr:uid="{228E5BCE-E6F6-46E2-93E8-F2432D789648}"/>
    <cellStyle name="Note 13 2 2 2 2 4" xfId="21228" xr:uid="{00000000-0005-0000-0000-0000125F0000}"/>
    <cellStyle name="Note 13 2 2 2 2 4 2" xfId="45060" xr:uid="{654DF001-BF72-4605-A8DC-105C91CC4E22}"/>
    <cellStyle name="Note 13 2 2 2 2 5" xfId="29181" xr:uid="{CCDC569C-5736-49A8-A6B9-60CB5BFC201F}"/>
    <cellStyle name="Note 13 2 2 2 3" xfId="7082" xr:uid="{00000000-0005-0000-0000-0000135F0000}"/>
    <cellStyle name="Note 13 2 2 2 3 2" xfId="15053" xr:uid="{00000000-0005-0000-0000-0000145F0000}"/>
    <cellStyle name="Note 13 2 2 2 3 2 2" xfId="38895" xr:uid="{D2341A07-E8CA-4163-BCC9-0F97F7AFFB01}"/>
    <cellStyle name="Note 13 2 2 2 3 3" xfId="23000" xr:uid="{00000000-0005-0000-0000-0000155F0000}"/>
    <cellStyle name="Note 13 2 2 2 3 3 2" xfId="46832" xr:uid="{E585CF3E-28D7-4503-A7B5-A8196D64D390}"/>
    <cellStyle name="Note 13 2 2 2 3 4" xfId="30954" xr:uid="{D0936168-30A7-45F9-BC70-D46C30613FBA}"/>
    <cellStyle name="Note 13 2 2 2 4" xfId="11517" xr:uid="{00000000-0005-0000-0000-0000165F0000}"/>
    <cellStyle name="Note 13 2 2 2 4 2" xfId="35366" xr:uid="{44171DA5-EB22-430E-8FEF-A0B5DD9D8AE6}"/>
    <cellStyle name="Note 13 2 2 2 5" xfId="19472" xr:uid="{00000000-0005-0000-0000-0000175F0000}"/>
    <cellStyle name="Note 13 2 2 2 5 2" xfId="43304" xr:uid="{D97F4248-F350-4131-82B6-37D606189F74}"/>
    <cellStyle name="Note 13 2 2 2 6" xfId="27424" xr:uid="{1952B678-7DF0-442E-87B3-8C78E5272EDD}"/>
    <cellStyle name="Note 13 2 2 2_Exh G" xfId="3588" xr:uid="{00000000-0005-0000-0000-0000185F0000}"/>
    <cellStyle name="Note 13 2 2 3" xfId="4371" xr:uid="{00000000-0005-0000-0000-0000195F0000}"/>
    <cellStyle name="Note 13 2 2 3 2" xfId="7963" xr:uid="{00000000-0005-0000-0000-00001A5F0000}"/>
    <cellStyle name="Note 13 2 2 3 2 2" xfId="15933" xr:uid="{00000000-0005-0000-0000-00001B5F0000}"/>
    <cellStyle name="Note 13 2 2 3 2 2 2" xfId="39775" xr:uid="{4F172474-F5AE-4D99-B021-CA0BB039D3FF}"/>
    <cellStyle name="Note 13 2 2 3 2 3" xfId="23879" xr:uid="{00000000-0005-0000-0000-00001C5F0000}"/>
    <cellStyle name="Note 13 2 2 3 2 3 2" xfId="47711" xr:uid="{47A84708-C7A1-498F-B6C8-7671EA58C035}"/>
    <cellStyle name="Note 13 2 2 3 2 4" xfId="31834" xr:uid="{C30B433E-8E42-4191-9232-D1DB69764624}"/>
    <cellStyle name="Note 13 2 2 3 3" xfId="12395" xr:uid="{00000000-0005-0000-0000-00001D5F0000}"/>
    <cellStyle name="Note 13 2 2 3 3 2" xfId="36244" xr:uid="{20325F27-9BA4-4918-9C81-F1DB7353B197}"/>
    <cellStyle name="Note 13 2 2 3 4" xfId="20350" xr:uid="{00000000-0005-0000-0000-00001E5F0000}"/>
    <cellStyle name="Note 13 2 2 3 4 2" xfId="44182" xr:uid="{6CB431F2-D9EB-4599-904B-7CE74881A1B3}"/>
    <cellStyle name="Note 13 2 2 3 5" xfId="28303" xr:uid="{9EBEE8C0-FBE6-45CE-956B-6618E784F992}"/>
    <cellStyle name="Note 13 2 2 4" xfId="6191" xr:uid="{00000000-0005-0000-0000-00001F5F0000}"/>
    <cellStyle name="Note 13 2 2 4 2" xfId="14174" xr:uid="{00000000-0005-0000-0000-0000205F0000}"/>
    <cellStyle name="Note 13 2 2 4 2 2" xfId="38017" xr:uid="{160F5807-D0D2-43D1-83C6-D05D3E3791EC}"/>
    <cellStyle name="Note 13 2 2 4 3" xfId="22122" xr:uid="{00000000-0005-0000-0000-0000215F0000}"/>
    <cellStyle name="Note 13 2 2 4 3 2" xfId="45954" xr:uid="{611CAF25-5CA6-437E-A98C-41AE1A30877E}"/>
    <cellStyle name="Note 13 2 2 4 4" xfId="30076" xr:uid="{6FD460EC-405B-4FC4-9F3E-D9131B8F6DC4}"/>
    <cellStyle name="Note 13 2 2 5" xfId="9743" xr:uid="{00000000-0005-0000-0000-0000225F0000}"/>
    <cellStyle name="Note 13 2 2 5 2" xfId="17701" xr:uid="{00000000-0005-0000-0000-0000235F0000}"/>
    <cellStyle name="Note 13 2 2 5 2 2" xfId="41541" xr:uid="{ED866060-FCD5-444E-8D77-337FE6FAED3A}"/>
    <cellStyle name="Note 13 2 2 5 3" xfId="25645" xr:uid="{00000000-0005-0000-0000-0000245F0000}"/>
    <cellStyle name="Note 13 2 2 5 3 2" xfId="49477" xr:uid="{D6930FEA-A49E-4C50-AB54-5CB450FF23B1}"/>
    <cellStyle name="Note 13 2 2 5 4" xfId="33600" xr:uid="{E099F997-DAB5-453C-8C3F-BD8056231C8B}"/>
    <cellStyle name="Note 13 2 2 6" xfId="10639" xr:uid="{00000000-0005-0000-0000-0000255F0000}"/>
    <cellStyle name="Note 13 2 2 6 2" xfId="34488" xr:uid="{0A51224B-699F-4B91-9031-D4AFB98B4701}"/>
    <cellStyle name="Note 13 2 2 7" xfId="18594" xr:uid="{00000000-0005-0000-0000-0000265F0000}"/>
    <cellStyle name="Note 13 2 2 7 2" xfId="42426" xr:uid="{9C824B5E-9C91-4C6C-8E8B-8A556D5BB8F5}"/>
    <cellStyle name="Note 13 2 2 8" xfId="26546" xr:uid="{7176ECA1-52D0-44C2-BDE0-953E27C73ACA}"/>
    <cellStyle name="Note 13 2 2_Exh G" xfId="3587" xr:uid="{00000000-0005-0000-0000-0000275F0000}"/>
    <cellStyle name="Note 13 2 3" xfId="1722" xr:uid="{00000000-0005-0000-0000-0000285F0000}"/>
    <cellStyle name="Note 13 2 3 2" xfId="5249" xr:uid="{00000000-0005-0000-0000-0000295F0000}"/>
    <cellStyle name="Note 13 2 3 2 2" xfId="8840" xr:uid="{00000000-0005-0000-0000-00002A5F0000}"/>
    <cellStyle name="Note 13 2 3 2 2 2" xfId="16810" xr:uid="{00000000-0005-0000-0000-00002B5F0000}"/>
    <cellStyle name="Note 13 2 3 2 2 2 2" xfId="40652" xr:uid="{E2E43E3E-2643-408C-8C7F-AB3CA7746169}"/>
    <cellStyle name="Note 13 2 3 2 2 3" xfId="24756" xr:uid="{00000000-0005-0000-0000-00002C5F0000}"/>
    <cellStyle name="Note 13 2 3 2 2 3 2" xfId="48588" xr:uid="{C47AD8E7-017C-431B-AE23-9275C439891C}"/>
    <cellStyle name="Note 13 2 3 2 2 4" xfId="32711" xr:uid="{CB05B724-8679-4A98-A009-E1C671399E39}"/>
    <cellStyle name="Note 13 2 3 2 3" xfId="13272" xr:uid="{00000000-0005-0000-0000-00002D5F0000}"/>
    <cellStyle name="Note 13 2 3 2 3 2" xfId="37121" xr:uid="{AAFD52F1-F0FC-488E-9323-8A8F0A2C8D0F}"/>
    <cellStyle name="Note 13 2 3 2 4" xfId="21227" xr:uid="{00000000-0005-0000-0000-00002E5F0000}"/>
    <cellStyle name="Note 13 2 3 2 4 2" xfId="45059" xr:uid="{49130B28-4D3A-4267-8E2F-647CC9D3FCC1}"/>
    <cellStyle name="Note 13 2 3 2 5" xfId="29180" xr:uid="{9D2CED16-E43A-466A-AABB-1F675BA21964}"/>
    <cellStyle name="Note 13 2 3 3" xfId="7081" xr:uid="{00000000-0005-0000-0000-00002F5F0000}"/>
    <cellStyle name="Note 13 2 3 3 2" xfId="15052" xr:uid="{00000000-0005-0000-0000-0000305F0000}"/>
    <cellStyle name="Note 13 2 3 3 2 2" xfId="38894" xr:uid="{C31E4CB5-8658-4E78-B018-C5A33271DBE8}"/>
    <cellStyle name="Note 13 2 3 3 3" xfId="22999" xr:uid="{00000000-0005-0000-0000-0000315F0000}"/>
    <cellStyle name="Note 13 2 3 3 3 2" xfId="46831" xr:uid="{355DBCDC-2A45-41ED-8BF2-799A7294B162}"/>
    <cellStyle name="Note 13 2 3 3 4" xfId="30953" xr:uid="{AE7A82A1-CCCE-4434-966E-CAF0A3FB980B}"/>
    <cellStyle name="Note 13 2 3 4" xfId="11516" xr:uid="{00000000-0005-0000-0000-0000325F0000}"/>
    <cellStyle name="Note 13 2 3 4 2" xfId="35365" xr:uid="{509708AE-CC0F-4BD2-BF8A-767F088C04BB}"/>
    <cellStyle name="Note 13 2 3 5" xfId="19471" xr:uid="{00000000-0005-0000-0000-0000335F0000}"/>
    <cellStyle name="Note 13 2 3 5 2" xfId="43303" xr:uid="{FB3C0F41-88E8-4B7A-AFB4-293E6AB1EA6D}"/>
    <cellStyle name="Note 13 2 3 6" xfId="27423" xr:uid="{B62C39B3-D846-4FBA-AF2B-C9DDF8B19871}"/>
    <cellStyle name="Note 13 2 3_Exh G" xfId="3589" xr:uid="{00000000-0005-0000-0000-0000345F0000}"/>
    <cellStyle name="Note 13 2 4" xfId="4370" xr:uid="{00000000-0005-0000-0000-0000355F0000}"/>
    <cellStyle name="Note 13 2 4 2" xfId="7962" xr:uid="{00000000-0005-0000-0000-0000365F0000}"/>
    <cellStyle name="Note 13 2 4 2 2" xfId="15932" xr:uid="{00000000-0005-0000-0000-0000375F0000}"/>
    <cellStyle name="Note 13 2 4 2 2 2" xfId="39774" xr:uid="{039A3BE8-8F5B-48D9-B55B-A66884FF0ADF}"/>
    <cellStyle name="Note 13 2 4 2 3" xfId="23878" xr:uid="{00000000-0005-0000-0000-0000385F0000}"/>
    <cellStyle name="Note 13 2 4 2 3 2" xfId="47710" xr:uid="{C4F790B7-BBFB-4F8A-B539-03BCEB2983F9}"/>
    <cellStyle name="Note 13 2 4 2 4" xfId="31833" xr:uid="{A6BCD3CB-B3CC-44B9-AD38-7E269788E012}"/>
    <cellStyle name="Note 13 2 4 3" xfId="12394" xr:uid="{00000000-0005-0000-0000-0000395F0000}"/>
    <cellStyle name="Note 13 2 4 3 2" xfId="36243" xr:uid="{E3860DAA-7ECA-4567-908A-61B9F145CBF9}"/>
    <cellStyle name="Note 13 2 4 4" xfId="20349" xr:uid="{00000000-0005-0000-0000-00003A5F0000}"/>
    <cellStyle name="Note 13 2 4 4 2" xfId="44181" xr:uid="{06E9F0F5-70F2-424A-B1A1-3DF9E55323C3}"/>
    <cellStyle name="Note 13 2 4 5" xfId="28302" xr:uid="{9F802D7D-3BC4-4177-847E-3C9542EA0010}"/>
    <cellStyle name="Note 13 2 5" xfId="6190" xr:uid="{00000000-0005-0000-0000-00003B5F0000}"/>
    <cellStyle name="Note 13 2 5 2" xfId="14173" xr:uid="{00000000-0005-0000-0000-00003C5F0000}"/>
    <cellStyle name="Note 13 2 5 2 2" xfId="38016" xr:uid="{B6A28517-72B3-4548-A260-6D3C69A053E4}"/>
    <cellStyle name="Note 13 2 5 3" xfId="22121" xr:uid="{00000000-0005-0000-0000-00003D5F0000}"/>
    <cellStyle name="Note 13 2 5 3 2" xfId="45953" xr:uid="{4D4DA0D1-3930-4E18-8092-44D0FEFC1143}"/>
    <cellStyle name="Note 13 2 5 4" xfId="30075" xr:uid="{D9BD1F10-07A9-4C71-9F7C-AC59F5E33AB9}"/>
    <cellStyle name="Note 13 2 6" xfId="9742" xr:uid="{00000000-0005-0000-0000-00003E5F0000}"/>
    <cellStyle name="Note 13 2 6 2" xfId="17700" xr:uid="{00000000-0005-0000-0000-00003F5F0000}"/>
    <cellStyle name="Note 13 2 6 2 2" xfId="41540" xr:uid="{B2EE4DD1-89E4-40C9-99BB-5926B73A7C9E}"/>
    <cellStyle name="Note 13 2 6 3" xfId="25644" xr:uid="{00000000-0005-0000-0000-0000405F0000}"/>
    <cellStyle name="Note 13 2 6 3 2" xfId="49476" xr:uid="{A2519A22-D171-407C-807C-4DAE02BD1FDE}"/>
    <cellStyle name="Note 13 2 6 4" xfId="33599" xr:uid="{24D07F42-0104-47A9-AA14-1CD4B35B14DC}"/>
    <cellStyle name="Note 13 2 7" xfId="10638" xr:uid="{00000000-0005-0000-0000-0000415F0000}"/>
    <cellStyle name="Note 13 2 7 2" xfId="34487" xr:uid="{CCDACD96-989B-46BC-8868-D72DBD5ED398}"/>
    <cellStyle name="Note 13 2 8" xfId="18593" xr:uid="{00000000-0005-0000-0000-0000425F0000}"/>
    <cellStyle name="Note 13 2 8 2" xfId="42425" xr:uid="{11D80C82-2019-4585-AEC4-3FA693F17F90}"/>
    <cellStyle name="Note 13 2 9" xfId="26545" xr:uid="{07198167-BECF-4F7C-9C68-E79D214DA7BD}"/>
    <cellStyle name="Note 13 2_Exh G" xfId="3586" xr:uid="{00000000-0005-0000-0000-0000435F0000}"/>
    <cellStyle name="Note 13 3" xfId="698" xr:uid="{00000000-0005-0000-0000-0000445F0000}"/>
    <cellStyle name="Note 13 3 2" xfId="1724" xr:uid="{00000000-0005-0000-0000-0000455F0000}"/>
    <cellStyle name="Note 13 3 2 2" xfId="5251" xr:uid="{00000000-0005-0000-0000-0000465F0000}"/>
    <cellStyle name="Note 13 3 2 2 2" xfId="8842" xr:uid="{00000000-0005-0000-0000-0000475F0000}"/>
    <cellStyle name="Note 13 3 2 2 2 2" xfId="16812" xr:uid="{00000000-0005-0000-0000-0000485F0000}"/>
    <cellStyle name="Note 13 3 2 2 2 2 2" xfId="40654" xr:uid="{3A4959A1-08C6-429B-8ECC-393A745DC5CC}"/>
    <cellStyle name="Note 13 3 2 2 2 3" xfId="24758" xr:uid="{00000000-0005-0000-0000-0000495F0000}"/>
    <cellStyle name="Note 13 3 2 2 2 3 2" xfId="48590" xr:uid="{3931DC01-F6A2-44F2-8F34-1EED0FEBE121}"/>
    <cellStyle name="Note 13 3 2 2 2 4" xfId="32713" xr:uid="{B7328DB3-1800-4537-BD09-14613016697B}"/>
    <cellStyle name="Note 13 3 2 2 3" xfId="13274" xr:uid="{00000000-0005-0000-0000-00004A5F0000}"/>
    <cellStyle name="Note 13 3 2 2 3 2" xfId="37123" xr:uid="{F067FF56-5387-47F0-9310-808D7540BED4}"/>
    <cellStyle name="Note 13 3 2 2 4" xfId="21229" xr:uid="{00000000-0005-0000-0000-00004B5F0000}"/>
    <cellStyle name="Note 13 3 2 2 4 2" xfId="45061" xr:uid="{28660AD3-397E-4BBE-803D-12958B45AA2C}"/>
    <cellStyle name="Note 13 3 2 2 5" xfId="29182" xr:uid="{905D6918-BA91-4348-9CF1-C3373B9F25EF}"/>
    <cellStyle name="Note 13 3 2 3" xfId="7083" xr:uid="{00000000-0005-0000-0000-00004C5F0000}"/>
    <cellStyle name="Note 13 3 2 3 2" xfId="15054" xr:uid="{00000000-0005-0000-0000-00004D5F0000}"/>
    <cellStyle name="Note 13 3 2 3 2 2" xfId="38896" xr:uid="{C54920C4-39C4-4320-A048-B8F3E8924436}"/>
    <cellStyle name="Note 13 3 2 3 3" xfId="23001" xr:uid="{00000000-0005-0000-0000-00004E5F0000}"/>
    <cellStyle name="Note 13 3 2 3 3 2" xfId="46833" xr:uid="{21D81DCE-3877-4A32-B4A6-4A777E79D5AD}"/>
    <cellStyle name="Note 13 3 2 3 4" xfId="30955" xr:uid="{9267A9D6-D882-47A4-908F-4DD2475B7356}"/>
    <cellStyle name="Note 13 3 2 4" xfId="11518" xr:uid="{00000000-0005-0000-0000-00004F5F0000}"/>
    <cellStyle name="Note 13 3 2 4 2" xfId="35367" xr:uid="{857BF57F-D252-4D2E-ABD9-FCA59D497798}"/>
    <cellStyle name="Note 13 3 2 5" xfId="19473" xr:uid="{00000000-0005-0000-0000-0000505F0000}"/>
    <cellStyle name="Note 13 3 2 5 2" xfId="43305" xr:uid="{60ED4AD4-34F9-475B-A606-EDA15F53A049}"/>
    <cellStyle name="Note 13 3 2 6" xfId="27425" xr:uid="{05844245-2432-46C2-9BB9-F195F2B58664}"/>
    <cellStyle name="Note 13 3 2_Exh G" xfId="3591" xr:uid="{00000000-0005-0000-0000-0000515F0000}"/>
    <cellStyle name="Note 13 3 3" xfId="4372" xr:uid="{00000000-0005-0000-0000-0000525F0000}"/>
    <cellStyle name="Note 13 3 3 2" xfId="7964" xr:uid="{00000000-0005-0000-0000-0000535F0000}"/>
    <cellStyle name="Note 13 3 3 2 2" xfId="15934" xr:uid="{00000000-0005-0000-0000-0000545F0000}"/>
    <cellStyle name="Note 13 3 3 2 2 2" xfId="39776" xr:uid="{B56D0C39-DF9F-482C-9777-A14AB3EF4F78}"/>
    <cellStyle name="Note 13 3 3 2 3" xfId="23880" xr:uid="{00000000-0005-0000-0000-0000555F0000}"/>
    <cellStyle name="Note 13 3 3 2 3 2" xfId="47712" xr:uid="{7C8DD5C3-C823-4BE8-A625-1A2D4C3F487D}"/>
    <cellStyle name="Note 13 3 3 2 4" xfId="31835" xr:uid="{0FE1B94D-9423-4388-83FC-716B86CA14A3}"/>
    <cellStyle name="Note 13 3 3 3" xfId="12396" xr:uid="{00000000-0005-0000-0000-0000565F0000}"/>
    <cellStyle name="Note 13 3 3 3 2" xfId="36245" xr:uid="{FD4D8E1E-CE02-4CC3-9927-4F4EA973F16A}"/>
    <cellStyle name="Note 13 3 3 4" xfId="20351" xr:uid="{00000000-0005-0000-0000-0000575F0000}"/>
    <cellStyle name="Note 13 3 3 4 2" xfId="44183" xr:uid="{69F3DBEC-5E52-49C2-A871-668B260B3172}"/>
    <cellStyle name="Note 13 3 3 5" xfId="28304" xr:uid="{3E7FF69C-7070-43EF-8EA3-6731F34C3851}"/>
    <cellStyle name="Note 13 3 4" xfId="6192" xr:uid="{00000000-0005-0000-0000-0000585F0000}"/>
    <cellStyle name="Note 13 3 4 2" xfId="14175" xr:uid="{00000000-0005-0000-0000-0000595F0000}"/>
    <cellStyle name="Note 13 3 4 2 2" xfId="38018" xr:uid="{C839A9B6-A9FA-4025-9864-86DDED7E738F}"/>
    <cellStyle name="Note 13 3 4 3" xfId="22123" xr:uid="{00000000-0005-0000-0000-00005A5F0000}"/>
    <cellStyle name="Note 13 3 4 3 2" xfId="45955" xr:uid="{F9408599-7B60-4EA4-8813-C6DC393D5E2B}"/>
    <cellStyle name="Note 13 3 4 4" xfId="30077" xr:uid="{7F30711A-58E1-4AD1-BEE1-3778DC6640C5}"/>
    <cellStyle name="Note 13 3 5" xfId="9744" xr:uid="{00000000-0005-0000-0000-00005B5F0000}"/>
    <cellStyle name="Note 13 3 5 2" xfId="17702" xr:uid="{00000000-0005-0000-0000-00005C5F0000}"/>
    <cellStyle name="Note 13 3 5 2 2" xfId="41542" xr:uid="{0FCDB1DE-BAD5-49BF-9CFB-2EEEE9DA2647}"/>
    <cellStyle name="Note 13 3 5 3" xfId="25646" xr:uid="{00000000-0005-0000-0000-00005D5F0000}"/>
    <cellStyle name="Note 13 3 5 3 2" xfId="49478" xr:uid="{B9CD72C9-01D2-4894-BBA5-10196D1BB3B5}"/>
    <cellStyle name="Note 13 3 5 4" xfId="33601" xr:uid="{649DA29C-134A-4694-B42E-1C2DDFCDA548}"/>
    <cellStyle name="Note 13 3 6" xfId="10640" xr:uid="{00000000-0005-0000-0000-00005E5F0000}"/>
    <cellStyle name="Note 13 3 6 2" xfId="34489" xr:uid="{E04110B8-88F8-4790-BAEA-CAB2DAE50B0C}"/>
    <cellStyle name="Note 13 3 7" xfId="18595" xr:uid="{00000000-0005-0000-0000-00005F5F0000}"/>
    <cellStyle name="Note 13 3 7 2" xfId="42427" xr:uid="{480592E9-6DD2-4543-87C4-37C72E4184F9}"/>
    <cellStyle name="Note 13 3 8" xfId="26547" xr:uid="{71881DA7-CF08-40B9-A384-3F574B312444}"/>
    <cellStyle name="Note 13 3_Exh G" xfId="3590" xr:uid="{00000000-0005-0000-0000-0000605F0000}"/>
    <cellStyle name="Note 13 4" xfId="1721" xr:uid="{00000000-0005-0000-0000-0000615F0000}"/>
    <cellStyle name="Note 13 4 2" xfId="5248" xr:uid="{00000000-0005-0000-0000-0000625F0000}"/>
    <cellStyle name="Note 13 4 2 2" xfId="8839" xr:uid="{00000000-0005-0000-0000-0000635F0000}"/>
    <cellStyle name="Note 13 4 2 2 2" xfId="16809" xr:uid="{00000000-0005-0000-0000-0000645F0000}"/>
    <cellStyle name="Note 13 4 2 2 2 2" xfId="40651" xr:uid="{8A713D06-685D-487F-83AA-9EEC251787E7}"/>
    <cellStyle name="Note 13 4 2 2 3" xfId="24755" xr:uid="{00000000-0005-0000-0000-0000655F0000}"/>
    <cellStyle name="Note 13 4 2 2 3 2" xfId="48587" xr:uid="{7E0321DF-622C-4030-9288-CA439FA98E2C}"/>
    <cellStyle name="Note 13 4 2 2 4" xfId="32710" xr:uid="{56B8CF41-8C92-4509-9882-2D4D27EEBF3F}"/>
    <cellStyle name="Note 13 4 2 3" xfId="13271" xr:uid="{00000000-0005-0000-0000-0000665F0000}"/>
    <cellStyle name="Note 13 4 2 3 2" xfId="37120" xr:uid="{FCB30E4C-675A-4FF6-9DBD-889B2DDF6D69}"/>
    <cellStyle name="Note 13 4 2 4" xfId="21226" xr:uid="{00000000-0005-0000-0000-0000675F0000}"/>
    <cellStyle name="Note 13 4 2 4 2" xfId="45058" xr:uid="{CB3DB2D1-6C36-43B7-AFB0-F00EBDBAC8B0}"/>
    <cellStyle name="Note 13 4 2 5" xfId="29179" xr:uid="{9F65802A-A86F-4D75-AD91-605931810512}"/>
    <cellStyle name="Note 13 4 3" xfId="7080" xr:uid="{00000000-0005-0000-0000-0000685F0000}"/>
    <cellStyle name="Note 13 4 3 2" xfId="15051" xr:uid="{00000000-0005-0000-0000-0000695F0000}"/>
    <cellStyle name="Note 13 4 3 2 2" xfId="38893" xr:uid="{B9C60AF9-A555-400C-A574-60E5EC1D51C7}"/>
    <cellStyle name="Note 13 4 3 3" xfId="22998" xr:uid="{00000000-0005-0000-0000-00006A5F0000}"/>
    <cellStyle name="Note 13 4 3 3 2" xfId="46830" xr:uid="{BA830785-A7BC-4701-9AAF-4D47C0D212EC}"/>
    <cellStyle name="Note 13 4 3 4" xfId="30952" xr:uid="{4EF463DE-1B32-41F8-866B-6E0259BB2D03}"/>
    <cellStyle name="Note 13 4 4" xfId="11515" xr:uid="{00000000-0005-0000-0000-00006B5F0000}"/>
    <cellStyle name="Note 13 4 4 2" xfId="35364" xr:uid="{390F38BD-BF98-4082-961F-77FC87CB48B0}"/>
    <cellStyle name="Note 13 4 5" xfId="19470" xr:uid="{00000000-0005-0000-0000-00006C5F0000}"/>
    <cellStyle name="Note 13 4 5 2" xfId="43302" xr:uid="{88528CF3-F11D-4162-A056-BCD3FC16A0C9}"/>
    <cellStyle name="Note 13 4 6" xfId="27422" xr:uid="{CA82F43C-9308-4954-9EC5-BB053651A520}"/>
    <cellStyle name="Note 13 4_Exh G" xfId="3592" xr:uid="{00000000-0005-0000-0000-00006D5F0000}"/>
    <cellStyle name="Note 13 5" xfId="4369" xr:uid="{00000000-0005-0000-0000-00006E5F0000}"/>
    <cellStyle name="Note 13 5 2" xfId="7961" xr:uid="{00000000-0005-0000-0000-00006F5F0000}"/>
    <cellStyle name="Note 13 5 2 2" xfId="15931" xr:uid="{00000000-0005-0000-0000-0000705F0000}"/>
    <cellStyle name="Note 13 5 2 2 2" xfId="39773" xr:uid="{AD8E9FF8-3712-4F21-A667-1841169491D7}"/>
    <cellStyle name="Note 13 5 2 3" xfId="23877" xr:uid="{00000000-0005-0000-0000-0000715F0000}"/>
    <cellStyle name="Note 13 5 2 3 2" xfId="47709" xr:uid="{EE1EF38F-E55F-4D70-8FC4-B77EBDA0E7B8}"/>
    <cellStyle name="Note 13 5 2 4" xfId="31832" xr:uid="{FE5492B3-2C40-4E68-A18F-BABB67607079}"/>
    <cellStyle name="Note 13 5 3" xfId="12393" xr:uid="{00000000-0005-0000-0000-0000725F0000}"/>
    <cellStyle name="Note 13 5 3 2" xfId="36242" xr:uid="{6061E35B-1344-4707-83E7-18876AA06350}"/>
    <cellStyle name="Note 13 5 4" xfId="20348" xr:uid="{00000000-0005-0000-0000-0000735F0000}"/>
    <cellStyle name="Note 13 5 4 2" xfId="44180" xr:uid="{7812A965-1CE4-4763-BACB-7F80C223928F}"/>
    <cellStyle name="Note 13 5 5" xfId="28301" xr:uid="{BEC16F2A-C676-45D3-BB2A-8B6E715BBE80}"/>
    <cellStyle name="Note 13 6" xfId="6189" xr:uid="{00000000-0005-0000-0000-0000745F0000}"/>
    <cellStyle name="Note 13 6 2" xfId="14172" xr:uid="{00000000-0005-0000-0000-0000755F0000}"/>
    <cellStyle name="Note 13 6 2 2" xfId="38015" xr:uid="{E7E0B022-FE12-4D46-BA10-076018119599}"/>
    <cellStyle name="Note 13 6 3" xfId="22120" xr:uid="{00000000-0005-0000-0000-0000765F0000}"/>
    <cellStyle name="Note 13 6 3 2" xfId="45952" xr:uid="{6498AC32-41A3-432F-8484-5302D2DEAA08}"/>
    <cellStyle name="Note 13 6 4" xfId="30074" xr:uid="{7C8D194B-4AE9-49FE-8852-A6C35A610A86}"/>
    <cellStyle name="Note 13 7" xfId="9741" xr:uid="{00000000-0005-0000-0000-0000775F0000}"/>
    <cellStyle name="Note 13 7 2" xfId="17699" xr:uid="{00000000-0005-0000-0000-0000785F0000}"/>
    <cellStyle name="Note 13 7 2 2" xfId="41539" xr:uid="{D536261B-AB34-4176-9DD8-318257AB0556}"/>
    <cellStyle name="Note 13 7 3" xfId="25643" xr:uid="{00000000-0005-0000-0000-0000795F0000}"/>
    <cellStyle name="Note 13 7 3 2" xfId="49475" xr:uid="{0FE51794-BCC7-4320-B632-93BAD92DCFC2}"/>
    <cellStyle name="Note 13 7 4" xfId="33598" xr:uid="{DD0FE282-9C60-4D4F-BBD9-A59A2BF7F19D}"/>
    <cellStyle name="Note 13 8" xfId="10637" xr:uid="{00000000-0005-0000-0000-00007A5F0000}"/>
    <cellStyle name="Note 13 8 2" xfId="34486" xr:uid="{88128B7A-B8DE-41AF-ABCF-1757E659677B}"/>
    <cellStyle name="Note 13 9" xfId="18592" xr:uid="{00000000-0005-0000-0000-00007B5F0000}"/>
    <cellStyle name="Note 13 9 2" xfId="42424" xr:uid="{4631451E-75F5-4DE0-895B-043527B3B16A}"/>
    <cellStyle name="Note 13_Exh G" xfId="3585" xr:uid="{00000000-0005-0000-0000-00007C5F0000}"/>
    <cellStyle name="Note 14" xfId="699" xr:uid="{00000000-0005-0000-0000-00007D5F0000}"/>
    <cellStyle name="Note 14 10" xfId="26548" xr:uid="{B052CE58-BB1E-428C-95D0-79C6228D6AF5}"/>
    <cellStyle name="Note 14 2" xfId="700" xr:uid="{00000000-0005-0000-0000-00007E5F0000}"/>
    <cellStyle name="Note 14 2 2" xfId="701" xr:uid="{00000000-0005-0000-0000-00007F5F0000}"/>
    <cellStyle name="Note 14 2 2 2" xfId="1727" xr:uid="{00000000-0005-0000-0000-0000805F0000}"/>
    <cellStyle name="Note 14 2 2 2 2" xfId="5254" xr:uid="{00000000-0005-0000-0000-0000815F0000}"/>
    <cellStyle name="Note 14 2 2 2 2 2" xfId="8845" xr:uid="{00000000-0005-0000-0000-0000825F0000}"/>
    <cellStyle name="Note 14 2 2 2 2 2 2" xfId="16815" xr:uid="{00000000-0005-0000-0000-0000835F0000}"/>
    <cellStyle name="Note 14 2 2 2 2 2 2 2" xfId="40657" xr:uid="{E226E0BA-5E89-4BD7-BA0F-FBC51B860351}"/>
    <cellStyle name="Note 14 2 2 2 2 2 3" xfId="24761" xr:uid="{00000000-0005-0000-0000-0000845F0000}"/>
    <cellStyle name="Note 14 2 2 2 2 2 3 2" xfId="48593" xr:uid="{609BDD47-E52F-4E30-B19A-D09B61E2A5A6}"/>
    <cellStyle name="Note 14 2 2 2 2 2 4" xfId="32716" xr:uid="{FB2B6A2E-203A-4C74-B981-B3CB2AEDE4A6}"/>
    <cellStyle name="Note 14 2 2 2 2 3" xfId="13277" xr:uid="{00000000-0005-0000-0000-0000855F0000}"/>
    <cellStyle name="Note 14 2 2 2 2 3 2" xfId="37126" xr:uid="{3F2365AC-16F7-4033-8EEE-BCC62208B818}"/>
    <cellStyle name="Note 14 2 2 2 2 4" xfId="21232" xr:uid="{00000000-0005-0000-0000-0000865F0000}"/>
    <cellStyle name="Note 14 2 2 2 2 4 2" xfId="45064" xr:uid="{95826533-2678-4B83-8C30-63CDA236C56D}"/>
    <cellStyle name="Note 14 2 2 2 2 5" xfId="29185" xr:uid="{DA9CEDEB-B56C-494E-87DC-C498AF9D5BD8}"/>
    <cellStyle name="Note 14 2 2 2 3" xfId="7086" xr:uid="{00000000-0005-0000-0000-0000875F0000}"/>
    <cellStyle name="Note 14 2 2 2 3 2" xfId="15057" xr:uid="{00000000-0005-0000-0000-0000885F0000}"/>
    <cellStyle name="Note 14 2 2 2 3 2 2" xfId="38899" xr:uid="{B6490FB2-37F6-438F-8115-9619145EBD79}"/>
    <cellStyle name="Note 14 2 2 2 3 3" xfId="23004" xr:uid="{00000000-0005-0000-0000-0000895F0000}"/>
    <cellStyle name="Note 14 2 2 2 3 3 2" xfId="46836" xr:uid="{9C023685-1073-48E8-899D-8FE4AC609623}"/>
    <cellStyle name="Note 14 2 2 2 3 4" xfId="30958" xr:uid="{7C24AFA5-A130-460B-A41E-580013F18F92}"/>
    <cellStyle name="Note 14 2 2 2 4" xfId="11521" xr:uid="{00000000-0005-0000-0000-00008A5F0000}"/>
    <cellStyle name="Note 14 2 2 2 4 2" xfId="35370" xr:uid="{12EDDA51-C977-4271-A37B-A5ED8A0E81BA}"/>
    <cellStyle name="Note 14 2 2 2 5" xfId="19476" xr:uid="{00000000-0005-0000-0000-00008B5F0000}"/>
    <cellStyle name="Note 14 2 2 2 5 2" xfId="43308" xr:uid="{C6006446-72CD-4157-8812-1F403516688C}"/>
    <cellStyle name="Note 14 2 2 2 6" xfId="27428" xr:uid="{9495B279-067F-4943-B671-92266E24E4F7}"/>
    <cellStyle name="Note 14 2 2 2_Exh G" xfId="3596" xr:uid="{00000000-0005-0000-0000-00008C5F0000}"/>
    <cellStyle name="Note 14 2 2 3" xfId="4375" xr:uid="{00000000-0005-0000-0000-00008D5F0000}"/>
    <cellStyle name="Note 14 2 2 3 2" xfId="7967" xr:uid="{00000000-0005-0000-0000-00008E5F0000}"/>
    <cellStyle name="Note 14 2 2 3 2 2" xfId="15937" xr:uid="{00000000-0005-0000-0000-00008F5F0000}"/>
    <cellStyle name="Note 14 2 2 3 2 2 2" xfId="39779" xr:uid="{853C9227-EC8A-4748-9F01-698FB7B004B2}"/>
    <cellStyle name="Note 14 2 2 3 2 3" xfId="23883" xr:uid="{00000000-0005-0000-0000-0000905F0000}"/>
    <cellStyle name="Note 14 2 2 3 2 3 2" xfId="47715" xr:uid="{D04D0B6B-3AFC-4240-9FEB-D25232867766}"/>
    <cellStyle name="Note 14 2 2 3 2 4" xfId="31838" xr:uid="{A801A2DB-CBC6-40E5-8F14-EB80C7532D13}"/>
    <cellStyle name="Note 14 2 2 3 3" xfId="12399" xr:uid="{00000000-0005-0000-0000-0000915F0000}"/>
    <cellStyle name="Note 14 2 2 3 3 2" xfId="36248" xr:uid="{16821EBB-3792-4D51-9D39-8478B58D6703}"/>
    <cellStyle name="Note 14 2 2 3 4" xfId="20354" xr:uid="{00000000-0005-0000-0000-0000925F0000}"/>
    <cellStyle name="Note 14 2 2 3 4 2" xfId="44186" xr:uid="{AFA32456-9106-4E6C-BA50-5D0E0AA0C988}"/>
    <cellStyle name="Note 14 2 2 3 5" xfId="28307" xr:uid="{B3E3AD6E-5B75-4365-A6BA-2D479A569345}"/>
    <cellStyle name="Note 14 2 2 4" xfId="6195" xr:uid="{00000000-0005-0000-0000-0000935F0000}"/>
    <cellStyle name="Note 14 2 2 4 2" xfId="14178" xr:uid="{00000000-0005-0000-0000-0000945F0000}"/>
    <cellStyle name="Note 14 2 2 4 2 2" xfId="38021" xr:uid="{EBBA5A96-1A7C-42E7-8C36-097530833B71}"/>
    <cellStyle name="Note 14 2 2 4 3" xfId="22126" xr:uid="{00000000-0005-0000-0000-0000955F0000}"/>
    <cellStyle name="Note 14 2 2 4 3 2" xfId="45958" xr:uid="{603B5D8A-E65A-4B2F-9061-4D7B46174565}"/>
    <cellStyle name="Note 14 2 2 4 4" xfId="30080" xr:uid="{7905E6F4-7E20-46BF-BF2A-018E38A29E34}"/>
    <cellStyle name="Note 14 2 2 5" xfId="9747" xr:uid="{00000000-0005-0000-0000-0000965F0000}"/>
    <cellStyle name="Note 14 2 2 5 2" xfId="17705" xr:uid="{00000000-0005-0000-0000-0000975F0000}"/>
    <cellStyle name="Note 14 2 2 5 2 2" xfId="41545" xr:uid="{89FBADCC-9AAE-4E67-A1EF-A67512F3B037}"/>
    <cellStyle name="Note 14 2 2 5 3" xfId="25649" xr:uid="{00000000-0005-0000-0000-0000985F0000}"/>
    <cellStyle name="Note 14 2 2 5 3 2" xfId="49481" xr:uid="{DDF4E77E-0212-4F76-9D98-BD99AE44B66F}"/>
    <cellStyle name="Note 14 2 2 5 4" xfId="33604" xr:uid="{B4ECFB37-06FE-423C-864F-7BD27B5BF562}"/>
    <cellStyle name="Note 14 2 2 6" xfId="10643" xr:uid="{00000000-0005-0000-0000-0000995F0000}"/>
    <cellStyle name="Note 14 2 2 6 2" xfId="34492" xr:uid="{050B710D-8CD8-4A0E-AECC-6B3FBC901724}"/>
    <cellStyle name="Note 14 2 2 7" xfId="18598" xr:uid="{00000000-0005-0000-0000-00009A5F0000}"/>
    <cellStyle name="Note 14 2 2 7 2" xfId="42430" xr:uid="{215CF3B5-157B-4085-954D-9646E280FA28}"/>
    <cellStyle name="Note 14 2 2 8" xfId="26550" xr:uid="{6A1F04DF-7858-44D1-902B-C92E047A2BE6}"/>
    <cellStyle name="Note 14 2 2_Exh G" xfId="3595" xr:uid="{00000000-0005-0000-0000-00009B5F0000}"/>
    <cellStyle name="Note 14 2 3" xfId="1726" xr:uid="{00000000-0005-0000-0000-00009C5F0000}"/>
    <cellStyle name="Note 14 2 3 2" xfId="5253" xr:uid="{00000000-0005-0000-0000-00009D5F0000}"/>
    <cellStyle name="Note 14 2 3 2 2" xfId="8844" xr:uid="{00000000-0005-0000-0000-00009E5F0000}"/>
    <cellStyle name="Note 14 2 3 2 2 2" xfId="16814" xr:uid="{00000000-0005-0000-0000-00009F5F0000}"/>
    <cellStyle name="Note 14 2 3 2 2 2 2" xfId="40656" xr:uid="{0ED1170E-C306-4E4D-8547-49F60555E788}"/>
    <cellStyle name="Note 14 2 3 2 2 3" xfId="24760" xr:uid="{00000000-0005-0000-0000-0000A05F0000}"/>
    <cellStyle name="Note 14 2 3 2 2 3 2" xfId="48592" xr:uid="{C62CC582-5472-40AA-ACDB-081DC69F3F84}"/>
    <cellStyle name="Note 14 2 3 2 2 4" xfId="32715" xr:uid="{391890B1-DFD5-47C2-8158-7F44289CC25E}"/>
    <cellStyle name="Note 14 2 3 2 3" xfId="13276" xr:uid="{00000000-0005-0000-0000-0000A15F0000}"/>
    <cellStyle name="Note 14 2 3 2 3 2" xfId="37125" xr:uid="{03A99C87-53A5-4316-AEA3-C475E2D90ABB}"/>
    <cellStyle name="Note 14 2 3 2 4" xfId="21231" xr:uid="{00000000-0005-0000-0000-0000A25F0000}"/>
    <cellStyle name="Note 14 2 3 2 4 2" xfId="45063" xr:uid="{D1F2AAB3-400A-418A-ADF6-760BBEE1E6AE}"/>
    <cellStyle name="Note 14 2 3 2 5" xfId="29184" xr:uid="{5B5B4BC7-B7E9-4685-9164-C3A02FB1EC05}"/>
    <cellStyle name="Note 14 2 3 3" xfId="7085" xr:uid="{00000000-0005-0000-0000-0000A35F0000}"/>
    <cellStyle name="Note 14 2 3 3 2" xfId="15056" xr:uid="{00000000-0005-0000-0000-0000A45F0000}"/>
    <cellStyle name="Note 14 2 3 3 2 2" xfId="38898" xr:uid="{D98D83F8-1F06-48FC-8490-5B9A9DB6DD75}"/>
    <cellStyle name="Note 14 2 3 3 3" xfId="23003" xr:uid="{00000000-0005-0000-0000-0000A55F0000}"/>
    <cellStyle name="Note 14 2 3 3 3 2" xfId="46835" xr:uid="{9DC733D8-2465-4D4F-98F8-FB1612DD702D}"/>
    <cellStyle name="Note 14 2 3 3 4" xfId="30957" xr:uid="{88FA2654-19CC-4FAA-8BF0-879E180B6B45}"/>
    <cellStyle name="Note 14 2 3 4" xfId="11520" xr:uid="{00000000-0005-0000-0000-0000A65F0000}"/>
    <cellStyle name="Note 14 2 3 4 2" xfId="35369" xr:uid="{BDC8E395-7CB5-4336-A25D-5A1F45FDE4D7}"/>
    <cellStyle name="Note 14 2 3 5" xfId="19475" xr:uid="{00000000-0005-0000-0000-0000A75F0000}"/>
    <cellStyle name="Note 14 2 3 5 2" xfId="43307" xr:uid="{43DE9F9C-A864-46D9-B9D0-94DEA6F82EB4}"/>
    <cellStyle name="Note 14 2 3 6" xfId="27427" xr:uid="{BDB67320-02DC-4420-A7B7-E95CB2ACED12}"/>
    <cellStyle name="Note 14 2 3_Exh G" xfId="3597" xr:uid="{00000000-0005-0000-0000-0000A85F0000}"/>
    <cellStyle name="Note 14 2 4" xfId="4374" xr:uid="{00000000-0005-0000-0000-0000A95F0000}"/>
    <cellStyle name="Note 14 2 4 2" xfId="7966" xr:uid="{00000000-0005-0000-0000-0000AA5F0000}"/>
    <cellStyle name="Note 14 2 4 2 2" xfId="15936" xr:uid="{00000000-0005-0000-0000-0000AB5F0000}"/>
    <cellStyle name="Note 14 2 4 2 2 2" xfId="39778" xr:uid="{6CA21C0C-0CE6-4B58-A642-8B3347BE2616}"/>
    <cellStyle name="Note 14 2 4 2 3" xfId="23882" xr:uid="{00000000-0005-0000-0000-0000AC5F0000}"/>
    <cellStyle name="Note 14 2 4 2 3 2" xfId="47714" xr:uid="{8D903F09-30AE-447C-98C4-2E41C8D8EB73}"/>
    <cellStyle name="Note 14 2 4 2 4" xfId="31837" xr:uid="{DC96B6A0-8B7C-46C3-BDE3-77190DD5F163}"/>
    <cellStyle name="Note 14 2 4 3" xfId="12398" xr:uid="{00000000-0005-0000-0000-0000AD5F0000}"/>
    <cellStyle name="Note 14 2 4 3 2" xfId="36247" xr:uid="{BB0B4BEE-0B0E-4EC4-A679-61A3950A3AAB}"/>
    <cellStyle name="Note 14 2 4 4" xfId="20353" xr:uid="{00000000-0005-0000-0000-0000AE5F0000}"/>
    <cellStyle name="Note 14 2 4 4 2" xfId="44185" xr:uid="{36AA5D44-F9F0-48D3-A711-354B4A9C6133}"/>
    <cellStyle name="Note 14 2 4 5" xfId="28306" xr:uid="{3E13B3E7-2EEA-44FA-A932-161B7EE40DE0}"/>
    <cellStyle name="Note 14 2 5" xfId="6194" xr:uid="{00000000-0005-0000-0000-0000AF5F0000}"/>
    <cellStyle name="Note 14 2 5 2" xfId="14177" xr:uid="{00000000-0005-0000-0000-0000B05F0000}"/>
    <cellStyle name="Note 14 2 5 2 2" xfId="38020" xr:uid="{A1DF9B73-351F-4C64-BF60-340111B9695C}"/>
    <cellStyle name="Note 14 2 5 3" xfId="22125" xr:uid="{00000000-0005-0000-0000-0000B15F0000}"/>
    <cellStyle name="Note 14 2 5 3 2" xfId="45957" xr:uid="{A8193B0E-9AE3-4C75-97F1-050CECAA3245}"/>
    <cellStyle name="Note 14 2 5 4" xfId="30079" xr:uid="{25B6C249-4470-4EEB-9956-F6A6D031DA5C}"/>
    <cellStyle name="Note 14 2 6" xfId="9746" xr:uid="{00000000-0005-0000-0000-0000B25F0000}"/>
    <cellStyle name="Note 14 2 6 2" xfId="17704" xr:uid="{00000000-0005-0000-0000-0000B35F0000}"/>
    <cellStyle name="Note 14 2 6 2 2" xfId="41544" xr:uid="{FE9B8F43-4259-48F7-8B4A-18A643479F02}"/>
    <cellStyle name="Note 14 2 6 3" xfId="25648" xr:uid="{00000000-0005-0000-0000-0000B45F0000}"/>
    <cellStyle name="Note 14 2 6 3 2" xfId="49480" xr:uid="{27A4A91F-EE89-48AF-A946-367191D24F50}"/>
    <cellStyle name="Note 14 2 6 4" xfId="33603" xr:uid="{5AC8391B-8C92-4EEA-9002-C174C080CC1F}"/>
    <cellStyle name="Note 14 2 7" xfId="10642" xr:uid="{00000000-0005-0000-0000-0000B55F0000}"/>
    <cellStyle name="Note 14 2 7 2" xfId="34491" xr:uid="{95157F19-45C0-40A7-81A2-D610999DD09B}"/>
    <cellStyle name="Note 14 2 8" xfId="18597" xr:uid="{00000000-0005-0000-0000-0000B65F0000}"/>
    <cellStyle name="Note 14 2 8 2" xfId="42429" xr:uid="{1399D312-1E4D-430E-9DF1-4D02AD68A884}"/>
    <cellStyle name="Note 14 2 9" xfId="26549" xr:uid="{668328B2-B532-409E-8D4F-EBAE5AAC622A}"/>
    <cellStyle name="Note 14 2_Exh G" xfId="3594" xr:uid="{00000000-0005-0000-0000-0000B75F0000}"/>
    <cellStyle name="Note 14 3" xfId="702" xr:uid="{00000000-0005-0000-0000-0000B85F0000}"/>
    <cellStyle name="Note 14 3 2" xfId="1728" xr:uid="{00000000-0005-0000-0000-0000B95F0000}"/>
    <cellStyle name="Note 14 3 2 2" xfId="5255" xr:uid="{00000000-0005-0000-0000-0000BA5F0000}"/>
    <cellStyle name="Note 14 3 2 2 2" xfId="8846" xr:uid="{00000000-0005-0000-0000-0000BB5F0000}"/>
    <cellStyle name="Note 14 3 2 2 2 2" xfId="16816" xr:uid="{00000000-0005-0000-0000-0000BC5F0000}"/>
    <cellStyle name="Note 14 3 2 2 2 2 2" xfId="40658" xr:uid="{9B487F16-610C-47A0-A868-496E5C1F14CD}"/>
    <cellStyle name="Note 14 3 2 2 2 3" xfId="24762" xr:uid="{00000000-0005-0000-0000-0000BD5F0000}"/>
    <cellStyle name="Note 14 3 2 2 2 3 2" xfId="48594" xr:uid="{8CC52806-BA46-40F5-99A7-F8EA0FFF1ED1}"/>
    <cellStyle name="Note 14 3 2 2 2 4" xfId="32717" xr:uid="{B0474BD9-BD15-4D0A-AE58-92C1D9C66677}"/>
    <cellStyle name="Note 14 3 2 2 3" xfId="13278" xr:uid="{00000000-0005-0000-0000-0000BE5F0000}"/>
    <cellStyle name="Note 14 3 2 2 3 2" xfId="37127" xr:uid="{200C0902-DBB1-4266-80BC-9DC90023A70A}"/>
    <cellStyle name="Note 14 3 2 2 4" xfId="21233" xr:uid="{00000000-0005-0000-0000-0000BF5F0000}"/>
    <cellStyle name="Note 14 3 2 2 4 2" xfId="45065" xr:uid="{844C948C-6262-45A2-9CA3-3B7E599A7290}"/>
    <cellStyle name="Note 14 3 2 2 5" xfId="29186" xr:uid="{5B1331E3-9BD5-4B0B-BCC8-48880B0D0776}"/>
    <cellStyle name="Note 14 3 2 3" xfId="7087" xr:uid="{00000000-0005-0000-0000-0000C05F0000}"/>
    <cellStyle name="Note 14 3 2 3 2" xfId="15058" xr:uid="{00000000-0005-0000-0000-0000C15F0000}"/>
    <cellStyle name="Note 14 3 2 3 2 2" xfId="38900" xr:uid="{9AE97D53-5744-47A3-9DEA-3C64F2409385}"/>
    <cellStyle name="Note 14 3 2 3 3" xfId="23005" xr:uid="{00000000-0005-0000-0000-0000C25F0000}"/>
    <cellStyle name="Note 14 3 2 3 3 2" xfId="46837" xr:uid="{4B4D07C7-4A15-4F31-869A-3D660A756D56}"/>
    <cellStyle name="Note 14 3 2 3 4" xfId="30959" xr:uid="{8B882F66-C518-489D-8F1B-E7A0427BA90A}"/>
    <cellStyle name="Note 14 3 2 4" xfId="11522" xr:uid="{00000000-0005-0000-0000-0000C35F0000}"/>
    <cellStyle name="Note 14 3 2 4 2" xfId="35371" xr:uid="{CF129660-76AC-4267-8602-1998876175C9}"/>
    <cellStyle name="Note 14 3 2 5" xfId="19477" xr:uid="{00000000-0005-0000-0000-0000C45F0000}"/>
    <cellStyle name="Note 14 3 2 5 2" xfId="43309" xr:uid="{401AFB1A-C948-49B0-9AEF-9FA33D674AB9}"/>
    <cellStyle name="Note 14 3 2 6" xfId="27429" xr:uid="{BD1F9E65-64F9-4F3A-9EA9-FF06A7582776}"/>
    <cellStyle name="Note 14 3 2_Exh G" xfId="3599" xr:uid="{00000000-0005-0000-0000-0000C55F0000}"/>
    <cellStyle name="Note 14 3 3" xfId="4376" xr:uid="{00000000-0005-0000-0000-0000C65F0000}"/>
    <cellStyle name="Note 14 3 3 2" xfId="7968" xr:uid="{00000000-0005-0000-0000-0000C75F0000}"/>
    <cellStyle name="Note 14 3 3 2 2" xfId="15938" xr:uid="{00000000-0005-0000-0000-0000C85F0000}"/>
    <cellStyle name="Note 14 3 3 2 2 2" xfId="39780" xr:uid="{D8A3EE35-3E9B-497F-9A0D-9C88B23D933A}"/>
    <cellStyle name="Note 14 3 3 2 3" xfId="23884" xr:uid="{00000000-0005-0000-0000-0000C95F0000}"/>
    <cellStyle name="Note 14 3 3 2 3 2" xfId="47716" xr:uid="{F546A8A3-1506-491A-AB2D-959B341B8EF2}"/>
    <cellStyle name="Note 14 3 3 2 4" xfId="31839" xr:uid="{5BE3F484-2BBF-4DA8-ADC3-4B1960D6539D}"/>
    <cellStyle name="Note 14 3 3 3" xfId="12400" xr:uid="{00000000-0005-0000-0000-0000CA5F0000}"/>
    <cellStyle name="Note 14 3 3 3 2" xfId="36249" xr:uid="{7EF7E442-CDA3-4D19-8EDA-107CA8066DAB}"/>
    <cellStyle name="Note 14 3 3 4" xfId="20355" xr:uid="{00000000-0005-0000-0000-0000CB5F0000}"/>
    <cellStyle name="Note 14 3 3 4 2" xfId="44187" xr:uid="{9B0FFC1A-5A69-4751-AA87-36AAEECE9107}"/>
    <cellStyle name="Note 14 3 3 5" xfId="28308" xr:uid="{D0AE562C-0E2E-470D-9CCF-34BE1FAB8996}"/>
    <cellStyle name="Note 14 3 4" xfId="6196" xr:uid="{00000000-0005-0000-0000-0000CC5F0000}"/>
    <cellStyle name="Note 14 3 4 2" xfId="14179" xr:uid="{00000000-0005-0000-0000-0000CD5F0000}"/>
    <cellStyle name="Note 14 3 4 2 2" xfId="38022" xr:uid="{6DC469DB-9E32-494D-9002-901524ED809C}"/>
    <cellStyle name="Note 14 3 4 3" xfId="22127" xr:uid="{00000000-0005-0000-0000-0000CE5F0000}"/>
    <cellStyle name="Note 14 3 4 3 2" xfId="45959" xr:uid="{F874740F-2EEF-44A8-BE0B-5B5EE67D1281}"/>
    <cellStyle name="Note 14 3 4 4" xfId="30081" xr:uid="{EC657AEF-DB5A-414F-8EC0-78F2A8023109}"/>
    <cellStyle name="Note 14 3 5" xfId="9748" xr:uid="{00000000-0005-0000-0000-0000CF5F0000}"/>
    <cellStyle name="Note 14 3 5 2" xfId="17706" xr:uid="{00000000-0005-0000-0000-0000D05F0000}"/>
    <cellStyle name="Note 14 3 5 2 2" xfId="41546" xr:uid="{06DC52B3-C117-4815-A3A1-BB50891AE8EE}"/>
    <cellStyle name="Note 14 3 5 3" xfId="25650" xr:uid="{00000000-0005-0000-0000-0000D15F0000}"/>
    <cellStyle name="Note 14 3 5 3 2" xfId="49482" xr:uid="{9BBC2B1C-EB6B-4919-955C-A2A1FDCB48D1}"/>
    <cellStyle name="Note 14 3 5 4" xfId="33605" xr:uid="{2D94251C-B1A4-47F0-8FB6-9265B10D2F6D}"/>
    <cellStyle name="Note 14 3 6" xfId="10644" xr:uid="{00000000-0005-0000-0000-0000D25F0000}"/>
    <cellStyle name="Note 14 3 6 2" xfId="34493" xr:uid="{BECAC05A-0868-48E4-96B8-C37D3B2F3C18}"/>
    <cellStyle name="Note 14 3 7" xfId="18599" xr:uid="{00000000-0005-0000-0000-0000D35F0000}"/>
    <cellStyle name="Note 14 3 7 2" xfId="42431" xr:uid="{AC15E6A6-A6B9-4F10-A51B-596DDBEDAE05}"/>
    <cellStyle name="Note 14 3 8" xfId="26551" xr:uid="{D4C51CA2-1468-4A90-983E-F2EFA7B29A19}"/>
    <cellStyle name="Note 14 3_Exh G" xfId="3598" xr:uid="{00000000-0005-0000-0000-0000D45F0000}"/>
    <cellStyle name="Note 14 4" xfId="1725" xr:uid="{00000000-0005-0000-0000-0000D55F0000}"/>
    <cellStyle name="Note 14 4 2" xfId="5252" xr:uid="{00000000-0005-0000-0000-0000D65F0000}"/>
    <cellStyle name="Note 14 4 2 2" xfId="8843" xr:uid="{00000000-0005-0000-0000-0000D75F0000}"/>
    <cellStyle name="Note 14 4 2 2 2" xfId="16813" xr:uid="{00000000-0005-0000-0000-0000D85F0000}"/>
    <cellStyle name="Note 14 4 2 2 2 2" xfId="40655" xr:uid="{C9810A07-70AF-4875-A79B-7D868580618C}"/>
    <cellStyle name="Note 14 4 2 2 3" xfId="24759" xr:uid="{00000000-0005-0000-0000-0000D95F0000}"/>
    <cellStyle name="Note 14 4 2 2 3 2" xfId="48591" xr:uid="{CBEE9821-84AF-451A-8A82-B129ED918441}"/>
    <cellStyle name="Note 14 4 2 2 4" xfId="32714" xr:uid="{D3CD08F7-674A-4372-8D3D-847E33AB1BCB}"/>
    <cellStyle name="Note 14 4 2 3" xfId="13275" xr:uid="{00000000-0005-0000-0000-0000DA5F0000}"/>
    <cellStyle name="Note 14 4 2 3 2" xfId="37124" xr:uid="{D86A2044-E867-4939-8172-41B0323CD184}"/>
    <cellStyle name="Note 14 4 2 4" xfId="21230" xr:uid="{00000000-0005-0000-0000-0000DB5F0000}"/>
    <cellStyle name="Note 14 4 2 4 2" xfId="45062" xr:uid="{0DD330A9-5CE0-412D-A871-8291CE25FF4A}"/>
    <cellStyle name="Note 14 4 2 5" xfId="29183" xr:uid="{0DA8493D-42BA-4E81-9567-6C83CA7F4B43}"/>
    <cellStyle name="Note 14 4 3" xfId="7084" xr:uid="{00000000-0005-0000-0000-0000DC5F0000}"/>
    <cellStyle name="Note 14 4 3 2" xfId="15055" xr:uid="{00000000-0005-0000-0000-0000DD5F0000}"/>
    <cellStyle name="Note 14 4 3 2 2" xfId="38897" xr:uid="{C4F9B825-D5F9-4DF3-9902-5D9659F3B217}"/>
    <cellStyle name="Note 14 4 3 3" xfId="23002" xr:uid="{00000000-0005-0000-0000-0000DE5F0000}"/>
    <cellStyle name="Note 14 4 3 3 2" xfId="46834" xr:uid="{E1953024-5166-48E9-A4A9-3E4843B71FE4}"/>
    <cellStyle name="Note 14 4 3 4" xfId="30956" xr:uid="{57EFDB97-EA41-41E4-AF94-D7E780607258}"/>
    <cellStyle name="Note 14 4 4" xfId="11519" xr:uid="{00000000-0005-0000-0000-0000DF5F0000}"/>
    <cellStyle name="Note 14 4 4 2" xfId="35368" xr:uid="{DCF24089-C2A0-4C71-9217-A4D22CB408EC}"/>
    <cellStyle name="Note 14 4 5" xfId="19474" xr:uid="{00000000-0005-0000-0000-0000E05F0000}"/>
    <cellStyle name="Note 14 4 5 2" xfId="43306" xr:uid="{951BDD31-3E41-49EE-97CB-33ABE805C433}"/>
    <cellStyle name="Note 14 4 6" xfId="27426" xr:uid="{C5A06B93-83DA-4CCC-881C-EFB57759FF37}"/>
    <cellStyle name="Note 14 4_Exh G" xfId="3600" xr:uid="{00000000-0005-0000-0000-0000E15F0000}"/>
    <cellStyle name="Note 14 5" xfId="4373" xr:uid="{00000000-0005-0000-0000-0000E25F0000}"/>
    <cellStyle name="Note 14 5 2" xfId="7965" xr:uid="{00000000-0005-0000-0000-0000E35F0000}"/>
    <cellStyle name="Note 14 5 2 2" xfId="15935" xr:uid="{00000000-0005-0000-0000-0000E45F0000}"/>
    <cellStyle name="Note 14 5 2 2 2" xfId="39777" xr:uid="{9304BE15-F3C5-4596-A0E6-8BC883C50B7B}"/>
    <cellStyle name="Note 14 5 2 3" xfId="23881" xr:uid="{00000000-0005-0000-0000-0000E55F0000}"/>
    <cellStyle name="Note 14 5 2 3 2" xfId="47713" xr:uid="{1276EF0B-0D69-4AD9-BB6D-D2358B3FA31A}"/>
    <cellStyle name="Note 14 5 2 4" xfId="31836" xr:uid="{38679DD8-E9C9-4B54-A635-2A8B4CC79E97}"/>
    <cellStyle name="Note 14 5 3" xfId="12397" xr:uid="{00000000-0005-0000-0000-0000E65F0000}"/>
    <cellStyle name="Note 14 5 3 2" xfId="36246" xr:uid="{7D30798E-FF82-42DF-A90E-9E52D937C405}"/>
    <cellStyle name="Note 14 5 4" xfId="20352" xr:uid="{00000000-0005-0000-0000-0000E75F0000}"/>
    <cellStyle name="Note 14 5 4 2" xfId="44184" xr:uid="{42157748-B1E6-4BEC-8E22-679B60AECB4D}"/>
    <cellStyle name="Note 14 5 5" xfId="28305" xr:uid="{F1BF285B-0906-4A4F-B25C-1B32C4C9E83B}"/>
    <cellStyle name="Note 14 6" xfId="6193" xr:uid="{00000000-0005-0000-0000-0000E85F0000}"/>
    <cellStyle name="Note 14 6 2" xfId="14176" xr:uid="{00000000-0005-0000-0000-0000E95F0000}"/>
    <cellStyle name="Note 14 6 2 2" xfId="38019" xr:uid="{A6A4935F-ABFD-403E-98DC-264F9AD76882}"/>
    <cellStyle name="Note 14 6 3" xfId="22124" xr:uid="{00000000-0005-0000-0000-0000EA5F0000}"/>
    <cellStyle name="Note 14 6 3 2" xfId="45956" xr:uid="{F90ACD95-80DF-44E2-8803-AFE56544A8AA}"/>
    <cellStyle name="Note 14 6 4" xfId="30078" xr:uid="{F2913DCD-64EE-459F-A7CC-A3B7639D7C4E}"/>
    <cellStyle name="Note 14 7" xfId="9745" xr:uid="{00000000-0005-0000-0000-0000EB5F0000}"/>
    <cellStyle name="Note 14 7 2" xfId="17703" xr:uid="{00000000-0005-0000-0000-0000EC5F0000}"/>
    <cellStyle name="Note 14 7 2 2" xfId="41543" xr:uid="{7D313C73-D220-431B-A151-461A250B758E}"/>
    <cellStyle name="Note 14 7 3" xfId="25647" xr:uid="{00000000-0005-0000-0000-0000ED5F0000}"/>
    <cellStyle name="Note 14 7 3 2" xfId="49479" xr:uid="{E2DFA83B-B3F5-4009-B955-3456B5BA09C0}"/>
    <cellStyle name="Note 14 7 4" xfId="33602" xr:uid="{45F9B627-B4EF-455B-A4F8-6B8125AE87AD}"/>
    <cellStyle name="Note 14 8" xfId="10641" xr:uid="{00000000-0005-0000-0000-0000EE5F0000}"/>
    <cellStyle name="Note 14 8 2" xfId="34490" xr:uid="{10F5C7BA-F546-4A32-A498-54765286B52A}"/>
    <cellStyle name="Note 14 9" xfId="18596" xr:uid="{00000000-0005-0000-0000-0000EF5F0000}"/>
    <cellStyle name="Note 14 9 2" xfId="42428" xr:uid="{D14E6F1D-21A6-46F1-A4D1-6F02728F6F49}"/>
    <cellStyle name="Note 14_Exh G" xfId="3593" xr:uid="{00000000-0005-0000-0000-0000F05F0000}"/>
    <cellStyle name="Note 15" xfId="703" xr:uid="{00000000-0005-0000-0000-0000F15F0000}"/>
    <cellStyle name="Note 15 2" xfId="1729" xr:uid="{00000000-0005-0000-0000-0000F25F0000}"/>
    <cellStyle name="Note 15 2 2" xfId="5256" xr:uid="{00000000-0005-0000-0000-0000F35F0000}"/>
    <cellStyle name="Note 15 2 2 2" xfId="8847" xr:uid="{00000000-0005-0000-0000-0000F45F0000}"/>
    <cellStyle name="Note 15 2 2 2 2" xfId="16817" xr:uid="{00000000-0005-0000-0000-0000F55F0000}"/>
    <cellStyle name="Note 15 2 2 2 2 2" xfId="40659" xr:uid="{EF840560-DA6C-43BB-9B58-80BBC462B3BB}"/>
    <cellStyle name="Note 15 2 2 2 3" xfId="24763" xr:uid="{00000000-0005-0000-0000-0000F65F0000}"/>
    <cellStyle name="Note 15 2 2 2 3 2" xfId="48595" xr:uid="{8EBA5FD7-6E8C-47F5-BE9A-01B87208EF29}"/>
    <cellStyle name="Note 15 2 2 2 4" xfId="32718" xr:uid="{84E922D5-64FB-4A96-BC86-E55904913234}"/>
    <cellStyle name="Note 15 2 2 3" xfId="13279" xr:uid="{00000000-0005-0000-0000-0000F75F0000}"/>
    <cellStyle name="Note 15 2 2 3 2" xfId="37128" xr:uid="{7E60CCB0-4DB6-4760-959F-800E5DCC4C93}"/>
    <cellStyle name="Note 15 2 2 4" xfId="21234" xr:uid="{00000000-0005-0000-0000-0000F85F0000}"/>
    <cellStyle name="Note 15 2 2 4 2" xfId="45066" xr:uid="{62BEB7C6-2517-4357-A18F-374C4118BD8E}"/>
    <cellStyle name="Note 15 2 2 5" xfId="29187" xr:uid="{143FC3B7-F543-4A37-ACB2-40592B2A4385}"/>
    <cellStyle name="Note 15 2 3" xfId="7088" xr:uid="{00000000-0005-0000-0000-0000F95F0000}"/>
    <cellStyle name="Note 15 2 3 2" xfId="15059" xr:uid="{00000000-0005-0000-0000-0000FA5F0000}"/>
    <cellStyle name="Note 15 2 3 2 2" xfId="38901" xr:uid="{F0A7EEFA-CB8A-47DE-A562-8E6CD4E7FC29}"/>
    <cellStyle name="Note 15 2 3 3" xfId="23006" xr:uid="{00000000-0005-0000-0000-0000FB5F0000}"/>
    <cellStyle name="Note 15 2 3 3 2" xfId="46838" xr:uid="{CFCE58F0-0F04-45C3-9CE3-6210F20C70DD}"/>
    <cellStyle name="Note 15 2 3 4" xfId="30960" xr:uid="{EDDB7979-3A03-4899-923E-296595EF727C}"/>
    <cellStyle name="Note 15 2 4" xfId="11523" xr:uid="{00000000-0005-0000-0000-0000FC5F0000}"/>
    <cellStyle name="Note 15 2 4 2" xfId="35372" xr:uid="{D01A09B2-FA4C-4B07-94EA-458CBE0F361E}"/>
    <cellStyle name="Note 15 2 5" xfId="19478" xr:uid="{00000000-0005-0000-0000-0000FD5F0000}"/>
    <cellStyle name="Note 15 2 5 2" xfId="43310" xr:uid="{ED8D3E07-76A0-4D2D-9FAC-FD2E8B0C93FE}"/>
    <cellStyle name="Note 15 2 6" xfId="27430" xr:uid="{D34453EB-2EE7-4572-BF21-D123E8A4A005}"/>
    <cellStyle name="Note 15 2_Exh G" xfId="3602" xr:uid="{00000000-0005-0000-0000-0000FE5F0000}"/>
    <cellStyle name="Note 15 3" xfId="4377" xr:uid="{00000000-0005-0000-0000-0000FF5F0000}"/>
    <cellStyle name="Note 15 3 2" xfId="7969" xr:uid="{00000000-0005-0000-0000-000000600000}"/>
    <cellStyle name="Note 15 3 2 2" xfId="15939" xr:uid="{00000000-0005-0000-0000-000001600000}"/>
    <cellStyle name="Note 15 3 2 2 2" xfId="39781" xr:uid="{4226F273-503D-43B3-8478-83A0F5A8C210}"/>
    <cellStyle name="Note 15 3 2 3" xfId="23885" xr:uid="{00000000-0005-0000-0000-000002600000}"/>
    <cellStyle name="Note 15 3 2 3 2" xfId="47717" xr:uid="{F25B5E5A-D1A5-444D-B829-9070280ACC15}"/>
    <cellStyle name="Note 15 3 2 4" xfId="31840" xr:uid="{0D649996-A1C6-44F8-81EB-A7913D8B13A5}"/>
    <cellStyle name="Note 15 3 3" xfId="12401" xr:uid="{00000000-0005-0000-0000-000003600000}"/>
    <cellStyle name="Note 15 3 3 2" xfId="36250" xr:uid="{5B0611B0-CBE7-44F8-83FC-8C638BAFE0C1}"/>
    <cellStyle name="Note 15 3 4" xfId="20356" xr:uid="{00000000-0005-0000-0000-000004600000}"/>
    <cellStyle name="Note 15 3 4 2" xfId="44188" xr:uid="{A2CC86C9-FD52-4E1B-900C-E9C6669C90F6}"/>
    <cellStyle name="Note 15 3 5" xfId="28309" xr:uid="{3CF5E4B7-9521-4F3E-84B4-106510607029}"/>
    <cellStyle name="Note 15 4" xfId="6197" xr:uid="{00000000-0005-0000-0000-000005600000}"/>
    <cellStyle name="Note 15 4 2" xfId="14180" xr:uid="{00000000-0005-0000-0000-000006600000}"/>
    <cellStyle name="Note 15 4 2 2" xfId="38023" xr:uid="{811E3735-A53C-4FD8-BB4F-C051413F0147}"/>
    <cellStyle name="Note 15 4 3" xfId="22128" xr:uid="{00000000-0005-0000-0000-000007600000}"/>
    <cellStyle name="Note 15 4 3 2" xfId="45960" xr:uid="{ABDC52E2-09FD-4394-AFE2-774478FB80AD}"/>
    <cellStyle name="Note 15 4 4" xfId="30082" xr:uid="{2FDC9E74-E24E-4E46-B28D-91674470BBF2}"/>
    <cellStyle name="Note 15 5" xfId="9749" xr:uid="{00000000-0005-0000-0000-000008600000}"/>
    <cellStyle name="Note 15 5 2" xfId="17707" xr:uid="{00000000-0005-0000-0000-000009600000}"/>
    <cellStyle name="Note 15 5 2 2" xfId="41547" xr:uid="{F4E9ECF4-A7A7-446E-AE68-8A66D1A88836}"/>
    <cellStyle name="Note 15 5 3" xfId="25651" xr:uid="{00000000-0005-0000-0000-00000A600000}"/>
    <cellStyle name="Note 15 5 3 2" xfId="49483" xr:uid="{038B1CC3-4E8B-4621-83A7-0DEF8EC4F03A}"/>
    <cellStyle name="Note 15 5 4" xfId="33606" xr:uid="{94617908-F956-42B7-83CD-20B713DA1756}"/>
    <cellStyle name="Note 15 6" xfId="10645" xr:uid="{00000000-0005-0000-0000-00000B600000}"/>
    <cellStyle name="Note 15 6 2" xfId="34494" xr:uid="{F46ABDAA-9322-4EB9-9108-8E47A44193B0}"/>
    <cellStyle name="Note 15 7" xfId="18600" xr:uid="{00000000-0005-0000-0000-00000C600000}"/>
    <cellStyle name="Note 15 7 2" xfId="42432" xr:uid="{6A748463-4000-4D06-B9FA-FF4AD344DC07}"/>
    <cellStyle name="Note 15 8" xfId="26552" xr:uid="{57D0B7A7-0AAB-43F4-9875-A7C0E4470615}"/>
    <cellStyle name="Note 15_Exh G" xfId="3601" xr:uid="{00000000-0005-0000-0000-00000D600000}"/>
    <cellStyle name="Note 16" xfId="852" xr:uid="{00000000-0005-0000-0000-00000E600000}"/>
    <cellStyle name="Note 16 2" xfId="1787" xr:uid="{00000000-0005-0000-0000-00000F600000}"/>
    <cellStyle name="Note 16 2 2" xfId="5307" xr:uid="{00000000-0005-0000-0000-000010600000}"/>
    <cellStyle name="Note 16 2 2 2" xfId="8898" xr:uid="{00000000-0005-0000-0000-000011600000}"/>
    <cellStyle name="Note 16 2 2 2 2" xfId="16868" xr:uid="{00000000-0005-0000-0000-000012600000}"/>
    <cellStyle name="Note 16 2 2 2 2 2" xfId="40710" xr:uid="{2A029451-D936-4B4A-AE16-4A6D2FB2E2D2}"/>
    <cellStyle name="Note 16 2 2 2 3" xfId="24814" xr:uid="{00000000-0005-0000-0000-000013600000}"/>
    <cellStyle name="Note 16 2 2 2 3 2" xfId="48646" xr:uid="{F1083788-258E-4017-812B-DC54086AD62D}"/>
    <cellStyle name="Note 16 2 2 2 4" xfId="32769" xr:uid="{ACA34F70-08BB-4812-B35F-98047064CA51}"/>
    <cellStyle name="Note 16 2 2 3" xfId="13330" xr:uid="{00000000-0005-0000-0000-000014600000}"/>
    <cellStyle name="Note 16 2 2 3 2" xfId="37179" xr:uid="{A4037474-C935-4F63-884D-1F8B26691D16}"/>
    <cellStyle name="Note 16 2 2 4" xfId="21285" xr:uid="{00000000-0005-0000-0000-000015600000}"/>
    <cellStyle name="Note 16 2 2 4 2" xfId="45117" xr:uid="{C7C531AB-4EF2-4D0F-B23E-93650A3DCD7B}"/>
    <cellStyle name="Note 16 2 2 5" xfId="29238" xr:uid="{77C2494A-D717-4673-93AF-952DA61CA5D1}"/>
    <cellStyle name="Note 16 2 3" xfId="7139" xr:uid="{00000000-0005-0000-0000-000016600000}"/>
    <cellStyle name="Note 16 2 3 2" xfId="15110" xr:uid="{00000000-0005-0000-0000-000017600000}"/>
    <cellStyle name="Note 16 2 3 2 2" xfId="38952" xr:uid="{B442D2D7-2C82-426D-B3A5-3B72A93AF4A9}"/>
    <cellStyle name="Note 16 2 3 3" xfId="23057" xr:uid="{00000000-0005-0000-0000-000018600000}"/>
    <cellStyle name="Note 16 2 3 3 2" xfId="46889" xr:uid="{91FF1D40-16C2-4D89-AA26-867F7F69D1FE}"/>
    <cellStyle name="Note 16 2 3 4" xfId="31011" xr:uid="{2C0724D1-8811-4670-8CBC-8CF999C59A0B}"/>
    <cellStyle name="Note 16 2 4" xfId="11574" xr:uid="{00000000-0005-0000-0000-000019600000}"/>
    <cellStyle name="Note 16 2 4 2" xfId="35423" xr:uid="{D501C32D-439A-4190-8F01-94B94BF40736}"/>
    <cellStyle name="Note 16 2 5" xfId="19529" xr:uid="{00000000-0005-0000-0000-00001A600000}"/>
    <cellStyle name="Note 16 2 5 2" xfId="43361" xr:uid="{087808BD-2C3C-4DFA-9F74-6802B805E9E1}"/>
    <cellStyle name="Note 16 2 6" xfId="27481" xr:uid="{EEF7A12E-8FB0-49B8-B380-23EA5A3015CE}"/>
    <cellStyle name="Note 16 2_Exh G" xfId="3604" xr:uid="{00000000-0005-0000-0000-00001B600000}"/>
    <cellStyle name="Note 16 3" xfId="4428" xr:uid="{00000000-0005-0000-0000-00001C600000}"/>
    <cellStyle name="Note 16 3 2" xfId="8020" xr:uid="{00000000-0005-0000-0000-00001D600000}"/>
    <cellStyle name="Note 16 3 2 2" xfId="15990" xr:uid="{00000000-0005-0000-0000-00001E600000}"/>
    <cellStyle name="Note 16 3 2 2 2" xfId="39832" xr:uid="{3018449C-75E4-4B5E-B5DC-FA7BAEEE7396}"/>
    <cellStyle name="Note 16 3 2 3" xfId="23936" xr:uid="{00000000-0005-0000-0000-00001F600000}"/>
    <cellStyle name="Note 16 3 2 3 2" xfId="47768" xr:uid="{A2309941-5634-4DF1-9D11-E34F960676CC}"/>
    <cellStyle name="Note 16 3 2 4" xfId="31891" xr:uid="{DE3AEF9A-8A8D-4BDC-8AE7-6989A649663C}"/>
    <cellStyle name="Note 16 3 3" xfId="12452" xr:uid="{00000000-0005-0000-0000-000020600000}"/>
    <cellStyle name="Note 16 3 3 2" xfId="36301" xr:uid="{405D9453-F87E-484D-9522-9EF5F2DD1A46}"/>
    <cellStyle name="Note 16 3 4" xfId="20407" xr:uid="{00000000-0005-0000-0000-000021600000}"/>
    <cellStyle name="Note 16 3 4 2" xfId="44239" xr:uid="{F0C54FC6-518E-4397-B589-BCE5C35A8A9F}"/>
    <cellStyle name="Note 16 3 5" xfId="28360" xr:uid="{03169B73-2ED7-43E6-BB8A-D9A6F5152A5C}"/>
    <cellStyle name="Note 16 4" xfId="6258" xr:uid="{00000000-0005-0000-0000-000022600000}"/>
    <cellStyle name="Note 16 4 2" xfId="14232" xr:uid="{00000000-0005-0000-0000-000023600000}"/>
    <cellStyle name="Note 16 4 2 2" xfId="38074" xr:uid="{FD7E1635-B688-4A38-877C-E8C290E68CD0}"/>
    <cellStyle name="Note 16 4 3" xfId="22179" xr:uid="{00000000-0005-0000-0000-000024600000}"/>
    <cellStyle name="Note 16 4 3 2" xfId="46011" xr:uid="{757D90D6-95C5-4331-947A-D89FB244CF16}"/>
    <cellStyle name="Note 16 4 4" xfId="30133" xr:uid="{2E304A81-4380-4502-9906-5A4B6B725807}"/>
    <cellStyle name="Note 16 5" xfId="9800" xr:uid="{00000000-0005-0000-0000-000025600000}"/>
    <cellStyle name="Note 16 5 2" xfId="17758" xr:uid="{00000000-0005-0000-0000-000026600000}"/>
    <cellStyle name="Note 16 5 2 2" xfId="41598" xr:uid="{93BE2CF8-EF61-4B90-8E3F-732DCBAE670B}"/>
    <cellStyle name="Note 16 5 3" xfId="25702" xr:uid="{00000000-0005-0000-0000-000027600000}"/>
    <cellStyle name="Note 16 5 3 2" xfId="49534" xr:uid="{AB53332A-C5EA-40FB-8B00-47B793D47FA1}"/>
    <cellStyle name="Note 16 5 4" xfId="33657" xr:uid="{8A3DA8A4-19D0-4F52-8405-C4D098F5F7DD}"/>
    <cellStyle name="Note 16 6" xfId="10696" xr:uid="{00000000-0005-0000-0000-000028600000}"/>
    <cellStyle name="Note 16 6 2" xfId="34545" xr:uid="{EA65FACE-C56F-4E22-82A5-1FDBBED6D491}"/>
    <cellStyle name="Note 16 7" xfId="18651" xr:uid="{00000000-0005-0000-0000-000029600000}"/>
    <cellStyle name="Note 16 7 2" xfId="42483" xr:uid="{5FA8FCE4-4C09-4998-97C4-41F09DC37959}"/>
    <cellStyle name="Note 16 8" xfId="26603" xr:uid="{EFC68D4A-F5AB-4BCA-9A0A-DA435952BFB4}"/>
    <cellStyle name="Note 16_Exh G" xfId="3603" xr:uid="{00000000-0005-0000-0000-00002A600000}"/>
    <cellStyle name="Note 2" xfId="19" xr:uid="{00000000-0005-0000-0000-00002B600000}"/>
    <cellStyle name="Note 2 10" xfId="17918" xr:uid="{00000000-0005-0000-0000-00002C600000}"/>
    <cellStyle name="Note 2 10 2" xfId="41750" xr:uid="{D2E27C33-E28F-49ED-B90F-6EE750ABAECA}"/>
    <cellStyle name="Note 2 11" xfId="25870" xr:uid="{019155C6-B683-45E8-BD5E-4AFAC92FCB72}"/>
    <cellStyle name="Note 2 2" xfId="704" xr:uid="{00000000-0005-0000-0000-00002D600000}"/>
    <cellStyle name="Note 2 2 10" xfId="26553" xr:uid="{9FE8D027-2470-4674-91A1-656AEBE6B543}"/>
    <cellStyle name="Note 2 2 2" xfId="705" xr:uid="{00000000-0005-0000-0000-00002E600000}"/>
    <cellStyle name="Note 2 2 2 2" xfId="1731" xr:uid="{00000000-0005-0000-0000-00002F600000}"/>
    <cellStyle name="Note 2 2 2 2 2" xfId="5258" xr:uid="{00000000-0005-0000-0000-000030600000}"/>
    <cellStyle name="Note 2 2 2 2 2 2" xfId="8849" xr:uid="{00000000-0005-0000-0000-000031600000}"/>
    <cellStyle name="Note 2 2 2 2 2 2 2" xfId="16819" xr:uid="{00000000-0005-0000-0000-000032600000}"/>
    <cellStyle name="Note 2 2 2 2 2 2 2 2" xfId="40661" xr:uid="{1F5E8730-0917-4F5C-9F75-5FF6FB45C036}"/>
    <cellStyle name="Note 2 2 2 2 2 2 3" xfId="24765" xr:uid="{00000000-0005-0000-0000-000033600000}"/>
    <cellStyle name="Note 2 2 2 2 2 2 3 2" xfId="48597" xr:uid="{06B0D82B-5434-40CD-8D78-B0EAC8B5B922}"/>
    <cellStyle name="Note 2 2 2 2 2 2 4" xfId="32720" xr:uid="{52025851-0E0C-4F50-8A1F-ED3EE383A3F7}"/>
    <cellStyle name="Note 2 2 2 2 2 3" xfId="13281" xr:uid="{00000000-0005-0000-0000-000034600000}"/>
    <cellStyle name="Note 2 2 2 2 2 3 2" xfId="37130" xr:uid="{63FAFBF2-3D42-475E-A375-76883B94BEE8}"/>
    <cellStyle name="Note 2 2 2 2 2 4" xfId="21236" xr:uid="{00000000-0005-0000-0000-000035600000}"/>
    <cellStyle name="Note 2 2 2 2 2 4 2" xfId="45068" xr:uid="{DD384FAB-C7D0-4C0B-BFED-DDFA260DE7A5}"/>
    <cellStyle name="Note 2 2 2 2 2 5" xfId="29189" xr:uid="{8616044A-2E6B-4C44-AE04-56E9308C4F37}"/>
    <cellStyle name="Note 2 2 2 2 3" xfId="7090" xr:uid="{00000000-0005-0000-0000-000036600000}"/>
    <cellStyle name="Note 2 2 2 2 3 2" xfId="15061" xr:uid="{00000000-0005-0000-0000-000037600000}"/>
    <cellStyle name="Note 2 2 2 2 3 2 2" xfId="38903" xr:uid="{201D4626-9EB4-48F3-B69B-FFDAC9D89E16}"/>
    <cellStyle name="Note 2 2 2 2 3 3" xfId="23008" xr:uid="{00000000-0005-0000-0000-000038600000}"/>
    <cellStyle name="Note 2 2 2 2 3 3 2" xfId="46840" xr:uid="{DAA23DC1-2F23-4355-B7D3-DA65A28155A3}"/>
    <cellStyle name="Note 2 2 2 2 3 4" xfId="30962" xr:uid="{2D2F7E6D-2928-4C12-BEA5-511B6120A28C}"/>
    <cellStyle name="Note 2 2 2 2 4" xfId="11525" xr:uid="{00000000-0005-0000-0000-000039600000}"/>
    <cellStyle name="Note 2 2 2 2 4 2" xfId="35374" xr:uid="{ABF60B6D-CF59-4241-B7E6-FFF73F03D72F}"/>
    <cellStyle name="Note 2 2 2 2 5" xfId="19480" xr:uid="{00000000-0005-0000-0000-00003A600000}"/>
    <cellStyle name="Note 2 2 2 2 5 2" xfId="43312" xr:uid="{06751A39-8AA2-4A9D-87EA-8A4BC23C3BF3}"/>
    <cellStyle name="Note 2 2 2 2 6" xfId="27432" xr:uid="{769492C6-5531-47C1-9AD1-AE4ADFB53538}"/>
    <cellStyle name="Note 2 2 2 2_Exh G" xfId="3608" xr:uid="{00000000-0005-0000-0000-00003B600000}"/>
    <cellStyle name="Note 2 2 2 3" xfId="4379" xr:uid="{00000000-0005-0000-0000-00003C600000}"/>
    <cellStyle name="Note 2 2 2 3 2" xfId="7971" xr:uid="{00000000-0005-0000-0000-00003D600000}"/>
    <cellStyle name="Note 2 2 2 3 2 2" xfId="15941" xr:uid="{00000000-0005-0000-0000-00003E600000}"/>
    <cellStyle name="Note 2 2 2 3 2 2 2" xfId="39783" xr:uid="{56AF2E96-9D22-44D6-8E00-A175C53AB6D8}"/>
    <cellStyle name="Note 2 2 2 3 2 3" xfId="23887" xr:uid="{00000000-0005-0000-0000-00003F600000}"/>
    <cellStyle name="Note 2 2 2 3 2 3 2" xfId="47719" xr:uid="{96A1EE9E-AD16-44E6-9138-FE9C6C3D1ED2}"/>
    <cellStyle name="Note 2 2 2 3 2 4" xfId="31842" xr:uid="{96E402E6-DF70-439C-BEAB-45E7BFBE9473}"/>
    <cellStyle name="Note 2 2 2 3 3" xfId="12403" xr:uid="{00000000-0005-0000-0000-000040600000}"/>
    <cellStyle name="Note 2 2 2 3 3 2" xfId="36252" xr:uid="{5C0C60BE-0426-4B2F-AE5B-073AF82379AA}"/>
    <cellStyle name="Note 2 2 2 3 4" xfId="20358" xr:uid="{00000000-0005-0000-0000-000041600000}"/>
    <cellStyle name="Note 2 2 2 3 4 2" xfId="44190" xr:uid="{0C258848-5D2B-48CB-9A89-16D92FB0FC5F}"/>
    <cellStyle name="Note 2 2 2 3 5" xfId="28311" xr:uid="{E706B301-1E77-493D-88CF-496F7BEB8E6A}"/>
    <cellStyle name="Note 2 2 2 4" xfId="6199" xr:uid="{00000000-0005-0000-0000-000042600000}"/>
    <cellStyle name="Note 2 2 2 4 2" xfId="14182" xr:uid="{00000000-0005-0000-0000-000043600000}"/>
    <cellStyle name="Note 2 2 2 4 2 2" xfId="38025" xr:uid="{2F89649E-A2F2-4515-B2BC-E47D02EF1009}"/>
    <cellStyle name="Note 2 2 2 4 3" xfId="22130" xr:uid="{00000000-0005-0000-0000-000044600000}"/>
    <cellStyle name="Note 2 2 2 4 3 2" xfId="45962" xr:uid="{2021A996-3589-45B3-8ED4-C3E971D0C4A0}"/>
    <cellStyle name="Note 2 2 2 4 4" xfId="30084" xr:uid="{07EC7EEB-6524-4740-A551-C7860F116DB9}"/>
    <cellStyle name="Note 2 2 2 5" xfId="9751" xr:uid="{00000000-0005-0000-0000-000045600000}"/>
    <cellStyle name="Note 2 2 2 5 2" xfId="17709" xr:uid="{00000000-0005-0000-0000-000046600000}"/>
    <cellStyle name="Note 2 2 2 5 2 2" xfId="41549" xr:uid="{C2C832C2-A813-45B0-9331-E992D3752CC0}"/>
    <cellStyle name="Note 2 2 2 5 3" xfId="25653" xr:uid="{00000000-0005-0000-0000-000047600000}"/>
    <cellStyle name="Note 2 2 2 5 3 2" xfId="49485" xr:uid="{3ED099EC-942A-4C06-98C2-1CDE74DC3610}"/>
    <cellStyle name="Note 2 2 2 5 4" xfId="33608" xr:uid="{20786343-EA1A-4230-B55F-8EA79B7ACDAB}"/>
    <cellStyle name="Note 2 2 2 6" xfId="10647" xr:uid="{00000000-0005-0000-0000-000048600000}"/>
    <cellStyle name="Note 2 2 2 6 2" xfId="34496" xr:uid="{87C641B9-C760-4C89-A930-2FADA4F253B8}"/>
    <cellStyle name="Note 2 2 2 7" xfId="18602" xr:uid="{00000000-0005-0000-0000-000049600000}"/>
    <cellStyle name="Note 2 2 2 7 2" xfId="42434" xr:uid="{6C83D168-96F9-418D-9400-A46C53FAC1FD}"/>
    <cellStyle name="Note 2 2 2 8" xfId="26554" xr:uid="{7938A440-BB20-4D0E-9A1B-9668A3F4797B}"/>
    <cellStyle name="Note 2 2 2_Exh G" xfId="3607" xr:uid="{00000000-0005-0000-0000-00004A600000}"/>
    <cellStyle name="Note 2 2 3" xfId="1028" xr:uid="{00000000-0005-0000-0000-00004B600000}"/>
    <cellStyle name="Note 2 2 3 2" xfId="1924" xr:uid="{00000000-0005-0000-0000-00004C600000}"/>
    <cellStyle name="Note 2 2 3 2 2" xfId="5441" xr:uid="{00000000-0005-0000-0000-00004D600000}"/>
    <cellStyle name="Note 2 2 3 2 2 2" xfId="9032" xr:uid="{00000000-0005-0000-0000-00004E600000}"/>
    <cellStyle name="Note 2 2 3 2 2 2 2" xfId="17002" xr:uid="{00000000-0005-0000-0000-00004F600000}"/>
    <cellStyle name="Note 2 2 3 2 2 2 2 2" xfId="40844" xr:uid="{9C317B74-26BA-49E3-8872-2CA1975A5A86}"/>
    <cellStyle name="Note 2 2 3 2 2 2 3" xfId="24948" xr:uid="{00000000-0005-0000-0000-000050600000}"/>
    <cellStyle name="Note 2 2 3 2 2 2 3 2" xfId="48780" xr:uid="{77303974-2282-47AA-BD82-9174A0744E75}"/>
    <cellStyle name="Note 2 2 3 2 2 2 4" xfId="32903" xr:uid="{D4267D0F-D18F-4705-985F-799AF2D5189E}"/>
    <cellStyle name="Note 2 2 3 2 2 3" xfId="13464" xr:uid="{00000000-0005-0000-0000-000051600000}"/>
    <cellStyle name="Note 2 2 3 2 2 3 2" xfId="37313" xr:uid="{800EB515-B00D-406B-BEA8-E4531F7476F2}"/>
    <cellStyle name="Note 2 2 3 2 2 4" xfId="21419" xr:uid="{00000000-0005-0000-0000-000052600000}"/>
    <cellStyle name="Note 2 2 3 2 2 4 2" xfId="45251" xr:uid="{E63ECF4F-8F23-48CE-8D38-4A7BF765A2CD}"/>
    <cellStyle name="Note 2 2 3 2 2 5" xfId="29372" xr:uid="{3CD68210-2079-408E-B7E8-19A34CE04330}"/>
    <cellStyle name="Note 2 2 3 2 3" xfId="7273" xr:uid="{00000000-0005-0000-0000-000053600000}"/>
    <cellStyle name="Note 2 2 3 2 3 2" xfId="15244" xr:uid="{00000000-0005-0000-0000-000054600000}"/>
    <cellStyle name="Note 2 2 3 2 3 2 2" xfId="39086" xr:uid="{FFB2A592-F5F4-4688-97F6-B1D1AFA2F7CD}"/>
    <cellStyle name="Note 2 2 3 2 3 3" xfId="23191" xr:uid="{00000000-0005-0000-0000-000055600000}"/>
    <cellStyle name="Note 2 2 3 2 3 3 2" xfId="47023" xr:uid="{D7DC5D49-B494-444D-A36A-C7911715E742}"/>
    <cellStyle name="Note 2 2 3 2 3 4" xfId="31145" xr:uid="{AC8E5AF0-01DC-4DCA-ABA6-28A0E7E21DF9}"/>
    <cellStyle name="Note 2 2 3 2 4" xfId="11708" xr:uid="{00000000-0005-0000-0000-000056600000}"/>
    <cellStyle name="Note 2 2 3 2 4 2" xfId="35557" xr:uid="{A4B56DBE-117B-4890-AA95-3FA656CE7A6D}"/>
    <cellStyle name="Note 2 2 3 2 5" xfId="19663" xr:uid="{00000000-0005-0000-0000-000057600000}"/>
    <cellStyle name="Note 2 2 3 2 5 2" xfId="43495" xr:uid="{D0518BEF-DD4C-4C8E-8307-34BE5E72A576}"/>
    <cellStyle name="Note 2 2 3 2 6" xfId="27615" xr:uid="{962BC7AB-F779-4722-83DE-398502870F15}"/>
    <cellStyle name="Note 2 2 3 2_Exh G" xfId="3610" xr:uid="{00000000-0005-0000-0000-000058600000}"/>
    <cellStyle name="Note 2 2 3 3" xfId="4562" xr:uid="{00000000-0005-0000-0000-000059600000}"/>
    <cellStyle name="Note 2 2 3 3 2" xfId="8154" xr:uid="{00000000-0005-0000-0000-00005A600000}"/>
    <cellStyle name="Note 2 2 3 3 2 2" xfId="16124" xr:uid="{00000000-0005-0000-0000-00005B600000}"/>
    <cellStyle name="Note 2 2 3 3 2 2 2" xfId="39966" xr:uid="{02BF9073-BDA2-4AE2-8D26-A1C9B629259A}"/>
    <cellStyle name="Note 2 2 3 3 2 3" xfId="24070" xr:uid="{00000000-0005-0000-0000-00005C600000}"/>
    <cellStyle name="Note 2 2 3 3 2 3 2" xfId="47902" xr:uid="{A868F616-BBF3-4A68-BE91-561327488E9D}"/>
    <cellStyle name="Note 2 2 3 3 2 4" xfId="32025" xr:uid="{4ADDF099-E178-42C0-A830-30AA28516479}"/>
    <cellStyle name="Note 2 2 3 3 3" xfId="12586" xr:uid="{00000000-0005-0000-0000-00005D600000}"/>
    <cellStyle name="Note 2 2 3 3 3 2" xfId="36435" xr:uid="{57E08FDD-DF47-4217-9E43-258A2E737320}"/>
    <cellStyle name="Note 2 2 3 3 4" xfId="20541" xr:uid="{00000000-0005-0000-0000-00005E600000}"/>
    <cellStyle name="Note 2 2 3 3 4 2" xfId="44373" xr:uid="{579CB908-F413-480C-9AF4-51C0F026D0F5}"/>
    <cellStyle name="Note 2 2 3 3 5" xfId="28494" xr:uid="{8F0F403D-7B87-4D86-A34F-762ED99C0228}"/>
    <cellStyle name="Note 2 2 3 4" xfId="6393" xr:uid="{00000000-0005-0000-0000-00005F600000}"/>
    <cellStyle name="Note 2 2 3 4 2" xfId="14366" xr:uid="{00000000-0005-0000-0000-000060600000}"/>
    <cellStyle name="Note 2 2 3 4 2 2" xfId="38208" xr:uid="{7239E7EC-BDC8-46AA-B159-BB4A9B8FEA56}"/>
    <cellStyle name="Note 2 2 3 4 3" xfId="22313" xr:uid="{00000000-0005-0000-0000-000061600000}"/>
    <cellStyle name="Note 2 2 3 4 3 2" xfId="46145" xr:uid="{156CD4B3-3C1A-4932-8112-4F7220764E32}"/>
    <cellStyle name="Note 2 2 3 4 4" xfId="30267" xr:uid="{7960F6FD-5985-4A05-83C0-5A224FE12B2A}"/>
    <cellStyle name="Note 2 2 3 5" xfId="9934" xr:uid="{00000000-0005-0000-0000-000062600000}"/>
    <cellStyle name="Note 2 2 3 5 2" xfId="17892" xr:uid="{00000000-0005-0000-0000-000063600000}"/>
    <cellStyle name="Note 2 2 3 5 2 2" xfId="41732" xr:uid="{A76A3597-6064-4ED4-8586-3FB0B21310DF}"/>
    <cellStyle name="Note 2 2 3 5 3" xfId="25836" xr:uid="{00000000-0005-0000-0000-000064600000}"/>
    <cellStyle name="Note 2 2 3 5 3 2" xfId="49668" xr:uid="{480A420B-7A18-4ABC-A0B5-E5FD0AAC65EE}"/>
    <cellStyle name="Note 2 2 3 5 4" xfId="33791" xr:uid="{0E02DA34-3FE0-461E-B43C-73DC6FBE8AB2}"/>
    <cellStyle name="Note 2 2 3 6" xfId="10830" xr:uid="{00000000-0005-0000-0000-000065600000}"/>
    <cellStyle name="Note 2 2 3 6 2" xfId="34679" xr:uid="{EA868009-67C5-48F0-BFF8-0E0495A25897}"/>
    <cellStyle name="Note 2 2 3 7" xfId="18785" xr:uid="{00000000-0005-0000-0000-000066600000}"/>
    <cellStyle name="Note 2 2 3 7 2" xfId="42617" xr:uid="{D6236A06-3827-4CE1-9B80-4BD31137FB40}"/>
    <cellStyle name="Note 2 2 3 8" xfId="26737" xr:uid="{8C844EB9-E396-4037-B7F0-FCE71366E2D1}"/>
    <cellStyle name="Note 2 2 3_Exh G" xfId="3609" xr:uid="{00000000-0005-0000-0000-000067600000}"/>
    <cellStyle name="Note 2 2 4" xfId="1730" xr:uid="{00000000-0005-0000-0000-000068600000}"/>
    <cellStyle name="Note 2 2 4 2" xfId="5257" xr:uid="{00000000-0005-0000-0000-000069600000}"/>
    <cellStyle name="Note 2 2 4 2 2" xfId="8848" xr:uid="{00000000-0005-0000-0000-00006A600000}"/>
    <cellStyle name="Note 2 2 4 2 2 2" xfId="16818" xr:uid="{00000000-0005-0000-0000-00006B600000}"/>
    <cellStyle name="Note 2 2 4 2 2 2 2" xfId="40660" xr:uid="{E10F0C1E-AD6C-440D-81AD-59AF5C0EB2DF}"/>
    <cellStyle name="Note 2 2 4 2 2 3" xfId="24764" xr:uid="{00000000-0005-0000-0000-00006C600000}"/>
    <cellStyle name="Note 2 2 4 2 2 3 2" xfId="48596" xr:uid="{1425D402-BDFE-4CB9-B226-82DC06A85459}"/>
    <cellStyle name="Note 2 2 4 2 2 4" xfId="32719" xr:uid="{D306F0DF-9FE7-4896-A4A8-4E3B60B224DC}"/>
    <cellStyle name="Note 2 2 4 2 3" xfId="13280" xr:uid="{00000000-0005-0000-0000-00006D600000}"/>
    <cellStyle name="Note 2 2 4 2 3 2" xfId="37129" xr:uid="{628C9215-FD2C-46BE-902F-6A4D900381E6}"/>
    <cellStyle name="Note 2 2 4 2 4" xfId="21235" xr:uid="{00000000-0005-0000-0000-00006E600000}"/>
    <cellStyle name="Note 2 2 4 2 4 2" xfId="45067" xr:uid="{BF316C8C-82D7-4DF3-8CF6-68CB1DE7E75C}"/>
    <cellStyle name="Note 2 2 4 2 5" xfId="29188" xr:uid="{D45F84B5-43F5-4FCF-943B-A428C02F8C4A}"/>
    <cellStyle name="Note 2 2 4 3" xfId="7089" xr:uid="{00000000-0005-0000-0000-00006F600000}"/>
    <cellStyle name="Note 2 2 4 3 2" xfId="15060" xr:uid="{00000000-0005-0000-0000-000070600000}"/>
    <cellStyle name="Note 2 2 4 3 2 2" xfId="38902" xr:uid="{CF74682F-D4F7-4DFA-B181-87F897CEA2DB}"/>
    <cellStyle name="Note 2 2 4 3 3" xfId="23007" xr:uid="{00000000-0005-0000-0000-000071600000}"/>
    <cellStyle name="Note 2 2 4 3 3 2" xfId="46839" xr:uid="{355B4A1E-96DF-49F3-9A0D-5A80978BAA96}"/>
    <cellStyle name="Note 2 2 4 3 4" xfId="30961" xr:uid="{B9726FE4-31C4-4193-A30E-A661D04937A8}"/>
    <cellStyle name="Note 2 2 4 4" xfId="11524" xr:uid="{00000000-0005-0000-0000-000072600000}"/>
    <cellStyle name="Note 2 2 4 4 2" xfId="35373" xr:uid="{FE74E811-6458-445E-A9DF-D067AD483E44}"/>
    <cellStyle name="Note 2 2 4 5" xfId="19479" xr:uid="{00000000-0005-0000-0000-000073600000}"/>
    <cellStyle name="Note 2 2 4 5 2" xfId="43311" xr:uid="{222CB29D-0454-42B3-87E2-290B303931B0}"/>
    <cellStyle name="Note 2 2 4 6" xfId="27431" xr:uid="{BF28DB1F-C04E-4385-BAEF-D021408F86C2}"/>
    <cellStyle name="Note 2 2 4_Exh G" xfId="3611" xr:uid="{00000000-0005-0000-0000-000074600000}"/>
    <cellStyle name="Note 2 2 5" xfId="4378" xr:uid="{00000000-0005-0000-0000-000075600000}"/>
    <cellStyle name="Note 2 2 5 2" xfId="7970" xr:uid="{00000000-0005-0000-0000-000076600000}"/>
    <cellStyle name="Note 2 2 5 2 2" xfId="15940" xr:uid="{00000000-0005-0000-0000-000077600000}"/>
    <cellStyle name="Note 2 2 5 2 2 2" xfId="39782" xr:uid="{F562EEAB-00D7-4240-A5E4-7052302C4E5B}"/>
    <cellStyle name="Note 2 2 5 2 3" xfId="23886" xr:uid="{00000000-0005-0000-0000-000078600000}"/>
    <cellStyle name="Note 2 2 5 2 3 2" xfId="47718" xr:uid="{663DBF4B-BB37-4AD3-9C94-869D0A7B2C2A}"/>
    <cellStyle name="Note 2 2 5 2 4" xfId="31841" xr:uid="{637811EC-9BC2-47F3-B25B-565AA11AC9D7}"/>
    <cellStyle name="Note 2 2 5 3" xfId="12402" xr:uid="{00000000-0005-0000-0000-000079600000}"/>
    <cellStyle name="Note 2 2 5 3 2" xfId="36251" xr:uid="{0CA91C2A-263F-41AE-BA10-7C6865D69BB5}"/>
    <cellStyle name="Note 2 2 5 4" xfId="20357" xr:uid="{00000000-0005-0000-0000-00007A600000}"/>
    <cellStyle name="Note 2 2 5 4 2" xfId="44189" xr:uid="{6D659593-36AE-4B38-98FD-E9F81B0C1B15}"/>
    <cellStyle name="Note 2 2 5 5" xfId="28310" xr:uid="{1AAC5A3C-F537-446F-8F15-E544516A02BF}"/>
    <cellStyle name="Note 2 2 6" xfId="6198" xr:uid="{00000000-0005-0000-0000-00007B600000}"/>
    <cellStyle name="Note 2 2 6 2" xfId="14181" xr:uid="{00000000-0005-0000-0000-00007C600000}"/>
    <cellStyle name="Note 2 2 6 2 2" xfId="38024" xr:uid="{9750ADD5-B138-44CD-99A1-2A88B2E0C708}"/>
    <cellStyle name="Note 2 2 6 3" xfId="22129" xr:uid="{00000000-0005-0000-0000-00007D600000}"/>
    <cellStyle name="Note 2 2 6 3 2" xfId="45961" xr:uid="{68AC655F-D7E9-4B4E-8BFD-FDB3309E9FB8}"/>
    <cellStyle name="Note 2 2 6 4" xfId="30083" xr:uid="{F680E7D7-A92C-43F8-9B98-ED2A38AB942E}"/>
    <cellStyle name="Note 2 2 7" xfId="9750" xr:uid="{00000000-0005-0000-0000-00007E600000}"/>
    <cellStyle name="Note 2 2 7 2" xfId="17708" xr:uid="{00000000-0005-0000-0000-00007F600000}"/>
    <cellStyle name="Note 2 2 7 2 2" xfId="41548" xr:uid="{00C97F6F-2412-493A-8A85-1866E6C43C6D}"/>
    <cellStyle name="Note 2 2 7 3" xfId="25652" xr:uid="{00000000-0005-0000-0000-000080600000}"/>
    <cellStyle name="Note 2 2 7 3 2" xfId="49484" xr:uid="{C6B17086-A823-4F6E-90B2-5C5711D4FFD7}"/>
    <cellStyle name="Note 2 2 7 4" xfId="33607" xr:uid="{7CAF9B98-8441-4505-AE05-2013C4D555E9}"/>
    <cellStyle name="Note 2 2 8" xfId="10646" xr:uid="{00000000-0005-0000-0000-000081600000}"/>
    <cellStyle name="Note 2 2 8 2" xfId="34495" xr:uid="{1F3EB095-C44A-4CE6-A1C8-9856EC7A2A39}"/>
    <cellStyle name="Note 2 2 9" xfId="18601" xr:uid="{00000000-0005-0000-0000-000082600000}"/>
    <cellStyle name="Note 2 2 9 2" xfId="42433" xr:uid="{C9BA40A1-CEDD-463E-8719-66A6F87552B8}"/>
    <cellStyle name="Note 2 2_Exh G" xfId="3606" xr:uid="{00000000-0005-0000-0000-000083600000}"/>
    <cellStyle name="Note 2 3" xfId="706" xr:uid="{00000000-0005-0000-0000-000084600000}"/>
    <cellStyle name="Note 2 3 2" xfId="1732" xr:uid="{00000000-0005-0000-0000-000085600000}"/>
    <cellStyle name="Note 2 3 2 2" xfId="5259" xr:uid="{00000000-0005-0000-0000-000086600000}"/>
    <cellStyle name="Note 2 3 2 2 2" xfId="8850" xr:uid="{00000000-0005-0000-0000-000087600000}"/>
    <cellStyle name="Note 2 3 2 2 2 2" xfId="16820" xr:uid="{00000000-0005-0000-0000-000088600000}"/>
    <cellStyle name="Note 2 3 2 2 2 2 2" xfId="40662" xr:uid="{758D98DE-76FE-4527-AB8E-024D41ECB0BF}"/>
    <cellStyle name="Note 2 3 2 2 2 3" xfId="24766" xr:uid="{00000000-0005-0000-0000-000089600000}"/>
    <cellStyle name="Note 2 3 2 2 2 3 2" xfId="48598" xr:uid="{B003490C-9250-4B9B-842E-6EFA8856EB77}"/>
    <cellStyle name="Note 2 3 2 2 2 4" xfId="32721" xr:uid="{8A1D4957-EB70-43CA-B794-2EF915049809}"/>
    <cellStyle name="Note 2 3 2 2 3" xfId="13282" xr:uid="{00000000-0005-0000-0000-00008A600000}"/>
    <cellStyle name="Note 2 3 2 2 3 2" xfId="37131" xr:uid="{05710656-1120-4241-B327-A7A4D17203D1}"/>
    <cellStyle name="Note 2 3 2 2 4" xfId="21237" xr:uid="{00000000-0005-0000-0000-00008B600000}"/>
    <cellStyle name="Note 2 3 2 2 4 2" xfId="45069" xr:uid="{B104E43D-227D-40E8-AC36-47838084F0D6}"/>
    <cellStyle name="Note 2 3 2 2 5" xfId="29190" xr:uid="{3AEE6C1F-7A83-43F7-B872-5204DAE4DCF6}"/>
    <cellStyle name="Note 2 3 2 3" xfId="7091" xr:uid="{00000000-0005-0000-0000-00008C600000}"/>
    <cellStyle name="Note 2 3 2 3 2" xfId="15062" xr:uid="{00000000-0005-0000-0000-00008D600000}"/>
    <cellStyle name="Note 2 3 2 3 2 2" xfId="38904" xr:uid="{1AC614E6-EE8C-492B-B2A2-312F3ECFB6FC}"/>
    <cellStyle name="Note 2 3 2 3 3" xfId="23009" xr:uid="{00000000-0005-0000-0000-00008E600000}"/>
    <cellStyle name="Note 2 3 2 3 3 2" xfId="46841" xr:uid="{4F1D0414-E44A-4D2D-9336-8EA1DF30D010}"/>
    <cellStyle name="Note 2 3 2 3 4" xfId="30963" xr:uid="{1F5B6AB8-35CD-413C-94FC-97163B283A65}"/>
    <cellStyle name="Note 2 3 2 4" xfId="11526" xr:uid="{00000000-0005-0000-0000-00008F600000}"/>
    <cellStyle name="Note 2 3 2 4 2" xfId="35375" xr:uid="{53F5157D-FBA0-447E-8D71-5F8FA4A4C391}"/>
    <cellStyle name="Note 2 3 2 5" xfId="19481" xr:uid="{00000000-0005-0000-0000-000090600000}"/>
    <cellStyle name="Note 2 3 2 5 2" xfId="43313" xr:uid="{687DE308-3659-4B46-A315-03242A908D85}"/>
    <cellStyle name="Note 2 3 2 6" xfId="27433" xr:uid="{C1AF00A9-DD80-4C81-9FEF-50D397DA87DC}"/>
    <cellStyle name="Note 2 3 2_Exh G" xfId="3613" xr:uid="{00000000-0005-0000-0000-000091600000}"/>
    <cellStyle name="Note 2 3 3" xfId="4380" xr:uid="{00000000-0005-0000-0000-000092600000}"/>
    <cellStyle name="Note 2 3 3 2" xfId="7972" xr:uid="{00000000-0005-0000-0000-000093600000}"/>
    <cellStyle name="Note 2 3 3 2 2" xfId="15942" xr:uid="{00000000-0005-0000-0000-000094600000}"/>
    <cellStyle name="Note 2 3 3 2 2 2" xfId="39784" xr:uid="{C54E1709-B616-405E-BB0F-C772864817AD}"/>
    <cellStyle name="Note 2 3 3 2 3" xfId="23888" xr:uid="{00000000-0005-0000-0000-000095600000}"/>
    <cellStyle name="Note 2 3 3 2 3 2" xfId="47720" xr:uid="{F090B598-8926-4687-9174-04A40182DF13}"/>
    <cellStyle name="Note 2 3 3 2 4" xfId="31843" xr:uid="{735A1FD0-83D6-418B-A865-200E48C61602}"/>
    <cellStyle name="Note 2 3 3 3" xfId="12404" xr:uid="{00000000-0005-0000-0000-000096600000}"/>
    <cellStyle name="Note 2 3 3 3 2" xfId="36253" xr:uid="{019F1450-87E6-4C0C-99C4-A40743360242}"/>
    <cellStyle name="Note 2 3 3 4" xfId="20359" xr:uid="{00000000-0005-0000-0000-000097600000}"/>
    <cellStyle name="Note 2 3 3 4 2" xfId="44191" xr:uid="{75FD43E8-A1DF-435B-A102-8CF8A8594C8E}"/>
    <cellStyle name="Note 2 3 3 5" xfId="28312" xr:uid="{30BAC5F0-CF9D-4BA1-8B51-2D4315D9CAD7}"/>
    <cellStyle name="Note 2 3 4" xfId="6200" xr:uid="{00000000-0005-0000-0000-000098600000}"/>
    <cellStyle name="Note 2 3 4 2" xfId="14183" xr:uid="{00000000-0005-0000-0000-000099600000}"/>
    <cellStyle name="Note 2 3 4 2 2" xfId="38026" xr:uid="{9D0E9777-203D-4A91-ACE9-098FA1D5D3D6}"/>
    <cellStyle name="Note 2 3 4 3" xfId="22131" xr:uid="{00000000-0005-0000-0000-00009A600000}"/>
    <cellStyle name="Note 2 3 4 3 2" xfId="45963" xr:uid="{70C0B4F5-D4BC-4154-9228-9251737A3213}"/>
    <cellStyle name="Note 2 3 4 4" xfId="30085" xr:uid="{1EA61F18-B323-45E8-BAF8-974E97CE8BF5}"/>
    <cellStyle name="Note 2 3 5" xfId="9752" xr:uid="{00000000-0005-0000-0000-00009B600000}"/>
    <cellStyle name="Note 2 3 5 2" xfId="17710" xr:uid="{00000000-0005-0000-0000-00009C600000}"/>
    <cellStyle name="Note 2 3 5 2 2" xfId="41550" xr:uid="{93F71FA6-E0FE-43F2-9A4C-9F589CD2204D}"/>
    <cellStyle name="Note 2 3 5 3" xfId="25654" xr:uid="{00000000-0005-0000-0000-00009D600000}"/>
    <cellStyle name="Note 2 3 5 3 2" xfId="49486" xr:uid="{4549A1DD-60F4-4B08-9220-0891CF47177E}"/>
    <cellStyle name="Note 2 3 5 4" xfId="33609" xr:uid="{506E719A-F08E-432A-BC86-8CB0B44A6FB5}"/>
    <cellStyle name="Note 2 3 6" xfId="10648" xr:uid="{00000000-0005-0000-0000-00009E600000}"/>
    <cellStyle name="Note 2 3 6 2" xfId="34497" xr:uid="{B46D4B68-74ED-4F6C-8885-A6015D8274F4}"/>
    <cellStyle name="Note 2 3 7" xfId="18603" xr:uid="{00000000-0005-0000-0000-00009F600000}"/>
    <cellStyle name="Note 2 3 7 2" xfId="42435" xr:uid="{7FBA970E-2011-4AF7-9CC0-45B5D365050D}"/>
    <cellStyle name="Note 2 3 8" xfId="26555" xr:uid="{4C900347-96A2-49F7-A240-D4A12579B9E3}"/>
    <cellStyle name="Note 2 3_Exh G" xfId="3612" xr:uid="{00000000-0005-0000-0000-0000A0600000}"/>
    <cellStyle name="Note 2 4" xfId="1027" xr:uid="{00000000-0005-0000-0000-0000A1600000}"/>
    <cellStyle name="Note 2 4 2" xfId="1923" xr:uid="{00000000-0005-0000-0000-0000A2600000}"/>
    <cellStyle name="Note 2 4 2 2" xfId="5440" xr:uid="{00000000-0005-0000-0000-0000A3600000}"/>
    <cellStyle name="Note 2 4 2 2 2" xfId="9031" xr:uid="{00000000-0005-0000-0000-0000A4600000}"/>
    <cellStyle name="Note 2 4 2 2 2 2" xfId="17001" xr:uid="{00000000-0005-0000-0000-0000A5600000}"/>
    <cellStyle name="Note 2 4 2 2 2 2 2" xfId="40843" xr:uid="{B9FA836A-0A6F-4F7C-B5DC-23313D0D358F}"/>
    <cellStyle name="Note 2 4 2 2 2 3" xfId="24947" xr:uid="{00000000-0005-0000-0000-0000A6600000}"/>
    <cellStyle name="Note 2 4 2 2 2 3 2" xfId="48779" xr:uid="{762EC840-284E-4909-AFEB-E22D1D0C8AB2}"/>
    <cellStyle name="Note 2 4 2 2 2 4" xfId="32902" xr:uid="{6BF32523-703A-446D-A5D2-C2ACC9D132FC}"/>
    <cellStyle name="Note 2 4 2 2 3" xfId="13463" xr:uid="{00000000-0005-0000-0000-0000A7600000}"/>
    <cellStyle name="Note 2 4 2 2 3 2" xfId="37312" xr:uid="{FB13E903-524C-4E84-A359-2A4BCDAF8F76}"/>
    <cellStyle name="Note 2 4 2 2 4" xfId="21418" xr:uid="{00000000-0005-0000-0000-0000A8600000}"/>
    <cellStyle name="Note 2 4 2 2 4 2" xfId="45250" xr:uid="{33E3B532-61C2-4D9D-B4BE-2DACE3850DFA}"/>
    <cellStyle name="Note 2 4 2 2 5" xfId="29371" xr:uid="{46EC32B9-0653-4216-9462-22FF71FD0F8A}"/>
    <cellStyle name="Note 2 4 2 3" xfId="7272" xr:uid="{00000000-0005-0000-0000-0000A9600000}"/>
    <cellStyle name="Note 2 4 2 3 2" xfId="15243" xr:uid="{00000000-0005-0000-0000-0000AA600000}"/>
    <cellStyle name="Note 2 4 2 3 2 2" xfId="39085" xr:uid="{F57BF588-FD1E-422E-B578-0543B5609DD9}"/>
    <cellStyle name="Note 2 4 2 3 3" xfId="23190" xr:uid="{00000000-0005-0000-0000-0000AB600000}"/>
    <cellStyle name="Note 2 4 2 3 3 2" xfId="47022" xr:uid="{23CE7681-EBF1-4C36-ABAD-F77439633253}"/>
    <cellStyle name="Note 2 4 2 3 4" xfId="31144" xr:uid="{184FFA67-651D-4629-89A5-470A17F07F22}"/>
    <cellStyle name="Note 2 4 2 4" xfId="11707" xr:uid="{00000000-0005-0000-0000-0000AC600000}"/>
    <cellStyle name="Note 2 4 2 4 2" xfId="35556" xr:uid="{9364008E-7BBF-43C9-86F4-651946646989}"/>
    <cellStyle name="Note 2 4 2 5" xfId="19662" xr:uid="{00000000-0005-0000-0000-0000AD600000}"/>
    <cellStyle name="Note 2 4 2 5 2" xfId="43494" xr:uid="{5C5DE347-3163-489D-96BB-ACF5B172FCD3}"/>
    <cellStyle name="Note 2 4 2 6" xfId="27614" xr:uid="{90BF3E5F-F7AA-40BF-8E0F-3E863724E6DB}"/>
    <cellStyle name="Note 2 4 2_Exh G" xfId="3615" xr:uid="{00000000-0005-0000-0000-0000AE600000}"/>
    <cellStyle name="Note 2 4 3" xfId="4561" xr:uid="{00000000-0005-0000-0000-0000AF600000}"/>
    <cellStyle name="Note 2 4 3 2" xfId="8153" xr:uid="{00000000-0005-0000-0000-0000B0600000}"/>
    <cellStyle name="Note 2 4 3 2 2" xfId="16123" xr:uid="{00000000-0005-0000-0000-0000B1600000}"/>
    <cellStyle name="Note 2 4 3 2 2 2" xfId="39965" xr:uid="{9F041699-A85D-491D-89D0-E1C2E17A66C6}"/>
    <cellStyle name="Note 2 4 3 2 3" xfId="24069" xr:uid="{00000000-0005-0000-0000-0000B2600000}"/>
    <cellStyle name="Note 2 4 3 2 3 2" xfId="47901" xr:uid="{E0094B55-088A-4B71-BE20-68DC9821A357}"/>
    <cellStyle name="Note 2 4 3 2 4" xfId="32024" xr:uid="{CD272C3E-EB32-4A03-A3B2-C4ACD0E53957}"/>
    <cellStyle name="Note 2 4 3 3" xfId="12585" xr:uid="{00000000-0005-0000-0000-0000B3600000}"/>
    <cellStyle name="Note 2 4 3 3 2" xfId="36434" xr:uid="{4FADA7BA-C9A2-4993-9340-ACEA622670FC}"/>
    <cellStyle name="Note 2 4 3 4" xfId="20540" xr:uid="{00000000-0005-0000-0000-0000B4600000}"/>
    <cellStyle name="Note 2 4 3 4 2" xfId="44372" xr:uid="{1F64ACF6-8332-4DB0-BD36-4AAA9A37BBE7}"/>
    <cellStyle name="Note 2 4 3 5" xfId="28493" xr:uid="{0CCC95F6-218B-44B0-B347-2D1846DAC5B7}"/>
    <cellStyle name="Note 2 4 4" xfId="6392" xr:uid="{00000000-0005-0000-0000-0000B5600000}"/>
    <cellStyle name="Note 2 4 4 2" xfId="14365" xr:uid="{00000000-0005-0000-0000-0000B6600000}"/>
    <cellStyle name="Note 2 4 4 2 2" xfId="38207" xr:uid="{A15A4B49-F10F-4186-9B42-42032FBE9B5C}"/>
    <cellStyle name="Note 2 4 4 3" xfId="22312" xr:uid="{00000000-0005-0000-0000-0000B7600000}"/>
    <cellStyle name="Note 2 4 4 3 2" xfId="46144" xr:uid="{8C6BE264-CD1C-492E-940B-A7552A1733C5}"/>
    <cellStyle name="Note 2 4 4 4" xfId="30266" xr:uid="{DB236D93-B24E-4187-A87E-187AD1F82C71}"/>
    <cellStyle name="Note 2 4 5" xfId="9933" xr:uid="{00000000-0005-0000-0000-0000B8600000}"/>
    <cellStyle name="Note 2 4 5 2" xfId="17891" xr:uid="{00000000-0005-0000-0000-0000B9600000}"/>
    <cellStyle name="Note 2 4 5 2 2" xfId="41731" xr:uid="{776FB937-6FD0-4E3B-BBA4-50C1E76A920C}"/>
    <cellStyle name="Note 2 4 5 3" xfId="25835" xr:uid="{00000000-0005-0000-0000-0000BA600000}"/>
    <cellStyle name="Note 2 4 5 3 2" xfId="49667" xr:uid="{1DE5D490-8B26-449F-8015-0881D802E1D3}"/>
    <cellStyle name="Note 2 4 5 4" xfId="33790" xr:uid="{DCD6D44B-3CF1-4985-B834-05E61B603FF9}"/>
    <cellStyle name="Note 2 4 6" xfId="10829" xr:uid="{00000000-0005-0000-0000-0000BB600000}"/>
    <cellStyle name="Note 2 4 6 2" xfId="34678" xr:uid="{DD27FE5E-B25F-46A7-A6D8-9CA0D3449958}"/>
    <cellStyle name="Note 2 4 7" xfId="18784" xr:uid="{00000000-0005-0000-0000-0000BC600000}"/>
    <cellStyle name="Note 2 4 7 2" xfId="42616" xr:uid="{CB73509B-876A-42E2-ABEE-FABA0C1B9A4E}"/>
    <cellStyle name="Note 2 4 8" xfId="26736" xr:uid="{12140918-2027-4D87-BAE3-8A188F9EE475}"/>
    <cellStyle name="Note 2 4_Exh G" xfId="3614" xr:uid="{00000000-0005-0000-0000-0000BD600000}"/>
    <cellStyle name="Note 2 5" xfId="1047" xr:uid="{00000000-0005-0000-0000-0000BE600000}"/>
    <cellStyle name="Note 2 5 2" xfId="4574" xr:uid="{00000000-0005-0000-0000-0000BF600000}"/>
    <cellStyle name="Note 2 5 2 2" xfId="8165" xr:uid="{00000000-0005-0000-0000-0000C0600000}"/>
    <cellStyle name="Note 2 5 2 2 2" xfId="16135" xr:uid="{00000000-0005-0000-0000-0000C1600000}"/>
    <cellStyle name="Note 2 5 2 2 2 2" xfId="39977" xr:uid="{92C73336-08B3-4AAA-B2C4-7A17B26E5AC5}"/>
    <cellStyle name="Note 2 5 2 2 3" xfId="24081" xr:uid="{00000000-0005-0000-0000-0000C2600000}"/>
    <cellStyle name="Note 2 5 2 2 3 2" xfId="47913" xr:uid="{E7F32B19-E04F-4F46-BD7B-949B43CEBBC7}"/>
    <cellStyle name="Note 2 5 2 2 4" xfId="32036" xr:uid="{332689BC-D33A-4484-8663-37E63ECBB34D}"/>
    <cellStyle name="Note 2 5 2 3" xfId="12597" xr:uid="{00000000-0005-0000-0000-0000C3600000}"/>
    <cellStyle name="Note 2 5 2 3 2" xfId="36446" xr:uid="{E81C92CD-A020-40F5-8DF6-1A7A44FB04DE}"/>
    <cellStyle name="Note 2 5 2 4" xfId="20552" xr:uid="{00000000-0005-0000-0000-0000C4600000}"/>
    <cellStyle name="Note 2 5 2 4 2" xfId="44384" xr:uid="{62E8565E-79DE-4912-AAF3-46634C2BF456}"/>
    <cellStyle name="Note 2 5 2 5" xfId="28505" xr:uid="{F1D276FD-3715-466B-802E-D21BC9BBDDB6}"/>
    <cellStyle name="Note 2 5 3" xfId="6406" xr:uid="{00000000-0005-0000-0000-0000C5600000}"/>
    <cellStyle name="Note 2 5 3 2" xfId="14377" xr:uid="{00000000-0005-0000-0000-0000C6600000}"/>
    <cellStyle name="Note 2 5 3 2 2" xfId="38219" xr:uid="{566B7C1F-7B44-4B5A-A787-A9CA280BE855}"/>
    <cellStyle name="Note 2 5 3 3" xfId="22324" xr:uid="{00000000-0005-0000-0000-0000C7600000}"/>
    <cellStyle name="Note 2 5 3 3 2" xfId="46156" xr:uid="{CF6E2EC0-2A9A-42F0-9A83-72A7D664FF53}"/>
    <cellStyle name="Note 2 5 3 4" xfId="30278" xr:uid="{DDA6E084-E4A9-4A39-9675-ED2C100B3593}"/>
    <cellStyle name="Note 2 5 4" xfId="10841" xr:uid="{00000000-0005-0000-0000-0000C8600000}"/>
    <cellStyle name="Note 2 5 4 2" xfId="34690" xr:uid="{381B26CE-2E11-49CE-981B-429062E4295B}"/>
    <cellStyle name="Note 2 5 5" xfId="18796" xr:uid="{00000000-0005-0000-0000-0000C9600000}"/>
    <cellStyle name="Note 2 5 5 2" xfId="42628" xr:uid="{2246211A-B0AB-4A86-8F2F-106C2DDAB282}"/>
    <cellStyle name="Note 2 5 6" xfId="26748" xr:uid="{E0965C00-F509-49EA-95D9-62B206C9F8B9}"/>
    <cellStyle name="Note 2 5_Exh G" xfId="3616" xr:uid="{00000000-0005-0000-0000-0000CA600000}"/>
    <cellStyle name="Note 2 6" xfId="3695" xr:uid="{00000000-0005-0000-0000-0000CB600000}"/>
    <cellStyle name="Note 2 6 2" xfId="7287" xr:uid="{00000000-0005-0000-0000-0000CC600000}"/>
    <cellStyle name="Note 2 6 2 2" xfId="15257" xr:uid="{00000000-0005-0000-0000-0000CD600000}"/>
    <cellStyle name="Note 2 6 2 2 2" xfId="39099" xr:uid="{6260201A-71AC-4A16-AD18-4A6E5232F491}"/>
    <cellStyle name="Note 2 6 2 3" xfId="23203" xr:uid="{00000000-0005-0000-0000-0000CE600000}"/>
    <cellStyle name="Note 2 6 2 3 2" xfId="47035" xr:uid="{1D8EBBA2-B63E-416B-85E2-B275861A8489}"/>
    <cellStyle name="Note 2 6 2 4" xfId="31158" xr:uid="{EAD8B25A-4167-4A18-B4EF-44886BA0736D}"/>
    <cellStyle name="Note 2 6 3" xfId="11719" xr:uid="{00000000-0005-0000-0000-0000CF600000}"/>
    <cellStyle name="Note 2 6 3 2" xfId="35568" xr:uid="{835B17CA-E249-4016-8B38-A6E6106A610A}"/>
    <cellStyle name="Note 2 6 4" xfId="19674" xr:uid="{00000000-0005-0000-0000-0000D0600000}"/>
    <cellStyle name="Note 2 6 4 2" xfId="43506" xr:uid="{CEDFDBF0-5750-4B06-81D5-1CC9C9BEEDA0}"/>
    <cellStyle name="Note 2 6 5" xfId="27627" xr:uid="{7109C6C4-5E7C-449B-88EE-E67FC9401D1C}"/>
    <cellStyle name="Note 2 7" xfId="5515" xr:uid="{00000000-0005-0000-0000-0000D1600000}"/>
    <cellStyle name="Note 2 7 2" xfId="13498" xr:uid="{00000000-0005-0000-0000-0000D2600000}"/>
    <cellStyle name="Note 2 7 2 2" xfId="37341" xr:uid="{AE948561-D99C-4ECC-802F-B83DD91A889E}"/>
    <cellStyle name="Note 2 7 3" xfId="21446" xr:uid="{00000000-0005-0000-0000-0000D3600000}"/>
    <cellStyle name="Note 2 7 3 2" xfId="45278" xr:uid="{BA8B24AF-A4B5-43E8-83F8-B45ECD1A2259}"/>
    <cellStyle name="Note 2 7 4" xfId="29400" xr:uid="{C89D0E76-5EFF-4D13-BA68-EACB247F96A3}"/>
    <cellStyle name="Note 2 8" xfId="9067" xr:uid="{00000000-0005-0000-0000-0000D4600000}"/>
    <cellStyle name="Note 2 8 2" xfId="17025" xr:uid="{00000000-0005-0000-0000-0000D5600000}"/>
    <cellStyle name="Note 2 8 2 2" xfId="40865" xr:uid="{26F75691-C3B2-4644-9F21-F388D34500F9}"/>
    <cellStyle name="Note 2 8 3" xfId="24969" xr:uid="{00000000-0005-0000-0000-0000D6600000}"/>
    <cellStyle name="Note 2 8 3 2" xfId="48801" xr:uid="{6B43F970-20A5-4E41-8151-2A986B9E78AE}"/>
    <cellStyle name="Note 2 8 4" xfId="32924" xr:uid="{1670D14C-57C2-4D0A-9EFF-C99D54AA5A0C}"/>
    <cellStyle name="Note 2 9" xfId="9963" xr:uid="{00000000-0005-0000-0000-0000D7600000}"/>
    <cellStyle name="Note 2 9 2" xfId="33812" xr:uid="{BDF6EECF-76B0-4F2C-9E1C-D0D3DB41C1FF}"/>
    <cellStyle name="Note 2_Exh G" xfId="3605" xr:uid="{00000000-0005-0000-0000-0000D8600000}"/>
    <cellStyle name="Note 3" xfId="707" xr:uid="{00000000-0005-0000-0000-0000D9600000}"/>
    <cellStyle name="Note 3 10" xfId="18604" xr:uid="{00000000-0005-0000-0000-0000DA600000}"/>
    <cellStyle name="Note 3 10 2" xfId="42436" xr:uid="{FA5A2E12-E70D-42A1-9472-4A16DC68AE5B}"/>
    <cellStyle name="Note 3 11" xfId="26556" xr:uid="{84F1E09E-B4F2-4521-B36A-40A204538429}"/>
    <cellStyle name="Note 3 2" xfId="708" xr:uid="{00000000-0005-0000-0000-0000DB600000}"/>
    <cellStyle name="Note 3 2 10" xfId="26557" xr:uid="{7F3D37B3-1BF0-4A95-B9C8-6EBFA03EC579}"/>
    <cellStyle name="Note 3 2 2" xfId="709" xr:uid="{00000000-0005-0000-0000-0000DC600000}"/>
    <cellStyle name="Note 3 2 2 2" xfId="1735" xr:uid="{00000000-0005-0000-0000-0000DD600000}"/>
    <cellStyle name="Note 3 2 2 2 2" xfId="5262" xr:uid="{00000000-0005-0000-0000-0000DE600000}"/>
    <cellStyle name="Note 3 2 2 2 2 2" xfId="8853" xr:uid="{00000000-0005-0000-0000-0000DF600000}"/>
    <cellStyle name="Note 3 2 2 2 2 2 2" xfId="16823" xr:uid="{00000000-0005-0000-0000-0000E0600000}"/>
    <cellStyle name="Note 3 2 2 2 2 2 2 2" xfId="40665" xr:uid="{F17CE054-D912-4DE1-BCF2-D9BB918980D1}"/>
    <cellStyle name="Note 3 2 2 2 2 2 3" xfId="24769" xr:uid="{00000000-0005-0000-0000-0000E1600000}"/>
    <cellStyle name="Note 3 2 2 2 2 2 3 2" xfId="48601" xr:uid="{E2A184FF-274D-426E-9DB8-FB28A159EBCD}"/>
    <cellStyle name="Note 3 2 2 2 2 2 4" xfId="32724" xr:uid="{98ECE241-ED4A-43A0-A73B-67F0C65D6D80}"/>
    <cellStyle name="Note 3 2 2 2 2 3" xfId="13285" xr:uid="{00000000-0005-0000-0000-0000E2600000}"/>
    <cellStyle name="Note 3 2 2 2 2 3 2" xfId="37134" xr:uid="{1212B26B-8D6B-4F04-8E07-231B7D9A6624}"/>
    <cellStyle name="Note 3 2 2 2 2 4" xfId="21240" xr:uid="{00000000-0005-0000-0000-0000E3600000}"/>
    <cellStyle name="Note 3 2 2 2 2 4 2" xfId="45072" xr:uid="{78F50A0B-8E1B-4AE2-B2C2-C76971DEBC0A}"/>
    <cellStyle name="Note 3 2 2 2 2 5" xfId="29193" xr:uid="{087E3B77-2417-4AA3-AF93-08D233B13ADD}"/>
    <cellStyle name="Note 3 2 2 2 3" xfId="7094" xr:uid="{00000000-0005-0000-0000-0000E4600000}"/>
    <cellStyle name="Note 3 2 2 2 3 2" xfId="15065" xr:uid="{00000000-0005-0000-0000-0000E5600000}"/>
    <cellStyle name="Note 3 2 2 2 3 2 2" xfId="38907" xr:uid="{793F2669-29C3-4754-995D-BE5FF5836ADA}"/>
    <cellStyle name="Note 3 2 2 2 3 3" xfId="23012" xr:uid="{00000000-0005-0000-0000-0000E6600000}"/>
    <cellStyle name="Note 3 2 2 2 3 3 2" xfId="46844" xr:uid="{00899BB2-11D5-402D-A505-8BF2A15C1A71}"/>
    <cellStyle name="Note 3 2 2 2 3 4" xfId="30966" xr:uid="{B38C209C-25DD-4516-BD6C-439ADDC4CA03}"/>
    <cellStyle name="Note 3 2 2 2 4" xfId="11529" xr:uid="{00000000-0005-0000-0000-0000E7600000}"/>
    <cellStyle name="Note 3 2 2 2 4 2" xfId="35378" xr:uid="{89D4BB00-2A34-4AFF-9011-C3BA6A3BDD27}"/>
    <cellStyle name="Note 3 2 2 2 5" xfId="19484" xr:uid="{00000000-0005-0000-0000-0000E8600000}"/>
    <cellStyle name="Note 3 2 2 2 5 2" xfId="43316" xr:uid="{842F4E5C-FFC7-4B62-9E40-A1B9E6B0893C}"/>
    <cellStyle name="Note 3 2 2 2 6" xfId="27436" xr:uid="{7BB6EEF3-AC05-41BB-AB96-B88F5FC9219D}"/>
    <cellStyle name="Note 3 2 2 2_Exh G" xfId="3620" xr:uid="{00000000-0005-0000-0000-0000E9600000}"/>
    <cellStyle name="Note 3 2 2 3" xfId="4383" xr:uid="{00000000-0005-0000-0000-0000EA600000}"/>
    <cellStyle name="Note 3 2 2 3 2" xfId="7975" xr:uid="{00000000-0005-0000-0000-0000EB600000}"/>
    <cellStyle name="Note 3 2 2 3 2 2" xfId="15945" xr:uid="{00000000-0005-0000-0000-0000EC600000}"/>
    <cellStyle name="Note 3 2 2 3 2 2 2" xfId="39787" xr:uid="{037ED795-1DE4-4621-84B2-15517419754B}"/>
    <cellStyle name="Note 3 2 2 3 2 3" xfId="23891" xr:uid="{00000000-0005-0000-0000-0000ED600000}"/>
    <cellStyle name="Note 3 2 2 3 2 3 2" xfId="47723" xr:uid="{12F893FD-2B7D-460D-ABF5-66915C51A477}"/>
    <cellStyle name="Note 3 2 2 3 2 4" xfId="31846" xr:uid="{D2C55BCC-8086-414D-8CBD-EE6587849FB9}"/>
    <cellStyle name="Note 3 2 2 3 3" xfId="12407" xr:uid="{00000000-0005-0000-0000-0000EE600000}"/>
    <cellStyle name="Note 3 2 2 3 3 2" xfId="36256" xr:uid="{B2852AA8-9163-421D-AB34-BCDF4B6150EC}"/>
    <cellStyle name="Note 3 2 2 3 4" xfId="20362" xr:uid="{00000000-0005-0000-0000-0000EF600000}"/>
    <cellStyle name="Note 3 2 2 3 4 2" xfId="44194" xr:uid="{95F06B7F-4DC1-4A6D-9685-E6AA991F938C}"/>
    <cellStyle name="Note 3 2 2 3 5" xfId="28315" xr:uid="{7460C8BA-D4A3-4903-94DA-45047A8C57E1}"/>
    <cellStyle name="Note 3 2 2 4" xfId="6203" xr:uid="{00000000-0005-0000-0000-0000F0600000}"/>
    <cellStyle name="Note 3 2 2 4 2" xfId="14186" xr:uid="{00000000-0005-0000-0000-0000F1600000}"/>
    <cellStyle name="Note 3 2 2 4 2 2" xfId="38029" xr:uid="{5046FE0A-DC6B-4F8D-B6F2-AF9FEE414555}"/>
    <cellStyle name="Note 3 2 2 4 3" xfId="22134" xr:uid="{00000000-0005-0000-0000-0000F2600000}"/>
    <cellStyle name="Note 3 2 2 4 3 2" xfId="45966" xr:uid="{F9E3A306-AEB8-42DD-B04F-CC9ACBDACA13}"/>
    <cellStyle name="Note 3 2 2 4 4" xfId="30088" xr:uid="{7C0C78A4-D77A-4626-A874-7FCF710EA20A}"/>
    <cellStyle name="Note 3 2 2 5" xfId="9755" xr:uid="{00000000-0005-0000-0000-0000F3600000}"/>
    <cellStyle name="Note 3 2 2 5 2" xfId="17713" xr:uid="{00000000-0005-0000-0000-0000F4600000}"/>
    <cellStyle name="Note 3 2 2 5 2 2" xfId="41553" xr:uid="{0B19A9A2-78F0-4A66-BE54-14B716A80CAD}"/>
    <cellStyle name="Note 3 2 2 5 3" xfId="25657" xr:uid="{00000000-0005-0000-0000-0000F5600000}"/>
    <cellStyle name="Note 3 2 2 5 3 2" xfId="49489" xr:uid="{6E71992B-5A26-4E6B-ABB0-31BB95428DD1}"/>
    <cellStyle name="Note 3 2 2 5 4" xfId="33612" xr:uid="{3E7EFFCC-F208-494F-953A-E924FDF52A1A}"/>
    <cellStyle name="Note 3 2 2 6" xfId="10651" xr:uid="{00000000-0005-0000-0000-0000F6600000}"/>
    <cellStyle name="Note 3 2 2 6 2" xfId="34500" xr:uid="{FE4E53E3-528E-4C42-84E7-F8AF0DCFB224}"/>
    <cellStyle name="Note 3 2 2 7" xfId="18606" xr:uid="{00000000-0005-0000-0000-0000F7600000}"/>
    <cellStyle name="Note 3 2 2 7 2" xfId="42438" xr:uid="{7B68393E-56A5-44D9-BFF4-A8D200141FE2}"/>
    <cellStyle name="Note 3 2 2 8" xfId="26558" xr:uid="{AD3CF7A8-DA0D-4577-A778-D4AFC58BA842}"/>
    <cellStyle name="Note 3 2 2_Exh G" xfId="3619" xr:uid="{00000000-0005-0000-0000-0000F8600000}"/>
    <cellStyle name="Note 3 2 3" xfId="1030" xr:uid="{00000000-0005-0000-0000-0000F9600000}"/>
    <cellStyle name="Note 3 2 3 2" xfId="1926" xr:uid="{00000000-0005-0000-0000-0000FA600000}"/>
    <cellStyle name="Note 3 2 3 2 2" xfId="5443" xr:uid="{00000000-0005-0000-0000-0000FB600000}"/>
    <cellStyle name="Note 3 2 3 2 2 2" xfId="9034" xr:uid="{00000000-0005-0000-0000-0000FC600000}"/>
    <cellStyle name="Note 3 2 3 2 2 2 2" xfId="17004" xr:uid="{00000000-0005-0000-0000-0000FD600000}"/>
    <cellStyle name="Note 3 2 3 2 2 2 2 2" xfId="40846" xr:uid="{461168BD-C5E9-46F6-9D61-DAA94E19D432}"/>
    <cellStyle name="Note 3 2 3 2 2 2 3" xfId="24950" xr:uid="{00000000-0005-0000-0000-0000FE600000}"/>
    <cellStyle name="Note 3 2 3 2 2 2 3 2" xfId="48782" xr:uid="{AF08642D-DF0D-4068-AE49-F96284A05159}"/>
    <cellStyle name="Note 3 2 3 2 2 2 4" xfId="32905" xr:uid="{E4A67213-C6F3-4AA2-9A31-7A858BA86811}"/>
    <cellStyle name="Note 3 2 3 2 2 3" xfId="13466" xr:uid="{00000000-0005-0000-0000-0000FF600000}"/>
    <cellStyle name="Note 3 2 3 2 2 3 2" xfId="37315" xr:uid="{072E400E-DA30-41F5-9416-44C0D57E9A08}"/>
    <cellStyle name="Note 3 2 3 2 2 4" xfId="21421" xr:uid="{00000000-0005-0000-0000-000000610000}"/>
    <cellStyle name="Note 3 2 3 2 2 4 2" xfId="45253" xr:uid="{66FF6328-32FE-42ED-9C22-A50D3384AB9E}"/>
    <cellStyle name="Note 3 2 3 2 2 5" xfId="29374" xr:uid="{BDFC4DA3-F79C-4A63-8F49-92D31905DE58}"/>
    <cellStyle name="Note 3 2 3 2 3" xfId="7275" xr:uid="{00000000-0005-0000-0000-000001610000}"/>
    <cellStyle name="Note 3 2 3 2 3 2" xfId="15246" xr:uid="{00000000-0005-0000-0000-000002610000}"/>
    <cellStyle name="Note 3 2 3 2 3 2 2" xfId="39088" xr:uid="{F3C8B025-9129-4179-83E3-015F7F19F4BC}"/>
    <cellStyle name="Note 3 2 3 2 3 3" xfId="23193" xr:uid="{00000000-0005-0000-0000-000003610000}"/>
    <cellStyle name="Note 3 2 3 2 3 3 2" xfId="47025" xr:uid="{F3B9D8E6-EA3F-4B29-99B2-E07FC0384777}"/>
    <cellStyle name="Note 3 2 3 2 3 4" xfId="31147" xr:uid="{9565897D-4E74-4CAB-9FEE-F158CCBC8DC0}"/>
    <cellStyle name="Note 3 2 3 2 4" xfId="11710" xr:uid="{00000000-0005-0000-0000-000004610000}"/>
    <cellStyle name="Note 3 2 3 2 4 2" xfId="35559" xr:uid="{24025EF3-7BA9-4AD7-BA62-49716B91679F}"/>
    <cellStyle name="Note 3 2 3 2 5" xfId="19665" xr:uid="{00000000-0005-0000-0000-000005610000}"/>
    <cellStyle name="Note 3 2 3 2 5 2" xfId="43497" xr:uid="{48A17469-442A-40C9-9F01-19F4DEC8DD5F}"/>
    <cellStyle name="Note 3 2 3 2 6" xfId="27617" xr:uid="{6D3D160D-89E7-49C1-B896-6864DB6CE2FF}"/>
    <cellStyle name="Note 3 2 3 2_Exh G" xfId="3622" xr:uid="{00000000-0005-0000-0000-000006610000}"/>
    <cellStyle name="Note 3 2 3 3" xfId="4564" xr:uid="{00000000-0005-0000-0000-000007610000}"/>
    <cellStyle name="Note 3 2 3 3 2" xfId="8156" xr:uid="{00000000-0005-0000-0000-000008610000}"/>
    <cellStyle name="Note 3 2 3 3 2 2" xfId="16126" xr:uid="{00000000-0005-0000-0000-000009610000}"/>
    <cellStyle name="Note 3 2 3 3 2 2 2" xfId="39968" xr:uid="{E511DD9B-46FE-45CF-A3D2-472741B616A9}"/>
    <cellStyle name="Note 3 2 3 3 2 3" xfId="24072" xr:uid="{00000000-0005-0000-0000-00000A610000}"/>
    <cellStyle name="Note 3 2 3 3 2 3 2" xfId="47904" xr:uid="{9867FAA5-CEA2-4343-82F5-94859E14ADB0}"/>
    <cellStyle name="Note 3 2 3 3 2 4" xfId="32027" xr:uid="{B708B7B0-0A94-4C71-85A0-185E59291610}"/>
    <cellStyle name="Note 3 2 3 3 3" xfId="12588" xr:uid="{00000000-0005-0000-0000-00000B610000}"/>
    <cellStyle name="Note 3 2 3 3 3 2" xfId="36437" xr:uid="{55961D60-3EBB-4F32-A46D-7BEE2F8B0630}"/>
    <cellStyle name="Note 3 2 3 3 4" xfId="20543" xr:uid="{00000000-0005-0000-0000-00000C610000}"/>
    <cellStyle name="Note 3 2 3 3 4 2" xfId="44375" xr:uid="{8E00D923-450F-45D9-B080-8F1DF801560C}"/>
    <cellStyle name="Note 3 2 3 3 5" xfId="28496" xr:uid="{EE947940-7821-486D-ABBF-D0E3374BD180}"/>
    <cellStyle name="Note 3 2 3 4" xfId="6395" xr:uid="{00000000-0005-0000-0000-00000D610000}"/>
    <cellStyle name="Note 3 2 3 4 2" xfId="14368" xr:uid="{00000000-0005-0000-0000-00000E610000}"/>
    <cellStyle name="Note 3 2 3 4 2 2" xfId="38210" xr:uid="{8F4286E8-6108-4043-A6E1-7FA5F1F8E830}"/>
    <cellStyle name="Note 3 2 3 4 3" xfId="22315" xr:uid="{00000000-0005-0000-0000-00000F610000}"/>
    <cellStyle name="Note 3 2 3 4 3 2" xfId="46147" xr:uid="{A25C73B1-C6FC-49A2-8AB6-B4319A829C25}"/>
    <cellStyle name="Note 3 2 3 4 4" xfId="30269" xr:uid="{F677FEEA-63C4-4D8F-A26C-02E830313A4B}"/>
    <cellStyle name="Note 3 2 3 5" xfId="9936" xr:uid="{00000000-0005-0000-0000-000010610000}"/>
    <cellStyle name="Note 3 2 3 5 2" xfId="17894" xr:uid="{00000000-0005-0000-0000-000011610000}"/>
    <cellStyle name="Note 3 2 3 5 2 2" xfId="41734" xr:uid="{DC5014D9-D224-47C0-8966-1563CBF63619}"/>
    <cellStyle name="Note 3 2 3 5 3" xfId="25838" xr:uid="{00000000-0005-0000-0000-000012610000}"/>
    <cellStyle name="Note 3 2 3 5 3 2" xfId="49670" xr:uid="{63940F1E-C7A5-4BF1-8039-2C14A1393228}"/>
    <cellStyle name="Note 3 2 3 5 4" xfId="33793" xr:uid="{F47BBA52-644A-4567-B1A2-EDCF06A5CDD7}"/>
    <cellStyle name="Note 3 2 3 6" xfId="10832" xr:uid="{00000000-0005-0000-0000-000013610000}"/>
    <cellStyle name="Note 3 2 3 6 2" xfId="34681" xr:uid="{55595CC3-445C-465E-8CAE-E6006E3944BC}"/>
    <cellStyle name="Note 3 2 3 7" xfId="18787" xr:uid="{00000000-0005-0000-0000-000014610000}"/>
    <cellStyle name="Note 3 2 3 7 2" xfId="42619" xr:uid="{08517AB4-791D-40B7-A908-495DCDFFF6A8}"/>
    <cellStyle name="Note 3 2 3 8" xfId="26739" xr:uid="{5040E5C6-648D-4AE2-A2FF-33FAA8434472}"/>
    <cellStyle name="Note 3 2 3_Exh G" xfId="3621" xr:uid="{00000000-0005-0000-0000-000015610000}"/>
    <cellStyle name="Note 3 2 4" xfId="1734" xr:uid="{00000000-0005-0000-0000-000016610000}"/>
    <cellStyle name="Note 3 2 4 2" xfId="5261" xr:uid="{00000000-0005-0000-0000-000017610000}"/>
    <cellStyle name="Note 3 2 4 2 2" xfId="8852" xr:uid="{00000000-0005-0000-0000-000018610000}"/>
    <cellStyle name="Note 3 2 4 2 2 2" xfId="16822" xr:uid="{00000000-0005-0000-0000-000019610000}"/>
    <cellStyle name="Note 3 2 4 2 2 2 2" xfId="40664" xr:uid="{30997989-4838-493E-ABB4-5C81F61E80D0}"/>
    <cellStyle name="Note 3 2 4 2 2 3" xfId="24768" xr:uid="{00000000-0005-0000-0000-00001A610000}"/>
    <cellStyle name="Note 3 2 4 2 2 3 2" xfId="48600" xr:uid="{F1027CCE-C9BA-4CC0-AB51-4511EF800A5F}"/>
    <cellStyle name="Note 3 2 4 2 2 4" xfId="32723" xr:uid="{AD2942F7-6BBB-42B2-A9AB-A9AE1629D664}"/>
    <cellStyle name="Note 3 2 4 2 3" xfId="13284" xr:uid="{00000000-0005-0000-0000-00001B610000}"/>
    <cellStyle name="Note 3 2 4 2 3 2" xfId="37133" xr:uid="{431298A4-C0C0-43AD-A298-653C9CB10C65}"/>
    <cellStyle name="Note 3 2 4 2 4" xfId="21239" xr:uid="{00000000-0005-0000-0000-00001C610000}"/>
    <cellStyle name="Note 3 2 4 2 4 2" xfId="45071" xr:uid="{A2493C34-3260-48AB-8210-3C83035CF1D4}"/>
    <cellStyle name="Note 3 2 4 2 5" xfId="29192" xr:uid="{FC9552AF-91DF-42EB-9771-1FCA3ACDA939}"/>
    <cellStyle name="Note 3 2 4 3" xfId="7093" xr:uid="{00000000-0005-0000-0000-00001D610000}"/>
    <cellStyle name="Note 3 2 4 3 2" xfId="15064" xr:uid="{00000000-0005-0000-0000-00001E610000}"/>
    <cellStyle name="Note 3 2 4 3 2 2" xfId="38906" xr:uid="{4F01DC0B-37A5-4003-A22A-753C43D07524}"/>
    <cellStyle name="Note 3 2 4 3 3" xfId="23011" xr:uid="{00000000-0005-0000-0000-00001F610000}"/>
    <cellStyle name="Note 3 2 4 3 3 2" xfId="46843" xr:uid="{AFB919D3-A867-43D8-8B4B-8F6D3DD739CE}"/>
    <cellStyle name="Note 3 2 4 3 4" xfId="30965" xr:uid="{B5B4E587-7315-4B6B-80F8-7BBEFCC6E508}"/>
    <cellStyle name="Note 3 2 4 4" xfId="11528" xr:uid="{00000000-0005-0000-0000-000020610000}"/>
    <cellStyle name="Note 3 2 4 4 2" xfId="35377" xr:uid="{50F65C4B-4DAB-41B0-BDED-668C05AEA02D}"/>
    <cellStyle name="Note 3 2 4 5" xfId="19483" xr:uid="{00000000-0005-0000-0000-000021610000}"/>
    <cellStyle name="Note 3 2 4 5 2" xfId="43315" xr:uid="{036794DC-56E2-4581-BA4F-27C627ECE91C}"/>
    <cellStyle name="Note 3 2 4 6" xfId="27435" xr:uid="{59BBAF8D-B9B4-44D2-B065-8D507018E488}"/>
    <cellStyle name="Note 3 2 4_Exh G" xfId="3623" xr:uid="{00000000-0005-0000-0000-000022610000}"/>
    <cellStyle name="Note 3 2 5" xfId="4382" xr:uid="{00000000-0005-0000-0000-000023610000}"/>
    <cellStyle name="Note 3 2 5 2" xfId="7974" xr:uid="{00000000-0005-0000-0000-000024610000}"/>
    <cellStyle name="Note 3 2 5 2 2" xfId="15944" xr:uid="{00000000-0005-0000-0000-000025610000}"/>
    <cellStyle name="Note 3 2 5 2 2 2" xfId="39786" xr:uid="{5EE7B064-EA11-46CD-9885-5FFE4A89C04E}"/>
    <cellStyle name="Note 3 2 5 2 3" xfId="23890" xr:uid="{00000000-0005-0000-0000-000026610000}"/>
    <cellStyle name="Note 3 2 5 2 3 2" xfId="47722" xr:uid="{6B89D417-7ABE-4C9C-A1B1-7C5AD9219FA8}"/>
    <cellStyle name="Note 3 2 5 2 4" xfId="31845" xr:uid="{5933D7AD-4A20-48F8-AE40-CD59F4A197B2}"/>
    <cellStyle name="Note 3 2 5 3" xfId="12406" xr:uid="{00000000-0005-0000-0000-000027610000}"/>
    <cellStyle name="Note 3 2 5 3 2" xfId="36255" xr:uid="{0C776FCE-5723-46FF-8F64-A28AF0736F5E}"/>
    <cellStyle name="Note 3 2 5 4" xfId="20361" xr:uid="{00000000-0005-0000-0000-000028610000}"/>
    <cellStyle name="Note 3 2 5 4 2" xfId="44193" xr:uid="{2D7D7EFD-DC4D-4D75-BEB5-D22F6B3CAEC3}"/>
    <cellStyle name="Note 3 2 5 5" xfId="28314" xr:uid="{A7EF257F-6B7B-426D-91EE-A180EEAD9FA0}"/>
    <cellStyle name="Note 3 2 6" xfId="6202" xr:uid="{00000000-0005-0000-0000-000029610000}"/>
    <cellStyle name="Note 3 2 6 2" xfId="14185" xr:uid="{00000000-0005-0000-0000-00002A610000}"/>
    <cellStyle name="Note 3 2 6 2 2" xfId="38028" xr:uid="{B00778F9-CCE8-4A04-A952-A13E2240F198}"/>
    <cellStyle name="Note 3 2 6 3" xfId="22133" xr:uid="{00000000-0005-0000-0000-00002B610000}"/>
    <cellStyle name="Note 3 2 6 3 2" xfId="45965" xr:uid="{5C887453-FF2F-4A43-AC7E-8959EFF4482A}"/>
    <cellStyle name="Note 3 2 6 4" xfId="30087" xr:uid="{4B3BC7C9-E8DA-492D-ABDA-3D6366B7FB89}"/>
    <cellStyle name="Note 3 2 7" xfId="9754" xr:uid="{00000000-0005-0000-0000-00002C610000}"/>
    <cellStyle name="Note 3 2 7 2" xfId="17712" xr:uid="{00000000-0005-0000-0000-00002D610000}"/>
    <cellStyle name="Note 3 2 7 2 2" xfId="41552" xr:uid="{4AFE8ECB-75A4-4DA1-9236-F7741121EA49}"/>
    <cellStyle name="Note 3 2 7 3" xfId="25656" xr:uid="{00000000-0005-0000-0000-00002E610000}"/>
    <cellStyle name="Note 3 2 7 3 2" xfId="49488" xr:uid="{CD5A4773-FE9F-4500-A892-083C650E0916}"/>
    <cellStyle name="Note 3 2 7 4" xfId="33611" xr:uid="{E995FA6C-1587-4953-9448-B0C0E107314E}"/>
    <cellStyle name="Note 3 2 8" xfId="10650" xr:uid="{00000000-0005-0000-0000-00002F610000}"/>
    <cellStyle name="Note 3 2 8 2" xfId="34499" xr:uid="{42823E75-50F5-4E58-9093-1BE7ADB34D86}"/>
    <cellStyle name="Note 3 2 9" xfId="18605" xr:uid="{00000000-0005-0000-0000-000030610000}"/>
    <cellStyle name="Note 3 2 9 2" xfId="42437" xr:uid="{07937E32-2919-4189-BFD1-9A8200F1C7CD}"/>
    <cellStyle name="Note 3 2_Exh G" xfId="3618" xr:uid="{00000000-0005-0000-0000-000031610000}"/>
    <cellStyle name="Note 3 3" xfId="710" xr:uid="{00000000-0005-0000-0000-000032610000}"/>
    <cellStyle name="Note 3 3 2" xfId="1736" xr:uid="{00000000-0005-0000-0000-000033610000}"/>
    <cellStyle name="Note 3 3 2 2" xfId="5263" xr:uid="{00000000-0005-0000-0000-000034610000}"/>
    <cellStyle name="Note 3 3 2 2 2" xfId="8854" xr:uid="{00000000-0005-0000-0000-000035610000}"/>
    <cellStyle name="Note 3 3 2 2 2 2" xfId="16824" xr:uid="{00000000-0005-0000-0000-000036610000}"/>
    <cellStyle name="Note 3 3 2 2 2 2 2" xfId="40666" xr:uid="{3D4EC562-8F58-4C88-B890-41A74A9B5253}"/>
    <cellStyle name="Note 3 3 2 2 2 3" xfId="24770" xr:uid="{00000000-0005-0000-0000-000037610000}"/>
    <cellStyle name="Note 3 3 2 2 2 3 2" xfId="48602" xr:uid="{5EC36D32-C060-40F2-B90E-4CF635EA440A}"/>
    <cellStyle name="Note 3 3 2 2 2 4" xfId="32725" xr:uid="{45361EB8-603E-4BF9-AACD-E004534C2A95}"/>
    <cellStyle name="Note 3 3 2 2 3" xfId="13286" xr:uid="{00000000-0005-0000-0000-000038610000}"/>
    <cellStyle name="Note 3 3 2 2 3 2" xfId="37135" xr:uid="{43334850-09A4-4721-A4B7-D8AF84164156}"/>
    <cellStyle name="Note 3 3 2 2 4" xfId="21241" xr:uid="{00000000-0005-0000-0000-000039610000}"/>
    <cellStyle name="Note 3 3 2 2 4 2" xfId="45073" xr:uid="{410CF50F-B7CC-4431-9AA0-76703E8546E0}"/>
    <cellStyle name="Note 3 3 2 2 5" xfId="29194" xr:uid="{DCCF3F41-8887-4FA2-A2C2-F09EC86CD547}"/>
    <cellStyle name="Note 3 3 2 3" xfId="7095" xr:uid="{00000000-0005-0000-0000-00003A610000}"/>
    <cellStyle name="Note 3 3 2 3 2" xfId="15066" xr:uid="{00000000-0005-0000-0000-00003B610000}"/>
    <cellStyle name="Note 3 3 2 3 2 2" xfId="38908" xr:uid="{1C0AF8C2-D551-4B49-9CB6-C0EE317C5339}"/>
    <cellStyle name="Note 3 3 2 3 3" xfId="23013" xr:uid="{00000000-0005-0000-0000-00003C610000}"/>
    <cellStyle name="Note 3 3 2 3 3 2" xfId="46845" xr:uid="{3B6B859E-4C0D-4BB7-92BB-BCDFDB3DDD61}"/>
    <cellStyle name="Note 3 3 2 3 4" xfId="30967" xr:uid="{2D25DD51-32AB-4040-978C-FABB22378B49}"/>
    <cellStyle name="Note 3 3 2 4" xfId="11530" xr:uid="{00000000-0005-0000-0000-00003D610000}"/>
    <cellStyle name="Note 3 3 2 4 2" xfId="35379" xr:uid="{3F6385C2-FC6F-482E-8A33-9596625C9CDD}"/>
    <cellStyle name="Note 3 3 2 5" xfId="19485" xr:uid="{00000000-0005-0000-0000-00003E610000}"/>
    <cellStyle name="Note 3 3 2 5 2" xfId="43317" xr:uid="{B5F1C266-10DF-48D6-AA6C-3E5074C20486}"/>
    <cellStyle name="Note 3 3 2 6" xfId="27437" xr:uid="{032BDB11-B4F2-4915-8B75-128FB913C06A}"/>
    <cellStyle name="Note 3 3 2_Exh G" xfId="3625" xr:uid="{00000000-0005-0000-0000-00003F610000}"/>
    <cellStyle name="Note 3 3 3" xfId="4384" xr:uid="{00000000-0005-0000-0000-000040610000}"/>
    <cellStyle name="Note 3 3 3 2" xfId="7976" xr:uid="{00000000-0005-0000-0000-000041610000}"/>
    <cellStyle name="Note 3 3 3 2 2" xfId="15946" xr:uid="{00000000-0005-0000-0000-000042610000}"/>
    <cellStyle name="Note 3 3 3 2 2 2" xfId="39788" xr:uid="{360BC41A-7400-4044-A4D1-5092FCCCE01D}"/>
    <cellStyle name="Note 3 3 3 2 3" xfId="23892" xr:uid="{00000000-0005-0000-0000-000043610000}"/>
    <cellStyle name="Note 3 3 3 2 3 2" xfId="47724" xr:uid="{820731CD-AE79-4BEC-B0B8-C1B739AAB180}"/>
    <cellStyle name="Note 3 3 3 2 4" xfId="31847" xr:uid="{1F39B73B-BD46-4BCD-BE42-CE270CC8D781}"/>
    <cellStyle name="Note 3 3 3 3" xfId="12408" xr:uid="{00000000-0005-0000-0000-000044610000}"/>
    <cellStyle name="Note 3 3 3 3 2" xfId="36257" xr:uid="{287CDA20-53BC-4721-B9B3-E5B717B79C3C}"/>
    <cellStyle name="Note 3 3 3 4" xfId="20363" xr:uid="{00000000-0005-0000-0000-000045610000}"/>
    <cellStyle name="Note 3 3 3 4 2" xfId="44195" xr:uid="{25CF6AAA-5CD3-4519-85CC-3D345333CA87}"/>
    <cellStyle name="Note 3 3 3 5" xfId="28316" xr:uid="{5826EBDB-556E-4E4C-BFF1-40B42840F862}"/>
    <cellStyle name="Note 3 3 4" xfId="6204" xr:uid="{00000000-0005-0000-0000-000046610000}"/>
    <cellStyle name="Note 3 3 4 2" xfId="14187" xr:uid="{00000000-0005-0000-0000-000047610000}"/>
    <cellStyle name="Note 3 3 4 2 2" xfId="38030" xr:uid="{8AD30DC4-ED02-4E73-8A35-DA67F015BB3F}"/>
    <cellStyle name="Note 3 3 4 3" xfId="22135" xr:uid="{00000000-0005-0000-0000-000048610000}"/>
    <cellStyle name="Note 3 3 4 3 2" xfId="45967" xr:uid="{24D595EB-E499-47B0-A712-F8A5A1D80068}"/>
    <cellStyle name="Note 3 3 4 4" xfId="30089" xr:uid="{87E6B75B-6827-46E6-8D82-F7FDE5166402}"/>
    <cellStyle name="Note 3 3 5" xfId="9756" xr:uid="{00000000-0005-0000-0000-000049610000}"/>
    <cellStyle name="Note 3 3 5 2" xfId="17714" xr:uid="{00000000-0005-0000-0000-00004A610000}"/>
    <cellStyle name="Note 3 3 5 2 2" xfId="41554" xr:uid="{39F10505-7C4D-4AC1-9796-462B67C344A8}"/>
    <cellStyle name="Note 3 3 5 3" xfId="25658" xr:uid="{00000000-0005-0000-0000-00004B610000}"/>
    <cellStyle name="Note 3 3 5 3 2" xfId="49490" xr:uid="{9126D5F1-AE7B-4384-A645-20E8D7C84E80}"/>
    <cellStyle name="Note 3 3 5 4" xfId="33613" xr:uid="{9D74E631-911B-45AC-A39B-DBFF17AC3C9A}"/>
    <cellStyle name="Note 3 3 6" xfId="10652" xr:uid="{00000000-0005-0000-0000-00004C610000}"/>
    <cellStyle name="Note 3 3 6 2" xfId="34501" xr:uid="{D432CF03-600E-4C96-9AAC-158E2D7A1A20}"/>
    <cellStyle name="Note 3 3 7" xfId="18607" xr:uid="{00000000-0005-0000-0000-00004D610000}"/>
    <cellStyle name="Note 3 3 7 2" xfId="42439" xr:uid="{778C0D98-1BFE-44A3-8EAC-2624B3E05066}"/>
    <cellStyle name="Note 3 3 8" xfId="26559" xr:uid="{2BEE991B-791F-4376-B7BD-79900E285D3C}"/>
    <cellStyle name="Note 3 3_Exh G" xfId="3624" xr:uid="{00000000-0005-0000-0000-00004E610000}"/>
    <cellStyle name="Note 3 4" xfId="1029" xr:uid="{00000000-0005-0000-0000-00004F610000}"/>
    <cellStyle name="Note 3 4 2" xfId="1925" xr:uid="{00000000-0005-0000-0000-000050610000}"/>
    <cellStyle name="Note 3 4 2 2" xfId="5442" xr:uid="{00000000-0005-0000-0000-000051610000}"/>
    <cellStyle name="Note 3 4 2 2 2" xfId="9033" xr:uid="{00000000-0005-0000-0000-000052610000}"/>
    <cellStyle name="Note 3 4 2 2 2 2" xfId="17003" xr:uid="{00000000-0005-0000-0000-000053610000}"/>
    <cellStyle name="Note 3 4 2 2 2 2 2" xfId="40845" xr:uid="{E998324A-0935-4C79-AC08-FD0850B8B0FD}"/>
    <cellStyle name="Note 3 4 2 2 2 3" xfId="24949" xr:uid="{00000000-0005-0000-0000-000054610000}"/>
    <cellStyle name="Note 3 4 2 2 2 3 2" xfId="48781" xr:uid="{EBA96485-CEB0-4806-AD4C-690D2275441A}"/>
    <cellStyle name="Note 3 4 2 2 2 4" xfId="32904" xr:uid="{F5741EE3-F4D6-45BE-845B-185699576D1E}"/>
    <cellStyle name="Note 3 4 2 2 3" xfId="13465" xr:uid="{00000000-0005-0000-0000-000055610000}"/>
    <cellStyle name="Note 3 4 2 2 3 2" xfId="37314" xr:uid="{A38DF0F0-4603-4B49-848F-52B33B297144}"/>
    <cellStyle name="Note 3 4 2 2 4" xfId="21420" xr:uid="{00000000-0005-0000-0000-000056610000}"/>
    <cellStyle name="Note 3 4 2 2 4 2" xfId="45252" xr:uid="{E0F3E358-7C89-4422-9958-D4C8CA38F6E6}"/>
    <cellStyle name="Note 3 4 2 2 5" xfId="29373" xr:uid="{B62FEA4A-EDE6-4E8D-95BB-93861FCBC147}"/>
    <cellStyle name="Note 3 4 2 3" xfId="7274" xr:uid="{00000000-0005-0000-0000-000057610000}"/>
    <cellStyle name="Note 3 4 2 3 2" xfId="15245" xr:uid="{00000000-0005-0000-0000-000058610000}"/>
    <cellStyle name="Note 3 4 2 3 2 2" xfId="39087" xr:uid="{5B197E4E-C963-437D-84B1-BE810ABD4421}"/>
    <cellStyle name="Note 3 4 2 3 3" xfId="23192" xr:uid="{00000000-0005-0000-0000-000059610000}"/>
    <cellStyle name="Note 3 4 2 3 3 2" xfId="47024" xr:uid="{8801ECFE-1941-40E1-B59E-D91D7CD6E26B}"/>
    <cellStyle name="Note 3 4 2 3 4" xfId="31146" xr:uid="{555B2196-D28B-4E21-A33C-B8E6EFF2E3AA}"/>
    <cellStyle name="Note 3 4 2 4" xfId="11709" xr:uid="{00000000-0005-0000-0000-00005A610000}"/>
    <cellStyle name="Note 3 4 2 4 2" xfId="35558" xr:uid="{F124FED4-CBF2-40B3-A471-A66346602EA4}"/>
    <cellStyle name="Note 3 4 2 5" xfId="19664" xr:uid="{00000000-0005-0000-0000-00005B610000}"/>
    <cellStyle name="Note 3 4 2 5 2" xfId="43496" xr:uid="{6B4AF556-A528-4F90-9F8C-483A96D4F110}"/>
    <cellStyle name="Note 3 4 2 6" xfId="27616" xr:uid="{914693AE-7C9F-4B4F-9D1E-D8AE35C4DAC1}"/>
    <cellStyle name="Note 3 4 2_Exh G" xfId="3627" xr:uid="{00000000-0005-0000-0000-00005C610000}"/>
    <cellStyle name="Note 3 4 3" xfId="4563" xr:uid="{00000000-0005-0000-0000-00005D610000}"/>
    <cellStyle name="Note 3 4 3 2" xfId="8155" xr:uid="{00000000-0005-0000-0000-00005E610000}"/>
    <cellStyle name="Note 3 4 3 2 2" xfId="16125" xr:uid="{00000000-0005-0000-0000-00005F610000}"/>
    <cellStyle name="Note 3 4 3 2 2 2" xfId="39967" xr:uid="{A7741515-17CF-43A8-934C-9672883F1CB5}"/>
    <cellStyle name="Note 3 4 3 2 3" xfId="24071" xr:uid="{00000000-0005-0000-0000-000060610000}"/>
    <cellStyle name="Note 3 4 3 2 3 2" xfId="47903" xr:uid="{66C7D503-61A3-4FAC-9567-F7C17293085A}"/>
    <cellStyle name="Note 3 4 3 2 4" xfId="32026" xr:uid="{F7EE02FF-C984-4ADB-AC94-AAC63E1AAD02}"/>
    <cellStyle name="Note 3 4 3 3" xfId="12587" xr:uid="{00000000-0005-0000-0000-000061610000}"/>
    <cellStyle name="Note 3 4 3 3 2" xfId="36436" xr:uid="{FDB8E15D-2E86-4653-92E4-B89489EC88E0}"/>
    <cellStyle name="Note 3 4 3 4" xfId="20542" xr:uid="{00000000-0005-0000-0000-000062610000}"/>
    <cellStyle name="Note 3 4 3 4 2" xfId="44374" xr:uid="{4B951D95-46D1-4861-8784-684F85A64575}"/>
    <cellStyle name="Note 3 4 3 5" xfId="28495" xr:uid="{F6E9B008-54C4-4483-B83F-CE9262829539}"/>
    <cellStyle name="Note 3 4 4" xfId="6394" xr:uid="{00000000-0005-0000-0000-000063610000}"/>
    <cellStyle name="Note 3 4 4 2" xfId="14367" xr:uid="{00000000-0005-0000-0000-000064610000}"/>
    <cellStyle name="Note 3 4 4 2 2" xfId="38209" xr:uid="{04D2193B-6360-4052-BD79-F9FA7CB2A117}"/>
    <cellStyle name="Note 3 4 4 3" xfId="22314" xr:uid="{00000000-0005-0000-0000-000065610000}"/>
    <cellStyle name="Note 3 4 4 3 2" xfId="46146" xr:uid="{9CF71EB1-070D-4C3B-95D4-5DB6A20B1E85}"/>
    <cellStyle name="Note 3 4 4 4" xfId="30268" xr:uid="{BA11CEA0-5397-4137-B309-02D3EBBC00D6}"/>
    <cellStyle name="Note 3 4 5" xfId="9935" xr:uid="{00000000-0005-0000-0000-000066610000}"/>
    <cellStyle name="Note 3 4 5 2" xfId="17893" xr:uid="{00000000-0005-0000-0000-000067610000}"/>
    <cellStyle name="Note 3 4 5 2 2" xfId="41733" xr:uid="{DA172E84-C7F5-405E-9FB4-4BBB88791E0A}"/>
    <cellStyle name="Note 3 4 5 3" xfId="25837" xr:uid="{00000000-0005-0000-0000-000068610000}"/>
    <cellStyle name="Note 3 4 5 3 2" xfId="49669" xr:uid="{1B21245F-19FE-467E-B332-EBCB7E9413F7}"/>
    <cellStyle name="Note 3 4 5 4" xfId="33792" xr:uid="{5CF0B842-E019-48A5-AC8D-60BFA2E44220}"/>
    <cellStyle name="Note 3 4 6" xfId="10831" xr:uid="{00000000-0005-0000-0000-000069610000}"/>
    <cellStyle name="Note 3 4 6 2" xfId="34680" xr:uid="{746FBD09-863C-4178-A65D-27595F432013}"/>
    <cellStyle name="Note 3 4 7" xfId="18786" xr:uid="{00000000-0005-0000-0000-00006A610000}"/>
    <cellStyle name="Note 3 4 7 2" xfId="42618" xr:uid="{F13E9778-F0C5-4211-96E1-9767B6ED5466}"/>
    <cellStyle name="Note 3 4 8" xfId="26738" xr:uid="{D2478A99-180C-4A7B-9FA0-C82B5F96EFE7}"/>
    <cellStyle name="Note 3 4_Exh G" xfId="3626" xr:uid="{00000000-0005-0000-0000-00006B610000}"/>
    <cellStyle name="Note 3 5" xfId="1733" xr:uid="{00000000-0005-0000-0000-00006C610000}"/>
    <cellStyle name="Note 3 5 2" xfId="5260" xr:uid="{00000000-0005-0000-0000-00006D610000}"/>
    <cellStyle name="Note 3 5 2 2" xfId="8851" xr:uid="{00000000-0005-0000-0000-00006E610000}"/>
    <cellStyle name="Note 3 5 2 2 2" xfId="16821" xr:uid="{00000000-0005-0000-0000-00006F610000}"/>
    <cellStyle name="Note 3 5 2 2 2 2" xfId="40663" xr:uid="{14BADD2C-461C-46CA-AF15-B628B902F7D0}"/>
    <cellStyle name="Note 3 5 2 2 3" xfId="24767" xr:uid="{00000000-0005-0000-0000-000070610000}"/>
    <cellStyle name="Note 3 5 2 2 3 2" xfId="48599" xr:uid="{F4ED67C3-1CB3-4F5C-BF39-C2FCE8A36200}"/>
    <cellStyle name="Note 3 5 2 2 4" xfId="32722" xr:uid="{D445FD66-2BE8-4F39-9AC1-DA392AC6D2B5}"/>
    <cellStyle name="Note 3 5 2 3" xfId="13283" xr:uid="{00000000-0005-0000-0000-000071610000}"/>
    <cellStyle name="Note 3 5 2 3 2" xfId="37132" xr:uid="{AE3A92E5-62AC-4F0E-AA88-4E0F59ABF3C9}"/>
    <cellStyle name="Note 3 5 2 4" xfId="21238" xr:uid="{00000000-0005-0000-0000-000072610000}"/>
    <cellStyle name="Note 3 5 2 4 2" xfId="45070" xr:uid="{297C9924-C003-4BE6-A002-327CAE0EDC99}"/>
    <cellStyle name="Note 3 5 2 5" xfId="29191" xr:uid="{2D88ABD5-1D04-4C88-A235-F02F862FFA9E}"/>
    <cellStyle name="Note 3 5 3" xfId="7092" xr:uid="{00000000-0005-0000-0000-000073610000}"/>
    <cellStyle name="Note 3 5 3 2" xfId="15063" xr:uid="{00000000-0005-0000-0000-000074610000}"/>
    <cellStyle name="Note 3 5 3 2 2" xfId="38905" xr:uid="{07AA3B43-8466-492B-9B9A-39AFA8A1687D}"/>
    <cellStyle name="Note 3 5 3 3" xfId="23010" xr:uid="{00000000-0005-0000-0000-000075610000}"/>
    <cellStyle name="Note 3 5 3 3 2" xfId="46842" xr:uid="{AD9BC99D-56D9-4F70-BB3F-190AE9BA3F06}"/>
    <cellStyle name="Note 3 5 3 4" xfId="30964" xr:uid="{6B67647B-5C31-45D6-A58D-C83B3237EF12}"/>
    <cellStyle name="Note 3 5 4" xfId="11527" xr:uid="{00000000-0005-0000-0000-000076610000}"/>
    <cellStyle name="Note 3 5 4 2" xfId="35376" xr:uid="{2E9CFF69-3BC9-48E1-BC30-DC029A116AAB}"/>
    <cellStyle name="Note 3 5 5" xfId="19482" xr:uid="{00000000-0005-0000-0000-000077610000}"/>
    <cellStyle name="Note 3 5 5 2" xfId="43314" xr:uid="{3E3F657E-F04A-43B5-BF59-C3E2563A5CAB}"/>
    <cellStyle name="Note 3 5 6" xfId="27434" xr:uid="{22685268-C87F-4F27-8197-3AC3DEE832D4}"/>
    <cellStyle name="Note 3 5_Exh G" xfId="3628" xr:uid="{00000000-0005-0000-0000-000078610000}"/>
    <cellStyle name="Note 3 6" xfId="4381" xr:uid="{00000000-0005-0000-0000-000079610000}"/>
    <cellStyle name="Note 3 6 2" xfId="7973" xr:uid="{00000000-0005-0000-0000-00007A610000}"/>
    <cellStyle name="Note 3 6 2 2" xfId="15943" xr:uid="{00000000-0005-0000-0000-00007B610000}"/>
    <cellStyle name="Note 3 6 2 2 2" xfId="39785" xr:uid="{C1C7BE83-6093-4C35-A525-F4A3261DAB01}"/>
    <cellStyle name="Note 3 6 2 3" xfId="23889" xr:uid="{00000000-0005-0000-0000-00007C610000}"/>
    <cellStyle name="Note 3 6 2 3 2" xfId="47721" xr:uid="{BB243D5E-9655-4512-B853-8DE8B08C4549}"/>
    <cellStyle name="Note 3 6 2 4" xfId="31844" xr:uid="{6AB8578E-468B-4E92-A302-233B9077DE7B}"/>
    <cellStyle name="Note 3 6 3" xfId="12405" xr:uid="{00000000-0005-0000-0000-00007D610000}"/>
    <cellStyle name="Note 3 6 3 2" xfId="36254" xr:uid="{3DBA577D-AA71-4F81-9B07-2DB13991B68E}"/>
    <cellStyle name="Note 3 6 4" xfId="20360" xr:uid="{00000000-0005-0000-0000-00007E610000}"/>
    <cellStyle name="Note 3 6 4 2" xfId="44192" xr:uid="{75DD7661-7D1B-43D4-9BB1-4F5754795FD3}"/>
    <cellStyle name="Note 3 6 5" xfId="28313" xr:uid="{A4A01372-5851-4C13-B65F-97D82DD75FCD}"/>
    <cellStyle name="Note 3 7" xfId="6201" xr:uid="{00000000-0005-0000-0000-00007F610000}"/>
    <cellStyle name="Note 3 7 2" xfId="14184" xr:uid="{00000000-0005-0000-0000-000080610000}"/>
    <cellStyle name="Note 3 7 2 2" xfId="38027" xr:uid="{6D36E7A4-2F00-403F-8BD4-792F9A6A917D}"/>
    <cellStyle name="Note 3 7 3" xfId="22132" xr:uid="{00000000-0005-0000-0000-000081610000}"/>
    <cellStyle name="Note 3 7 3 2" xfId="45964" xr:uid="{CCD0A004-C5A5-45F9-B6DA-F950D9703035}"/>
    <cellStyle name="Note 3 7 4" xfId="30086" xr:uid="{BF9CF525-0B6C-41D0-B5DB-C5EC4A592F2B}"/>
    <cellStyle name="Note 3 8" xfId="9753" xr:uid="{00000000-0005-0000-0000-000082610000}"/>
    <cellStyle name="Note 3 8 2" xfId="17711" xr:uid="{00000000-0005-0000-0000-000083610000}"/>
    <cellStyle name="Note 3 8 2 2" xfId="41551" xr:uid="{9D5952C5-282C-4EE3-A875-EC373295A783}"/>
    <cellStyle name="Note 3 8 3" xfId="25655" xr:uid="{00000000-0005-0000-0000-000084610000}"/>
    <cellStyle name="Note 3 8 3 2" xfId="49487" xr:uid="{766E9775-2FA5-4721-B806-457BE6536DF3}"/>
    <cellStyle name="Note 3 8 4" xfId="33610" xr:uid="{BD35423C-9EBD-4F7E-A555-758236DA82C8}"/>
    <cellStyle name="Note 3 9" xfId="10649" xr:uid="{00000000-0005-0000-0000-000085610000}"/>
    <cellStyle name="Note 3 9 2" xfId="34498" xr:uid="{D4B06940-31DF-4CC5-99E4-FEDFEFB1E3D1}"/>
    <cellStyle name="Note 3_Exh G" xfId="3617" xr:uid="{00000000-0005-0000-0000-000086610000}"/>
    <cellStyle name="Note 4" xfId="711" xr:uid="{00000000-0005-0000-0000-000087610000}"/>
    <cellStyle name="Note 4 10" xfId="18608" xr:uid="{00000000-0005-0000-0000-000088610000}"/>
    <cellStyle name="Note 4 10 2" xfId="42440" xr:uid="{34CE7AA6-1085-40FA-8783-DD3E11E8EF20}"/>
    <cellStyle name="Note 4 11" xfId="26560" xr:uid="{7A489559-C85F-4B11-B769-B9BD4A4CCE23}"/>
    <cellStyle name="Note 4 2" xfId="712" xr:uid="{00000000-0005-0000-0000-000089610000}"/>
    <cellStyle name="Note 4 2 10" xfId="26561" xr:uid="{86C54F27-367D-41D0-AC67-F81A145F9D9D}"/>
    <cellStyle name="Note 4 2 2" xfId="713" xr:uid="{00000000-0005-0000-0000-00008A610000}"/>
    <cellStyle name="Note 4 2 2 2" xfId="1739" xr:uid="{00000000-0005-0000-0000-00008B610000}"/>
    <cellStyle name="Note 4 2 2 2 2" xfId="5266" xr:uid="{00000000-0005-0000-0000-00008C610000}"/>
    <cellStyle name="Note 4 2 2 2 2 2" xfId="8857" xr:uid="{00000000-0005-0000-0000-00008D610000}"/>
    <cellStyle name="Note 4 2 2 2 2 2 2" xfId="16827" xr:uid="{00000000-0005-0000-0000-00008E610000}"/>
    <cellStyle name="Note 4 2 2 2 2 2 2 2" xfId="40669" xr:uid="{9D347AF4-D494-426F-B7E8-2DF293E5706F}"/>
    <cellStyle name="Note 4 2 2 2 2 2 3" xfId="24773" xr:uid="{00000000-0005-0000-0000-00008F610000}"/>
    <cellStyle name="Note 4 2 2 2 2 2 3 2" xfId="48605" xr:uid="{06D67D3D-AE27-4E39-9691-E69086B56FE6}"/>
    <cellStyle name="Note 4 2 2 2 2 2 4" xfId="32728" xr:uid="{DAF12688-749F-4FAD-9518-D577BCEE2993}"/>
    <cellStyle name="Note 4 2 2 2 2 3" xfId="13289" xr:uid="{00000000-0005-0000-0000-000090610000}"/>
    <cellStyle name="Note 4 2 2 2 2 3 2" xfId="37138" xr:uid="{EC2496A0-6D2C-4E99-A5F3-2807C773A8F0}"/>
    <cellStyle name="Note 4 2 2 2 2 4" xfId="21244" xr:uid="{00000000-0005-0000-0000-000091610000}"/>
    <cellStyle name="Note 4 2 2 2 2 4 2" xfId="45076" xr:uid="{8257B93F-D2EE-4D5D-A08D-7DEAE601826B}"/>
    <cellStyle name="Note 4 2 2 2 2 5" xfId="29197" xr:uid="{CA0D0BDE-1E4C-4E22-9669-BE7640D23E86}"/>
    <cellStyle name="Note 4 2 2 2 3" xfId="7098" xr:uid="{00000000-0005-0000-0000-000092610000}"/>
    <cellStyle name="Note 4 2 2 2 3 2" xfId="15069" xr:uid="{00000000-0005-0000-0000-000093610000}"/>
    <cellStyle name="Note 4 2 2 2 3 2 2" xfId="38911" xr:uid="{E47DAA2E-418A-4742-B32C-C30548CE04D8}"/>
    <cellStyle name="Note 4 2 2 2 3 3" xfId="23016" xr:uid="{00000000-0005-0000-0000-000094610000}"/>
    <cellStyle name="Note 4 2 2 2 3 3 2" xfId="46848" xr:uid="{00F48420-3030-4C45-B3F4-81E7D06E6B11}"/>
    <cellStyle name="Note 4 2 2 2 3 4" xfId="30970" xr:uid="{6B9E348E-A663-4053-8C5C-A48880595074}"/>
    <cellStyle name="Note 4 2 2 2 4" xfId="11533" xr:uid="{00000000-0005-0000-0000-000095610000}"/>
    <cellStyle name="Note 4 2 2 2 4 2" xfId="35382" xr:uid="{8344CFB2-7EE7-444E-B2FE-EF42385D308C}"/>
    <cellStyle name="Note 4 2 2 2 5" xfId="19488" xr:uid="{00000000-0005-0000-0000-000096610000}"/>
    <cellStyle name="Note 4 2 2 2 5 2" xfId="43320" xr:uid="{ACD855E5-C869-468C-BEC1-28697EEB4A7F}"/>
    <cellStyle name="Note 4 2 2 2 6" xfId="27440" xr:uid="{DF60F928-864F-4C51-B25D-5E3B69E227F2}"/>
    <cellStyle name="Note 4 2 2 2_Exh G" xfId="3632" xr:uid="{00000000-0005-0000-0000-000097610000}"/>
    <cellStyle name="Note 4 2 2 3" xfId="4387" xr:uid="{00000000-0005-0000-0000-000098610000}"/>
    <cellStyle name="Note 4 2 2 3 2" xfId="7979" xr:uid="{00000000-0005-0000-0000-000099610000}"/>
    <cellStyle name="Note 4 2 2 3 2 2" xfId="15949" xr:uid="{00000000-0005-0000-0000-00009A610000}"/>
    <cellStyle name="Note 4 2 2 3 2 2 2" xfId="39791" xr:uid="{CD262D43-45BB-4047-B11D-0FFCB079D8F5}"/>
    <cellStyle name="Note 4 2 2 3 2 3" xfId="23895" xr:uid="{00000000-0005-0000-0000-00009B610000}"/>
    <cellStyle name="Note 4 2 2 3 2 3 2" xfId="47727" xr:uid="{2635D312-EA24-4F6F-A1C0-EE0DF793AE13}"/>
    <cellStyle name="Note 4 2 2 3 2 4" xfId="31850" xr:uid="{4E5FF219-4DF1-4B4F-8F2B-FEAE1743AFDC}"/>
    <cellStyle name="Note 4 2 2 3 3" xfId="12411" xr:uid="{00000000-0005-0000-0000-00009C610000}"/>
    <cellStyle name="Note 4 2 2 3 3 2" xfId="36260" xr:uid="{B6ED9608-BCB0-4194-8403-F3C54AB0F58C}"/>
    <cellStyle name="Note 4 2 2 3 4" xfId="20366" xr:uid="{00000000-0005-0000-0000-00009D610000}"/>
    <cellStyle name="Note 4 2 2 3 4 2" xfId="44198" xr:uid="{4B028F36-360C-4815-BD15-50DC3999821B}"/>
    <cellStyle name="Note 4 2 2 3 5" xfId="28319" xr:uid="{B581D3A9-F677-4C18-A6EB-2D136787B938}"/>
    <cellStyle name="Note 4 2 2 4" xfId="6207" xr:uid="{00000000-0005-0000-0000-00009E610000}"/>
    <cellStyle name="Note 4 2 2 4 2" xfId="14190" xr:uid="{00000000-0005-0000-0000-00009F610000}"/>
    <cellStyle name="Note 4 2 2 4 2 2" xfId="38033" xr:uid="{A26DBBDD-99E7-4AC5-A00B-6B90223DA0E3}"/>
    <cellStyle name="Note 4 2 2 4 3" xfId="22138" xr:uid="{00000000-0005-0000-0000-0000A0610000}"/>
    <cellStyle name="Note 4 2 2 4 3 2" xfId="45970" xr:uid="{574FC560-4F3F-46E8-97AA-33B7706F838E}"/>
    <cellStyle name="Note 4 2 2 4 4" xfId="30092" xr:uid="{0C164E33-CC66-4E1F-8BA8-A31BA412F28F}"/>
    <cellStyle name="Note 4 2 2 5" xfId="9759" xr:uid="{00000000-0005-0000-0000-0000A1610000}"/>
    <cellStyle name="Note 4 2 2 5 2" xfId="17717" xr:uid="{00000000-0005-0000-0000-0000A2610000}"/>
    <cellStyle name="Note 4 2 2 5 2 2" xfId="41557" xr:uid="{5566480E-34E9-484D-8B57-B43F7A5FFD4B}"/>
    <cellStyle name="Note 4 2 2 5 3" xfId="25661" xr:uid="{00000000-0005-0000-0000-0000A3610000}"/>
    <cellStyle name="Note 4 2 2 5 3 2" xfId="49493" xr:uid="{0294CC00-6205-4C4B-BAC7-9A2D1A45BED2}"/>
    <cellStyle name="Note 4 2 2 5 4" xfId="33616" xr:uid="{3DA0AF59-134C-49B8-BA5B-40ADD9FCEEFE}"/>
    <cellStyle name="Note 4 2 2 6" xfId="10655" xr:uid="{00000000-0005-0000-0000-0000A4610000}"/>
    <cellStyle name="Note 4 2 2 6 2" xfId="34504" xr:uid="{D1DBF110-02A8-4481-9756-4CB69C9FCAFE}"/>
    <cellStyle name="Note 4 2 2 7" xfId="18610" xr:uid="{00000000-0005-0000-0000-0000A5610000}"/>
    <cellStyle name="Note 4 2 2 7 2" xfId="42442" xr:uid="{6C7D00FA-FAD8-4135-B0EE-DE79F3E60531}"/>
    <cellStyle name="Note 4 2 2 8" xfId="26562" xr:uid="{1A76F685-025A-436A-91A6-ABCEC8C6E98D}"/>
    <cellStyle name="Note 4 2 2_Exh G" xfId="3631" xr:uid="{00000000-0005-0000-0000-0000A6610000}"/>
    <cellStyle name="Note 4 2 3" xfId="1032" xr:uid="{00000000-0005-0000-0000-0000A7610000}"/>
    <cellStyle name="Note 4 2 3 2" xfId="1928" xr:uid="{00000000-0005-0000-0000-0000A8610000}"/>
    <cellStyle name="Note 4 2 3 2 2" xfId="5445" xr:uid="{00000000-0005-0000-0000-0000A9610000}"/>
    <cellStyle name="Note 4 2 3 2 2 2" xfId="9036" xr:uid="{00000000-0005-0000-0000-0000AA610000}"/>
    <cellStyle name="Note 4 2 3 2 2 2 2" xfId="17006" xr:uid="{00000000-0005-0000-0000-0000AB610000}"/>
    <cellStyle name="Note 4 2 3 2 2 2 2 2" xfId="40848" xr:uid="{BD489DD2-43AC-4034-BFC1-D86620371774}"/>
    <cellStyle name="Note 4 2 3 2 2 2 3" xfId="24952" xr:uid="{00000000-0005-0000-0000-0000AC610000}"/>
    <cellStyle name="Note 4 2 3 2 2 2 3 2" xfId="48784" xr:uid="{4426528B-3F10-4374-8A09-11ABA6EB15A2}"/>
    <cellStyle name="Note 4 2 3 2 2 2 4" xfId="32907" xr:uid="{ECF1420E-A88D-4455-B0A8-AF20E79D5DE2}"/>
    <cellStyle name="Note 4 2 3 2 2 3" xfId="13468" xr:uid="{00000000-0005-0000-0000-0000AD610000}"/>
    <cellStyle name="Note 4 2 3 2 2 3 2" xfId="37317" xr:uid="{ECB406DD-0BE4-4C70-B6B6-5A6724CA0570}"/>
    <cellStyle name="Note 4 2 3 2 2 4" xfId="21423" xr:uid="{00000000-0005-0000-0000-0000AE610000}"/>
    <cellStyle name="Note 4 2 3 2 2 4 2" xfId="45255" xr:uid="{37E18582-9E1C-4ED2-8F56-EE1F88105DDA}"/>
    <cellStyle name="Note 4 2 3 2 2 5" xfId="29376" xr:uid="{26D01EE6-B61B-4303-BBD6-C6DE8A28ED86}"/>
    <cellStyle name="Note 4 2 3 2 3" xfId="7277" xr:uid="{00000000-0005-0000-0000-0000AF610000}"/>
    <cellStyle name="Note 4 2 3 2 3 2" xfId="15248" xr:uid="{00000000-0005-0000-0000-0000B0610000}"/>
    <cellStyle name="Note 4 2 3 2 3 2 2" xfId="39090" xr:uid="{A378248E-3D77-4ABD-B725-90E7AD1243F5}"/>
    <cellStyle name="Note 4 2 3 2 3 3" xfId="23195" xr:uid="{00000000-0005-0000-0000-0000B1610000}"/>
    <cellStyle name="Note 4 2 3 2 3 3 2" xfId="47027" xr:uid="{E639FF65-5407-47FC-9F19-6877B4912620}"/>
    <cellStyle name="Note 4 2 3 2 3 4" xfId="31149" xr:uid="{DBDB1A4E-EF9E-4971-8C00-FA0A268995B2}"/>
    <cellStyle name="Note 4 2 3 2 4" xfId="11712" xr:uid="{00000000-0005-0000-0000-0000B2610000}"/>
    <cellStyle name="Note 4 2 3 2 4 2" xfId="35561" xr:uid="{03A94A54-E2A1-4141-B299-7430082AF9D2}"/>
    <cellStyle name="Note 4 2 3 2 5" xfId="19667" xr:uid="{00000000-0005-0000-0000-0000B3610000}"/>
    <cellStyle name="Note 4 2 3 2 5 2" xfId="43499" xr:uid="{416BE71D-D28D-4CC3-8A2C-441BE1A793D9}"/>
    <cellStyle name="Note 4 2 3 2 6" xfId="27619" xr:uid="{8D753628-599F-4A0B-8B78-190D1D37F278}"/>
    <cellStyle name="Note 4 2 3 2_Exh G" xfId="3634" xr:uid="{00000000-0005-0000-0000-0000B4610000}"/>
    <cellStyle name="Note 4 2 3 3" xfId="4566" xr:uid="{00000000-0005-0000-0000-0000B5610000}"/>
    <cellStyle name="Note 4 2 3 3 2" xfId="8158" xr:uid="{00000000-0005-0000-0000-0000B6610000}"/>
    <cellStyle name="Note 4 2 3 3 2 2" xfId="16128" xr:uid="{00000000-0005-0000-0000-0000B7610000}"/>
    <cellStyle name="Note 4 2 3 3 2 2 2" xfId="39970" xr:uid="{E6609E2A-7901-4A0E-8C9F-239D80DD7D2A}"/>
    <cellStyle name="Note 4 2 3 3 2 3" xfId="24074" xr:uid="{00000000-0005-0000-0000-0000B8610000}"/>
    <cellStyle name="Note 4 2 3 3 2 3 2" xfId="47906" xr:uid="{F7C35BF1-B469-44AC-B539-06FA31A38DFF}"/>
    <cellStyle name="Note 4 2 3 3 2 4" xfId="32029" xr:uid="{7C948FDF-27C1-478E-9E13-35834C5F5C9C}"/>
    <cellStyle name="Note 4 2 3 3 3" xfId="12590" xr:uid="{00000000-0005-0000-0000-0000B9610000}"/>
    <cellStyle name="Note 4 2 3 3 3 2" xfId="36439" xr:uid="{E5202D3D-E9E4-42A1-9819-DCC25A0F2D76}"/>
    <cellStyle name="Note 4 2 3 3 4" xfId="20545" xr:uid="{00000000-0005-0000-0000-0000BA610000}"/>
    <cellStyle name="Note 4 2 3 3 4 2" xfId="44377" xr:uid="{B60EAFA9-F267-494E-BCD2-658892269974}"/>
    <cellStyle name="Note 4 2 3 3 5" xfId="28498" xr:uid="{9CA13B00-0FE9-4042-8E9E-2CE587823098}"/>
    <cellStyle name="Note 4 2 3 4" xfId="6397" xr:uid="{00000000-0005-0000-0000-0000BB610000}"/>
    <cellStyle name="Note 4 2 3 4 2" xfId="14370" xr:uid="{00000000-0005-0000-0000-0000BC610000}"/>
    <cellStyle name="Note 4 2 3 4 2 2" xfId="38212" xr:uid="{31765C46-5B1B-4917-AB24-D5CB841CE4A6}"/>
    <cellStyle name="Note 4 2 3 4 3" xfId="22317" xr:uid="{00000000-0005-0000-0000-0000BD610000}"/>
    <cellStyle name="Note 4 2 3 4 3 2" xfId="46149" xr:uid="{F80BF41F-4937-4B51-B811-FCA8045BF783}"/>
    <cellStyle name="Note 4 2 3 4 4" xfId="30271" xr:uid="{4FC9959B-8988-4CBE-9940-30FA6606348F}"/>
    <cellStyle name="Note 4 2 3 5" xfId="9938" xr:uid="{00000000-0005-0000-0000-0000BE610000}"/>
    <cellStyle name="Note 4 2 3 5 2" xfId="17896" xr:uid="{00000000-0005-0000-0000-0000BF610000}"/>
    <cellStyle name="Note 4 2 3 5 2 2" xfId="41736" xr:uid="{38398075-B2A1-45D4-AF7E-4993E0E9213E}"/>
    <cellStyle name="Note 4 2 3 5 3" xfId="25840" xr:uid="{00000000-0005-0000-0000-0000C0610000}"/>
    <cellStyle name="Note 4 2 3 5 3 2" xfId="49672" xr:uid="{34562F18-B844-480C-B848-AE2A69449213}"/>
    <cellStyle name="Note 4 2 3 5 4" xfId="33795" xr:uid="{F04198FC-29DC-49DA-959E-F24BD41B3DEB}"/>
    <cellStyle name="Note 4 2 3 6" xfId="10834" xr:uid="{00000000-0005-0000-0000-0000C1610000}"/>
    <cellStyle name="Note 4 2 3 6 2" xfId="34683" xr:uid="{9E05959E-9387-4DD2-A953-4ECAA032AE9C}"/>
    <cellStyle name="Note 4 2 3 7" xfId="18789" xr:uid="{00000000-0005-0000-0000-0000C2610000}"/>
    <cellStyle name="Note 4 2 3 7 2" xfId="42621" xr:uid="{38F2EF42-4597-4C90-A89B-A7F3C10D746D}"/>
    <cellStyle name="Note 4 2 3 8" xfId="26741" xr:uid="{13362789-DB1B-48FF-82AF-D2B03913A5C8}"/>
    <cellStyle name="Note 4 2 3_Exh G" xfId="3633" xr:uid="{00000000-0005-0000-0000-0000C3610000}"/>
    <cellStyle name="Note 4 2 4" xfId="1738" xr:uid="{00000000-0005-0000-0000-0000C4610000}"/>
    <cellStyle name="Note 4 2 4 2" xfId="5265" xr:uid="{00000000-0005-0000-0000-0000C5610000}"/>
    <cellStyle name="Note 4 2 4 2 2" xfId="8856" xr:uid="{00000000-0005-0000-0000-0000C6610000}"/>
    <cellStyle name="Note 4 2 4 2 2 2" xfId="16826" xr:uid="{00000000-0005-0000-0000-0000C7610000}"/>
    <cellStyle name="Note 4 2 4 2 2 2 2" xfId="40668" xr:uid="{0F505371-B43C-4C13-8C5F-AA5032E7247E}"/>
    <cellStyle name="Note 4 2 4 2 2 3" xfId="24772" xr:uid="{00000000-0005-0000-0000-0000C8610000}"/>
    <cellStyle name="Note 4 2 4 2 2 3 2" xfId="48604" xr:uid="{73A2D9AE-3116-4E6B-B63A-B55BB411EA17}"/>
    <cellStyle name="Note 4 2 4 2 2 4" xfId="32727" xr:uid="{229CB9F5-9F9B-4B8F-B997-D1034AD0B4C6}"/>
    <cellStyle name="Note 4 2 4 2 3" xfId="13288" xr:uid="{00000000-0005-0000-0000-0000C9610000}"/>
    <cellStyle name="Note 4 2 4 2 3 2" xfId="37137" xr:uid="{DB9C0077-1A63-465F-B88A-AD0A80E4A738}"/>
    <cellStyle name="Note 4 2 4 2 4" xfId="21243" xr:uid="{00000000-0005-0000-0000-0000CA610000}"/>
    <cellStyle name="Note 4 2 4 2 4 2" xfId="45075" xr:uid="{80487562-23EA-4DA1-8B7C-05E4C6FA249C}"/>
    <cellStyle name="Note 4 2 4 2 5" xfId="29196" xr:uid="{BC2F8F69-DDF7-4AC3-9E98-51CBA8B892B6}"/>
    <cellStyle name="Note 4 2 4 3" xfId="7097" xr:uid="{00000000-0005-0000-0000-0000CB610000}"/>
    <cellStyle name="Note 4 2 4 3 2" xfId="15068" xr:uid="{00000000-0005-0000-0000-0000CC610000}"/>
    <cellStyle name="Note 4 2 4 3 2 2" xfId="38910" xr:uid="{FB7ECB4E-F8F1-4804-B9F9-41772A0F4453}"/>
    <cellStyle name="Note 4 2 4 3 3" xfId="23015" xr:uid="{00000000-0005-0000-0000-0000CD610000}"/>
    <cellStyle name="Note 4 2 4 3 3 2" xfId="46847" xr:uid="{C6591DF3-B074-4E85-BA6A-974C4C49BED9}"/>
    <cellStyle name="Note 4 2 4 3 4" xfId="30969" xr:uid="{3F0AD540-8A98-4629-B98D-CB72F52C4CA4}"/>
    <cellStyle name="Note 4 2 4 4" xfId="11532" xr:uid="{00000000-0005-0000-0000-0000CE610000}"/>
    <cellStyle name="Note 4 2 4 4 2" xfId="35381" xr:uid="{0AA2E9E9-D884-478B-8864-BB8B77AFAACB}"/>
    <cellStyle name="Note 4 2 4 5" xfId="19487" xr:uid="{00000000-0005-0000-0000-0000CF610000}"/>
    <cellStyle name="Note 4 2 4 5 2" xfId="43319" xr:uid="{B9B1D505-F754-4361-8420-1D3C92594176}"/>
    <cellStyle name="Note 4 2 4 6" xfId="27439" xr:uid="{85B54443-0A99-4AEB-8DED-9EF9DC6D1661}"/>
    <cellStyle name="Note 4 2 4_Exh G" xfId="3635" xr:uid="{00000000-0005-0000-0000-0000D0610000}"/>
    <cellStyle name="Note 4 2 5" xfId="4386" xr:uid="{00000000-0005-0000-0000-0000D1610000}"/>
    <cellStyle name="Note 4 2 5 2" xfId="7978" xr:uid="{00000000-0005-0000-0000-0000D2610000}"/>
    <cellStyle name="Note 4 2 5 2 2" xfId="15948" xr:uid="{00000000-0005-0000-0000-0000D3610000}"/>
    <cellStyle name="Note 4 2 5 2 2 2" xfId="39790" xr:uid="{7BFF0614-1962-486E-9BE8-C691B59F26E0}"/>
    <cellStyle name="Note 4 2 5 2 3" xfId="23894" xr:uid="{00000000-0005-0000-0000-0000D4610000}"/>
    <cellStyle name="Note 4 2 5 2 3 2" xfId="47726" xr:uid="{8553BEDD-EDB4-4DD9-8423-631509EEC1EB}"/>
    <cellStyle name="Note 4 2 5 2 4" xfId="31849" xr:uid="{E67F73FD-C3B3-4252-AB3F-D2AA5F69886D}"/>
    <cellStyle name="Note 4 2 5 3" xfId="12410" xr:uid="{00000000-0005-0000-0000-0000D5610000}"/>
    <cellStyle name="Note 4 2 5 3 2" xfId="36259" xr:uid="{854746FB-F4DD-4E88-9A22-F3275D23F41F}"/>
    <cellStyle name="Note 4 2 5 4" xfId="20365" xr:uid="{00000000-0005-0000-0000-0000D6610000}"/>
    <cellStyle name="Note 4 2 5 4 2" xfId="44197" xr:uid="{5F3E5C15-61D1-4D55-89D7-95CF7AE58796}"/>
    <cellStyle name="Note 4 2 5 5" xfId="28318" xr:uid="{B450D644-CB6D-4ADC-AFE9-44C0B65416C5}"/>
    <cellStyle name="Note 4 2 6" xfId="6206" xr:uid="{00000000-0005-0000-0000-0000D7610000}"/>
    <cellStyle name="Note 4 2 6 2" xfId="14189" xr:uid="{00000000-0005-0000-0000-0000D8610000}"/>
    <cellStyle name="Note 4 2 6 2 2" xfId="38032" xr:uid="{8854F774-75FD-4588-8943-20739E72AD00}"/>
    <cellStyle name="Note 4 2 6 3" xfId="22137" xr:uid="{00000000-0005-0000-0000-0000D9610000}"/>
    <cellStyle name="Note 4 2 6 3 2" xfId="45969" xr:uid="{172C793A-B6E2-4EE7-BE6C-B9C9914451D9}"/>
    <cellStyle name="Note 4 2 6 4" xfId="30091" xr:uid="{E9126106-D77B-4202-9FF2-325D51AA6389}"/>
    <cellStyle name="Note 4 2 7" xfId="9758" xr:uid="{00000000-0005-0000-0000-0000DA610000}"/>
    <cellStyle name="Note 4 2 7 2" xfId="17716" xr:uid="{00000000-0005-0000-0000-0000DB610000}"/>
    <cellStyle name="Note 4 2 7 2 2" xfId="41556" xr:uid="{6AD4BCC5-6ADA-41A6-BC6D-681D1B671928}"/>
    <cellStyle name="Note 4 2 7 3" xfId="25660" xr:uid="{00000000-0005-0000-0000-0000DC610000}"/>
    <cellStyle name="Note 4 2 7 3 2" xfId="49492" xr:uid="{60D08E7D-7495-4FE1-A1B1-EF21252F1553}"/>
    <cellStyle name="Note 4 2 7 4" xfId="33615" xr:uid="{3D4A9442-BC94-4DBD-AFEC-CC2A91228B60}"/>
    <cellStyle name="Note 4 2 8" xfId="10654" xr:uid="{00000000-0005-0000-0000-0000DD610000}"/>
    <cellStyle name="Note 4 2 8 2" xfId="34503" xr:uid="{23CFB9AF-693B-4150-BBF0-E871E8E1308D}"/>
    <cellStyle name="Note 4 2 9" xfId="18609" xr:uid="{00000000-0005-0000-0000-0000DE610000}"/>
    <cellStyle name="Note 4 2 9 2" xfId="42441" xr:uid="{E544B7F6-E2D6-478D-96C3-D83460A68E0D}"/>
    <cellStyle name="Note 4 2_Exh G" xfId="3630" xr:uid="{00000000-0005-0000-0000-0000DF610000}"/>
    <cellStyle name="Note 4 3" xfId="714" xr:uid="{00000000-0005-0000-0000-0000E0610000}"/>
    <cellStyle name="Note 4 3 2" xfId="1740" xr:uid="{00000000-0005-0000-0000-0000E1610000}"/>
    <cellStyle name="Note 4 3 2 2" xfId="5267" xr:uid="{00000000-0005-0000-0000-0000E2610000}"/>
    <cellStyle name="Note 4 3 2 2 2" xfId="8858" xr:uid="{00000000-0005-0000-0000-0000E3610000}"/>
    <cellStyle name="Note 4 3 2 2 2 2" xfId="16828" xr:uid="{00000000-0005-0000-0000-0000E4610000}"/>
    <cellStyle name="Note 4 3 2 2 2 2 2" xfId="40670" xr:uid="{C62EAAE2-8EE5-4E01-A158-E51E0167250F}"/>
    <cellStyle name="Note 4 3 2 2 2 3" xfId="24774" xr:uid="{00000000-0005-0000-0000-0000E5610000}"/>
    <cellStyle name="Note 4 3 2 2 2 3 2" xfId="48606" xr:uid="{493E08CD-C547-4185-8AE3-5094A9FAF212}"/>
    <cellStyle name="Note 4 3 2 2 2 4" xfId="32729" xr:uid="{75E7D590-191A-4DC3-884D-C6147ECC1F17}"/>
    <cellStyle name="Note 4 3 2 2 3" xfId="13290" xr:uid="{00000000-0005-0000-0000-0000E6610000}"/>
    <cellStyle name="Note 4 3 2 2 3 2" xfId="37139" xr:uid="{B88FC9DA-0165-4791-BE59-D97D8833256A}"/>
    <cellStyle name="Note 4 3 2 2 4" xfId="21245" xr:uid="{00000000-0005-0000-0000-0000E7610000}"/>
    <cellStyle name="Note 4 3 2 2 4 2" xfId="45077" xr:uid="{7A369BF7-CD2F-45D5-9460-54112EFB1AD1}"/>
    <cellStyle name="Note 4 3 2 2 5" xfId="29198" xr:uid="{D24856EF-D609-4B50-870C-58340D958AD5}"/>
    <cellStyle name="Note 4 3 2 3" xfId="7099" xr:uid="{00000000-0005-0000-0000-0000E8610000}"/>
    <cellStyle name="Note 4 3 2 3 2" xfId="15070" xr:uid="{00000000-0005-0000-0000-0000E9610000}"/>
    <cellStyle name="Note 4 3 2 3 2 2" xfId="38912" xr:uid="{BBD2E413-26ED-468B-A705-53EA8340B57B}"/>
    <cellStyle name="Note 4 3 2 3 3" xfId="23017" xr:uid="{00000000-0005-0000-0000-0000EA610000}"/>
    <cellStyle name="Note 4 3 2 3 3 2" xfId="46849" xr:uid="{CB9C8201-CA03-4F69-81C3-D30739273ACC}"/>
    <cellStyle name="Note 4 3 2 3 4" xfId="30971" xr:uid="{3E558C9E-6436-45C8-BECE-68FE507E4283}"/>
    <cellStyle name="Note 4 3 2 4" xfId="11534" xr:uid="{00000000-0005-0000-0000-0000EB610000}"/>
    <cellStyle name="Note 4 3 2 4 2" xfId="35383" xr:uid="{9CBDDEFE-5777-43C5-8735-B030F1E67930}"/>
    <cellStyle name="Note 4 3 2 5" xfId="19489" xr:uid="{00000000-0005-0000-0000-0000EC610000}"/>
    <cellStyle name="Note 4 3 2 5 2" xfId="43321" xr:uid="{493333CD-6A4F-4526-806E-B6D16A2D2F56}"/>
    <cellStyle name="Note 4 3 2 6" xfId="27441" xr:uid="{4572109C-DEEB-4B86-B3B2-9787813EE2E8}"/>
    <cellStyle name="Note 4 3 2_Exh G" xfId="3637" xr:uid="{00000000-0005-0000-0000-0000ED610000}"/>
    <cellStyle name="Note 4 3 3" xfId="4388" xr:uid="{00000000-0005-0000-0000-0000EE610000}"/>
    <cellStyle name="Note 4 3 3 2" xfId="7980" xr:uid="{00000000-0005-0000-0000-0000EF610000}"/>
    <cellStyle name="Note 4 3 3 2 2" xfId="15950" xr:uid="{00000000-0005-0000-0000-0000F0610000}"/>
    <cellStyle name="Note 4 3 3 2 2 2" xfId="39792" xr:uid="{270923FF-BDF9-4439-A428-38A83E6B89B7}"/>
    <cellStyle name="Note 4 3 3 2 3" xfId="23896" xr:uid="{00000000-0005-0000-0000-0000F1610000}"/>
    <cellStyle name="Note 4 3 3 2 3 2" xfId="47728" xr:uid="{B1ACED73-FA67-41E3-AFD7-028857DB7C09}"/>
    <cellStyle name="Note 4 3 3 2 4" xfId="31851" xr:uid="{E610C7A6-ABF5-49C7-AEA2-3093BF702552}"/>
    <cellStyle name="Note 4 3 3 3" xfId="12412" xr:uid="{00000000-0005-0000-0000-0000F2610000}"/>
    <cellStyle name="Note 4 3 3 3 2" xfId="36261" xr:uid="{392A8318-D969-4BB8-9786-83C05019220B}"/>
    <cellStyle name="Note 4 3 3 4" xfId="20367" xr:uid="{00000000-0005-0000-0000-0000F3610000}"/>
    <cellStyle name="Note 4 3 3 4 2" xfId="44199" xr:uid="{627702EE-4270-4CB4-ACF3-07E78F443036}"/>
    <cellStyle name="Note 4 3 3 5" xfId="28320" xr:uid="{AAEBFBAD-921E-41ED-AED8-6BE4A4A76C7E}"/>
    <cellStyle name="Note 4 3 4" xfId="6208" xr:uid="{00000000-0005-0000-0000-0000F4610000}"/>
    <cellStyle name="Note 4 3 4 2" xfId="14191" xr:uid="{00000000-0005-0000-0000-0000F5610000}"/>
    <cellStyle name="Note 4 3 4 2 2" xfId="38034" xr:uid="{9AD90EE1-BA5F-47F9-851A-394E86FD4C0C}"/>
    <cellStyle name="Note 4 3 4 3" xfId="22139" xr:uid="{00000000-0005-0000-0000-0000F6610000}"/>
    <cellStyle name="Note 4 3 4 3 2" xfId="45971" xr:uid="{5AFAB07A-92BF-42BD-9107-CC5BA6636936}"/>
    <cellStyle name="Note 4 3 4 4" xfId="30093" xr:uid="{66628CA8-A71F-4483-AEF4-AEEB38EE47CA}"/>
    <cellStyle name="Note 4 3 5" xfId="9760" xr:uid="{00000000-0005-0000-0000-0000F7610000}"/>
    <cellStyle name="Note 4 3 5 2" xfId="17718" xr:uid="{00000000-0005-0000-0000-0000F8610000}"/>
    <cellStyle name="Note 4 3 5 2 2" xfId="41558" xr:uid="{C6500652-CD89-41B7-BD8C-6C67AFA4DFB5}"/>
    <cellStyle name="Note 4 3 5 3" xfId="25662" xr:uid="{00000000-0005-0000-0000-0000F9610000}"/>
    <cellStyle name="Note 4 3 5 3 2" xfId="49494" xr:uid="{013D7E00-A11C-48E0-9804-49BB88A6A465}"/>
    <cellStyle name="Note 4 3 5 4" xfId="33617" xr:uid="{A4D1124A-0DED-40B1-8C31-B29C9991D2DC}"/>
    <cellStyle name="Note 4 3 6" xfId="10656" xr:uid="{00000000-0005-0000-0000-0000FA610000}"/>
    <cellStyle name="Note 4 3 6 2" xfId="34505" xr:uid="{3AC7D8F3-9E6B-410E-9109-398A0DA3BE88}"/>
    <cellStyle name="Note 4 3 7" xfId="18611" xr:uid="{00000000-0005-0000-0000-0000FB610000}"/>
    <cellStyle name="Note 4 3 7 2" xfId="42443" xr:uid="{51AE0EFC-E6A6-40B1-9489-6B755D6137EF}"/>
    <cellStyle name="Note 4 3 8" xfId="26563" xr:uid="{A2005CF9-8E5C-4F29-89DE-06C58D4F7E62}"/>
    <cellStyle name="Note 4 3_Exh G" xfId="3636" xr:uid="{00000000-0005-0000-0000-0000FC610000}"/>
    <cellStyle name="Note 4 4" xfId="1031" xr:uid="{00000000-0005-0000-0000-0000FD610000}"/>
    <cellStyle name="Note 4 4 2" xfId="1927" xr:uid="{00000000-0005-0000-0000-0000FE610000}"/>
    <cellStyle name="Note 4 4 2 2" xfId="5444" xr:uid="{00000000-0005-0000-0000-0000FF610000}"/>
    <cellStyle name="Note 4 4 2 2 2" xfId="9035" xr:uid="{00000000-0005-0000-0000-000000620000}"/>
    <cellStyle name="Note 4 4 2 2 2 2" xfId="17005" xr:uid="{00000000-0005-0000-0000-000001620000}"/>
    <cellStyle name="Note 4 4 2 2 2 2 2" xfId="40847" xr:uid="{648FCDC1-4F46-4B19-B144-EE3408693342}"/>
    <cellStyle name="Note 4 4 2 2 2 3" xfId="24951" xr:uid="{00000000-0005-0000-0000-000002620000}"/>
    <cellStyle name="Note 4 4 2 2 2 3 2" xfId="48783" xr:uid="{8A03AE4A-E31B-4B32-B41E-7D698B2D4D32}"/>
    <cellStyle name="Note 4 4 2 2 2 4" xfId="32906" xr:uid="{A3E26942-0D05-42E8-A09E-035062DD3CCB}"/>
    <cellStyle name="Note 4 4 2 2 3" xfId="13467" xr:uid="{00000000-0005-0000-0000-000003620000}"/>
    <cellStyle name="Note 4 4 2 2 3 2" xfId="37316" xr:uid="{807EACC8-6D9A-4B2F-99D9-476C78B78CE5}"/>
    <cellStyle name="Note 4 4 2 2 4" xfId="21422" xr:uid="{00000000-0005-0000-0000-000004620000}"/>
    <cellStyle name="Note 4 4 2 2 4 2" xfId="45254" xr:uid="{31A3F56B-A28E-4FE3-A264-69BF5F0D6A27}"/>
    <cellStyle name="Note 4 4 2 2 5" xfId="29375" xr:uid="{650E0911-10C2-4939-B00C-D705372BEFAB}"/>
    <cellStyle name="Note 4 4 2 3" xfId="7276" xr:uid="{00000000-0005-0000-0000-000005620000}"/>
    <cellStyle name="Note 4 4 2 3 2" xfId="15247" xr:uid="{00000000-0005-0000-0000-000006620000}"/>
    <cellStyle name="Note 4 4 2 3 2 2" xfId="39089" xr:uid="{5070E025-EE10-4475-95AD-5242F63436A7}"/>
    <cellStyle name="Note 4 4 2 3 3" xfId="23194" xr:uid="{00000000-0005-0000-0000-000007620000}"/>
    <cellStyle name="Note 4 4 2 3 3 2" xfId="47026" xr:uid="{019CCF0F-3106-42FD-87F7-D2318955FAE2}"/>
    <cellStyle name="Note 4 4 2 3 4" xfId="31148" xr:uid="{1C069E39-BEED-4675-AF66-F5E9FC731D70}"/>
    <cellStyle name="Note 4 4 2 4" xfId="11711" xr:uid="{00000000-0005-0000-0000-000008620000}"/>
    <cellStyle name="Note 4 4 2 4 2" xfId="35560" xr:uid="{0EB4AD76-8F46-45D3-8B55-894D532A5990}"/>
    <cellStyle name="Note 4 4 2 5" xfId="19666" xr:uid="{00000000-0005-0000-0000-000009620000}"/>
    <cellStyle name="Note 4 4 2 5 2" xfId="43498" xr:uid="{8CF3A3DC-DA82-4C26-88D4-F625F8EBBA06}"/>
    <cellStyle name="Note 4 4 2 6" xfId="27618" xr:uid="{772B2EB3-2FD8-4917-A187-E141FF21A6F6}"/>
    <cellStyle name="Note 4 4 2_Exh G" xfId="3639" xr:uid="{00000000-0005-0000-0000-00000A620000}"/>
    <cellStyle name="Note 4 4 3" xfId="4565" xr:uid="{00000000-0005-0000-0000-00000B620000}"/>
    <cellStyle name="Note 4 4 3 2" xfId="8157" xr:uid="{00000000-0005-0000-0000-00000C620000}"/>
    <cellStyle name="Note 4 4 3 2 2" xfId="16127" xr:uid="{00000000-0005-0000-0000-00000D620000}"/>
    <cellStyle name="Note 4 4 3 2 2 2" xfId="39969" xr:uid="{B30BB5CC-35F7-4099-A073-5312C5A4B71E}"/>
    <cellStyle name="Note 4 4 3 2 3" xfId="24073" xr:uid="{00000000-0005-0000-0000-00000E620000}"/>
    <cellStyle name="Note 4 4 3 2 3 2" xfId="47905" xr:uid="{A6CD35B6-88D0-404D-8FA7-AB7FF6658C48}"/>
    <cellStyle name="Note 4 4 3 2 4" xfId="32028" xr:uid="{C6AFBFB9-64AC-40A9-9E2F-30020A27CDA8}"/>
    <cellStyle name="Note 4 4 3 3" xfId="12589" xr:uid="{00000000-0005-0000-0000-00000F620000}"/>
    <cellStyle name="Note 4 4 3 3 2" xfId="36438" xr:uid="{11E2AFF1-D0A4-4622-A56F-4F1CFE8A9E00}"/>
    <cellStyle name="Note 4 4 3 4" xfId="20544" xr:uid="{00000000-0005-0000-0000-000010620000}"/>
    <cellStyle name="Note 4 4 3 4 2" xfId="44376" xr:uid="{9A3BCD1F-D7AF-4AD8-964B-D94D9A8835A2}"/>
    <cellStyle name="Note 4 4 3 5" xfId="28497" xr:uid="{EB1FCFC8-7F75-427B-BD7B-EA9CC88D8F56}"/>
    <cellStyle name="Note 4 4 4" xfId="6396" xr:uid="{00000000-0005-0000-0000-000011620000}"/>
    <cellStyle name="Note 4 4 4 2" xfId="14369" xr:uid="{00000000-0005-0000-0000-000012620000}"/>
    <cellStyle name="Note 4 4 4 2 2" xfId="38211" xr:uid="{68D7AA58-160C-4C09-9BE6-99613FE8592E}"/>
    <cellStyle name="Note 4 4 4 3" xfId="22316" xr:uid="{00000000-0005-0000-0000-000013620000}"/>
    <cellStyle name="Note 4 4 4 3 2" xfId="46148" xr:uid="{5896C163-E58C-4A1B-BB02-646DBE026E31}"/>
    <cellStyle name="Note 4 4 4 4" xfId="30270" xr:uid="{198D5B08-23C1-413A-A15A-7378D61E648D}"/>
    <cellStyle name="Note 4 4 5" xfId="9937" xr:uid="{00000000-0005-0000-0000-000014620000}"/>
    <cellStyle name="Note 4 4 5 2" xfId="17895" xr:uid="{00000000-0005-0000-0000-000015620000}"/>
    <cellStyle name="Note 4 4 5 2 2" xfId="41735" xr:uid="{D61E4845-6346-447A-8751-5BC10414F293}"/>
    <cellStyle name="Note 4 4 5 3" xfId="25839" xr:uid="{00000000-0005-0000-0000-000016620000}"/>
    <cellStyle name="Note 4 4 5 3 2" xfId="49671" xr:uid="{480E6BEB-6A2F-424C-AEFC-2A07B15165C1}"/>
    <cellStyle name="Note 4 4 5 4" xfId="33794" xr:uid="{46EE0BF3-9F9C-41E6-8EAF-3A30F4CD27EF}"/>
    <cellStyle name="Note 4 4 6" xfId="10833" xr:uid="{00000000-0005-0000-0000-000017620000}"/>
    <cellStyle name="Note 4 4 6 2" xfId="34682" xr:uid="{106B1567-238A-4FE5-8FDE-B1C8C997F16C}"/>
    <cellStyle name="Note 4 4 7" xfId="18788" xr:uid="{00000000-0005-0000-0000-000018620000}"/>
    <cellStyle name="Note 4 4 7 2" xfId="42620" xr:uid="{D0FB6205-EE8B-45DC-AF95-727BE53DF79B}"/>
    <cellStyle name="Note 4 4 8" xfId="26740" xr:uid="{8429217B-1840-4C0F-B388-32E9723FAE74}"/>
    <cellStyle name="Note 4 4_Exh G" xfId="3638" xr:uid="{00000000-0005-0000-0000-000019620000}"/>
    <cellStyle name="Note 4 5" xfId="1737" xr:uid="{00000000-0005-0000-0000-00001A620000}"/>
    <cellStyle name="Note 4 5 2" xfId="5264" xr:uid="{00000000-0005-0000-0000-00001B620000}"/>
    <cellStyle name="Note 4 5 2 2" xfId="8855" xr:uid="{00000000-0005-0000-0000-00001C620000}"/>
    <cellStyle name="Note 4 5 2 2 2" xfId="16825" xr:uid="{00000000-0005-0000-0000-00001D620000}"/>
    <cellStyle name="Note 4 5 2 2 2 2" xfId="40667" xr:uid="{A5903344-A159-4C43-B63F-77CADDFE20A1}"/>
    <cellStyle name="Note 4 5 2 2 3" xfId="24771" xr:uid="{00000000-0005-0000-0000-00001E620000}"/>
    <cellStyle name="Note 4 5 2 2 3 2" xfId="48603" xr:uid="{F7ED64BC-56C1-47BD-820A-638EB69462A4}"/>
    <cellStyle name="Note 4 5 2 2 4" xfId="32726" xr:uid="{4304ADF5-1063-4E4B-9ADF-1706AF4F5758}"/>
    <cellStyle name="Note 4 5 2 3" xfId="13287" xr:uid="{00000000-0005-0000-0000-00001F620000}"/>
    <cellStyle name="Note 4 5 2 3 2" xfId="37136" xr:uid="{428B53B6-4591-4AEE-88CA-5CF8F294B9F8}"/>
    <cellStyle name="Note 4 5 2 4" xfId="21242" xr:uid="{00000000-0005-0000-0000-000020620000}"/>
    <cellStyle name="Note 4 5 2 4 2" xfId="45074" xr:uid="{F1F6B9D7-77DE-426A-8586-8670763E7746}"/>
    <cellStyle name="Note 4 5 2 5" xfId="29195" xr:uid="{A0859E2B-74CE-48D4-B753-37D5829591E6}"/>
    <cellStyle name="Note 4 5 3" xfId="7096" xr:uid="{00000000-0005-0000-0000-000021620000}"/>
    <cellStyle name="Note 4 5 3 2" xfId="15067" xr:uid="{00000000-0005-0000-0000-000022620000}"/>
    <cellStyle name="Note 4 5 3 2 2" xfId="38909" xr:uid="{8A551C51-93D2-488B-BCE2-72207A90481C}"/>
    <cellStyle name="Note 4 5 3 3" xfId="23014" xr:uid="{00000000-0005-0000-0000-000023620000}"/>
    <cellStyle name="Note 4 5 3 3 2" xfId="46846" xr:uid="{0238699C-21C2-4F79-A8D1-E838F9E20918}"/>
    <cellStyle name="Note 4 5 3 4" xfId="30968" xr:uid="{9D4011FE-1F32-46A2-B4BF-680D59E13436}"/>
    <cellStyle name="Note 4 5 4" xfId="11531" xr:uid="{00000000-0005-0000-0000-000024620000}"/>
    <cellStyle name="Note 4 5 4 2" xfId="35380" xr:uid="{68C3B892-CB3E-4EC6-8A25-45C4780C538D}"/>
    <cellStyle name="Note 4 5 5" xfId="19486" xr:uid="{00000000-0005-0000-0000-000025620000}"/>
    <cellStyle name="Note 4 5 5 2" xfId="43318" xr:uid="{1E098C70-BDB8-4605-9C8D-2C487F96AB03}"/>
    <cellStyle name="Note 4 5 6" xfId="27438" xr:uid="{7AD6B68C-CB98-473D-8B6E-24D6A9233656}"/>
    <cellStyle name="Note 4 5_Exh G" xfId="3640" xr:uid="{00000000-0005-0000-0000-000026620000}"/>
    <cellStyle name="Note 4 6" xfId="4385" xr:uid="{00000000-0005-0000-0000-000027620000}"/>
    <cellStyle name="Note 4 6 2" xfId="7977" xr:uid="{00000000-0005-0000-0000-000028620000}"/>
    <cellStyle name="Note 4 6 2 2" xfId="15947" xr:uid="{00000000-0005-0000-0000-000029620000}"/>
    <cellStyle name="Note 4 6 2 2 2" xfId="39789" xr:uid="{D9D026EC-805F-44CC-A186-5C85847518AE}"/>
    <cellStyle name="Note 4 6 2 3" xfId="23893" xr:uid="{00000000-0005-0000-0000-00002A620000}"/>
    <cellStyle name="Note 4 6 2 3 2" xfId="47725" xr:uid="{005D40EA-C6C0-461A-A87C-0D9549167F4D}"/>
    <cellStyle name="Note 4 6 2 4" xfId="31848" xr:uid="{1A93C193-EF24-4B6A-87CE-44D695DA0ED5}"/>
    <cellStyle name="Note 4 6 3" xfId="12409" xr:uid="{00000000-0005-0000-0000-00002B620000}"/>
    <cellStyle name="Note 4 6 3 2" xfId="36258" xr:uid="{1BC9A818-F353-4444-90AF-A3958885BFA9}"/>
    <cellStyle name="Note 4 6 4" xfId="20364" xr:uid="{00000000-0005-0000-0000-00002C620000}"/>
    <cellStyle name="Note 4 6 4 2" xfId="44196" xr:uid="{5BF15AFB-90E4-4C16-B19C-61FDD763A593}"/>
    <cellStyle name="Note 4 6 5" xfId="28317" xr:uid="{B74B0876-CA1C-466C-AE77-15E899998659}"/>
    <cellStyle name="Note 4 7" xfId="6205" xr:uid="{00000000-0005-0000-0000-00002D620000}"/>
    <cellStyle name="Note 4 7 2" xfId="14188" xr:uid="{00000000-0005-0000-0000-00002E620000}"/>
    <cellStyle name="Note 4 7 2 2" xfId="38031" xr:uid="{AE03D1B5-6736-4781-A02B-6C64C2810FCA}"/>
    <cellStyle name="Note 4 7 3" xfId="22136" xr:uid="{00000000-0005-0000-0000-00002F620000}"/>
    <cellStyle name="Note 4 7 3 2" xfId="45968" xr:uid="{C47900C6-E0EB-4379-9F25-208AE96F3BF1}"/>
    <cellStyle name="Note 4 7 4" xfId="30090" xr:uid="{3BE5A555-149C-4ABE-AF2C-0EC0C100D543}"/>
    <cellStyle name="Note 4 8" xfId="9757" xr:uid="{00000000-0005-0000-0000-000030620000}"/>
    <cellStyle name="Note 4 8 2" xfId="17715" xr:uid="{00000000-0005-0000-0000-000031620000}"/>
    <cellStyle name="Note 4 8 2 2" xfId="41555" xr:uid="{FE55F237-976F-4733-9AC5-D2191C111471}"/>
    <cellStyle name="Note 4 8 3" xfId="25659" xr:uid="{00000000-0005-0000-0000-000032620000}"/>
    <cellStyle name="Note 4 8 3 2" xfId="49491" xr:uid="{9ECD85EF-8A2E-4D6E-B4A6-A1FEB907D9B0}"/>
    <cellStyle name="Note 4 8 4" xfId="33614" xr:uid="{B4530F98-872C-40EA-AD66-1ABDC54644D3}"/>
    <cellStyle name="Note 4 9" xfId="10653" xr:uid="{00000000-0005-0000-0000-000033620000}"/>
    <cellStyle name="Note 4 9 2" xfId="34502" xr:uid="{85F6A9E4-3587-4438-8E7B-D060BE8EB3F9}"/>
    <cellStyle name="Note 4_Exh G" xfId="3629" xr:uid="{00000000-0005-0000-0000-000034620000}"/>
    <cellStyle name="Note 5" xfId="715" xr:uid="{00000000-0005-0000-0000-000035620000}"/>
    <cellStyle name="Note 5 10" xfId="18612" xr:uid="{00000000-0005-0000-0000-000036620000}"/>
    <cellStyle name="Note 5 10 2" xfId="42444" xr:uid="{BE33A779-548D-47A6-AC6C-E9FD43EF781B}"/>
    <cellStyle name="Note 5 11" xfId="26564" xr:uid="{042D98DF-5020-4440-91EA-9BF3A60B70B7}"/>
    <cellStyle name="Note 5 2" xfId="716" xr:uid="{00000000-0005-0000-0000-000037620000}"/>
    <cellStyle name="Note 5 2 2" xfId="717" xr:uid="{00000000-0005-0000-0000-000038620000}"/>
    <cellStyle name="Note 5 2 2 2" xfId="1743" xr:uid="{00000000-0005-0000-0000-000039620000}"/>
    <cellStyle name="Note 5 2 2 2 2" xfId="5270" xr:uid="{00000000-0005-0000-0000-00003A620000}"/>
    <cellStyle name="Note 5 2 2 2 2 2" xfId="8861" xr:uid="{00000000-0005-0000-0000-00003B620000}"/>
    <cellStyle name="Note 5 2 2 2 2 2 2" xfId="16831" xr:uid="{00000000-0005-0000-0000-00003C620000}"/>
    <cellStyle name="Note 5 2 2 2 2 2 2 2" xfId="40673" xr:uid="{92BC5263-9078-4F9D-8031-04E4ABDC4969}"/>
    <cellStyle name="Note 5 2 2 2 2 2 3" xfId="24777" xr:uid="{00000000-0005-0000-0000-00003D620000}"/>
    <cellStyle name="Note 5 2 2 2 2 2 3 2" xfId="48609" xr:uid="{FBF6E09E-1641-4FB4-B7BD-988D2DE3A170}"/>
    <cellStyle name="Note 5 2 2 2 2 2 4" xfId="32732" xr:uid="{8C909025-EA1D-4EDA-87AB-84AE0CDA2720}"/>
    <cellStyle name="Note 5 2 2 2 2 3" xfId="13293" xr:uid="{00000000-0005-0000-0000-00003E620000}"/>
    <cellStyle name="Note 5 2 2 2 2 3 2" xfId="37142" xr:uid="{C15C1BCE-0AC4-4679-A7CE-04EDE5224DA7}"/>
    <cellStyle name="Note 5 2 2 2 2 4" xfId="21248" xr:uid="{00000000-0005-0000-0000-00003F620000}"/>
    <cellStyle name="Note 5 2 2 2 2 4 2" xfId="45080" xr:uid="{914522A0-BEA8-49F6-BE81-FD53900DD185}"/>
    <cellStyle name="Note 5 2 2 2 2 5" xfId="29201" xr:uid="{873EB6BC-0A07-4AEF-B31C-FD51CA02E5DD}"/>
    <cellStyle name="Note 5 2 2 2 3" xfId="7102" xr:uid="{00000000-0005-0000-0000-000040620000}"/>
    <cellStyle name="Note 5 2 2 2 3 2" xfId="15073" xr:uid="{00000000-0005-0000-0000-000041620000}"/>
    <cellStyle name="Note 5 2 2 2 3 2 2" xfId="38915" xr:uid="{E585A137-8750-4033-B17E-9C031ED6661A}"/>
    <cellStyle name="Note 5 2 2 2 3 3" xfId="23020" xr:uid="{00000000-0005-0000-0000-000042620000}"/>
    <cellStyle name="Note 5 2 2 2 3 3 2" xfId="46852" xr:uid="{D5E957B9-19A3-43B0-98E2-EA45BB225114}"/>
    <cellStyle name="Note 5 2 2 2 3 4" xfId="30974" xr:uid="{12660465-1F99-4A7D-9709-A26617A09474}"/>
    <cellStyle name="Note 5 2 2 2 4" xfId="11537" xr:uid="{00000000-0005-0000-0000-000043620000}"/>
    <cellStyle name="Note 5 2 2 2 4 2" xfId="35386" xr:uid="{9568A220-5A2D-4E45-982C-3E9E8FFECE1E}"/>
    <cellStyle name="Note 5 2 2 2 5" xfId="19492" xr:uid="{00000000-0005-0000-0000-000044620000}"/>
    <cellStyle name="Note 5 2 2 2 5 2" xfId="43324" xr:uid="{5A5F37B4-EF38-4020-8DF4-5B2D84402913}"/>
    <cellStyle name="Note 5 2 2 2 6" xfId="27444" xr:uid="{7DD0FEA3-8DA8-40E0-AAED-3B2A5B526A08}"/>
    <cellStyle name="Note 5 2 2 2_Exh G" xfId="3644" xr:uid="{00000000-0005-0000-0000-000045620000}"/>
    <cellStyle name="Note 5 2 2 3" xfId="4391" xr:uid="{00000000-0005-0000-0000-000046620000}"/>
    <cellStyle name="Note 5 2 2 3 2" xfId="7983" xr:uid="{00000000-0005-0000-0000-000047620000}"/>
    <cellStyle name="Note 5 2 2 3 2 2" xfId="15953" xr:uid="{00000000-0005-0000-0000-000048620000}"/>
    <cellStyle name="Note 5 2 2 3 2 2 2" xfId="39795" xr:uid="{74CCDCEA-6D82-46BA-A9C5-833F5DE848C3}"/>
    <cellStyle name="Note 5 2 2 3 2 3" xfId="23899" xr:uid="{00000000-0005-0000-0000-000049620000}"/>
    <cellStyle name="Note 5 2 2 3 2 3 2" xfId="47731" xr:uid="{52F069E1-17BF-4E41-8F44-A72E2C168DBA}"/>
    <cellStyle name="Note 5 2 2 3 2 4" xfId="31854" xr:uid="{492E904E-04CC-4D87-9DBC-BBB565035A52}"/>
    <cellStyle name="Note 5 2 2 3 3" xfId="12415" xr:uid="{00000000-0005-0000-0000-00004A620000}"/>
    <cellStyle name="Note 5 2 2 3 3 2" xfId="36264" xr:uid="{A0CB728F-DAD5-4EEB-A71B-BC2029DA3E23}"/>
    <cellStyle name="Note 5 2 2 3 4" xfId="20370" xr:uid="{00000000-0005-0000-0000-00004B620000}"/>
    <cellStyle name="Note 5 2 2 3 4 2" xfId="44202" xr:uid="{6FBEDE4C-4C4D-4D48-8593-ABECB6BA15DD}"/>
    <cellStyle name="Note 5 2 2 3 5" xfId="28323" xr:uid="{31A35B2C-491F-4E3E-AADE-219C361DF393}"/>
    <cellStyle name="Note 5 2 2 4" xfId="6211" xr:uid="{00000000-0005-0000-0000-00004C620000}"/>
    <cellStyle name="Note 5 2 2 4 2" xfId="14194" xr:uid="{00000000-0005-0000-0000-00004D620000}"/>
    <cellStyle name="Note 5 2 2 4 2 2" xfId="38037" xr:uid="{7A2AB55F-1334-4593-B3DE-DC626435A42B}"/>
    <cellStyle name="Note 5 2 2 4 3" xfId="22142" xr:uid="{00000000-0005-0000-0000-00004E620000}"/>
    <cellStyle name="Note 5 2 2 4 3 2" xfId="45974" xr:uid="{C21BE198-7A27-4DC1-B5D3-22121F6B7D07}"/>
    <cellStyle name="Note 5 2 2 4 4" xfId="30096" xr:uid="{C0D943AD-B198-426E-9CCB-DA0257EDD86B}"/>
    <cellStyle name="Note 5 2 2 5" xfId="9763" xr:uid="{00000000-0005-0000-0000-00004F620000}"/>
    <cellStyle name="Note 5 2 2 5 2" xfId="17721" xr:uid="{00000000-0005-0000-0000-000050620000}"/>
    <cellStyle name="Note 5 2 2 5 2 2" xfId="41561" xr:uid="{A1DF3CE2-13BF-49CD-B1A9-B5B5D1BA62EF}"/>
    <cellStyle name="Note 5 2 2 5 3" xfId="25665" xr:uid="{00000000-0005-0000-0000-000051620000}"/>
    <cellStyle name="Note 5 2 2 5 3 2" xfId="49497" xr:uid="{DA49C371-9898-4B7D-8551-FB34A229A1B8}"/>
    <cellStyle name="Note 5 2 2 5 4" xfId="33620" xr:uid="{1954351C-94B0-4CB7-983F-8653A394F849}"/>
    <cellStyle name="Note 5 2 2 6" xfId="10659" xr:uid="{00000000-0005-0000-0000-000052620000}"/>
    <cellStyle name="Note 5 2 2 6 2" xfId="34508" xr:uid="{39F7E231-36E0-49E4-85E7-FA10AF917BBA}"/>
    <cellStyle name="Note 5 2 2 7" xfId="18614" xr:uid="{00000000-0005-0000-0000-000053620000}"/>
    <cellStyle name="Note 5 2 2 7 2" xfId="42446" xr:uid="{6C34C514-8788-4694-9B33-68CD63FE3051}"/>
    <cellStyle name="Note 5 2 2 8" xfId="26566" xr:uid="{014F7DAB-CCDF-4358-8495-5C2D321101A8}"/>
    <cellStyle name="Note 5 2 2_Exh G" xfId="3643" xr:uid="{00000000-0005-0000-0000-000054620000}"/>
    <cellStyle name="Note 5 2 3" xfId="1742" xr:uid="{00000000-0005-0000-0000-000055620000}"/>
    <cellStyle name="Note 5 2 3 2" xfId="5269" xr:uid="{00000000-0005-0000-0000-000056620000}"/>
    <cellStyle name="Note 5 2 3 2 2" xfId="8860" xr:uid="{00000000-0005-0000-0000-000057620000}"/>
    <cellStyle name="Note 5 2 3 2 2 2" xfId="16830" xr:uid="{00000000-0005-0000-0000-000058620000}"/>
    <cellStyle name="Note 5 2 3 2 2 2 2" xfId="40672" xr:uid="{CF9B6C08-CC44-4FD9-B739-89EBC0E839F1}"/>
    <cellStyle name="Note 5 2 3 2 2 3" xfId="24776" xr:uid="{00000000-0005-0000-0000-000059620000}"/>
    <cellStyle name="Note 5 2 3 2 2 3 2" xfId="48608" xr:uid="{58C28CEE-E844-40A3-9D86-8FC96C76B061}"/>
    <cellStyle name="Note 5 2 3 2 2 4" xfId="32731" xr:uid="{C488B482-02D1-4C67-A651-88A9D89D3809}"/>
    <cellStyle name="Note 5 2 3 2 3" xfId="13292" xr:uid="{00000000-0005-0000-0000-00005A620000}"/>
    <cellStyle name="Note 5 2 3 2 3 2" xfId="37141" xr:uid="{9ACD246A-51E3-40D4-BB16-EA0D7B1E3FFD}"/>
    <cellStyle name="Note 5 2 3 2 4" xfId="21247" xr:uid="{00000000-0005-0000-0000-00005B620000}"/>
    <cellStyle name="Note 5 2 3 2 4 2" xfId="45079" xr:uid="{A51D8201-3F1E-4002-91DA-2DA2AC6D8987}"/>
    <cellStyle name="Note 5 2 3 2 5" xfId="29200" xr:uid="{EDFE32B8-0D9D-4360-A3EA-86A3D7C44D02}"/>
    <cellStyle name="Note 5 2 3 3" xfId="7101" xr:uid="{00000000-0005-0000-0000-00005C620000}"/>
    <cellStyle name="Note 5 2 3 3 2" xfId="15072" xr:uid="{00000000-0005-0000-0000-00005D620000}"/>
    <cellStyle name="Note 5 2 3 3 2 2" xfId="38914" xr:uid="{0EC0C711-00CB-42C8-A4D5-D67AFAE39CF0}"/>
    <cellStyle name="Note 5 2 3 3 3" xfId="23019" xr:uid="{00000000-0005-0000-0000-00005E620000}"/>
    <cellStyle name="Note 5 2 3 3 3 2" xfId="46851" xr:uid="{D43C75E3-A5DD-4148-A294-4BFBFE9FCB5F}"/>
    <cellStyle name="Note 5 2 3 3 4" xfId="30973" xr:uid="{6F686380-D4E6-4AF3-9F8B-F51942F19179}"/>
    <cellStyle name="Note 5 2 3 4" xfId="11536" xr:uid="{00000000-0005-0000-0000-00005F620000}"/>
    <cellStyle name="Note 5 2 3 4 2" xfId="35385" xr:uid="{0CD3F45A-1F3C-4610-9926-8BAC9EA802D9}"/>
    <cellStyle name="Note 5 2 3 5" xfId="19491" xr:uid="{00000000-0005-0000-0000-000060620000}"/>
    <cellStyle name="Note 5 2 3 5 2" xfId="43323" xr:uid="{5465DD96-AE0E-48AD-9CED-419352FF6F51}"/>
    <cellStyle name="Note 5 2 3 6" xfId="27443" xr:uid="{9413FEF3-4711-41B0-A16A-B49DF6E128E1}"/>
    <cellStyle name="Note 5 2 3_Exh G" xfId="3645" xr:uid="{00000000-0005-0000-0000-000061620000}"/>
    <cellStyle name="Note 5 2 4" xfId="4390" xr:uid="{00000000-0005-0000-0000-000062620000}"/>
    <cellStyle name="Note 5 2 4 2" xfId="7982" xr:uid="{00000000-0005-0000-0000-000063620000}"/>
    <cellStyle name="Note 5 2 4 2 2" xfId="15952" xr:uid="{00000000-0005-0000-0000-000064620000}"/>
    <cellStyle name="Note 5 2 4 2 2 2" xfId="39794" xr:uid="{0B0AEEFE-55F4-4DD1-8261-A01C15191506}"/>
    <cellStyle name="Note 5 2 4 2 3" xfId="23898" xr:uid="{00000000-0005-0000-0000-000065620000}"/>
    <cellStyle name="Note 5 2 4 2 3 2" xfId="47730" xr:uid="{10D3926E-BAB2-4574-9D8C-5D9858DDB8A1}"/>
    <cellStyle name="Note 5 2 4 2 4" xfId="31853" xr:uid="{43323006-CF80-4DA2-9CAE-5E9C2148C3DC}"/>
    <cellStyle name="Note 5 2 4 3" xfId="12414" xr:uid="{00000000-0005-0000-0000-000066620000}"/>
    <cellStyle name="Note 5 2 4 3 2" xfId="36263" xr:uid="{75186C79-3EF4-4B01-B5C0-D2D3333B5E6E}"/>
    <cellStyle name="Note 5 2 4 4" xfId="20369" xr:uid="{00000000-0005-0000-0000-000067620000}"/>
    <cellStyle name="Note 5 2 4 4 2" xfId="44201" xr:uid="{88116EB5-C9A3-451D-A85B-D598AB30A9A7}"/>
    <cellStyle name="Note 5 2 4 5" xfId="28322" xr:uid="{8DD78997-480A-4722-820B-A69B4E06D398}"/>
    <cellStyle name="Note 5 2 5" xfId="6210" xr:uid="{00000000-0005-0000-0000-000068620000}"/>
    <cellStyle name="Note 5 2 5 2" xfId="14193" xr:uid="{00000000-0005-0000-0000-000069620000}"/>
    <cellStyle name="Note 5 2 5 2 2" xfId="38036" xr:uid="{4B84AA86-606C-4DDD-A84F-C960F9988214}"/>
    <cellStyle name="Note 5 2 5 3" xfId="22141" xr:uid="{00000000-0005-0000-0000-00006A620000}"/>
    <cellStyle name="Note 5 2 5 3 2" xfId="45973" xr:uid="{D7165F0E-02F3-4E60-9254-903A79A594D7}"/>
    <cellStyle name="Note 5 2 5 4" xfId="30095" xr:uid="{95596CBB-3E48-4095-AEA8-D3649BB4E775}"/>
    <cellStyle name="Note 5 2 6" xfId="9762" xr:uid="{00000000-0005-0000-0000-00006B620000}"/>
    <cellStyle name="Note 5 2 6 2" xfId="17720" xr:uid="{00000000-0005-0000-0000-00006C620000}"/>
    <cellStyle name="Note 5 2 6 2 2" xfId="41560" xr:uid="{F428AB1E-734B-4363-8BBC-38BE85DB22A1}"/>
    <cellStyle name="Note 5 2 6 3" xfId="25664" xr:uid="{00000000-0005-0000-0000-00006D620000}"/>
    <cellStyle name="Note 5 2 6 3 2" xfId="49496" xr:uid="{385E12D3-990C-42BF-9D3A-543D10BB8EC4}"/>
    <cellStyle name="Note 5 2 6 4" xfId="33619" xr:uid="{78890097-D71D-44EA-AC24-18AFB89FDF47}"/>
    <cellStyle name="Note 5 2 7" xfId="10658" xr:uid="{00000000-0005-0000-0000-00006E620000}"/>
    <cellStyle name="Note 5 2 7 2" xfId="34507" xr:uid="{13D8689F-A274-4F01-9139-A2AEC6374107}"/>
    <cellStyle name="Note 5 2 8" xfId="18613" xr:uid="{00000000-0005-0000-0000-00006F620000}"/>
    <cellStyle name="Note 5 2 8 2" xfId="42445" xr:uid="{CEBA806B-BAB7-4F38-AE25-FA3C97FDF814}"/>
    <cellStyle name="Note 5 2 9" xfId="26565" xr:uid="{53C88645-56C7-4471-95AB-BC1A4895AC08}"/>
    <cellStyle name="Note 5 2_Exh G" xfId="3642" xr:uid="{00000000-0005-0000-0000-000070620000}"/>
    <cellStyle name="Note 5 3" xfId="718" xr:uid="{00000000-0005-0000-0000-000071620000}"/>
    <cellStyle name="Note 5 3 2" xfId="1744" xr:uid="{00000000-0005-0000-0000-000072620000}"/>
    <cellStyle name="Note 5 3 2 2" xfId="5271" xr:uid="{00000000-0005-0000-0000-000073620000}"/>
    <cellStyle name="Note 5 3 2 2 2" xfId="8862" xr:uid="{00000000-0005-0000-0000-000074620000}"/>
    <cellStyle name="Note 5 3 2 2 2 2" xfId="16832" xr:uid="{00000000-0005-0000-0000-000075620000}"/>
    <cellStyle name="Note 5 3 2 2 2 2 2" xfId="40674" xr:uid="{33D9FA0B-A760-4819-8DF0-1B1F4D8C706D}"/>
    <cellStyle name="Note 5 3 2 2 2 3" xfId="24778" xr:uid="{00000000-0005-0000-0000-000076620000}"/>
    <cellStyle name="Note 5 3 2 2 2 3 2" xfId="48610" xr:uid="{3320F36C-1274-46DE-B22F-20F3C332E4AC}"/>
    <cellStyle name="Note 5 3 2 2 2 4" xfId="32733" xr:uid="{24A09F1A-96E5-4DBB-9CD5-C5819D66D7AF}"/>
    <cellStyle name="Note 5 3 2 2 3" xfId="13294" xr:uid="{00000000-0005-0000-0000-000077620000}"/>
    <cellStyle name="Note 5 3 2 2 3 2" xfId="37143" xr:uid="{E1C9AC7A-E13B-4E58-B954-E46641988670}"/>
    <cellStyle name="Note 5 3 2 2 4" xfId="21249" xr:uid="{00000000-0005-0000-0000-000078620000}"/>
    <cellStyle name="Note 5 3 2 2 4 2" xfId="45081" xr:uid="{14D664B9-20B1-4CD1-A947-1B57E9D424D0}"/>
    <cellStyle name="Note 5 3 2 2 5" xfId="29202" xr:uid="{E83EC0A6-876D-44BD-A5F5-37157D331389}"/>
    <cellStyle name="Note 5 3 2 3" xfId="7103" xr:uid="{00000000-0005-0000-0000-000079620000}"/>
    <cellStyle name="Note 5 3 2 3 2" xfId="15074" xr:uid="{00000000-0005-0000-0000-00007A620000}"/>
    <cellStyle name="Note 5 3 2 3 2 2" xfId="38916" xr:uid="{E484721E-974A-4068-8AA3-837126093AA8}"/>
    <cellStyle name="Note 5 3 2 3 3" xfId="23021" xr:uid="{00000000-0005-0000-0000-00007B620000}"/>
    <cellStyle name="Note 5 3 2 3 3 2" xfId="46853" xr:uid="{3A3AA3C9-0E43-4299-AE1F-4459372B9066}"/>
    <cellStyle name="Note 5 3 2 3 4" xfId="30975" xr:uid="{5E2E961F-1145-431B-83DD-82C0EB9595DC}"/>
    <cellStyle name="Note 5 3 2 4" xfId="11538" xr:uid="{00000000-0005-0000-0000-00007C620000}"/>
    <cellStyle name="Note 5 3 2 4 2" xfId="35387" xr:uid="{A8A0C09C-5B5F-4852-9BC1-9BF10878A11A}"/>
    <cellStyle name="Note 5 3 2 5" xfId="19493" xr:uid="{00000000-0005-0000-0000-00007D620000}"/>
    <cellStyle name="Note 5 3 2 5 2" xfId="43325" xr:uid="{16D73EE5-0A66-4D69-AE46-AB61C18AD1B2}"/>
    <cellStyle name="Note 5 3 2 6" xfId="27445" xr:uid="{1997B150-F875-48E7-9BAC-ACF260BF17DA}"/>
    <cellStyle name="Note 5 3 2_Exh G" xfId="3647" xr:uid="{00000000-0005-0000-0000-00007E620000}"/>
    <cellStyle name="Note 5 3 3" xfId="4392" xr:uid="{00000000-0005-0000-0000-00007F620000}"/>
    <cellStyle name="Note 5 3 3 2" xfId="7984" xr:uid="{00000000-0005-0000-0000-000080620000}"/>
    <cellStyle name="Note 5 3 3 2 2" xfId="15954" xr:uid="{00000000-0005-0000-0000-000081620000}"/>
    <cellStyle name="Note 5 3 3 2 2 2" xfId="39796" xr:uid="{AE60A50E-CD40-42AA-8B57-D9FCBE2539CD}"/>
    <cellStyle name="Note 5 3 3 2 3" xfId="23900" xr:uid="{00000000-0005-0000-0000-000082620000}"/>
    <cellStyle name="Note 5 3 3 2 3 2" xfId="47732" xr:uid="{56A867C5-83D4-4FF8-B9DA-8CC391EBBEE1}"/>
    <cellStyle name="Note 5 3 3 2 4" xfId="31855" xr:uid="{DC39FF4C-3B0D-44F1-AF63-F940255E7B21}"/>
    <cellStyle name="Note 5 3 3 3" xfId="12416" xr:uid="{00000000-0005-0000-0000-000083620000}"/>
    <cellStyle name="Note 5 3 3 3 2" xfId="36265" xr:uid="{5911BE76-133F-4BF7-A976-7ED193CAC784}"/>
    <cellStyle name="Note 5 3 3 4" xfId="20371" xr:uid="{00000000-0005-0000-0000-000084620000}"/>
    <cellStyle name="Note 5 3 3 4 2" xfId="44203" xr:uid="{CB9508A8-4AD0-46B5-AF4B-46E94F280935}"/>
    <cellStyle name="Note 5 3 3 5" xfId="28324" xr:uid="{3FC916BC-FAC2-4D6F-A815-0E31484319B1}"/>
    <cellStyle name="Note 5 3 4" xfId="6212" xr:uid="{00000000-0005-0000-0000-000085620000}"/>
    <cellStyle name="Note 5 3 4 2" xfId="14195" xr:uid="{00000000-0005-0000-0000-000086620000}"/>
    <cellStyle name="Note 5 3 4 2 2" xfId="38038" xr:uid="{3E4E1BAC-8889-47EB-88A5-2CD9529376E2}"/>
    <cellStyle name="Note 5 3 4 3" xfId="22143" xr:uid="{00000000-0005-0000-0000-000087620000}"/>
    <cellStyle name="Note 5 3 4 3 2" xfId="45975" xr:uid="{0C711136-92D2-4199-988A-73D609795711}"/>
    <cellStyle name="Note 5 3 4 4" xfId="30097" xr:uid="{B16579D5-E43A-4489-BD17-1CA41B2D7CEE}"/>
    <cellStyle name="Note 5 3 5" xfId="9764" xr:uid="{00000000-0005-0000-0000-000088620000}"/>
    <cellStyle name="Note 5 3 5 2" xfId="17722" xr:uid="{00000000-0005-0000-0000-000089620000}"/>
    <cellStyle name="Note 5 3 5 2 2" xfId="41562" xr:uid="{7FFA45A2-7638-493B-869E-FD94820CA070}"/>
    <cellStyle name="Note 5 3 5 3" xfId="25666" xr:uid="{00000000-0005-0000-0000-00008A620000}"/>
    <cellStyle name="Note 5 3 5 3 2" xfId="49498" xr:uid="{C9D91921-DC15-415F-9FCB-43073C82A894}"/>
    <cellStyle name="Note 5 3 5 4" xfId="33621" xr:uid="{8B920CE7-2E8C-48EA-997B-31D95B2B184F}"/>
    <cellStyle name="Note 5 3 6" xfId="10660" xr:uid="{00000000-0005-0000-0000-00008B620000}"/>
    <cellStyle name="Note 5 3 6 2" xfId="34509" xr:uid="{82E109DF-53AC-4CFB-937C-958B15E4CAAC}"/>
    <cellStyle name="Note 5 3 7" xfId="18615" xr:uid="{00000000-0005-0000-0000-00008C620000}"/>
    <cellStyle name="Note 5 3 7 2" xfId="42447" xr:uid="{E6F82C1B-7EE7-4E08-AB76-3DFD69349097}"/>
    <cellStyle name="Note 5 3 8" xfId="26567" xr:uid="{1386F825-9A36-47AE-BF00-5AD6D290E755}"/>
    <cellStyle name="Note 5 3_Exh G" xfId="3646" xr:uid="{00000000-0005-0000-0000-00008D620000}"/>
    <cellStyle name="Note 5 4" xfId="1033" xr:uid="{00000000-0005-0000-0000-00008E620000}"/>
    <cellStyle name="Note 5 4 2" xfId="6398" xr:uid="{00000000-0005-0000-0000-00008F620000}"/>
    <cellStyle name="Note 5 5" xfId="1741" xr:uid="{00000000-0005-0000-0000-000090620000}"/>
    <cellStyle name="Note 5 5 2" xfId="5268" xr:uid="{00000000-0005-0000-0000-000091620000}"/>
    <cellStyle name="Note 5 5 2 2" xfId="8859" xr:uid="{00000000-0005-0000-0000-000092620000}"/>
    <cellStyle name="Note 5 5 2 2 2" xfId="16829" xr:uid="{00000000-0005-0000-0000-000093620000}"/>
    <cellStyle name="Note 5 5 2 2 2 2" xfId="40671" xr:uid="{848629E3-A0EA-4EAD-B15F-9CC955944E79}"/>
    <cellStyle name="Note 5 5 2 2 3" xfId="24775" xr:uid="{00000000-0005-0000-0000-000094620000}"/>
    <cellStyle name="Note 5 5 2 2 3 2" xfId="48607" xr:uid="{3190C865-2265-43E4-93D3-35E2972F3A82}"/>
    <cellStyle name="Note 5 5 2 2 4" xfId="32730" xr:uid="{F93C6EB8-C609-4370-ABF6-81311896C30F}"/>
    <cellStyle name="Note 5 5 2 3" xfId="13291" xr:uid="{00000000-0005-0000-0000-000095620000}"/>
    <cellStyle name="Note 5 5 2 3 2" xfId="37140" xr:uid="{E6077A32-4C14-4F12-9594-83218E40E946}"/>
    <cellStyle name="Note 5 5 2 4" xfId="21246" xr:uid="{00000000-0005-0000-0000-000096620000}"/>
    <cellStyle name="Note 5 5 2 4 2" xfId="45078" xr:uid="{6840797A-BCFD-4A8C-A04A-6D58C520BAEF}"/>
    <cellStyle name="Note 5 5 2 5" xfId="29199" xr:uid="{FE6E87CC-14B2-4243-A36A-012E094D0FEB}"/>
    <cellStyle name="Note 5 5 3" xfId="7100" xr:uid="{00000000-0005-0000-0000-000097620000}"/>
    <cellStyle name="Note 5 5 3 2" xfId="15071" xr:uid="{00000000-0005-0000-0000-000098620000}"/>
    <cellStyle name="Note 5 5 3 2 2" xfId="38913" xr:uid="{E16287BD-3C60-4CD8-9793-A962E0BF449E}"/>
    <cellStyle name="Note 5 5 3 3" xfId="23018" xr:uid="{00000000-0005-0000-0000-000099620000}"/>
    <cellStyle name="Note 5 5 3 3 2" xfId="46850" xr:uid="{41814C19-7B2A-4448-9E0A-E3072D9D2ACD}"/>
    <cellStyle name="Note 5 5 3 4" xfId="30972" xr:uid="{526889DD-55EE-498B-8658-049B0DBC01D6}"/>
    <cellStyle name="Note 5 5 4" xfId="11535" xr:uid="{00000000-0005-0000-0000-00009A620000}"/>
    <cellStyle name="Note 5 5 4 2" xfId="35384" xr:uid="{FF2E04B9-99A8-4F7B-BF59-D22291D440D5}"/>
    <cellStyle name="Note 5 5 5" xfId="19490" xr:uid="{00000000-0005-0000-0000-00009B620000}"/>
    <cellStyle name="Note 5 5 5 2" xfId="43322" xr:uid="{EAC2AFA7-5739-42B0-980E-24E9FC9D4C2F}"/>
    <cellStyle name="Note 5 5 6" xfId="27442" xr:uid="{8216AD42-4F28-4182-ABB4-A07D743CF9B5}"/>
    <cellStyle name="Note 5 5_Exh G" xfId="3648" xr:uid="{00000000-0005-0000-0000-00009C620000}"/>
    <cellStyle name="Note 5 6" xfId="4389" xr:uid="{00000000-0005-0000-0000-00009D620000}"/>
    <cellStyle name="Note 5 6 2" xfId="7981" xr:uid="{00000000-0005-0000-0000-00009E620000}"/>
    <cellStyle name="Note 5 6 2 2" xfId="15951" xr:uid="{00000000-0005-0000-0000-00009F620000}"/>
    <cellStyle name="Note 5 6 2 2 2" xfId="39793" xr:uid="{1F159D4A-0D50-422F-80A6-D497968BF1DA}"/>
    <cellStyle name="Note 5 6 2 3" xfId="23897" xr:uid="{00000000-0005-0000-0000-0000A0620000}"/>
    <cellStyle name="Note 5 6 2 3 2" xfId="47729" xr:uid="{A0FFEACF-C8CE-4336-82AA-A0F7B1A3276A}"/>
    <cellStyle name="Note 5 6 2 4" xfId="31852" xr:uid="{3376C3C5-59C0-4549-822E-4C4FAD125AA9}"/>
    <cellStyle name="Note 5 6 3" xfId="12413" xr:uid="{00000000-0005-0000-0000-0000A1620000}"/>
    <cellStyle name="Note 5 6 3 2" xfId="36262" xr:uid="{0E962C4C-80F2-4543-9CDE-62F25212DDEA}"/>
    <cellStyle name="Note 5 6 4" xfId="20368" xr:uid="{00000000-0005-0000-0000-0000A2620000}"/>
    <cellStyle name="Note 5 6 4 2" xfId="44200" xr:uid="{AB30D8EB-CEA7-4AD4-AFB6-9CF64E82CC13}"/>
    <cellStyle name="Note 5 6 5" xfId="28321" xr:uid="{C79F3265-6FA6-4E7C-862C-FA7D8281817A}"/>
    <cellStyle name="Note 5 7" xfId="6209" xr:uid="{00000000-0005-0000-0000-0000A3620000}"/>
    <cellStyle name="Note 5 7 2" xfId="14192" xr:uid="{00000000-0005-0000-0000-0000A4620000}"/>
    <cellStyle name="Note 5 7 2 2" xfId="38035" xr:uid="{E44823B5-D2DE-4C10-9AB5-2E9164FB4634}"/>
    <cellStyle name="Note 5 7 3" xfId="22140" xr:uid="{00000000-0005-0000-0000-0000A5620000}"/>
    <cellStyle name="Note 5 7 3 2" xfId="45972" xr:uid="{577730FE-06DB-47E6-A1AE-4F0B835D7313}"/>
    <cellStyle name="Note 5 7 4" xfId="30094" xr:uid="{6E54CD0B-8488-4D27-8D99-665F35BB2194}"/>
    <cellStyle name="Note 5 8" xfId="9761" xr:uid="{00000000-0005-0000-0000-0000A6620000}"/>
    <cellStyle name="Note 5 8 2" xfId="17719" xr:uid="{00000000-0005-0000-0000-0000A7620000}"/>
    <cellStyle name="Note 5 8 2 2" xfId="41559" xr:uid="{7122009E-5636-4E27-85DC-8D14BF426100}"/>
    <cellStyle name="Note 5 8 3" xfId="25663" xr:uid="{00000000-0005-0000-0000-0000A8620000}"/>
    <cellStyle name="Note 5 8 3 2" xfId="49495" xr:uid="{B915848C-31C6-4E32-ADAE-EC165CAD8AC5}"/>
    <cellStyle name="Note 5 8 4" xfId="33618" xr:uid="{681BCA31-DD14-40DC-99AC-D562AA920479}"/>
    <cellStyle name="Note 5 9" xfId="10657" xr:uid="{00000000-0005-0000-0000-0000A9620000}"/>
    <cellStyle name="Note 5 9 2" xfId="34506" xr:uid="{3D168DBD-CD69-4582-B09B-153F4C6347EF}"/>
    <cellStyle name="Note 5_Exh G" xfId="3641" xr:uid="{00000000-0005-0000-0000-0000AA620000}"/>
    <cellStyle name="Note 6" xfId="719" xr:uid="{00000000-0005-0000-0000-0000AB620000}"/>
    <cellStyle name="Note 6 10" xfId="18616" xr:uid="{00000000-0005-0000-0000-0000AC620000}"/>
    <cellStyle name="Note 6 10 2" xfId="42448" xr:uid="{0AE95582-F33E-44E3-B702-4FF3339A130F}"/>
    <cellStyle name="Note 6 11" xfId="26568" xr:uid="{0951A3DA-ADDA-4600-A8A5-CABB9B599DE6}"/>
    <cellStyle name="Note 6 2" xfId="720" xr:uid="{00000000-0005-0000-0000-0000AD620000}"/>
    <cellStyle name="Note 6 2 2" xfId="721" xr:uid="{00000000-0005-0000-0000-0000AE620000}"/>
    <cellStyle name="Note 6 2 2 2" xfId="1747" xr:uid="{00000000-0005-0000-0000-0000AF620000}"/>
    <cellStyle name="Note 6 2 2 2 2" xfId="5274" xr:uid="{00000000-0005-0000-0000-0000B0620000}"/>
    <cellStyle name="Note 6 2 2 2 2 2" xfId="8865" xr:uid="{00000000-0005-0000-0000-0000B1620000}"/>
    <cellStyle name="Note 6 2 2 2 2 2 2" xfId="16835" xr:uid="{00000000-0005-0000-0000-0000B2620000}"/>
    <cellStyle name="Note 6 2 2 2 2 2 2 2" xfId="40677" xr:uid="{21021AAC-EB7C-4BF5-BCB6-3FFB2F2A5F40}"/>
    <cellStyle name="Note 6 2 2 2 2 2 3" xfId="24781" xr:uid="{00000000-0005-0000-0000-0000B3620000}"/>
    <cellStyle name="Note 6 2 2 2 2 2 3 2" xfId="48613" xr:uid="{8A5854D4-3F39-44A0-B79B-EAF65929CD0C}"/>
    <cellStyle name="Note 6 2 2 2 2 2 4" xfId="32736" xr:uid="{154EA236-DE76-4DBF-A690-8A48D5A1DBFF}"/>
    <cellStyle name="Note 6 2 2 2 2 3" xfId="13297" xr:uid="{00000000-0005-0000-0000-0000B4620000}"/>
    <cellStyle name="Note 6 2 2 2 2 3 2" xfId="37146" xr:uid="{9BF52C20-7B51-4B10-9B1E-1609974D63C4}"/>
    <cellStyle name="Note 6 2 2 2 2 4" xfId="21252" xr:uid="{00000000-0005-0000-0000-0000B5620000}"/>
    <cellStyle name="Note 6 2 2 2 2 4 2" xfId="45084" xr:uid="{F347E791-F0F8-4DD3-B6B9-B3AE91BBF8FC}"/>
    <cellStyle name="Note 6 2 2 2 2 5" xfId="29205" xr:uid="{EE892CE9-4782-4D1E-BB7E-46ED82A70A20}"/>
    <cellStyle name="Note 6 2 2 2 3" xfId="7106" xr:uid="{00000000-0005-0000-0000-0000B6620000}"/>
    <cellStyle name="Note 6 2 2 2 3 2" xfId="15077" xr:uid="{00000000-0005-0000-0000-0000B7620000}"/>
    <cellStyle name="Note 6 2 2 2 3 2 2" xfId="38919" xr:uid="{689E679F-5AE9-4A2E-BD1E-1217FD9FDFFE}"/>
    <cellStyle name="Note 6 2 2 2 3 3" xfId="23024" xr:uid="{00000000-0005-0000-0000-0000B8620000}"/>
    <cellStyle name="Note 6 2 2 2 3 3 2" xfId="46856" xr:uid="{87819170-4BD1-468F-BD10-C6F70C6DD9D0}"/>
    <cellStyle name="Note 6 2 2 2 3 4" xfId="30978" xr:uid="{06108D18-CA17-4464-80DD-E7108E2C464B}"/>
    <cellStyle name="Note 6 2 2 2 4" xfId="11541" xr:uid="{00000000-0005-0000-0000-0000B9620000}"/>
    <cellStyle name="Note 6 2 2 2 4 2" xfId="35390" xr:uid="{6BE17C8C-16EA-491B-9FDD-AE39AC33D41A}"/>
    <cellStyle name="Note 6 2 2 2 5" xfId="19496" xr:uid="{00000000-0005-0000-0000-0000BA620000}"/>
    <cellStyle name="Note 6 2 2 2 5 2" xfId="43328" xr:uid="{E70DDAD4-8A52-4285-B0A4-D30792DF4172}"/>
    <cellStyle name="Note 6 2 2 2 6" xfId="27448" xr:uid="{7776812E-0474-4A26-8ADA-D0AB619508FC}"/>
    <cellStyle name="Note 6 2 2 2_Exh G" xfId="3652" xr:uid="{00000000-0005-0000-0000-0000BB620000}"/>
    <cellStyle name="Note 6 2 2 3" xfId="4395" xr:uid="{00000000-0005-0000-0000-0000BC620000}"/>
    <cellStyle name="Note 6 2 2 3 2" xfId="7987" xr:uid="{00000000-0005-0000-0000-0000BD620000}"/>
    <cellStyle name="Note 6 2 2 3 2 2" xfId="15957" xr:uid="{00000000-0005-0000-0000-0000BE620000}"/>
    <cellStyle name="Note 6 2 2 3 2 2 2" xfId="39799" xr:uid="{0A2F646F-55ED-4F78-B132-9D91B80111F8}"/>
    <cellStyle name="Note 6 2 2 3 2 3" xfId="23903" xr:uid="{00000000-0005-0000-0000-0000BF620000}"/>
    <cellStyle name="Note 6 2 2 3 2 3 2" xfId="47735" xr:uid="{402AEEB5-163A-48C6-8975-B42CEA8DE43E}"/>
    <cellStyle name="Note 6 2 2 3 2 4" xfId="31858" xr:uid="{23445F78-1CAC-43B5-8794-FF0B400BC5F0}"/>
    <cellStyle name="Note 6 2 2 3 3" xfId="12419" xr:uid="{00000000-0005-0000-0000-0000C0620000}"/>
    <cellStyle name="Note 6 2 2 3 3 2" xfId="36268" xr:uid="{7B17F578-02E6-41AA-B3F2-B23BF85E215D}"/>
    <cellStyle name="Note 6 2 2 3 4" xfId="20374" xr:uid="{00000000-0005-0000-0000-0000C1620000}"/>
    <cellStyle name="Note 6 2 2 3 4 2" xfId="44206" xr:uid="{C4C06647-3F61-4BE3-A434-8BC11F56D1B3}"/>
    <cellStyle name="Note 6 2 2 3 5" xfId="28327" xr:uid="{E1192972-6D5F-42AE-BF98-17091344DCD0}"/>
    <cellStyle name="Note 6 2 2 4" xfId="6215" xr:uid="{00000000-0005-0000-0000-0000C2620000}"/>
    <cellStyle name="Note 6 2 2 4 2" xfId="14198" xr:uid="{00000000-0005-0000-0000-0000C3620000}"/>
    <cellStyle name="Note 6 2 2 4 2 2" xfId="38041" xr:uid="{321EE57A-A988-467E-9AB5-38BE50B599BB}"/>
    <cellStyle name="Note 6 2 2 4 3" xfId="22146" xr:uid="{00000000-0005-0000-0000-0000C4620000}"/>
    <cellStyle name="Note 6 2 2 4 3 2" xfId="45978" xr:uid="{0FE61AC8-2815-470B-A2FC-2EEEE28B9218}"/>
    <cellStyle name="Note 6 2 2 4 4" xfId="30100" xr:uid="{8B3FBB67-E40D-4817-9897-07D2C79E4970}"/>
    <cellStyle name="Note 6 2 2 5" xfId="9767" xr:uid="{00000000-0005-0000-0000-0000C5620000}"/>
    <cellStyle name="Note 6 2 2 5 2" xfId="17725" xr:uid="{00000000-0005-0000-0000-0000C6620000}"/>
    <cellStyle name="Note 6 2 2 5 2 2" xfId="41565" xr:uid="{D8076D5A-9FBB-4510-BBCE-281052D1E7FF}"/>
    <cellStyle name="Note 6 2 2 5 3" xfId="25669" xr:uid="{00000000-0005-0000-0000-0000C7620000}"/>
    <cellStyle name="Note 6 2 2 5 3 2" xfId="49501" xr:uid="{9746C7A9-7AD6-409E-9689-132071D7A56D}"/>
    <cellStyle name="Note 6 2 2 5 4" xfId="33624" xr:uid="{7EF736C7-BC3B-43BD-A567-FEB8E4D25BCD}"/>
    <cellStyle name="Note 6 2 2 6" xfId="10663" xr:uid="{00000000-0005-0000-0000-0000C8620000}"/>
    <cellStyle name="Note 6 2 2 6 2" xfId="34512" xr:uid="{9208433B-E761-4429-9F80-54B99B98830D}"/>
    <cellStyle name="Note 6 2 2 7" xfId="18618" xr:uid="{00000000-0005-0000-0000-0000C9620000}"/>
    <cellStyle name="Note 6 2 2 7 2" xfId="42450" xr:uid="{497F2705-B558-4BFE-96B2-7A9B47FC5AF2}"/>
    <cellStyle name="Note 6 2 2 8" xfId="26570" xr:uid="{6FC37E23-2CF6-473F-B057-35B3F84865DB}"/>
    <cellStyle name="Note 6 2 2_Exh G" xfId="3651" xr:uid="{00000000-0005-0000-0000-0000CA620000}"/>
    <cellStyle name="Note 6 2 3" xfId="1746" xr:uid="{00000000-0005-0000-0000-0000CB620000}"/>
    <cellStyle name="Note 6 2 3 2" xfId="5273" xr:uid="{00000000-0005-0000-0000-0000CC620000}"/>
    <cellStyle name="Note 6 2 3 2 2" xfId="8864" xr:uid="{00000000-0005-0000-0000-0000CD620000}"/>
    <cellStyle name="Note 6 2 3 2 2 2" xfId="16834" xr:uid="{00000000-0005-0000-0000-0000CE620000}"/>
    <cellStyle name="Note 6 2 3 2 2 2 2" xfId="40676" xr:uid="{8C976302-0B44-45A7-8DC0-0B2AA8C17E5B}"/>
    <cellStyle name="Note 6 2 3 2 2 3" xfId="24780" xr:uid="{00000000-0005-0000-0000-0000CF620000}"/>
    <cellStyle name="Note 6 2 3 2 2 3 2" xfId="48612" xr:uid="{857F871B-836A-4A71-91EC-14C8FDF4EE5F}"/>
    <cellStyle name="Note 6 2 3 2 2 4" xfId="32735" xr:uid="{3CD87FFA-290C-4888-BAD6-827D6980146E}"/>
    <cellStyle name="Note 6 2 3 2 3" xfId="13296" xr:uid="{00000000-0005-0000-0000-0000D0620000}"/>
    <cellStyle name="Note 6 2 3 2 3 2" xfId="37145" xr:uid="{75CA02D4-EFD4-4993-8439-0CA87B6DCA4A}"/>
    <cellStyle name="Note 6 2 3 2 4" xfId="21251" xr:uid="{00000000-0005-0000-0000-0000D1620000}"/>
    <cellStyle name="Note 6 2 3 2 4 2" xfId="45083" xr:uid="{53F08657-A08C-4F1D-B8B4-3331B299ED10}"/>
    <cellStyle name="Note 6 2 3 2 5" xfId="29204" xr:uid="{77692D84-28D8-4BCB-A09D-6EA42B8197A5}"/>
    <cellStyle name="Note 6 2 3 3" xfId="7105" xr:uid="{00000000-0005-0000-0000-0000D2620000}"/>
    <cellStyle name="Note 6 2 3 3 2" xfId="15076" xr:uid="{00000000-0005-0000-0000-0000D3620000}"/>
    <cellStyle name="Note 6 2 3 3 2 2" xfId="38918" xr:uid="{0C943A0F-2ACD-41D9-B180-FFC50C728049}"/>
    <cellStyle name="Note 6 2 3 3 3" xfId="23023" xr:uid="{00000000-0005-0000-0000-0000D4620000}"/>
    <cellStyle name="Note 6 2 3 3 3 2" xfId="46855" xr:uid="{C8E8F94E-64B1-4C3A-9575-8109E8BA09DD}"/>
    <cellStyle name="Note 6 2 3 3 4" xfId="30977" xr:uid="{B00B7CD3-BC93-46A7-99BE-8CF7AB00A195}"/>
    <cellStyle name="Note 6 2 3 4" xfId="11540" xr:uid="{00000000-0005-0000-0000-0000D5620000}"/>
    <cellStyle name="Note 6 2 3 4 2" xfId="35389" xr:uid="{01255B01-63B2-4FF2-AEA7-D413D0D5C348}"/>
    <cellStyle name="Note 6 2 3 5" xfId="19495" xr:uid="{00000000-0005-0000-0000-0000D6620000}"/>
    <cellStyle name="Note 6 2 3 5 2" xfId="43327" xr:uid="{2F710A43-188A-4186-B18F-BDCD60AB2376}"/>
    <cellStyle name="Note 6 2 3 6" xfId="27447" xr:uid="{9910E074-0877-464D-A2C3-A914B39CADE6}"/>
    <cellStyle name="Note 6 2 3_Exh G" xfId="3653" xr:uid="{00000000-0005-0000-0000-0000D7620000}"/>
    <cellStyle name="Note 6 2 4" xfId="4394" xr:uid="{00000000-0005-0000-0000-0000D8620000}"/>
    <cellStyle name="Note 6 2 4 2" xfId="7986" xr:uid="{00000000-0005-0000-0000-0000D9620000}"/>
    <cellStyle name="Note 6 2 4 2 2" xfId="15956" xr:uid="{00000000-0005-0000-0000-0000DA620000}"/>
    <cellStyle name="Note 6 2 4 2 2 2" xfId="39798" xr:uid="{878F76AF-6030-45CA-BDA1-0DB160544B95}"/>
    <cellStyle name="Note 6 2 4 2 3" xfId="23902" xr:uid="{00000000-0005-0000-0000-0000DB620000}"/>
    <cellStyle name="Note 6 2 4 2 3 2" xfId="47734" xr:uid="{DB06EAA7-F71E-41F3-A17E-4F48D6405708}"/>
    <cellStyle name="Note 6 2 4 2 4" xfId="31857" xr:uid="{4FB3B94A-0896-428F-9A9B-460AECBF5F5F}"/>
    <cellStyle name="Note 6 2 4 3" xfId="12418" xr:uid="{00000000-0005-0000-0000-0000DC620000}"/>
    <cellStyle name="Note 6 2 4 3 2" xfId="36267" xr:uid="{696BD8F9-06F5-4166-B166-82B27164EE1A}"/>
    <cellStyle name="Note 6 2 4 4" xfId="20373" xr:uid="{00000000-0005-0000-0000-0000DD620000}"/>
    <cellStyle name="Note 6 2 4 4 2" xfId="44205" xr:uid="{FEA5F447-095C-45B3-9BEF-041C9F660210}"/>
    <cellStyle name="Note 6 2 4 5" xfId="28326" xr:uid="{AA8352F3-4DF2-4EE9-BF2F-AE7542392ADB}"/>
    <cellStyle name="Note 6 2 5" xfId="6214" xr:uid="{00000000-0005-0000-0000-0000DE620000}"/>
    <cellStyle name="Note 6 2 5 2" xfId="14197" xr:uid="{00000000-0005-0000-0000-0000DF620000}"/>
    <cellStyle name="Note 6 2 5 2 2" xfId="38040" xr:uid="{FB128B45-F315-48CC-A9F3-304BFBC9910A}"/>
    <cellStyle name="Note 6 2 5 3" xfId="22145" xr:uid="{00000000-0005-0000-0000-0000E0620000}"/>
    <cellStyle name="Note 6 2 5 3 2" xfId="45977" xr:uid="{D12F487C-6E58-4E70-B1FB-3F9330A634F5}"/>
    <cellStyle name="Note 6 2 5 4" xfId="30099" xr:uid="{9080EF13-3FA2-4EFD-BBCE-E6DCA1A496A3}"/>
    <cellStyle name="Note 6 2 6" xfId="9766" xr:uid="{00000000-0005-0000-0000-0000E1620000}"/>
    <cellStyle name="Note 6 2 6 2" xfId="17724" xr:uid="{00000000-0005-0000-0000-0000E2620000}"/>
    <cellStyle name="Note 6 2 6 2 2" xfId="41564" xr:uid="{22D465DE-86FA-47BC-AB02-F43449E952B6}"/>
    <cellStyle name="Note 6 2 6 3" xfId="25668" xr:uid="{00000000-0005-0000-0000-0000E3620000}"/>
    <cellStyle name="Note 6 2 6 3 2" xfId="49500" xr:uid="{2CAD1488-15FC-474D-BEEB-FD1DF91EDE15}"/>
    <cellStyle name="Note 6 2 6 4" xfId="33623" xr:uid="{EF584F50-1D08-4956-86E9-6E50E8738D89}"/>
    <cellStyle name="Note 6 2 7" xfId="10662" xr:uid="{00000000-0005-0000-0000-0000E4620000}"/>
    <cellStyle name="Note 6 2 7 2" xfId="34511" xr:uid="{D1BCDB71-AF3D-4C6E-89D2-90411CFF2D5C}"/>
    <cellStyle name="Note 6 2 8" xfId="18617" xr:uid="{00000000-0005-0000-0000-0000E5620000}"/>
    <cellStyle name="Note 6 2 8 2" xfId="42449" xr:uid="{CC97A2E8-9084-45EC-B2ED-2C7CF98FA58D}"/>
    <cellStyle name="Note 6 2 9" xfId="26569" xr:uid="{9394434B-15EB-4C2E-B60B-2BCBC51DACB0}"/>
    <cellStyle name="Note 6 2_Exh G" xfId="3650" xr:uid="{00000000-0005-0000-0000-0000E6620000}"/>
    <cellStyle name="Note 6 3" xfId="722" xr:uid="{00000000-0005-0000-0000-0000E7620000}"/>
    <cellStyle name="Note 6 3 2" xfId="1748" xr:uid="{00000000-0005-0000-0000-0000E8620000}"/>
    <cellStyle name="Note 6 3 2 2" xfId="5275" xr:uid="{00000000-0005-0000-0000-0000E9620000}"/>
    <cellStyle name="Note 6 3 2 2 2" xfId="8866" xr:uid="{00000000-0005-0000-0000-0000EA620000}"/>
    <cellStyle name="Note 6 3 2 2 2 2" xfId="16836" xr:uid="{00000000-0005-0000-0000-0000EB620000}"/>
    <cellStyle name="Note 6 3 2 2 2 2 2" xfId="40678" xr:uid="{6913E42D-E5EE-438D-8266-C0D038C757D5}"/>
    <cellStyle name="Note 6 3 2 2 2 3" xfId="24782" xr:uid="{00000000-0005-0000-0000-0000EC620000}"/>
    <cellStyle name="Note 6 3 2 2 2 3 2" xfId="48614" xr:uid="{937689BB-4F4E-44FC-A58E-14A7794E21B2}"/>
    <cellStyle name="Note 6 3 2 2 2 4" xfId="32737" xr:uid="{5D393776-8010-4DDB-AD43-C4A7AD072CB8}"/>
    <cellStyle name="Note 6 3 2 2 3" xfId="13298" xr:uid="{00000000-0005-0000-0000-0000ED620000}"/>
    <cellStyle name="Note 6 3 2 2 3 2" xfId="37147" xr:uid="{FF01AF63-7319-41B5-9E61-6499D2C1275D}"/>
    <cellStyle name="Note 6 3 2 2 4" xfId="21253" xr:uid="{00000000-0005-0000-0000-0000EE620000}"/>
    <cellStyle name="Note 6 3 2 2 4 2" xfId="45085" xr:uid="{9EA328EB-5D80-4BDC-8278-883E09A03EC6}"/>
    <cellStyle name="Note 6 3 2 2 5" xfId="29206" xr:uid="{E7E31E76-2FB5-4F79-97D1-0ADCB6EED92A}"/>
    <cellStyle name="Note 6 3 2 3" xfId="7107" xr:uid="{00000000-0005-0000-0000-0000EF620000}"/>
    <cellStyle name="Note 6 3 2 3 2" xfId="15078" xr:uid="{00000000-0005-0000-0000-0000F0620000}"/>
    <cellStyle name="Note 6 3 2 3 2 2" xfId="38920" xr:uid="{45DAA393-5621-4419-9478-8431BED71AED}"/>
    <cellStyle name="Note 6 3 2 3 3" xfId="23025" xr:uid="{00000000-0005-0000-0000-0000F1620000}"/>
    <cellStyle name="Note 6 3 2 3 3 2" xfId="46857" xr:uid="{3F61B6FC-D8EB-4E19-998B-EFFF89723EF2}"/>
    <cellStyle name="Note 6 3 2 3 4" xfId="30979" xr:uid="{78591AA0-A737-4B90-A838-58D2F38C7FD3}"/>
    <cellStyle name="Note 6 3 2 4" xfId="11542" xr:uid="{00000000-0005-0000-0000-0000F2620000}"/>
    <cellStyle name="Note 6 3 2 4 2" xfId="35391" xr:uid="{C11EC697-D313-4017-8A25-5BB04531B25E}"/>
    <cellStyle name="Note 6 3 2 5" xfId="19497" xr:uid="{00000000-0005-0000-0000-0000F3620000}"/>
    <cellStyle name="Note 6 3 2 5 2" xfId="43329" xr:uid="{3AD66ED3-A7DF-4333-8E61-7E0C8FB28B47}"/>
    <cellStyle name="Note 6 3 2 6" xfId="27449" xr:uid="{AAA8C5E8-B73E-42DF-82D8-5CB031DE25D2}"/>
    <cellStyle name="Note 6 3 2_Exh G" xfId="3655" xr:uid="{00000000-0005-0000-0000-0000F4620000}"/>
    <cellStyle name="Note 6 3 3" xfId="4396" xr:uid="{00000000-0005-0000-0000-0000F5620000}"/>
    <cellStyle name="Note 6 3 3 2" xfId="7988" xr:uid="{00000000-0005-0000-0000-0000F6620000}"/>
    <cellStyle name="Note 6 3 3 2 2" xfId="15958" xr:uid="{00000000-0005-0000-0000-0000F7620000}"/>
    <cellStyle name="Note 6 3 3 2 2 2" xfId="39800" xr:uid="{F832649F-959E-4024-9701-57C84D23689E}"/>
    <cellStyle name="Note 6 3 3 2 3" xfId="23904" xr:uid="{00000000-0005-0000-0000-0000F8620000}"/>
    <cellStyle name="Note 6 3 3 2 3 2" xfId="47736" xr:uid="{6CBA3952-EABD-4587-A356-A2B81D607539}"/>
    <cellStyle name="Note 6 3 3 2 4" xfId="31859" xr:uid="{75A64901-3552-49C4-8815-2BAD60E1C93C}"/>
    <cellStyle name="Note 6 3 3 3" xfId="12420" xr:uid="{00000000-0005-0000-0000-0000F9620000}"/>
    <cellStyle name="Note 6 3 3 3 2" xfId="36269" xr:uid="{5688FF61-DEC6-40AB-B27F-9F32627BC97A}"/>
    <cellStyle name="Note 6 3 3 4" xfId="20375" xr:uid="{00000000-0005-0000-0000-0000FA620000}"/>
    <cellStyle name="Note 6 3 3 4 2" xfId="44207" xr:uid="{CD9E506E-5F44-46AC-82EA-52244DF6D7A3}"/>
    <cellStyle name="Note 6 3 3 5" xfId="28328" xr:uid="{CA50140B-442A-4B81-9B7F-322FB552F3CC}"/>
    <cellStyle name="Note 6 3 4" xfId="6216" xr:uid="{00000000-0005-0000-0000-0000FB620000}"/>
    <cellStyle name="Note 6 3 4 2" xfId="14199" xr:uid="{00000000-0005-0000-0000-0000FC620000}"/>
    <cellStyle name="Note 6 3 4 2 2" xfId="38042" xr:uid="{CD788941-55B4-42FA-95C2-7A6EA41308E4}"/>
    <cellStyle name="Note 6 3 4 3" xfId="22147" xr:uid="{00000000-0005-0000-0000-0000FD620000}"/>
    <cellStyle name="Note 6 3 4 3 2" xfId="45979" xr:uid="{AEC3755C-B88E-4052-80A0-682055ABB60C}"/>
    <cellStyle name="Note 6 3 4 4" xfId="30101" xr:uid="{1B3E0E61-335F-495C-8405-6119257D708F}"/>
    <cellStyle name="Note 6 3 5" xfId="9768" xr:uid="{00000000-0005-0000-0000-0000FE620000}"/>
    <cellStyle name="Note 6 3 5 2" xfId="17726" xr:uid="{00000000-0005-0000-0000-0000FF620000}"/>
    <cellStyle name="Note 6 3 5 2 2" xfId="41566" xr:uid="{25303036-6D61-4851-9111-89A3240AA149}"/>
    <cellStyle name="Note 6 3 5 3" xfId="25670" xr:uid="{00000000-0005-0000-0000-000000630000}"/>
    <cellStyle name="Note 6 3 5 3 2" xfId="49502" xr:uid="{D8FEC3F3-E7AA-4E54-B371-57F9D6177C78}"/>
    <cellStyle name="Note 6 3 5 4" xfId="33625" xr:uid="{11B2F3D1-63C2-48EC-80D1-EC2577CFB2B3}"/>
    <cellStyle name="Note 6 3 6" xfId="10664" xr:uid="{00000000-0005-0000-0000-000001630000}"/>
    <cellStyle name="Note 6 3 6 2" xfId="34513" xr:uid="{0AEBFA71-3CD9-4888-BFAD-53209F135FFE}"/>
    <cellStyle name="Note 6 3 7" xfId="18619" xr:uid="{00000000-0005-0000-0000-000002630000}"/>
    <cellStyle name="Note 6 3 7 2" xfId="42451" xr:uid="{D7475FF9-A152-4FA6-B550-A221661980AD}"/>
    <cellStyle name="Note 6 3 8" xfId="26571" xr:uid="{F7BF1D32-57FB-47C2-B7CC-052B2806A6E0}"/>
    <cellStyle name="Note 6 3_Exh G" xfId="3654" xr:uid="{00000000-0005-0000-0000-000003630000}"/>
    <cellStyle name="Note 6 4" xfId="1034" xr:uid="{00000000-0005-0000-0000-000004630000}"/>
    <cellStyle name="Note 6 4 2" xfId="1929" xr:uid="{00000000-0005-0000-0000-000005630000}"/>
    <cellStyle name="Note 6 4 2 2" xfId="5446" xr:uid="{00000000-0005-0000-0000-000006630000}"/>
    <cellStyle name="Note 6 4 2 2 2" xfId="9037" xr:uid="{00000000-0005-0000-0000-000007630000}"/>
    <cellStyle name="Note 6 4 2 2 2 2" xfId="17007" xr:uid="{00000000-0005-0000-0000-000008630000}"/>
    <cellStyle name="Note 6 4 2 2 2 2 2" xfId="40849" xr:uid="{A8D0F90A-D101-4BEB-BD82-93D3D69BA670}"/>
    <cellStyle name="Note 6 4 2 2 2 3" xfId="24953" xr:uid="{00000000-0005-0000-0000-000009630000}"/>
    <cellStyle name="Note 6 4 2 2 2 3 2" xfId="48785" xr:uid="{D70DFE5E-C1C7-4966-B755-FEF60F554C32}"/>
    <cellStyle name="Note 6 4 2 2 2 4" xfId="32908" xr:uid="{1B84FA1E-AA4F-41A6-8102-F3672EFC268F}"/>
    <cellStyle name="Note 6 4 2 2 3" xfId="13469" xr:uid="{00000000-0005-0000-0000-00000A630000}"/>
    <cellStyle name="Note 6 4 2 2 3 2" xfId="37318" xr:uid="{736DD08C-726B-42FC-A792-90B89527503A}"/>
    <cellStyle name="Note 6 4 2 2 4" xfId="21424" xr:uid="{00000000-0005-0000-0000-00000B630000}"/>
    <cellStyle name="Note 6 4 2 2 4 2" xfId="45256" xr:uid="{01AE5B3F-1A59-4BF3-8B4C-0398A6ED3175}"/>
    <cellStyle name="Note 6 4 2 2 5" xfId="29377" xr:uid="{CCD4C8C1-D98F-4EF5-8230-40D6F0E8199E}"/>
    <cellStyle name="Note 6 4 2 3" xfId="7278" xr:uid="{00000000-0005-0000-0000-00000C630000}"/>
    <cellStyle name="Note 6 4 2 3 2" xfId="15249" xr:uid="{00000000-0005-0000-0000-00000D630000}"/>
    <cellStyle name="Note 6 4 2 3 2 2" xfId="39091" xr:uid="{C59DF62C-51B4-4111-B684-EAA42265575B}"/>
    <cellStyle name="Note 6 4 2 3 3" xfId="23196" xr:uid="{00000000-0005-0000-0000-00000E630000}"/>
    <cellStyle name="Note 6 4 2 3 3 2" xfId="47028" xr:uid="{2975B587-BAF1-4BDF-839C-6444E183C833}"/>
    <cellStyle name="Note 6 4 2 3 4" xfId="31150" xr:uid="{D177DF9A-11CC-4F4F-80ED-12FD5BD0FE0A}"/>
    <cellStyle name="Note 6 4 2 4" xfId="11713" xr:uid="{00000000-0005-0000-0000-00000F630000}"/>
    <cellStyle name="Note 6 4 2 4 2" xfId="35562" xr:uid="{4A358289-86E4-4689-95E0-8E5C03797BE2}"/>
    <cellStyle name="Note 6 4 2 5" xfId="19668" xr:uid="{00000000-0005-0000-0000-000010630000}"/>
    <cellStyle name="Note 6 4 2 5 2" xfId="43500" xr:uid="{7DC24652-9318-407D-AD9B-D73167052ADE}"/>
    <cellStyle name="Note 6 4 2 6" xfId="27620" xr:uid="{E37D4B43-92C6-4655-9773-D0ACF1EE9C77}"/>
    <cellStyle name="Note 6 4 2_Exh G" xfId="3657" xr:uid="{00000000-0005-0000-0000-000011630000}"/>
    <cellStyle name="Note 6 4 3" xfId="4567" xr:uid="{00000000-0005-0000-0000-000012630000}"/>
    <cellStyle name="Note 6 4 3 2" xfId="8159" xr:uid="{00000000-0005-0000-0000-000013630000}"/>
    <cellStyle name="Note 6 4 3 2 2" xfId="16129" xr:uid="{00000000-0005-0000-0000-000014630000}"/>
    <cellStyle name="Note 6 4 3 2 2 2" xfId="39971" xr:uid="{13395481-AF97-4D9C-A7C1-2EE84AC49D85}"/>
    <cellStyle name="Note 6 4 3 2 3" xfId="24075" xr:uid="{00000000-0005-0000-0000-000015630000}"/>
    <cellStyle name="Note 6 4 3 2 3 2" xfId="47907" xr:uid="{8005C952-7E8F-4AFE-9465-9FFD99CF6784}"/>
    <cellStyle name="Note 6 4 3 2 4" xfId="32030" xr:uid="{EC786CAB-55BF-41FA-98D4-B860F16E1370}"/>
    <cellStyle name="Note 6 4 3 3" xfId="12591" xr:uid="{00000000-0005-0000-0000-000016630000}"/>
    <cellStyle name="Note 6 4 3 3 2" xfId="36440" xr:uid="{1E7A1F1A-79D9-4522-8927-23DB0461E70A}"/>
    <cellStyle name="Note 6 4 3 4" xfId="20546" xr:uid="{00000000-0005-0000-0000-000017630000}"/>
    <cellStyle name="Note 6 4 3 4 2" xfId="44378" xr:uid="{A43E6B62-E27C-43DD-86C3-7CC132A8A8D8}"/>
    <cellStyle name="Note 6 4 3 5" xfId="28499" xr:uid="{A06A6B39-B68F-48D1-8F55-CF1FF2992E8F}"/>
    <cellStyle name="Note 6 4 4" xfId="6399" xr:uid="{00000000-0005-0000-0000-000018630000}"/>
    <cellStyle name="Note 6 4 4 2" xfId="14371" xr:uid="{00000000-0005-0000-0000-000019630000}"/>
    <cellStyle name="Note 6 4 4 2 2" xfId="38213" xr:uid="{B3270BA5-F579-4F2C-967A-36FC48E8BC78}"/>
    <cellStyle name="Note 6 4 4 3" xfId="22318" xr:uid="{00000000-0005-0000-0000-00001A630000}"/>
    <cellStyle name="Note 6 4 4 3 2" xfId="46150" xr:uid="{F20D3B6E-61A4-4CCC-9D51-7738E6F03DAB}"/>
    <cellStyle name="Note 6 4 4 4" xfId="30272" xr:uid="{75FAF15E-3CA1-4290-B245-E466A3293363}"/>
    <cellStyle name="Note 6 4 5" xfId="9939" xr:uid="{00000000-0005-0000-0000-00001B630000}"/>
    <cellStyle name="Note 6 4 5 2" xfId="17897" xr:uid="{00000000-0005-0000-0000-00001C630000}"/>
    <cellStyle name="Note 6 4 5 2 2" xfId="41737" xr:uid="{FD0923B0-6673-4AFE-B3D3-9D37E31FBFCA}"/>
    <cellStyle name="Note 6 4 5 3" xfId="25841" xr:uid="{00000000-0005-0000-0000-00001D630000}"/>
    <cellStyle name="Note 6 4 5 3 2" xfId="49673" xr:uid="{8990D589-111B-4E98-BBEA-E26C90E62E67}"/>
    <cellStyle name="Note 6 4 5 4" xfId="33796" xr:uid="{D01DFB28-DD7B-4C32-B64D-FF12882D8BD1}"/>
    <cellStyle name="Note 6 4 6" xfId="10835" xr:uid="{00000000-0005-0000-0000-00001E630000}"/>
    <cellStyle name="Note 6 4 6 2" xfId="34684" xr:uid="{8DA5BAC2-AE1E-4968-8017-8F0FE083C128}"/>
    <cellStyle name="Note 6 4 7" xfId="18790" xr:uid="{00000000-0005-0000-0000-00001F630000}"/>
    <cellStyle name="Note 6 4 7 2" xfId="42622" xr:uid="{95C15FD6-7F01-484E-A211-5E11FE350B82}"/>
    <cellStyle name="Note 6 4 8" xfId="26742" xr:uid="{F06DC647-41BF-4892-ABA2-7934F224370F}"/>
    <cellStyle name="Note 6 4_Exh G" xfId="3656" xr:uid="{00000000-0005-0000-0000-000020630000}"/>
    <cellStyle name="Note 6 5" xfId="1745" xr:uid="{00000000-0005-0000-0000-000021630000}"/>
    <cellStyle name="Note 6 5 2" xfId="5272" xr:uid="{00000000-0005-0000-0000-000022630000}"/>
    <cellStyle name="Note 6 5 2 2" xfId="8863" xr:uid="{00000000-0005-0000-0000-000023630000}"/>
    <cellStyle name="Note 6 5 2 2 2" xfId="16833" xr:uid="{00000000-0005-0000-0000-000024630000}"/>
    <cellStyle name="Note 6 5 2 2 2 2" xfId="40675" xr:uid="{A48B0D6F-8402-4E52-89CA-D126EE256B82}"/>
    <cellStyle name="Note 6 5 2 2 3" xfId="24779" xr:uid="{00000000-0005-0000-0000-000025630000}"/>
    <cellStyle name="Note 6 5 2 2 3 2" xfId="48611" xr:uid="{ABABB5AF-9176-48AE-B299-F0F51685A161}"/>
    <cellStyle name="Note 6 5 2 2 4" xfId="32734" xr:uid="{28C09D12-0331-4248-9A11-C9B21632D65E}"/>
    <cellStyle name="Note 6 5 2 3" xfId="13295" xr:uid="{00000000-0005-0000-0000-000026630000}"/>
    <cellStyle name="Note 6 5 2 3 2" xfId="37144" xr:uid="{14C8F0AA-5CAA-424D-B78E-F4F775F03CE4}"/>
    <cellStyle name="Note 6 5 2 4" xfId="21250" xr:uid="{00000000-0005-0000-0000-000027630000}"/>
    <cellStyle name="Note 6 5 2 4 2" xfId="45082" xr:uid="{A77AB754-2711-4124-AE20-80273AA0F372}"/>
    <cellStyle name="Note 6 5 2 5" xfId="29203" xr:uid="{A1CA344F-816D-459E-81D4-7F44F22160B8}"/>
    <cellStyle name="Note 6 5 3" xfId="7104" xr:uid="{00000000-0005-0000-0000-000028630000}"/>
    <cellStyle name="Note 6 5 3 2" xfId="15075" xr:uid="{00000000-0005-0000-0000-000029630000}"/>
    <cellStyle name="Note 6 5 3 2 2" xfId="38917" xr:uid="{EB353DD3-00DC-4654-9076-EF3518C38C33}"/>
    <cellStyle name="Note 6 5 3 3" xfId="23022" xr:uid="{00000000-0005-0000-0000-00002A630000}"/>
    <cellStyle name="Note 6 5 3 3 2" xfId="46854" xr:uid="{3E2ED0D7-FB58-4A7F-BFC9-AA0816E7BA40}"/>
    <cellStyle name="Note 6 5 3 4" xfId="30976" xr:uid="{45C35445-9D84-4499-8ED0-D3CA13D61417}"/>
    <cellStyle name="Note 6 5 4" xfId="11539" xr:uid="{00000000-0005-0000-0000-00002B630000}"/>
    <cellStyle name="Note 6 5 4 2" xfId="35388" xr:uid="{4A57FCAB-2D37-4BED-8B4A-FC3FB0BC7F28}"/>
    <cellStyle name="Note 6 5 5" xfId="19494" xr:uid="{00000000-0005-0000-0000-00002C630000}"/>
    <cellStyle name="Note 6 5 5 2" xfId="43326" xr:uid="{A37BCA2D-1D26-4411-9C93-40A90211139A}"/>
    <cellStyle name="Note 6 5 6" xfId="27446" xr:uid="{F631EB3F-6FDB-456E-84AE-224577F33C66}"/>
    <cellStyle name="Note 6 5_Exh G" xfId="3658" xr:uid="{00000000-0005-0000-0000-00002D630000}"/>
    <cellStyle name="Note 6 6" xfId="4393" xr:uid="{00000000-0005-0000-0000-00002E630000}"/>
    <cellStyle name="Note 6 6 2" xfId="7985" xr:uid="{00000000-0005-0000-0000-00002F630000}"/>
    <cellStyle name="Note 6 6 2 2" xfId="15955" xr:uid="{00000000-0005-0000-0000-000030630000}"/>
    <cellStyle name="Note 6 6 2 2 2" xfId="39797" xr:uid="{4C711336-FD84-4F43-AAB3-BC088F9C5AD3}"/>
    <cellStyle name="Note 6 6 2 3" xfId="23901" xr:uid="{00000000-0005-0000-0000-000031630000}"/>
    <cellStyle name="Note 6 6 2 3 2" xfId="47733" xr:uid="{9EACFD37-1877-4500-BFF3-C129C552D14F}"/>
    <cellStyle name="Note 6 6 2 4" xfId="31856" xr:uid="{54AAE579-295F-4C5B-83F1-466BA46D6EFE}"/>
    <cellStyle name="Note 6 6 3" xfId="12417" xr:uid="{00000000-0005-0000-0000-000032630000}"/>
    <cellStyle name="Note 6 6 3 2" xfId="36266" xr:uid="{227FB8B1-32A7-4A0B-9E89-E42D9199BE3F}"/>
    <cellStyle name="Note 6 6 4" xfId="20372" xr:uid="{00000000-0005-0000-0000-000033630000}"/>
    <cellStyle name="Note 6 6 4 2" xfId="44204" xr:uid="{756F0496-45AF-48F3-A909-55B6465408BA}"/>
    <cellStyle name="Note 6 6 5" xfId="28325" xr:uid="{5734E952-6F92-4368-9737-464F2374440C}"/>
    <cellStyle name="Note 6 7" xfId="6213" xr:uid="{00000000-0005-0000-0000-000034630000}"/>
    <cellStyle name="Note 6 7 2" xfId="14196" xr:uid="{00000000-0005-0000-0000-000035630000}"/>
    <cellStyle name="Note 6 7 2 2" xfId="38039" xr:uid="{DB2B1185-8C1B-4453-A560-4EAAA263B80D}"/>
    <cellStyle name="Note 6 7 3" xfId="22144" xr:uid="{00000000-0005-0000-0000-000036630000}"/>
    <cellStyle name="Note 6 7 3 2" xfId="45976" xr:uid="{39E2BF80-1CA4-4131-840E-21FF79AB64EA}"/>
    <cellStyle name="Note 6 7 4" xfId="30098" xr:uid="{00360398-DA9E-4A1F-A94E-27E9152E0A1F}"/>
    <cellStyle name="Note 6 8" xfId="9765" xr:uid="{00000000-0005-0000-0000-000037630000}"/>
    <cellStyle name="Note 6 8 2" xfId="17723" xr:uid="{00000000-0005-0000-0000-000038630000}"/>
    <cellStyle name="Note 6 8 2 2" xfId="41563" xr:uid="{80D0573E-8EB8-4EA5-9A1A-C872C8CBDACF}"/>
    <cellStyle name="Note 6 8 3" xfId="25667" xr:uid="{00000000-0005-0000-0000-000039630000}"/>
    <cellStyle name="Note 6 8 3 2" xfId="49499" xr:uid="{99DB2541-5F35-4717-AEC6-4329D3EE3F83}"/>
    <cellStyle name="Note 6 8 4" xfId="33622" xr:uid="{EF35199E-B284-4DB3-8548-77E8E7365C1B}"/>
    <cellStyle name="Note 6 9" xfId="10661" xr:uid="{00000000-0005-0000-0000-00003A630000}"/>
    <cellStyle name="Note 6 9 2" xfId="34510" xr:uid="{A32B5139-EAA9-43C2-B1A9-0BB0C0CB537D}"/>
    <cellStyle name="Note 6_Exh G" xfId="3649" xr:uid="{00000000-0005-0000-0000-00003B630000}"/>
    <cellStyle name="Note 7" xfId="723" xr:uid="{00000000-0005-0000-0000-00003C630000}"/>
    <cellStyle name="Note 7 10" xfId="18620" xr:uid="{00000000-0005-0000-0000-00003D630000}"/>
    <cellStyle name="Note 7 10 2" xfId="42452" xr:uid="{37C19CA8-FA63-4D83-A7F1-8519BB2948EF}"/>
    <cellStyle name="Note 7 11" xfId="26572" xr:uid="{58EECAC3-9365-445D-9BAE-2D41EC247AD6}"/>
    <cellStyle name="Note 7 2" xfId="724" xr:uid="{00000000-0005-0000-0000-00003E630000}"/>
    <cellStyle name="Note 7 2 2" xfId="725" xr:uid="{00000000-0005-0000-0000-00003F630000}"/>
    <cellStyle name="Note 7 2 2 2" xfId="1751" xr:uid="{00000000-0005-0000-0000-000040630000}"/>
    <cellStyle name="Note 7 2 2 2 2" xfId="5278" xr:uid="{00000000-0005-0000-0000-000041630000}"/>
    <cellStyle name="Note 7 2 2 2 2 2" xfId="8869" xr:uid="{00000000-0005-0000-0000-000042630000}"/>
    <cellStyle name="Note 7 2 2 2 2 2 2" xfId="16839" xr:uid="{00000000-0005-0000-0000-000043630000}"/>
    <cellStyle name="Note 7 2 2 2 2 2 2 2" xfId="40681" xr:uid="{765F0807-D078-4E39-8627-94FE011E8B7F}"/>
    <cellStyle name="Note 7 2 2 2 2 2 3" xfId="24785" xr:uid="{00000000-0005-0000-0000-000044630000}"/>
    <cellStyle name="Note 7 2 2 2 2 2 3 2" xfId="48617" xr:uid="{B7028E86-6A96-4498-860D-4898D62B7EBF}"/>
    <cellStyle name="Note 7 2 2 2 2 2 4" xfId="32740" xr:uid="{A07B7C47-DD4B-4A67-B67A-1D0F1C8088F6}"/>
    <cellStyle name="Note 7 2 2 2 2 3" xfId="13301" xr:uid="{00000000-0005-0000-0000-000045630000}"/>
    <cellStyle name="Note 7 2 2 2 2 3 2" xfId="37150" xr:uid="{DD74694B-D551-4D1A-BE48-BCA274034C30}"/>
    <cellStyle name="Note 7 2 2 2 2 4" xfId="21256" xr:uid="{00000000-0005-0000-0000-000046630000}"/>
    <cellStyle name="Note 7 2 2 2 2 4 2" xfId="45088" xr:uid="{EB97868B-7C1D-4DE1-8539-859C92C3FDCC}"/>
    <cellStyle name="Note 7 2 2 2 2 5" xfId="29209" xr:uid="{92464023-F81D-46F6-807A-DF6CE992F00D}"/>
    <cellStyle name="Note 7 2 2 2 3" xfId="7110" xr:uid="{00000000-0005-0000-0000-000047630000}"/>
    <cellStyle name="Note 7 2 2 2 3 2" xfId="15081" xr:uid="{00000000-0005-0000-0000-000048630000}"/>
    <cellStyle name="Note 7 2 2 2 3 2 2" xfId="38923" xr:uid="{F01DDC00-6D2A-4AA5-B38C-A70E61FB26BE}"/>
    <cellStyle name="Note 7 2 2 2 3 3" xfId="23028" xr:uid="{00000000-0005-0000-0000-000049630000}"/>
    <cellStyle name="Note 7 2 2 2 3 3 2" xfId="46860" xr:uid="{73CCA1C0-83CF-430C-AE0D-2592761876B3}"/>
    <cellStyle name="Note 7 2 2 2 3 4" xfId="30982" xr:uid="{2610BB79-D206-4588-A7F8-412F40E0A458}"/>
    <cellStyle name="Note 7 2 2 2 4" xfId="11545" xr:uid="{00000000-0005-0000-0000-00004A630000}"/>
    <cellStyle name="Note 7 2 2 2 4 2" xfId="35394" xr:uid="{6BAD975C-91FB-4CD5-9600-D54F14388C80}"/>
    <cellStyle name="Note 7 2 2 2 5" xfId="19500" xr:uid="{00000000-0005-0000-0000-00004B630000}"/>
    <cellStyle name="Note 7 2 2 2 5 2" xfId="43332" xr:uid="{AFB972D3-0E8F-43FF-BB1F-43DF91808CF9}"/>
    <cellStyle name="Note 7 2 2 2 6" xfId="27452" xr:uid="{FCC2FE9E-D76D-45F7-8950-CE3D64E05FBB}"/>
    <cellStyle name="Note 7 2 2 2_Exh G" xfId="3662" xr:uid="{00000000-0005-0000-0000-00004C630000}"/>
    <cellStyle name="Note 7 2 2 3" xfId="4399" xr:uid="{00000000-0005-0000-0000-00004D630000}"/>
    <cellStyle name="Note 7 2 2 3 2" xfId="7991" xr:uid="{00000000-0005-0000-0000-00004E630000}"/>
    <cellStyle name="Note 7 2 2 3 2 2" xfId="15961" xr:uid="{00000000-0005-0000-0000-00004F630000}"/>
    <cellStyle name="Note 7 2 2 3 2 2 2" xfId="39803" xr:uid="{CA15BBF0-F8B3-41CB-9510-83838AAF53C7}"/>
    <cellStyle name="Note 7 2 2 3 2 3" xfId="23907" xr:uid="{00000000-0005-0000-0000-000050630000}"/>
    <cellStyle name="Note 7 2 2 3 2 3 2" xfId="47739" xr:uid="{49DBBEA4-01AE-412A-BE1C-ED054EC8AF5D}"/>
    <cellStyle name="Note 7 2 2 3 2 4" xfId="31862" xr:uid="{061348FB-82E8-402A-8855-41259213FD23}"/>
    <cellStyle name="Note 7 2 2 3 3" xfId="12423" xr:uid="{00000000-0005-0000-0000-000051630000}"/>
    <cellStyle name="Note 7 2 2 3 3 2" xfId="36272" xr:uid="{97EE7B30-F1D3-49A7-8E31-B2E984BC993B}"/>
    <cellStyle name="Note 7 2 2 3 4" xfId="20378" xr:uid="{00000000-0005-0000-0000-000052630000}"/>
    <cellStyle name="Note 7 2 2 3 4 2" xfId="44210" xr:uid="{AC815131-9236-436C-B69D-C14888E81B97}"/>
    <cellStyle name="Note 7 2 2 3 5" xfId="28331" xr:uid="{C2799515-4EC9-44E9-83CB-25872772673A}"/>
    <cellStyle name="Note 7 2 2 4" xfId="6219" xr:uid="{00000000-0005-0000-0000-000053630000}"/>
    <cellStyle name="Note 7 2 2 4 2" xfId="14202" xr:uid="{00000000-0005-0000-0000-000054630000}"/>
    <cellStyle name="Note 7 2 2 4 2 2" xfId="38045" xr:uid="{FEC7D2B9-CBF1-41CA-83E6-3AB1AC85F0CA}"/>
    <cellStyle name="Note 7 2 2 4 3" xfId="22150" xr:uid="{00000000-0005-0000-0000-000055630000}"/>
    <cellStyle name="Note 7 2 2 4 3 2" xfId="45982" xr:uid="{3A5D0FE5-23DA-4713-BC0A-B687EE858A2A}"/>
    <cellStyle name="Note 7 2 2 4 4" xfId="30104" xr:uid="{873440D6-3AE6-4123-AAD8-72C1F252F9B3}"/>
    <cellStyle name="Note 7 2 2 5" xfId="9771" xr:uid="{00000000-0005-0000-0000-000056630000}"/>
    <cellStyle name="Note 7 2 2 5 2" xfId="17729" xr:uid="{00000000-0005-0000-0000-000057630000}"/>
    <cellStyle name="Note 7 2 2 5 2 2" xfId="41569" xr:uid="{4313F135-7296-4FA5-8956-2C2B9279655B}"/>
    <cellStyle name="Note 7 2 2 5 3" xfId="25673" xr:uid="{00000000-0005-0000-0000-000058630000}"/>
    <cellStyle name="Note 7 2 2 5 3 2" xfId="49505" xr:uid="{B126BF9D-6895-47BE-9298-8F166B33AC47}"/>
    <cellStyle name="Note 7 2 2 5 4" xfId="33628" xr:uid="{3CFED1FC-61CF-4201-B8FC-7035CF5AFBB8}"/>
    <cellStyle name="Note 7 2 2 6" xfId="10667" xr:uid="{00000000-0005-0000-0000-000059630000}"/>
    <cellStyle name="Note 7 2 2 6 2" xfId="34516" xr:uid="{F9B95CEE-A797-4C4A-892A-89BE6CDA63DA}"/>
    <cellStyle name="Note 7 2 2 7" xfId="18622" xr:uid="{00000000-0005-0000-0000-00005A630000}"/>
    <cellStyle name="Note 7 2 2 7 2" xfId="42454" xr:uid="{08F348B3-954D-456E-A15F-BB8B41A138B0}"/>
    <cellStyle name="Note 7 2 2 8" xfId="26574" xr:uid="{DEC4EA2E-5294-48B5-9DC7-556B5A5D3844}"/>
    <cellStyle name="Note 7 2 2_Exh G" xfId="3661" xr:uid="{00000000-0005-0000-0000-00005B630000}"/>
    <cellStyle name="Note 7 2 3" xfId="1750" xr:uid="{00000000-0005-0000-0000-00005C630000}"/>
    <cellStyle name="Note 7 2 3 2" xfId="5277" xr:uid="{00000000-0005-0000-0000-00005D630000}"/>
    <cellStyle name="Note 7 2 3 2 2" xfId="8868" xr:uid="{00000000-0005-0000-0000-00005E630000}"/>
    <cellStyle name="Note 7 2 3 2 2 2" xfId="16838" xr:uid="{00000000-0005-0000-0000-00005F630000}"/>
    <cellStyle name="Note 7 2 3 2 2 2 2" xfId="40680" xr:uid="{592B8260-3831-4E11-A30F-32706335D5C0}"/>
    <cellStyle name="Note 7 2 3 2 2 3" xfId="24784" xr:uid="{00000000-0005-0000-0000-000060630000}"/>
    <cellStyle name="Note 7 2 3 2 2 3 2" xfId="48616" xr:uid="{F58B9BC5-634F-4A92-987F-4D02035B5E4A}"/>
    <cellStyle name="Note 7 2 3 2 2 4" xfId="32739" xr:uid="{332C6730-A12F-42E0-8012-EAEEE6603618}"/>
    <cellStyle name="Note 7 2 3 2 3" xfId="13300" xr:uid="{00000000-0005-0000-0000-000061630000}"/>
    <cellStyle name="Note 7 2 3 2 3 2" xfId="37149" xr:uid="{1AAB50E8-4F60-43E7-942D-3DC187CD0576}"/>
    <cellStyle name="Note 7 2 3 2 4" xfId="21255" xr:uid="{00000000-0005-0000-0000-000062630000}"/>
    <cellStyle name="Note 7 2 3 2 4 2" xfId="45087" xr:uid="{360985C1-613E-4FE2-AF6C-1EF609E61D66}"/>
    <cellStyle name="Note 7 2 3 2 5" xfId="29208" xr:uid="{7DB66ACC-700A-4426-A7A2-B083DD1D0346}"/>
    <cellStyle name="Note 7 2 3 3" xfId="7109" xr:uid="{00000000-0005-0000-0000-000063630000}"/>
    <cellStyle name="Note 7 2 3 3 2" xfId="15080" xr:uid="{00000000-0005-0000-0000-000064630000}"/>
    <cellStyle name="Note 7 2 3 3 2 2" xfId="38922" xr:uid="{7C0A05AB-5637-4075-A65D-60214868D5C0}"/>
    <cellStyle name="Note 7 2 3 3 3" xfId="23027" xr:uid="{00000000-0005-0000-0000-000065630000}"/>
    <cellStyle name="Note 7 2 3 3 3 2" xfId="46859" xr:uid="{CB079F5E-8225-4844-8E52-5ABF4CEFB9C5}"/>
    <cellStyle name="Note 7 2 3 3 4" xfId="30981" xr:uid="{61ABD42B-A9D2-48D9-BF8A-6C9A8F8A41DF}"/>
    <cellStyle name="Note 7 2 3 4" xfId="11544" xr:uid="{00000000-0005-0000-0000-000066630000}"/>
    <cellStyle name="Note 7 2 3 4 2" xfId="35393" xr:uid="{2DE4D065-9EC0-48D5-A314-8C33EDA23ECD}"/>
    <cellStyle name="Note 7 2 3 5" xfId="19499" xr:uid="{00000000-0005-0000-0000-000067630000}"/>
    <cellStyle name="Note 7 2 3 5 2" xfId="43331" xr:uid="{0D55A4C8-8E0D-4999-B524-E05431B570D0}"/>
    <cellStyle name="Note 7 2 3 6" xfId="27451" xr:uid="{CB2D4B63-AC96-447B-A2C7-0E166C26502C}"/>
    <cellStyle name="Note 7 2 3_Exh G" xfId="3663" xr:uid="{00000000-0005-0000-0000-000068630000}"/>
    <cellStyle name="Note 7 2 4" xfId="4398" xr:uid="{00000000-0005-0000-0000-000069630000}"/>
    <cellStyle name="Note 7 2 4 2" xfId="7990" xr:uid="{00000000-0005-0000-0000-00006A630000}"/>
    <cellStyle name="Note 7 2 4 2 2" xfId="15960" xr:uid="{00000000-0005-0000-0000-00006B630000}"/>
    <cellStyle name="Note 7 2 4 2 2 2" xfId="39802" xr:uid="{ADC97A64-D66A-43F3-BECB-BF87F74F5FCD}"/>
    <cellStyle name="Note 7 2 4 2 3" xfId="23906" xr:uid="{00000000-0005-0000-0000-00006C630000}"/>
    <cellStyle name="Note 7 2 4 2 3 2" xfId="47738" xr:uid="{4DDD1366-794F-4AAD-B4B3-074325C8CE07}"/>
    <cellStyle name="Note 7 2 4 2 4" xfId="31861" xr:uid="{974E908F-7298-4733-BB26-1AAC712FC7C6}"/>
    <cellStyle name="Note 7 2 4 3" xfId="12422" xr:uid="{00000000-0005-0000-0000-00006D630000}"/>
    <cellStyle name="Note 7 2 4 3 2" xfId="36271" xr:uid="{2B932B72-B66A-461B-A177-D2233A3ECA7C}"/>
    <cellStyle name="Note 7 2 4 4" xfId="20377" xr:uid="{00000000-0005-0000-0000-00006E630000}"/>
    <cellStyle name="Note 7 2 4 4 2" xfId="44209" xr:uid="{AE8E4935-4C4A-42AA-A12F-8BFE5E6D90B2}"/>
    <cellStyle name="Note 7 2 4 5" xfId="28330" xr:uid="{8F39E04A-9CE4-4BF0-B88C-BC28B6F2C82C}"/>
    <cellStyle name="Note 7 2 5" xfId="6218" xr:uid="{00000000-0005-0000-0000-00006F630000}"/>
    <cellStyle name="Note 7 2 5 2" xfId="14201" xr:uid="{00000000-0005-0000-0000-000070630000}"/>
    <cellStyle name="Note 7 2 5 2 2" xfId="38044" xr:uid="{3D16AFAA-D331-416F-9382-8CE45BE64863}"/>
    <cellStyle name="Note 7 2 5 3" xfId="22149" xr:uid="{00000000-0005-0000-0000-000071630000}"/>
    <cellStyle name="Note 7 2 5 3 2" xfId="45981" xr:uid="{02C321A9-2373-41D7-9572-6DA35088EBC8}"/>
    <cellStyle name="Note 7 2 5 4" xfId="30103" xr:uid="{F0F64EE7-A89A-4EE6-ABF9-E74FBB8B00CD}"/>
    <cellStyle name="Note 7 2 6" xfId="9770" xr:uid="{00000000-0005-0000-0000-000072630000}"/>
    <cellStyle name="Note 7 2 6 2" xfId="17728" xr:uid="{00000000-0005-0000-0000-000073630000}"/>
    <cellStyle name="Note 7 2 6 2 2" xfId="41568" xr:uid="{D6A07E71-BCBD-4CF5-B74F-DAD1E3B97E41}"/>
    <cellStyle name="Note 7 2 6 3" xfId="25672" xr:uid="{00000000-0005-0000-0000-000074630000}"/>
    <cellStyle name="Note 7 2 6 3 2" xfId="49504" xr:uid="{202BECFF-857A-40EC-9318-2BDA9FD8E3F3}"/>
    <cellStyle name="Note 7 2 6 4" xfId="33627" xr:uid="{A1391F5C-D3DD-4DDA-B1B7-FD689F20E9E2}"/>
    <cellStyle name="Note 7 2 7" xfId="10666" xr:uid="{00000000-0005-0000-0000-000075630000}"/>
    <cellStyle name="Note 7 2 7 2" xfId="34515" xr:uid="{39FE35A0-6255-492A-8A2B-D196747E36C3}"/>
    <cellStyle name="Note 7 2 8" xfId="18621" xr:uid="{00000000-0005-0000-0000-000076630000}"/>
    <cellStyle name="Note 7 2 8 2" xfId="42453" xr:uid="{FEC1E762-B1A3-4D6A-B9AD-6DDD60672BE3}"/>
    <cellStyle name="Note 7 2 9" xfId="26573" xr:uid="{AB2C0C38-3306-4964-9BF3-8494D17F4A3B}"/>
    <cellStyle name="Note 7 2_Exh G" xfId="3660" xr:uid="{00000000-0005-0000-0000-000077630000}"/>
    <cellStyle name="Note 7 3" xfId="726" xr:uid="{00000000-0005-0000-0000-000078630000}"/>
    <cellStyle name="Note 7 3 2" xfId="1752" xr:uid="{00000000-0005-0000-0000-000079630000}"/>
    <cellStyle name="Note 7 3 2 2" xfId="5279" xr:uid="{00000000-0005-0000-0000-00007A630000}"/>
    <cellStyle name="Note 7 3 2 2 2" xfId="8870" xr:uid="{00000000-0005-0000-0000-00007B630000}"/>
    <cellStyle name="Note 7 3 2 2 2 2" xfId="16840" xr:uid="{00000000-0005-0000-0000-00007C630000}"/>
    <cellStyle name="Note 7 3 2 2 2 2 2" xfId="40682" xr:uid="{F5582F72-1876-4C57-B53E-B7D8FD183B05}"/>
    <cellStyle name="Note 7 3 2 2 2 3" xfId="24786" xr:uid="{00000000-0005-0000-0000-00007D630000}"/>
    <cellStyle name="Note 7 3 2 2 2 3 2" xfId="48618" xr:uid="{6628D03F-6554-42C9-A876-CF6710B17F64}"/>
    <cellStyle name="Note 7 3 2 2 2 4" xfId="32741" xr:uid="{76A14E6B-2733-4132-9D53-85ABF4877D34}"/>
    <cellStyle name="Note 7 3 2 2 3" xfId="13302" xr:uid="{00000000-0005-0000-0000-00007E630000}"/>
    <cellStyle name="Note 7 3 2 2 3 2" xfId="37151" xr:uid="{CC4BA355-BA1B-4543-9FB6-77EBE407B33B}"/>
    <cellStyle name="Note 7 3 2 2 4" xfId="21257" xr:uid="{00000000-0005-0000-0000-00007F630000}"/>
    <cellStyle name="Note 7 3 2 2 4 2" xfId="45089" xr:uid="{BCC86D99-31E9-4A08-880A-F9A2E6F61430}"/>
    <cellStyle name="Note 7 3 2 2 5" xfId="29210" xr:uid="{2AC9386F-C904-4E9E-A3AA-55089DA1AF11}"/>
    <cellStyle name="Note 7 3 2 3" xfId="7111" xr:uid="{00000000-0005-0000-0000-000080630000}"/>
    <cellStyle name="Note 7 3 2 3 2" xfId="15082" xr:uid="{00000000-0005-0000-0000-000081630000}"/>
    <cellStyle name="Note 7 3 2 3 2 2" xfId="38924" xr:uid="{E2FF6A83-44D8-4181-A415-D39D2A0CB011}"/>
    <cellStyle name="Note 7 3 2 3 3" xfId="23029" xr:uid="{00000000-0005-0000-0000-000082630000}"/>
    <cellStyle name="Note 7 3 2 3 3 2" xfId="46861" xr:uid="{CDED8B1F-91A6-4848-B50B-990DFDB92137}"/>
    <cellStyle name="Note 7 3 2 3 4" xfId="30983" xr:uid="{006C555D-A970-4C58-BF74-352F3F95A241}"/>
    <cellStyle name="Note 7 3 2 4" xfId="11546" xr:uid="{00000000-0005-0000-0000-000083630000}"/>
    <cellStyle name="Note 7 3 2 4 2" xfId="35395" xr:uid="{F517FF5F-12BF-4FE3-BC18-A44A35CF6E68}"/>
    <cellStyle name="Note 7 3 2 5" xfId="19501" xr:uid="{00000000-0005-0000-0000-000084630000}"/>
    <cellStyle name="Note 7 3 2 5 2" xfId="43333" xr:uid="{C03B754D-D1DA-4EB4-B320-E289B8E3C745}"/>
    <cellStyle name="Note 7 3 2 6" xfId="27453" xr:uid="{3CCC7F24-3B61-4C08-A4CF-8F1F4425FE56}"/>
    <cellStyle name="Note 7 3 2_Exh G" xfId="3665" xr:uid="{00000000-0005-0000-0000-000085630000}"/>
    <cellStyle name="Note 7 3 3" xfId="4400" xr:uid="{00000000-0005-0000-0000-000086630000}"/>
    <cellStyle name="Note 7 3 3 2" xfId="7992" xr:uid="{00000000-0005-0000-0000-000087630000}"/>
    <cellStyle name="Note 7 3 3 2 2" xfId="15962" xr:uid="{00000000-0005-0000-0000-000088630000}"/>
    <cellStyle name="Note 7 3 3 2 2 2" xfId="39804" xr:uid="{B8020F76-848B-4FE2-9398-24B83C2E74F3}"/>
    <cellStyle name="Note 7 3 3 2 3" xfId="23908" xr:uid="{00000000-0005-0000-0000-000089630000}"/>
    <cellStyle name="Note 7 3 3 2 3 2" xfId="47740" xr:uid="{EB3DFB58-56FC-4755-9612-76933599936F}"/>
    <cellStyle name="Note 7 3 3 2 4" xfId="31863" xr:uid="{C9C80FA5-ECA2-41C4-A351-8618134F2372}"/>
    <cellStyle name="Note 7 3 3 3" xfId="12424" xr:uid="{00000000-0005-0000-0000-00008A630000}"/>
    <cellStyle name="Note 7 3 3 3 2" xfId="36273" xr:uid="{A14AAA62-2003-4549-90D2-8FDE0A305504}"/>
    <cellStyle name="Note 7 3 3 4" xfId="20379" xr:uid="{00000000-0005-0000-0000-00008B630000}"/>
    <cellStyle name="Note 7 3 3 4 2" xfId="44211" xr:uid="{C0214B57-347D-46A3-9A7D-1068ADEC626A}"/>
    <cellStyle name="Note 7 3 3 5" xfId="28332" xr:uid="{2D5CA383-7D78-4F2D-B700-B926E09A5566}"/>
    <cellStyle name="Note 7 3 4" xfId="6220" xr:uid="{00000000-0005-0000-0000-00008C630000}"/>
    <cellStyle name="Note 7 3 4 2" xfId="14203" xr:uid="{00000000-0005-0000-0000-00008D630000}"/>
    <cellStyle name="Note 7 3 4 2 2" xfId="38046" xr:uid="{71437BC4-6699-416B-9173-969B11E4D706}"/>
    <cellStyle name="Note 7 3 4 3" xfId="22151" xr:uid="{00000000-0005-0000-0000-00008E630000}"/>
    <cellStyle name="Note 7 3 4 3 2" xfId="45983" xr:uid="{49B2FE65-2D3F-488B-81BD-D7729D2D7C31}"/>
    <cellStyle name="Note 7 3 4 4" xfId="30105" xr:uid="{298B3010-763E-40EA-90D9-C9F19A616D34}"/>
    <cellStyle name="Note 7 3 5" xfId="9772" xr:uid="{00000000-0005-0000-0000-00008F630000}"/>
    <cellStyle name="Note 7 3 5 2" xfId="17730" xr:uid="{00000000-0005-0000-0000-000090630000}"/>
    <cellStyle name="Note 7 3 5 2 2" xfId="41570" xr:uid="{D11640CC-F07F-4ACD-B2A5-4DB0C80E4BF9}"/>
    <cellStyle name="Note 7 3 5 3" xfId="25674" xr:uid="{00000000-0005-0000-0000-000091630000}"/>
    <cellStyle name="Note 7 3 5 3 2" xfId="49506" xr:uid="{FAFD66A5-04E8-4C98-90F7-DDA074E0A7C6}"/>
    <cellStyle name="Note 7 3 5 4" xfId="33629" xr:uid="{FD1D3E1C-7671-4CC3-9AFA-FAB1F5043F93}"/>
    <cellStyle name="Note 7 3 6" xfId="10668" xr:uid="{00000000-0005-0000-0000-000092630000}"/>
    <cellStyle name="Note 7 3 6 2" xfId="34517" xr:uid="{B2C4B0CD-C38E-41D9-9C43-8C716033C847}"/>
    <cellStyle name="Note 7 3 7" xfId="18623" xr:uid="{00000000-0005-0000-0000-000093630000}"/>
    <cellStyle name="Note 7 3 7 2" xfId="42455" xr:uid="{3B0B6630-B3A4-4990-8FC9-C5C42AD08FDD}"/>
    <cellStyle name="Note 7 3 8" xfId="26575" xr:uid="{BB357ED6-BD3D-4C26-B60B-3F7DA351A6BA}"/>
    <cellStyle name="Note 7 3_Exh G" xfId="3664" xr:uid="{00000000-0005-0000-0000-000094630000}"/>
    <cellStyle name="Note 7 4" xfId="1035" xr:uid="{00000000-0005-0000-0000-000095630000}"/>
    <cellStyle name="Note 7 4 2" xfId="1930" xr:uid="{00000000-0005-0000-0000-000096630000}"/>
    <cellStyle name="Note 7 4 2 2" xfId="5447" xr:uid="{00000000-0005-0000-0000-000097630000}"/>
    <cellStyle name="Note 7 4 2 2 2" xfId="9038" xr:uid="{00000000-0005-0000-0000-000098630000}"/>
    <cellStyle name="Note 7 4 2 2 2 2" xfId="17008" xr:uid="{00000000-0005-0000-0000-000099630000}"/>
    <cellStyle name="Note 7 4 2 2 2 2 2" xfId="40850" xr:uid="{4B0BE7AC-9D0A-4785-BF6F-E1BC41F9E8A9}"/>
    <cellStyle name="Note 7 4 2 2 2 3" xfId="24954" xr:uid="{00000000-0005-0000-0000-00009A630000}"/>
    <cellStyle name="Note 7 4 2 2 2 3 2" xfId="48786" xr:uid="{8DA24AA4-1C2F-4EDC-897E-3DEB05FF6B64}"/>
    <cellStyle name="Note 7 4 2 2 2 4" xfId="32909" xr:uid="{608FBA51-A4A7-428D-B9A1-9CA8DE02D06D}"/>
    <cellStyle name="Note 7 4 2 2 3" xfId="13470" xr:uid="{00000000-0005-0000-0000-00009B630000}"/>
    <cellStyle name="Note 7 4 2 2 3 2" xfId="37319" xr:uid="{168EAF6F-FC69-49EA-ACEF-39479AC2AE56}"/>
    <cellStyle name="Note 7 4 2 2 4" xfId="21425" xr:uid="{00000000-0005-0000-0000-00009C630000}"/>
    <cellStyle name="Note 7 4 2 2 4 2" xfId="45257" xr:uid="{D12C7362-A983-4B77-8A2C-A9BC69DDD0A7}"/>
    <cellStyle name="Note 7 4 2 2 5" xfId="29378" xr:uid="{99DF0504-06D1-4047-A635-9658ED312417}"/>
    <cellStyle name="Note 7 4 2 3" xfId="7279" xr:uid="{00000000-0005-0000-0000-00009D630000}"/>
    <cellStyle name="Note 7 4 2 3 2" xfId="15250" xr:uid="{00000000-0005-0000-0000-00009E630000}"/>
    <cellStyle name="Note 7 4 2 3 2 2" xfId="39092" xr:uid="{4980E09C-7EFF-4CD4-B1F6-8A4E742C0DBA}"/>
    <cellStyle name="Note 7 4 2 3 3" xfId="23197" xr:uid="{00000000-0005-0000-0000-00009F630000}"/>
    <cellStyle name="Note 7 4 2 3 3 2" xfId="47029" xr:uid="{3C79AF4E-B1A1-4A7C-986A-2B5796BEE99C}"/>
    <cellStyle name="Note 7 4 2 3 4" xfId="31151" xr:uid="{9F77BD7F-0962-43DD-9E4A-E2DA20AEF22A}"/>
    <cellStyle name="Note 7 4 2 4" xfId="11714" xr:uid="{00000000-0005-0000-0000-0000A0630000}"/>
    <cellStyle name="Note 7 4 2 4 2" xfId="35563" xr:uid="{4F9DA239-E362-44B1-A639-760046ADAF18}"/>
    <cellStyle name="Note 7 4 2 5" xfId="19669" xr:uid="{00000000-0005-0000-0000-0000A1630000}"/>
    <cellStyle name="Note 7 4 2 5 2" xfId="43501" xr:uid="{80911EB7-F9D0-46D4-B34D-BCC2309A9794}"/>
    <cellStyle name="Note 7 4 2 6" xfId="27621" xr:uid="{420C4039-66F1-4845-A731-13AB1A19ACCD}"/>
    <cellStyle name="Note 7 4 2_Exh G" xfId="3667" xr:uid="{00000000-0005-0000-0000-0000A2630000}"/>
    <cellStyle name="Note 7 4 3" xfId="4568" xr:uid="{00000000-0005-0000-0000-0000A3630000}"/>
    <cellStyle name="Note 7 4 3 2" xfId="8160" xr:uid="{00000000-0005-0000-0000-0000A4630000}"/>
    <cellStyle name="Note 7 4 3 2 2" xfId="16130" xr:uid="{00000000-0005-0000-0000-0000A5630000}"/>
    <cellStyle name="Note 7 4 3 2 2 2" xfId="39972" xr:uid="{18FF64FB-9BEC-4FDF-A472-20850110097F}"/>
    <cellStyle name="Note 7 4 3 2 3" xfId="24076" xr:uid="{00000000-0005-0000-0000-0000A6630000}"/>
    <cellStyle name="Note 7 4 3 2 3 2" xfId="47908" xr:uid="{95621C49-B5E6-4278-9CB5-916F8DEE3E38}"/>
    <cellStyle name="Note 7 4 3 2 4" xfId="32031" xr:uid="{2AD4486C-067C-466A-A99B-D002C942D894}"/>
    <cellStyle name="Note 7 4 3 3" xfId="12592" xr:uid="{00000000-0005-0000-0000-0000A7630000}"/>
    <cellStyle name="Note 7 4 3 3 2" xfId="36441" xr:uid="{31F82225-1DC3-4AB7-9A83-070ADF0EBD60}"/>
    <cellStyle name="Note 7 4 3 4" xfId="20547" xr:uid="{00000000-0005-0000-0000-0000A8630000}"/>
    <cellStyle name="Note 7 4 3 4 2" xfId="44379" xr:uid="{E0AF8BC0-263D-4A37-8DAE-4EF603611932}"/>
    <cellStyle name="Note 7 4 3 5" xfId="28500" xr:uid="{06D9D1E2-B4CB-4C94-8E1F-1ED6E01EDBBA}"/>
    <cellStyle name="Note 7 4 4" xfId="6400" xr:uid="{00000000-0005-0000-0000-0000A9630000}"/>
    <cellStyle name="Note 7 4 4 2" xfId="14372" xr:uid="{00000000-0005-0000-0000-0000AA630000}"/>
    <cellStyle name="Note 7 4 4 2 2" xfId="38214" xr:uid="{7A703873-2FE0-4D60-AC0A-073B3A542800}"/>
    <cellStyle name="Note 7 4 4 3" xfId="22319" xr:uid="{00000000-0005-0000-0000-0000AB630000}"/>
    <cellStyle name="Note 7 4 4 3 2" xfId="46151" xr:uid="{C77A2D8E-04F3-4FAA-B142-764B897A15FF}"/>
    <cellStyle name="Note 7 4 4 4" xfId="30273" xr:uid="{FC004B60-6B7D-4226-B1E3-01CB6744E394}"/>
    <cellStyle name="Note 7 4 5" xfId="9940" xr:uid="{00000000-0005-0000-0000-0000AC630000}"/>
    <cellStyle name="Note 7 4 5 2" xfId="17898" xr:uid="{00000000-0005-0000-0000-0000AD630000}"/>
    <cellStyle name="Note 7 4 5 2 2" xfId="41738" xr:uid="{6A8D784A-6EF3-4BDB-B9CE-EB40C3172DF2}"/>
    <cellStyle name="Note 7 4 5 3" xfId="25842" xr:uid="{00000000-0005-0000-0000-0000AE630000}"/>
    <cellStyle name="Note 7 4 5 3 2" xfId="49674" xr:uid="{3A3F658F-C951-4CF1-967B-33D1614785FF}"/>
    <cellStyle name="Note 7 4 5 4" xfId="33797" xr:uid="{66CD39A2-EB1E-4B12-BA31-C498D09D3716}"/>
    <cellStyle name="Note 7 4 6" xfId="10836" xr:uid="{00000000-0005-0000-0000-0000AF630000}"/>
    <cellStyle name="Note 7 4 6 2" xfId="34685" xr:uid="{1AD5B30D-5FD9-4E72-8693-21EAB680EC8F}"/>
    <cellStyle name="Note 7 4 7" xfId="18791" xr:uid="{00000000-0005-0000-0000-0000B0630000}"/>
    <cellStyle name="Note 7 4 7 2" xfId="42623" xr:uid="{0F8F70C0-8DE1-46A8-9DBF-0B1060526DEB}"/>
    <cellStyle name="Note 7 4 8" xfId="26743" xr:uid="{BDDDD839-050C-4714-97A5-3E49C1CFF0E6}"/>
    <cellStyle name="Note 7 4_Exh G" xfId="3666" xr:uid="{00000000-0005-0000-0000-0000B1630000}"/>
    <cellStyle name="Note 7 5" xfId="1749" xr:uid="{00000000-0005-0000-0000-0000B2630000}"/>
    <cellStyle name="Note 7 5 2" xfId="5276" xr:uid="{00000000-0005-0000-0000-0000B3630000}"/>
    <cellStyle name="Note 7 5 2 2" xfId="8867" xr:uid="{00000000-0005-0000-0000-0000B4630000}"/>
    <cellStyle name="Note 7 5 2 2 2" xfId="16837" xr:uid="{00000000-0005-0000-0000-0000B5630000}"/>
    <cellStyle name="Note 7 5 2 2 2 2" xfId="40679" xr:uid="{42A8F110-DFB7-455A-A931-3FB690619B3B}"/>
    <cellStyle name="Note 7 5 2 2 3" xfId="24783" xr:uid="{00000000-0005-0000-0000-0000B6630000}"/>
    <cellStyle name="Note 7 5 2 2 3 2" xfId="48615" xr:uid="{A8C8C401-2BDE-4990-AD62-A92852C8DD16}"/>
    <cellStyle name="Note 7 5 2 2 4" xfId="32738" xr:uid="{3DBFB330-47AD-4326-91B2-57418C52F4F4}"/>
    <cellStyle name="Note 7 5 2 3" xfId="13299" xr:uid="{00000000-0005-0000-0000-0000B7630000}"/>
    <cellStyle name="Note 7 5 2 3 2" xfId="37148" xr:uid="{1D87D7D6-467C-4445-899E-791B8D3C5D6A}"/>
    <cellStyle name="Note 7 5 2 4" xfId="21254" xr:uid="{00000000-0005-0000-0000-0000B8630000}"/>
    <cellStyle name="Note 7 5 2 4 2" xfId="45086" xr:uid="{0DA2B26D-AC10-4B89-9CFE-5654E7FF4E01}"/>
    <cellStyle name="Note 7 5 2 5" xfId="29207" xr:uid="{D5A9E371-E7F2-4508-8073-16A6CE3B2B68}"/>
    <cellStyle name="Note 7 5 3" xfId="7108" xr:uid="{00000000-0005-0000-0000-0000B9630000}"/>
    <cellStyle name="Note 7 5 3 2" xfId="15079" xr:uid="{00000000-0005-0000-0000-0000BA630000}"/>
    <cellStyle name="Note 7 5 3 2 2" xfId="38921" xr:uid="{5AFBACAE-2F8A-427E-AC4C-9C6FD1AAE912}"/>
    <cellStyle name="Note 7 5 3 3" xfId="23026" xr:uid="{00000000-0005-0000-0000-0000BB630000}"/>
    <cellStyle name="Note 7 5 3 3 2" xfId="46858" xr:uid="{14EE3D0D-BCEA-4CFB-8A6D-CB2A1E6A94C9}"/>
    <cellStyle name="Note 7 5 3 4" xfId="30980" xr:uid="{13475C61-7F58-4289-9485-227B8F80B13E}"/>
    <cellStyle name="Note 7 5 4" xfId="11543" xr:uid="{00000000-0005-0000-0000-0000BC630000}"/>
    <cellStyle name="Note 7 5 4 2" xfId="35392" xr:uid="{1B5F9427-DC01-4FCB-A422-3B7786C9B0DA}"/>
    <cellStyle name="Note 7 5 5" xfId="19498" xr:uid="{00000000-0005-0000-0000-0000BD630000}"/>
    <cellStyle name="Note 7 5 5 2" xfId="43330" xr:uid="{341FF9A0-ADAA-4DE0-8950-DF3E3C167616}"/>
    <cellStyle name="Note 7 5 6" xfId="27450" xr:uid="{614FD2FA-E697-47E6-8027-21B0F2E60B99}"/>
    <cellStyle name="Note 7 5_Exh G" xfId="3668" xr:uid="{00000000-0005-0000-0000-0000BE630000}"/>
    <cellStyle name="Note 7 6" xfId="4397" xr:uid="{00000000-0005-0000-0000-0000BF630000}"/>
    <cellStyle name="Note 7 6 2" xfId="7989" xr:uid="{00000000-0005-0000-0000-0000C0630000}"/>
    <cellStyle name="Note 7 6 2 2" xfId="15959" xr:uid="{00000000-0005-0000-0000-0000C1630000}"/>
    <cellStyle name="Note 7 6 2 2 2" xfId="39801" xr:uid="{00792BE2-951F-4A58-8806-9D79DAE5C7E5}"/>
    <cellStyle name="Note 7 6 2 3" xfId="23905" xr:uid="{00000000-0005-0000-0000-0000C2630000}"/>
    <cellStyle name="Note 7 6 2 3 2" xfId="47737" xr:uid="{5D9B35AC-397A-43CF-9C2A-FCF77045FD00}"/>
    <cellStyle name="Note 7 6 2 4" xfId="31860" xr:uid="{74657897-4602-49DB-85D0-114D14FFE61C}"/>
    <cellStyle name="Note 7 6 3" xfId="12421" xr:uid="{00000000-0005-0000-0000-0000C3630000}"/>
    <cellStyle name="Note 7 6 3 2" xfId="36270" xr:uid="{3B49A196-35C7-470B-885B-893516EDEC7F}"/>
    <cellStyle name="Note 7 6 4" xfId="20376" xr:uid="{00000000-0005-0000-0000-0000C4630000}"/>
    <cellStyle name="Note 7 6 4 2" xfId="44208" xr:uid="{5B02F138-53ED-422F-AC53-9329408B0114}"/>
    <cellStyle name="Note 7 6 5" xfId="28329" xr:uid="{5D6CA9C2-928F-479A-B06D-633098E8CE74}"/>
    <cellStyle name="Note 7 7" xfId="6217" xr:uid="{00000000-0005-0000-0000-0000C5630000}"/>
    <cellStyle name="Note 7 7 2" xfId="14200" xr:uid="{00000000-0005-0000-0000-0000C6630000}"/>
    <cellStyle name="Note 7 7 2 2" xfId="38043" xr:uid="{437A33A1-49BA-4734-8321-B62DAEC4CB8D}"/>
    <cellStyle name="Note 7 7 3" xfId="22148" xr:uid="{00000000-0005-0000-0000-0000C7630000}"/>
    <cellStyle name="Note 7 7 3 2" xfId="45980" xr:uid="{F1D2DA14-135A-4996-8E68-EAD8E2B85EC3}"/>
    <cellStyle name="Note 7 7 4" xfId="30102" xr:uid="{7847B059-393C-45A3-A855-DD9104666356}"/>
    <cellStyle name="Note 7 8" xfId="9769" xr:uid="{00000000-0005-0000-0000-0000C8630000}"/>
    <cellStyle name="Note 7 8 2" xfId="17727" xr:uid="{00000000-0005-0000-0000-0000C9630000}"/>
    <cellStyle name="Note 7 8 2 2" xfId="41567" xr:uid="{098C2545-1FC1-4A99-944B-19B412718459}"/>
    <cellStyle name="Note 7 8 3" xfId="25671" xr:uid="{00000000-0005-0000-0000-0000CA630000}"/>
    <cellStyle name="Note 7 8 3 2" xfId="49503" xr:uid="{B49DC4D8-72CD-48BF-AC53-97CC1F65ECD9}"/>
    <cellStyle name="Note 7 8 4" xfId="33626" xr:uid="{08ABB11F-7591-417E-A402-201DCDE9B94A}"/>
    <cellStyle name="Note 7 9" xfId="10665" xr:uid="{00000000-0005-0000-0000-0000CB630000}"/>
    <cellStyle name="Note 7 9 2" xfId="34514" xr:uid="{F6F02DAD-AF6B-46AF-ABF8-1A567B0D80EF}"/>
    <cellStyle name="Note 7_Exh G" xfId="3659" xr:uid="{00000000-0005-0000-0000-0000CC630000}"/>
    <cellStyle name="Note 8" xfId="727" xr:uid="{00000000-0005-0000-0000-0000CD630000}"/>
    <cellStyle name="Note 8 10" xfId="18624" xr:uid="{00000000-0005-0000-0000-0000CE630000}"/>
    <cellStyle name="Note 8 10 2" xfId="42456" xr:uid="{1F8CD182-1153-4491-BABA-A3CB444D249B}"/>
    <cellStyle name="Note 8 11" xfId="26576" xr:uid="{43B3572E-25A3-4512-A114-9EA12C273871}"/>
    <cellStyle name="Note 8 2" xfId="728" xr:uid="{00000000-0005-0000-0000-0000CF630000}"/>
    <cellStyle name="Note 8 2 2" xfId="729" xr:uid="{00000000-0005-0000-0000-0000D0630000}"/>
    <cellStyle name="Note 8 2 2 2" xfId="1755" xr:uid="{00000000-0005-0000-0000-0000D1630000}"/>
    <cellStyle name="Note 8 2 2 2 2" xfId="5282" xr:uid="{00000000-0005-0000-0000-0000D2630000}"/>
    <cellStyle name="Note 8 2 2 2 2 2" xfId="8873" xr:uid="{00000000-0005-0000-0000-0000D3630000}"/>
    <cellStyle name="Note 8 2 2 2 2 2 2" xfId="16843" xr:uid="{00000000-0005-0000-0000-0000D4630000}"/>
    <cellStyle name="Note 8 2 2 2 2 2 2 2" xfId="40685" xr:uid="{72506A00-2AD9-4F36-B157-9820679FDA60}"/>
    <cellStyle name="Note 8 2 2 2 2 2 3" xfId="24789" xr:uid="{00000000-0005-0000-0000-0000D5630000}"/>
    <cellStyle name="Note 8 2 2 2 2 2 3 2" xfId="48621" xr:uid="{DA1E8156-790B-4E45-949C-C408762F3A8D}"/>
    <cellStyle name="Note 8 2 2 2 2 2 4" xfId="32744" xr:uid="{34827A84-617A-42DF-B4DE-DE2F603B89FD}"/>
    <cellStyle name="Note 8 2 2 2 2 3" xfId="13305" xr:uid="{00000000-0005-0000-0000-0000D6630000}"/>
    <cellStyle name="Note 8 2 2 2 2 3 2" xfId="37154" xr:uid="{D0AA8119-838C-4246-B341-3528A98B7279}"/>
    <cellStyle name="Note 8 2 2 2 2 4" xfId="21260" xr:uid="{00000000-0005-0000-0000-0000D7630000}"/>
    <cellStyle name="Note 8 2 2 2 2 4 2" xfId="45092" xr:uid="{F283AE83-4C95-4AF6-88C9-687509AC669C}"/>
    <cellStyle name="Note 8 2 2 2 2 5" xfId="29213" xr:uid="{4FFAE6CF-946D-4B9F-837C-BAA32E99B7DE}"/>
    <cellStyle name="Note 8 2 2 2 3" xfId="7114" xr:uid="{00000000-0005-0000-0000-0000D8630000}"/>
    <cellStyle name="Note 8 2 2 2 3 2" xfId="15085" xr:uid="{00000000-0005-0000-0000-0000D9630000}"/>
    <cellStyle name="Note 8 2 2 2 3 2 2" xfId="38927" xr:uid="{7583724E-2A20-4F91-B17C-8E971317F51D}"/>
    <cellStyle name="Note 8 2 2 2 3 3" xfId="23032" xr:uid="{00000000-0005-0000-0000-0000DA630000}"/>
    <cellStyle name="Note 8 2 2 2 3 3 2" xfId="46864" xr:uid="{CE291EC7-968E-42A9-9AEA-D3E4B9D4A9AB}"/>
    <cellStyle name="Note 8 2 2 2 3 4" xfId="30986" xr:uid="{451F52AC-9B92-4505-99CF-6CD9A6842AA5}"/>
    <cellStyle name="Note 8 2 2 2 4" xfId="11549" xr:uid="{00000000-0005-0000-0000-0000DB630000}"/>
    <cellStyle name="Note 8 2 2 2 4 2" xfId="35398" xr:uid="{E9C5A6F0-2F6B-414F-9B53-ABAD1D808E06}"/>
    <cellStyle name="Note 8 2 2 2 5" xfId="19504" xr:uid="{00000000-0005-0000-0000-0000DC630000}"/>
    <cellStyle name="Note 8 2 2 2 5 2" xfId="43336" xr:uid="{F4825AD0-D064-4841-8542-E9ABAF7C9D00}"/>
    <cellStyle name="Note 8 2 2 2 6" xfId="27456" xr:uid="{76A5F2F8-0362-4BE5-98AD-8BAB21D7B176}"/>
    <cellStyle name="Note 8 2 2 2_Exh G" xfId="3672" xr:uid="{00000000-0005-0000-0000-0000DD630000}"/>
    <cellStyle name="Note 8 2 2 3" xfId="4403" xr:uid="{00000000-0005-0000-0000-0000DE630000}"/>
    <cellStyle name="Note 8 2 2 3 2" xfId="7995" xr:uid="{00000000-0005-0000-0000-0000DF630000}"/>
    <cellStyle name="Note 8 2 2 3 2 2" xfId="15965" xr:uid="{00000000-0005-0000-0000-0000E0630000}"/>
    <cellStyle name="Note 8 2 2 3 2 2 2" xfId="39807" xr:uid="{6CDEF469-4CE9-4E08-9682-6DA5A3D73DC2}"/>
    <cellStyle name="Note 8 2 2 3 2 3" xfId="23911" xr:uid="{00000000-0005-0000-0000-0000E1630000}"/>
    <cellStyle name="Note 8 2 2 3 2 3 2" xfId="47743" xr:uid="{F2C328ED-AD78-4787-8524-D98535236C01}"/>
    <cellStyle name="Note 8 2 2 3 2 4" xfId="31866" xr:uid="{3C5502C2-FCDF-47A3-B3EE-C46C33CA918F}"/>
    <cellStyle name="Note 8 2 2 3 3" xfId="12427" xr:uid="{00000000-0005-0000-0000-0000E2630000}"/>
    <cellStyle name="Note 8 2 2 3 3 2" xfId="36276" xr:uid="{B3CF7684-C7EC-44EC-9850-949CD18A97A9}"/>
    <cellStyle name="Note 8 2 2 3 4" xfId="20382" xr:uid="{00000000-0005-0000-0000-0000E3630000}"/>
    <cellStyle name="Note 8 2 2 3 4 2" xfId="44214" xr:uid="{EB5609C4-10D1-478E-8E04-8A24B5486E06}"/>
    <cellStyle name="Note 8 2 2 3 5" xfId="28335" xr:uid="{28176FCA-A69E-43B9-B126-241B24B4B4D3}"/>
    <cellStyle name="Note 8 2 2 4" xfId="6223" xr:uid="{00000000-0005-0000-0000-0000E4630000}"/>
    <cellStyle name="Note 8 2 2 4 2" xfId="14206" xr:uid="{00000000-0005-0000-0000-0000E5630000}"/>
    <cellStyle name="Note 8 2 2 4 2 2" xfId="38049" xr:uid="{E0217F82-5B25-4596-AA8C-11415B6B1620}"/>
    <cellStyle name="Note 8 2 2 4 3" xfId="22154" xr:uid="{00000000-0005-0000-0000-0000E6630000}"/>
    <cellStyle name="Note 8 2 2 4 3 2" xfId="45986" xr:uid="{6DF9F867-AA84-46DC-8815-E344CF5A8E71}"/>
    <cellStyle name="Note 8 2 2 4 4" xfId="30108" xr:uid="{D18F3768-39BE-40D6-AA86-59DC91694DB6}"/>
    <cellStyle name="Note 8 2 2 5" xfId="9775" xr:uid="{00000000-0005-0000-0000-0000E7630000}"/>
    <cellStyle name="Note 8 2 2 5 2" xfId="17733" xr:uid="{00000000-0005-0000-0000-0000E8630000}"/>
    <cellStyle name="Note 8 2 2 5 2 2" xfId="41573" xr:uid="{3F844209-1986-4E29-8775-BBE09D9B7616}"/>
    <cellStyle name="Note 8 2 2 5 3" xfId="25677" xr:uid="{00000000-0005-0000-0000-0000E9630000}"/>
    <cellStyle name="Note 8 2 2 5 3 2" xfId="49509" xr:uid="{E03191F5-D0DB-4919-A7A6-91D85B5DD7DF}"/>
    <cellStyle name="Note 8 2 2 5 4" xfId="33632" xr:uid="{2BE16926-2CF3-44AE-9DE6-C5AF4080782C}"/>
    <cellStyle name="Note 8 2 2 6" xfId="10671" xr:uid="{00000000-0005-0000-0000-0000EA630000}"/>
    <cellStyle name="Note 8 2 2 6 2" xfId="34520" xr:uid="{47A79E80-5E60-49DC-8FDA-57E258076FFC}"/>
    <cellStyle name="Note 8 2 2 7" xfId="18626" xr:uid="{00000000-0005-0000-0000-0000EB630000}"/>
    <cellStyle name="Note 8 2 2 7 2" xfId="42458" xr:uid="{D1A786AD-4939-411E-A7E5-CAC0DE82406C}"/>
    <cellStyle name="Note 8 2 2 8" xfId="26578" xr:uid="{ED0A6726-4072-4744-95FA-00D77C697672}"/>
    <cellStyle name="Note 8 2 2_Exh G" xfId="3671" xr:uid="{00000000-0005-0000-0000-0000EC630000}"/>
    <cellStyle name="Note 8 2 3" xfId="1754" xr:uid="{00000000-0005-0000-0000-0000ED630000}"/>
    <cellStyle name="Note 8 2 3 2" xfId="5281" xr:uid="{00000000-0005-0000-0000-0000EE630000}"/>
    <cellStyle name="Note 8 2 3 2 2" xfId="8872" xr:uid="{00000000-0005-0000-0000-0000EF630000}"/>
    <cellStyle name="Note 8 2 3 2 2 2" xfId="16842" xr:uid="{00000000-0005-0000-0000-0000F0630000}"/>
    <cellStyle name="Note 8 2 3 2 2 2 2" xfId="40684" xr:uid="{63548E7A-7762-4B03-ADD8-195F5D07EB86}"/>
    <cellStyle name="Note 8 2 3 2 2 3" xfId="24788" xr:uid="{00000000-0005-0000-0000-0000F1630000}"/>
    <cellStyle name="Note 8 2 3 2 2 3 2" xfId="48620" xr:uid="{07B51B5D-F2E3-41F4-81E8-CB5A6D277B8E}"/>
    <cellStyle name="Note 8 2 3 2 2 4" xfId="32743" xr:uid="{9C925BCE-47D9-4BF5-A018-5285BE6E5BE8}"/>
    <cellStyle name="Note 8 2 3 2 3" xfId="13304" xr:uid="{00000000-0005-0000-0000-0000F2630000}"/>
    <cellStyle name="Note 8 2 3 2 3 2" xfId="37153" xr:uid="{BFF1E5C3-8822-4714-B06C-2C3EA0CF0DE3}"/>
    <cellStyle name="Note 8 2 3 2 4" xfId="21259" xr:uid="{00000000-0005-0000-0000-0000F3630000}"/>
    <cellStyle name="Note 8 2 3 2 4 2" xfId="45091" xr:uid="{063D5F86-1617-48D3-9429-7F33BD129181}"/>
    <cellStyle name="Note 8 2 3 2 5" xfId="29212" xr:uid="{4B50A9FB-5025-4007-AF30-AD09F678AB1D}"/>
    <cellStyle name="Note 8 2 3 3" xfId="7113" xr:uid="{00000000-0005-0000-0000-0000F4630000}"/>
    <cellStyle name="Note 8 2 3 3 2" xfId="15084" xr:uid="{00000000-0005-0000-0000-0000F5630000}"/>
    <cellStyle name="Note 8 2 3 3 2 2" xfId="38926" xr:uid="{E075F74C-DD9B-4EEC-B96B-97431AB65454}"/>
    <cellStyle name="Note 8 2 3 3 3" xfId="23031" xr:uid="{00000000-0005-0000-0000-0000F6630000}"/>
    <cellStyle name="Note 8 2 3 3 3 2" xfId="46863" xr:uid="{69417B97-9ABF-4484-A930-EE2491CC8C49}"/>
    <cellStyle name="Note 8 2 3 3 4" xfId="30985" xr:uid="{7A49E12A-E40A-43C4-802E-529170A36E8D}"/>
    <cellStyle name="Note 8 2 3 4" xfId="11548" xr:uid="{00000000-0005-0000-0000-0000F7630000}"/>
    <cellStyle name="Note 8 2 3 4 2" xfId="35397" xr:uid="{F0815516-64B5-4115-B279-B4A7C854CF7B}"/>
    <cellStyle name="Note 8 2 3 5" xfId="19503" xr:uid="{00000000-0005-0000-0000-0000F8630000}"/>
    <cellStyle name="Note 8 2 3 5 2" xfId="43335" xr:uid="{1D6FBDCA-F536-44C3-A0B0-E81F26850271}"/>
    <cellStyle name="Note 8 2 3 6" xfId="27455" xr:uid="{247591EE-BD0D-4939-B378-910B586AD8DB}"/>
    <cellStyle name="Note 8 2 3_Exh G" xfId="3673" xr:uid="{00000000-0005-0000-0000-0000F9630000}"/>
    <cellStyle name="Note 8 2 4" xfId="4402" xr:uid="{00000000-0005-0000-0000-0000FA630000}"/>
    <cellStyle name="Note 8 2 4 2" xfId="7994" xr:uid="{00000000-0005-0000-0000-0000FB630000}"/>
    <cellStyle name="Note 8 2 4 2 2" xfId="15964" xr:uid="{00000000-0005-0000-0000-0000FC630000}"/>
    <cellStyle name="Note 8 2 4 2 2 2" xfId="39806" xr:uid="{3EE8AD4E-8217-4C45-8588-4B36F670432C}"/>
    <cellStyle name="Note 8 2 4 2 3" xfId="23910" xr:uid="{00000000-0005-0000-0000-0000FD630000}"/>
    <cellStyle name="Note 8 2 4 2 3 2" xfId="47742" xr:uid="{37C4B5C4-9AE2-43A8-95B3-EABD654EF34B}"/>
    <cellStyle name="Note 8 2 4 2 4" xfId="31865" xr:uid="{38BD62FA-C80A-485A-BBD4-0E493649D62C}"/>
    <cellStyle name="Note 8 2 4 3" xfId="12426" xr:uid="{00000000-0005-0000-0000-0000FE630000}"/>
    <cellStyle name="Note 8 2 4 3 2" xfId="36275" xr:uid="{D83E8153-48F6-4139-99A5-0BDECED808B8}"/>
    <cellStyle name="Note 8 2 4 4" xfId="20381" xr:uid="{00000000-0005-0000-0000-0000FF630000}"/>
    <cellStyle name="Note 8 2 4 4 2" xfId="44213" xr:uid="{24D89FC8-2FC5-4B16-86F7-E8084CAB3635}"/>
    <cellStyle name="Note 8 2 4 5" xfId="28334" xr:uid="{66936F82-B784-4DF6-A82E-09F5C8C8BDD2}"/>
    <cellStyle name="Note 8 2 5" xfId="6222" xr:uid="{00000000-0005-0000-0000-000000640000}"/>
    <cellStyle name="Note 8 2 5 2" xfId="14205" xr:uid="{00000000-0005-0000-0000-000001640000}"/>
    <cellStyle name="Note 8 2 5 2 2" xfId="38048" xr:uid="{A9A68F0A-01D2-45DB-B75C-613A2A329007}"/>
    <cellStyle name="Note 8 2 5 3" xfId="22153" xr:uid="{00000000-0005-0000-0000-000002640000}"/>
    <cellStyle name="Note 8 2 5 3 2" xfId="45985" xr:uid="{E55CC68F-B7BB-47CE-AE5D-35A7BAD649EF}"/>
    <cellStyle name="Note 8 2 5 4" xfId="30107" xr:uid="{BBC9B3B0-EE08-4B0E-B86A-E2B0C987084F}"/>
    <cellStyle name="Note 8 2 6" xfId="9774" xr:uid="{00000000-0005-0000-0000-000003640000}"/>
    <cellStyle name="Note 8 2 6 2" xfId="17732" xr:uid="{00000000-0005-0000-0000-000004640000}"/>
    <cellStyle name="Note 8 2 6 2 2" xfId="41572" xr:uid="{07CA26E1-224A-40D1-87F0-3DD1FEAD5BB4}"/>
    <cellStyle name="Note 8 2 6 3" xfId="25676" xr:uid="{00000000-0005-0000-0000-000005640000}"/>
    <cellStyle name="Note 8 2 6 3 2" xfId="49508" xr:uid="{2085ED1D-191D-4B96-A7EB-D07AAAF87A41}"/>
    <cellStyle name="Note 8 2 6 4" xfId="33631" xr:uid="{2FFD3AAA-7335-4ABD-9A8D-379BA735A7F5}"/>
    <cellStyle name="Note 8 2 7" xfId="10670" xr:uid="{00000000-0005-0000-0000-000006640000}"/>
    <cellStyle name="Note 8 2 7 2" xfId="34519" xr:uid="{4E067028-E69E-4D1A-B75D-8CD55F3ABC48}"/>
    <cellStyle name="Note 8 2 8" xfId="18625" xr:uid="{00000000-0005-0000-0000-000007640000}"/>
    <cellStyle name="Note 8 2 8 2" xfId="42457" xr:uid="{38A9F875-3E6F-43D5-9902-840FA539EA2D}"/>
    <cellStyle name="Note 8 2 9" xfId="26577" xr:uid="{E98D833B-65C4-4D21-9B10-7A818061EFE8}"/>
    <cellStyle name="Note 8 2_Exh G" xfId="3670" xr:uid="{00000000-0005-0000-0000-000008640000}"/>
    <cellStyle name="Note 8 3" xfId="730" xr:uid="{00000000-0005-0000-0000-000009640000}"/>
    <cellStyle name="Note 8 3 2" xfId="1756" xr:uid="{00000000-0005-0000-0000-00000A640000}"/>
    <cellStyle name="Note 8 3 2 2" xfId="5283" xr:uid="{00000000-0005-0000-0000-00000B640000}"/>
    <cellStyle name="Note 8 3 2 2 2" xfId="8874" xr:uid="{00000000-0005-0000-0000-00000C640000}"/>
    <cellStyle name="Note 8 3 2 2 2 2" xfId="16844" xr:uid="{00000000-0005-0000-0000-00000D640000}"/>
    <cellStyle name="Note 8 3 2 2 2 2 2" xfId="40686" xr:uid="{8AF9DFF0-7652-45B7-845C-1CE62304A500}"/>
    <cellStyle name="Note 8 3 2 2 2 3" xfId="24790" xr:uid="{00000000-0005-0000-0000-00000E640000}"/>
    <cellStyle name="Note 8 3 2 2 2 3 2" xfId="48622" xr:uid="{69C1EFE1-DDE0-4451-BE53-EC287CC5CF0A}"/>
    <cellStyle name="Note 8 3 2 2 2 4" xfId="32745" xr:uid="{7633BA60-6287-4896-80E1-4241E4DCC26C}"/>
    <cellStyle name="Note 8 3 2 2 3" xfId="13306" xr:uid="{00000000-0005-0000-0000-00000F640000}"/>
    <cellStyle name="Note 8 3 2 2 3 2" xfId="37155" xr:uid="{AA027590-7800-45D9-94AA-065B297FE5A2}"/>
    <cellStyle name="Note 8 3 2 2 4" xfId="21261" xr:uid="{00000000-0005-0000-0000-000010640000}"/>
    <cellStyle name="Note 8 3 2 2 4 2" xfId="45093" xr:uid="{3C55BE14-3B03-4DB0-9110-546F46136947}"/>
    <cellStyle name="Note 8 3 2 2 5" xfId="29214" xr:uid="{5FC7FFE4-E1F6-4411-8181-5FBCD1B56064}"/>
    <cellStyle name="Note 8 3 2 3" xfId="7115" xr:uid="{00000000-0005-0000-0000-000011640000}"/>
    <cellStyle name="Note 8 3 2 3 2" xfId="15086" xr:uid="{00000000-0005-0000-0000-000012640000}"/>
    <cellStyle name="Note 8 3 2 3 2 2" xfId="38928" xr:uid="{DB5DE7FA-B525-431C-B008-92110EC35B34}"/>
    <cellStyle name="Note 8 3 2 3 3" xfId="23033" xr:uid="{00000000-0005-0000-0000-000013640000}"/>
    <cellStyle name="Note 8 3 2 3 3 2" xfId="46865" xr:uid="{6E069EB6-8C00-4CA4-BF1D-06286F52C24F}"/>
    <cellStyle name="Note 8 3 2 3 4" xfId="30987" xr:uid="{4A6BCEC1-416E-4BE0-8DB6-84B52F378CE0}"/>
    <cellStyle name="Note 8 3 2 4" xfId="11550" xr:uid="{00000000-0005-0000-0000-000014640000}"/>
    <cellStyle name="Note 8 3 2 4 2" xfId="35399" xr:uid="{FD26E75F-662F-4F73-B726-29D186AEF245}"/>
    <cellStyle name="Note 8 3 2 5" xfId="19505" xr:uid="{00000000-0005-0000-0000-000015640000}"/>
    <cellStyle name="Note 8 3 2 5 2" xfId="43337" xr:uid="{67564E43-117E-4873-82AE-E7B67BE62D38}"/>
    <cellStyle name="Note 8 3 2 6" xfId="27457" xr:uid="{BE8DE65B-11F9-4783-B13A-45BAC5A827D3}"/>
    <cellStyle name="Note 8 3 2_Exh G" xfId="3675" xr:uid="{00000000-0005-0000-0000-000016640000}"/>
    <cellStyle name="Note 8 3 3" xfId="4404" xr:uid="{00000000-0005-0000-0000-000017640000}"/>
    <cellStyle name="Note 8 3 3 2" xfId="7996" xr:uid="{00000000-0005-0000-0000-000018640000}"/>
    <cellStyle name="Note 8 3 3 2 2" xfId="15966" xr:uid="{00000000-0005-0000-0000-000019640000}"/>
    <cellStyle name="Note 8 3 3 2 2 2" xfId="39808" xr:uid="{D75C55FE-F151-47E5-ACD6-CFE973156494}"/>
    <cellStyle name="Note 8 3 3 2 3" xfId="23912" xr:uid="{00000000-0005-0000-0000-00001A640000}"/>
    <cellStyle name="Note 8 3 3 2 3 2" xfId="47744" xr:uid="{BCFA711C-1520-4428-880B-8B6C801310F6}"/>
    <cellStyle name="Note 8 3 3 2 4" xfId="31867" xr:uid="{97305AF0-10C8-49F4-93C1-108560C2024C}"/>
    <cellStyle name="Note 8 3 3 3" xfId="12428" xr:uid="{00000000-0005-0000-0000-00001B640000}"/>
    <cellStyle name="Note 8 3 3 3 2" xfId="36277" xr:uid="{301B5D9C-0CA7-423A-9648-D6CA5177A414}"/>
    <cellStyle name="Note 8 3 3 4" xfId="20383" xr:uid="{00000000-0005-0000-0000-00001C640000}"/>
    <cellStyle name="Note 8 3 3 4 2" xfId="44215" xr:uid="{00A76828-3B9D-42BD-812B-D997FB99C288}"/>
    <cellStyle name="Note 8 3 3 5" xfId="28336" xr:uid="{43B07A51-BBF9-4B81-874E-34783E7BE7F5}"/>
    <cellStyle name="Note 8 3 4" xfId="6224" xr:uid="{00000000-0005-0000-0000-00001D640000}"/>
    <cellStyle name="Note 8 3 4 2" xfId="14207" xr:uid="{00000000-0005-0000-0000-00001E640000}"/>
    <cellStyle name="Note 8 3 4 2 2" xfId="38050" xr:uid="{D297F137-8A44-45C3-86E6-34B8002233B8}"/>
    <cellStyle name="Note 8 3 4 3" xfId="22155" xr:uid="{00000000-0005-0000-0000-00001F640000}"/>
    <cellStyle name="Note 8 3 4 3 2" xfId="45987" xr:uid="{88AD672F-3951-4AD4-BE9E-5DD6C85DAB92}"/>
    <cellStyle name="Note 8 3 4 4" xfId="30109" xr:uid="{916ADA40-127A-455A-9B63-5D1B523AEF9D}"/>
    <cellStyle name="Note 8 3 5" xfId="9776" xr:uid="{00000000-0005-0000-0000-000020640000}"/>
    <cellStyle name="Note 8 3 5 2" xfId="17734" xr:uid="{00000000-0005-0000-0000-000021640000}"/>
    <cellStyle name="Note 8 3 5 2 2" xfId="41574" xr:uid="{FBEA77E8-BE3D-4EEE-A7C0-669A5438630F}"/>
    <cellStyle name="Note 8 3 5 3" xfId="25678" xr:uid="{00000000-0005-0000-0000-000022640000}"/>
    <cellStyle name="Note 8 3 5 3 2" xfId="49510" xr:uid="{AD16EDE4-3B86-45E9-B11C-2DF6FBEF7CE3}"/>
    <cellStyle name="Note 8 3 5 4" xfId="33633" xr:uid="{CE97A360-3E32-4DB8-8751-AB59D824A1DC}"/>
    <cellStyle name="Note 8 3 6" xfId="10672" xr:uid="{00000000-0005-0000-0000-000023640000}"/>
    <cellStyle name="Note 8 3 6 2" xfId="34521" xr:uid="{F4006A2E-28F6-4E4D-ADD0-A29A5B2421D6}"/>
    <cellStyle name="Note 8 3 7" xfId="18627" xr:uid="{00000000-0005-0000-0000-000024640000}"/>
    <cellStyle name="Note 8 3 7 2" xfId="42459" xr:uid="{8286A584-A1B1-45BF-8F09-B148C3FA2BFC}"/>
    <cellStyle name="Note 8 3 8" xfId="26579" xr:uid="{43B7EB35-917E-4E62-AA85-60D463E60782}"/>
    <cellStyle name="Note 8 3_Exh G" xfId="3674" xr:uid="{00000000-0005-0000-0000-000025640000}"/>
    <cellStyle name="Note 8 4" xfId="1036" xr:uid="{00000000-0005-0000-0000-000026640000}"/>
    <cellStyle name="Note 8 4 2" xfId="1931" xr:uid="{00000000-0005-0000-0000-000027640000}"/>
    <cellStyle name="Note 8 4 2 2" xfId="5448" xr:uid="{00000000-0005-0000-0000-000028640000}"/>
    <cellStyle name="Note 8 4 2 2 2" xfId="9039" xr:uid="{00000000-0005-0000-0000-000029640000}"/>
    <cellStyle name="Note 8 4 2 2 2 2" xfId="17009" xr:uid="{00000000-0005-0000-0000-00002A640000}"/>
    <cellStyle name="Note 8 4 2 2 2 2 2" xfId="40851" xr:uid="{E873D45B-4F6C-4EA6-95AC-15E11C0B3511}"/>
    <cellStyle name="Note 8 4 2 2 2 3" xfId="24955" xr:uid="{00000000-0005-0000-0000-00002B640000}"/>
    <cellStyle name="Note 8 4 2 2 2 3 2" xfId="48787" xr:uid="{C6FBE82C-63A6-49B4-965C-1DF3CC7370F5}"/>
    <cellStyle name="Note 8 4 2 2 2 4" xfId="32910" xr:uid="{2B5C05D8-B100-4481-9B1C-ABB728AC1FC4}"/>
    <cellStyle name="Note 8 4 2 2 3" xfId="13471" xr:uid="{00000000-0005-0000-0000-00002C640000}"/>
    <cellStyle name="Note 8 4 2 2 3 2" xfId="37320" xr:uid="{12A82DDB-EEF9-4095-A075-A4E9B09177D2}"/>
    <cellStyle name="Note 8 4 2 2 4" xfId="21426" xr:uid="{00000000-0005-0000-0000-00002D640000}"/>
    <cellStyle name="Note 8 4 2 2 4 2" xfId="45258" xr:uid="{50E1A598-678B-4452-A676-2CB7ECE299CE}"/>
    <cellStyle name="Note 8 4 2 2 5" xfId="29379" xr:uid="{DFE17543-89B3-4AA4-8469-00692E0E8337}"/>
    <cellStyle name="Note 8 4 2 3" xfId="7280" xr:uid="{00000000-0005-0000-0000-00002E640000}"/>
    <cellStyle name="Note 8 4 2 3 2" xfId="15251" xr:uid="{00000000-0005-0000-0000-00002F640000}"/>
    <cellStyle name="Note 8 4 2 3 2 2" xfId="39093" xr:uid="{CF5D3994-BFF1-4577-BAEE-F0BF7AFB6F34}"/>
    <cellStyle name="Note 8 4 2 3 3" xfId="23198" xr:uid="{00000000-0005-0000-0000-000030640000}"/>
    <cellStyle name="Note 8 4 2 3 3 2" xfId="47030" xr:uid="{873CD936-23A5-4475-8C95-F29FA0F3E787}"/>
    <cellStyle name="Note 8 4 2 3 4" xfId="31152" xr:uid="{4F7DF1D7-EB3F-440C-8346-635A18F5A62E}"/>
    <cellStyle name="Note 8 4 2 4" xfId="11715" xr:uid="{00000000-0005-0000-0000-000031640000}"/>
    <cellStyle name="Note 8 4 2 4 2" xfId="35564" xr:uid="{E962DC72-9902-43FA-A5A9-0F515CDE5C19}"/>
    <cellStyle name="Note 8 4 2 5" xfId="19670" xr:uid="{00000000-0005-0000-0000-000032640000}"/>
    <cellStyle name="Note 8 4 2 5 2" xfId="43502" xr:uid="{1F50D184-6819-4AFA-B0CB-5673040572CE}"/>
    <cellStyle name="Note 8 4 2 6" xfId="27622" xr:uid="{DE27C334-829B-4231-B485-E7CDDFC48C68}"/>
    <cellStyle name="Note 8 4 2_Exh G" xfId="3677" xr:uid="{00000000-0005-0000-0000-000033640000}"/>
    <cellStyle name="Note 8 4 3" xfId="4569" xr:uid="{00000000-0005-0000-0000-000034640000}"/>
    <cellStyle name="Note 8 4 3 2" xfId="8161" xr:uid="{00000000-0005-0000-0000-000035640000}"/>
    <cellStyle name="Note 8 4 3 2 2" xfId="16131" xr:uid="{00000000-0005-0000-0000-000036640000}"/>
    <cellStyle name="Note 8 4 3 2 2 2" xfId="39973" xr:uid="{2CC612D2-F167-495D-9D83-550581000B60}"/>
    <cellStyle name="Note 8 4 3 2 3" xfId="24077" xr:uid="{00000000-0005-0000-0000-000037640000}"/>
    <cellStyle name="Note 8 4 3 2 3 2" xfId="47909" xr:uid="{9FEEA6FF-B90B-44B9-B2AF-3A3B0B2DEAAD}"/>
    <cellStyle name="Note 8 4 3 2 4" xfId="32032" xr:uid="{54A04BCD-7907-40AD-9F19-55D0D256A5E6}"/>
    <cellStyle name="Note 8 4 3 3" xfId="12593" xr:uid="{00000000-0005-0000-0000-000038640000}"/>
    <cellStyle name="Note 8 4 3 3 2" xfId="36442" xr:uid="{EDD023C3-299A-4E82-A86A-2C5BF361E8AD}"/>
    <cellStyle name="Note 8 4 3 4" xfId="20548" xr:uid="{00000000-0005-0000-0000-000039640000}"/>
    <cellStyle name="Note 8 4 3 4 2" xfId="44380" xr:uid="{9B6475E4-0746-4A7E-99C4-43D31FA0D2A0}"/>
    <cellStyle name="Note 8 4 3 5" xfId="28501" xr:uid="{7DCE7A64-4C06-464D-AD55-8064D4487834}"/>
    <cellStyle name="Note 8 4 4" xfId="6401" xr:uid="{00000000-0005-0000-0000-00003A640000}"/>
    <cellStyle name="Note 8 4 4 2" xfId="14373" xr:uid="{00000000-0005-0000-0000-00003B640000}"/>
    <cellStyle name="Note 8 4 4 2 2" xfId="38215" xr:uid="{26CF8171-CAC5-46D7-A619-2EAB940A8705}"/>
    <cellStyle name="Note 8 4 4 3" xfId="22320" xr:uid="{00000000-0005-0000-0000-00003C640000}"/>
    <cellStyle name="Note 8 4 4 3 2" xfId="46152" xr:uid="{4A77A5B6-F30F-40BB-B7C3-5C4F3CF366FF}"/>
    <cellStyle name="Note 8 4 4 4" xfId="30274" xr:uid="{5C08CCC4-8D3F-4DA3-B9F3-C8AA9631DFD8}"/>
    <cellStyle name="Note 8 4 5" xfId="9941" xr:uid="{00000000-0005-0000-0000-00003D640000}"/>
    <cellStyle name="Note 8 4 5 2" xfId="17899" xr:uid="{00000000-0005-0000-0000-00003E640000}"/>
    <cellStyle name="Note 8 4 5 2 2" xfId="41739" xr:uid="{97E57DDC-C5DB-4BEF-A65E-07088C35D68F}"/>
    <cellStyle name="Note 8 4 5 3" xfId="25843" xr:uid="{00000000-0005-0000-0000-00003F640000}"/>
    <cellStyle name="Note 8 4 5 3 2" xfId="49675" xr:uid="{C6A3D02A-BE45-45A8-B1E2-00351B709CFD}"/>
    <cellStyle name="Note 8 4 5 4" xfId="33798" xr:uid="{E409C61F-9537-4913-B6D2-D4E997BA52D5}"/>
    <cellStyle name="Note 8 4 6" xfId="10837" xr:uid="{00000000-0005-0000-0000-000040640000}"/>
    <cellStyle name="Note 8 4 6 2" xfId="34686" xr:uid="{F66B31BE-9D03-49D5-937B-BBE976F99859}"/>
    <cellStyle name="Note 8 4 7" xfId="18792" xr:uid="{00000000-0005-0000-0000-000041640000}"/>
    <cellStyle name="Note 8 4 7 2" xfId="42624" xr:uid="{523BF6CA-65A5-4766-BFB8-0C0418C3DF2D}"/>
    <cellStyle name="Note 8 4 8" xfId="26744" xr:uid="{C31A3C85-379C-439F-A1B5-C1C7C00EBD79}"/>
    <cellStyle name="Note 8 4_Exh G" xfId="3676" xr:uid="{00000000-0005-0000-0000-000042640000}"/>
    <cellStyle name="Note 8 5" xfId="1753" xr:uid="{00000000-0005-0000-0000-000043640000}"/>
    <cellStyle name="Note 8 5 2" xfId="5280" xr:uid="{00000000-0005-0000-0000-000044640000}"/>
    <cellStyle name="Note 8 5 2 2" xfId="8871" xr:uid="{00000000-0005-0000-0000-000045640000}"/>
    <cellStyle name="Note 8 5 2 2 2" xfId="16841" xr:uid="{00000000-0005-0000-0000-000046640000}"/>
    <cellStyle name="Note 8 5 2 2 2 2" xfId="40683" xr:uid="{F10403B5-68B4-45B0-8EA4-DA99A79E97BF}"/>
    <cellStyle name="Note 8 5 2 2 3" xfId="24787" xr:uid="{00000000-0005-0000-0000-000047640000}"/>
    <cellStyle name="Note 8 5 2 2 3 2" xfId="48619" xr:uid="{B439B1AE-930E-4A6F-B616-CF5C01747FC4}"/>
    <cellStyle name="Note 8 5 2 2 4" xfId="32742" xr:uid="{DE99AE66-3C81-4AFF-9A8B-26F5BEE32650}"/>
    <cellStyle name="Note 8 5 2 3" xfId="13303" xr:uid="{00000000-0005-0000-0000-000048640000}"/>
    <cellStyle name="Note 8 5 2 3 2" xfId="37152" xr:uid="{652A6115-AFA7-4F73-80D2-079437B508B4}"/>
    <cellStyle name="Note 8 5 2 4" xfId="21258" xr:uid="{00000000-0005-0000-0000-000049640000}"/>
    <cellStyle name="Note 8 5 2 4 2" xfId="45090" xr:uid="{0E63588F-89B8-4FC8-8311-806379B96489}"/>
    <cellStyle name="Note 8 5 2 5" xfId="29211" xr:uid="{E209B5F5-9B36-4357-91B6-3E4954AACB46}"/>
    <cellStyle name="Note 8 5 3" xfId="7112" xr:uid="{00000000-0005-0000-0000-00004A640000}"/>
    <cellStyle name="Note 8 5 3 2" xfId="15083" xr:uid="{00000000-0005-0000-0000-00004B640000}"/>
    <cellStyle name="Note 8 5 3 2 2" xfId="38925" xr:uid="{F74FCE8C-55D2-4414-B769-2337DC9B1C19}"/>
    <cellStyle name="Note 8 5 3 3" xfId="23030" xr:uid="{00000000-0005-0000-0000-00004C640000}"/>
    <cellStyle name="Note 8 5 3 3 2" xfId="46862" xr:uid="{B633E7B0-AE25-4EA3-B241-15C599D28125}"/>
    <cellStyle name="Note 8 5 3 4" xfId="30984" xr:uid="{410F1D6D-2BAE-497F-B727-3F5C7198A628}"/>
    <cellStyle name="Note 8 5 4" xfId="11547" xr:uid="{00000000-0005-0000-0000-00004D640000}"/>
    <cellStyle name="Note 8 5 4 2" xfId="35396" xr:uid="{A417BB95-10C2-4964-BFBE-105D66B709D6}"/>
    <cellStyle name="Note 8 5 5" xfId="19502" xr:uid="{00000000-0005-0000-0000-00004E640000}"/>
    <cellStyle name="Note 8 5 5 2" xfId="43334" xr:uid="{0AE910E6-0478-45AF-B984-969BBDD212C4}"/>
    <cellStyle name="Note 8 5 6" xfId="27454" xr:uid="{BC14E67C-7DFB-46A0-AF54-6D72D43A5C69}"/>
    <cellStyle name="Note 8 5_Exh G" xfId="3678" xr:uid="{00000000-0005-0000-0000-00004F640000}"/>
    <cellStyle name="Note 8 6" xfId="4401" xr:uid="{00000000-0005-0000-0000-000050640000}"/>
    <cellStyle name="Note 8 6 2" xfId="7993" xr:uid="{00000000-0005-0000-0000-000051640000}"/>
    <cellStyle name="Note 8 6 2 2" xfId="15963" xr:uid="{00000000-0005-0000-0000-000052640000}"/>
    <cellStyle name="Note 8 6 2 2 2" xfId="39805" xr:uid="{DB6680BD-138D-4E4C-A662-A3CBC8118270}"/>
    <cellStyle name="Note 8 6 2 3" xfId="23909" xr:uid="{00000000-0005-0000-0000-000053640000}"/>
    <cellStyle name="Note 8 6 2 3 2" xfId="47741" xr:uid="{58330B1C-9CC6-4FEB-8F7D-E56516A99383}"/>
    <cellStyle name="Note 8 6 2 4" xfId="31864" xr:uid="{24F668AF-DE54-4819-AC21-34F323F8683C}"/>
    <cellStyle name="Note 8 6 3" xfId="12425" xr:uid="{00000000-0005-0000-0000-000054640000}"/>
    <cellStyle name="Note 8 6 3 2" xfId="36274" xr:uid="{A1AD7CAE-AC1C-4FC7-A741-A3963D0E1D23}"/>
    <cellStyle name="Note 8 6 4" xfId="20380" xr:uid="{00000000-0005-0000-0000-000055640000}"/>
    <cellStyle name="Note 8 6 4 2" xfId="44212" xr:uid="{3C579453-8B71-40D0-8EA8-66EDE0529B8E}"/>
    <cellStyle name="Note 8 6 5" xfId="28333" xr:uid="{EEF9605E-B825-4E6A-9B8B-D24CC79E55FD}"/>
    <cellStyle name="Note 8 7" xfId="6221" xr:uid="{00000000-0005-0000-0000-000056640000}"/>
    <cellStyle name="Note 8 7 2" xfId="14204" xr:uid="{00000000-0005-0000-0000-000057640000}"/>
    <cellStyle name="Note 8 7 2 2" xfId="38047" xr:uid="{EFFD7369-ABD4-4198-B24A-C876C1E812D8}"/>
    <cellStyle name="Note 8 7 3" xfId="22152" xr:uid="{00000000-0005-0000-0000-000058640000}"/>
    <cellStyle name="Note 8 7 3 2" xfId="45984" xr:uid="{02D5B6FF-B1F6-4D30-A3AB-64A01E140B33}"/>
    <cellStyle name="Note 8 7 4" xfId="30106" xr:uid="{330E36B0-1665-495D-B5CA-CAF2C6BC6CED}"/>
    <cellStyle name="Note 8 8" xfId="9773" xr:uid="{00000000-0005-0000-0000-000059640000}"/>
    <cellStyle name="Note 8 8 2" xfId="17731" xr:uid="{00000000-0005-0000-0000-00005A640000}"/>
    <cellStyle name="Note 8 8 2 2" xfId="41571" xr:uid="{B304004F-46F3-451B-A212-B1CAF2B38425}"/>
    <cellStyle name="Note 8 8 3" xfId="25675" xr:uid="{00000000-0005-0000-0000-00005B640000}"/>
    <cellStyle name="Note 8 8 3 2" xfId="49507" xr:uid="{67EC6100-8C1B-4417-89A4-8BBCC9F2F90E}"/>
    <cellStyle name="Note 8 8 4" xfId="33630" xr:uid="{217D7B9E-2152-4FBA-9874-98769FF59B9C}"/>
    <cellStyle name="Note 8 9" xfId="10669" xr:uid="{00000000-0005-0000-0000-00005C640000}"/>
    <cellStyle name="Note 8 9 2" xfId="34518" xr:uid="{816180DD-9C9A-4FB8-90EB-BA7356F704C5}"/>
    <cellStyle name="Note 8_Exh G" xfId="3669" xr:uid="{00000000-0005-0000-0000-00005D640000}"/>
    <cellStyle name="Note 9" xfId="731" xr:uid="{00000000-0005-0000-0000-00005E640000}"/>
    <cellStyle name="Note 9 10" xfId="18628" xr:uid="{00000000-0005-0000-0000-00005F640000}"/>
    <cellStyle name="Note 9 10 2" xfId="42460" xr:uid="{98B9C75C-217E-468B-B836-1BFA1471A54C}"/>
    <cellStyle name="Note 9 11" xfId="26580" xr:uid="{F0B124F6-2BEA-4906-A0DF-E1434034527E}"/>
    <cellStyle name="Note 9 2" xfId="732" xr:uid="{00000000-0005-0000-0000-000060640000}"/>
    <cellStyle name="Note 9 2 2" xfId="733" xr:uid="{00000000-0005-0000-0000-000061640000}"/>
    <cellStyle name="Note 9 2 2 2" xfId="1759" xr:uid="{00000000-0005-0000-0000-000062640000}"/>
    <cellStyle name="Note 9 2 2 2 2" xfId="5286" xr:uid="{00000000-0005-0000-0000-000063640000}"/>
    <cellStyle name="Note 9 2 2 2 2 2" xfId="8877" xr:uid="{00000000-0005-0000-0000-000064640000}"/>
    <cellStyle name="Note 9 2 2 2 2 2 2" xfId="16847" xr:uid="{00000000-0005-0000-0000-000065640000}"/>
    <cellStyle name="Note 9 2 2 2 2 2 2 2" xfId="40689" xr:uid="{2D443883-E3F4-48F5-BCA5-31A87887C37A}"/>
    <cellStyle name="Note 9 2 2 2 2 2 3" xfId="24793" xr:uid="{00000000-0005-0000-0000-000066640000}"/>
    <cellStyle name="Note 9 2 2 2 2 2 3 2" xfId="48625" xr:uid="{EC701DFC-ED0B-45F7-A230-0D382607B695}"/>
    <cellStyle name="Note 9 2 2 2 2 2 4" xfId="32748" xr:uid="{8D6DDB7B-BF2B-4D9D-9432-38C26ED87383}"/>
    <cellStyle name="Note 9 2 2 2 2 3" xfId="13309" xr:uid="{00000000-0005-0000-0000-000067640000}"/>
    <cellStyle name="Note 9 2 2 2 2 3 2" xfId="37158" xr:uid="{1F719971-457F-4C97-8C9A-72D329527BC5}"/>
    <cellStyle name="Note 9 2 2 2 2 4" xfId="21264" xr:uid="{00000000-0005-0000-0000-000068640000}"/>
    <cellStyle name="Note 9 2 2 2 2 4 2" xfId="45096" xr:uid="{09D2A380-2537-4386-895B-99DE54996E06}"/>
    <cellStyle name="Note 9 2 2 2 2 5" xfId="29217" xr:uid="{12A3A0B5-DFD2-46D9-9BB1-9642A542B42F}"/>
    <cellStyle name="Note 9 2 2 2 3" xfId="7118" xr:uid="{00000000-0005-0000-0000-000069640000}"/>
    <cellStyle name="Note 9 2 2 2 3 2" xfId="15089" xr:uid="{00000000-0005-0000-0000-00006A640000}"/>
    <cellStyle name="Note 9 2 2 2 3 2 2" xfId="38931" xr:uid="{078FD4DD-EAF2-4535-A68D-C930A97BF291}"/>
    <cellStyle name="Note 9 2 2 2 3 3" xfId="23036" xr:uid="{00000000-0005-0000-0000-00006B640000}"/>
    <cellStyle name="Note 9 2 2 2 3 3 2" xfId="46868" xr:uid="{A2B42C10-33A2-4005-9D7E-0E4C70560091}"/>
    <cellStyle name="Note 9 2 2 2 3 4" xfId="30990" xr:uid="{C927B8EC-6E59-411A-8B59-040A882B5F8B}"/>
    <cellStyle name="Note 9 2 2 2 4" xfId="11553" xr:uid="{00000000-0005-0000-0000-00006C640000}"/>
    <cellStyle name="Note 9 2 2 2 4 2" xfId="35402" xr:uid="{DB1E7BDD-2FE9-4515-BFB2-FCA230E4DBF7}"/>
    <cellStyle name="Note 9 2 2 2 5" xfId="19508" xr:uid="{00000000-0005-0000-0000-00006D640000}"/>
    <cellStyle name="Note 9 2 2 2 5 2" xfId="43340" xr:uid="{3F47AA54-B958-4765-84CD-23357413E3A3}"/>
    <cellStyle name="Note 9 2 2 2 6" xfId="27460" xr:uid="{166A8905-D3A2-44D6-9CB9-78E488A62856}"/>
    <cellStyle name="Note 9 2 2 2_Exh G" xfId="3682" xr:uid="{00000000-0005-0000-0000-00006E640000}"/>
    <cellStyle name="Note 9 2 2 3" xfId="4407" xr:uid="{00000000-0005-0000-0000-00006F640000}"/>
    <cellStyle name="Note 9 2 2 3 2" xfId="7999" xr:uid="{00000000-0005-0000-0000-000070640000}"/>
    <cellStyle name="Note 9 2 2 3 2 2" xfId="15969" xr:uid="{00000000-0005-0000-0000-000071640000}"/>
    <cellStyle name="Note 9 2 2 3 2 2 2" xfId="39811" xr:uid="{1EFBE16C-39C7-44E4-BAFD-DA197FF3A81A}"/>
    <cellStyle name="Note 9 2 2 3 2 3" xfId="23915" xr:uid="{00000000-0005-0000-0000-000072640000}"/>
    <cellStyle name="Note 9 2 2 3 2 3 2" xfId="47747" xr:uid="{91E399AA-393D-4E0E-9791-3DAFBA206921}"/>
    <cellStyle name="Note 9 2 2 3 2 4" xfId="31870" xr:uid="{59D134C6-B0FA-402F-B60A-ECA87D3A4D13}"/>
    <cellStyle name="Note 9 2 2 3 3" xfId="12431" xr:uid="{00000000-0005-0000-0000-000073640000}"/>
    <cellStyle name="Note 9 2 2 3 3 2" xfId="36280" xr:uid="{3F556A19-C9A2-476F-9736-BA06CFA0D254}"/>
    <cellStyle name="Note 9 2 2 3 4" xfId="20386" xr:uid="{00000000-0005-0000-0000-000074640000}"/>
    <cellStyle name="Note 9 2 2 3 4 2" xfId="44218" xr:uid="{88F22C36-53C0-442B-B895-AB3436CB788D}"/>
    <cellStyle name="Note 9 2 2 3 5" xfId="28339" xr:uid="{C8BBE478-628E-43C8-9A4F-0F237F9505F8}"/>
    <cellStyle name="Note 9 2 2 4" xfId="6227" xr:uid="{00000000-0005-0000-0000-000075640000}"/>
    <cellStyle name="Note 9 2 2 4 2" xfId="14210" xr:uid="{00000000-0005-0000-0000-000076640000}"/>
    <cellStyle name="Note 9 2 2 4 2 2" xfId="38053" xr:uid="{06722C63-491B-40EE-910F-3E0EC976BA36}"/>
    <cellStyle name="Note 9 2 2 4 3" xfId="22158" xr:uid="{00000000-0005-0000-0000-000077640000}"/>
    <cellStyle name="Note 9 2 2 4 3 2" xfId="45990" xr:uid="{50761395-11F3-4477-8B4E-AF71A9BAB984}"/>
    <cellStyle name="Note 9 2 2 4 4" xfId="30112" xr:uid="{83ADB7C1-33FC-4EAD-A531-65CB663C696D}"/>
    <cellStyle name="Note 9 2 2 5" xfId="9779" xr:uid="{00000000-0005-0000-0000-000078640000}"/>
    <cellStyle name="Note 9 2 2 5 2" xfId="17737" xr:uid="{00000000-0005-0000-0000-000079640000}"/>
    <cellStyle name="Note 9 2 2 5 2 2" xfId="41577" xr:uid="{29272D50-0AC3-4DCD-BE6D-5547D13989D9}"/>
    <cellStyle name="Note 9 2 2 5 3" xfId="25681" xr:uid="{00000000-0005-0000-0000-00007A640000}"/>
    <cellStyle name="Note 9 2 2 5 3 2" xfId="49513" xr:uid="{B9B36932-535D-48A7-BDF8-4039689ABF63}"/>
    <cellStyle name="Note 9 2 2 5 4" xfId="33636" xr:uid="{37DC56FC-852B-4665-80D1-96157414653C}"/>
    <cellStyle name="Note 9 2 2 6" xfId="10675" xr:uid="{00000000-0005-0000-0000-00007B640000}"/>
    <cellStyle name="Note 9 2 2 6 2" xfId="34524" xr:uid="{EB985E95-1468-438A-9455-BEF23B2D1286}"/>
    <cellStyle name="Note 9 2 2 7" xfId="18630" xr:uid="{00000000-0005-0000-0000-00007C640000}"/>
    <cellStyle name="Note 9 2 2 7 2" xfId="42462" xr:uid="{37218FD2-1018-4F1A-AD78-710F959A928F}"/>
    <cellStyle name="Note 9 2 2 8" xfId="26582" xr:uid="{A18FFB61-E257-4B9E-802C-1C10DEB0BF77}"/>
    <cellStyle name="Note 9 2 2_Exh G" xfId="3681" xr:uid="{00000000-0005-0000-0000-00007D640000}"/>
    <cellStyle name="Note 9 2 3" xfId="1758" xr:uid="{00000000-0005-0000-0000-00007E640000}"/>
    <cellStyle name="Note 9 2 3 2" xfId="5285" xr:uid="{00000000-0005-0000-0000-00007F640000}"/>
    <cellStyle name="Note 9 2 3 2 2" xfId="8876" xr:uid="{00000000-0005-0000-0000-000080640000}"/>
    <cellStyle name="Note 9 2 3 2 2 2" xfId="16846" xr:uid="{00000000-0005-0000-0000-000081640000}"/>
    <cellStyle name="Note 9 2 3 2 2 2 2" xfId="40688" xr:uid="{3BB1BFBD-2CE6-4F99-85CD-08377CDE41CF}"/>
    <cellStyle name="Note 9 2 3 2 2 3" xfId="24792" xr:uid="{00000000-0005-0000-0000-000082640000}"/>
    <cellStyle name="Note 9 2 3 2 2 3 2" xfId="48624" xr:uid="{12EC2A26-DBD7-4457-A71D-B18B20149CAE}"/>
    <cellStyle name="Note 9 2 3 2 2 4" xfId="32747" xr:uid="{913125BA-48CE-413E-844C-F9F6357B5E11}"/>
    <cellStyle name="Note 9 2 3 2 3" xfId="13308" xr:uid="{00000000-0005-0000-0000-000083640000}"/>
    <cellStyle name="Note 9 2 3 2 3 2" xfId="37157" xr:uid="{76A0EBB1-208B-4902-AFCF-B863942F4F13}"/>
    <cellStyle name="Note 9 2 3 2 4" xfId="21263" xr:uid="{00000000-0005-0000-0000-000084640000}"/>
    <cellStyle name="Note 9 2 3 2 4 2" xfId="45095" xr:uid="{BE569910-21A3-4387-9B9E-DA58FFB91038}"/>
    <cellStyle name="Note 9 2 3 2 5" xfId="29216" xr:uid="{16D98DC3-78BD-4290-B2D1-4AD97773FB77}"/>
    <cellStyle name="Note 9 2 3 3" xfId="7117" xr:uid="{00000000-0005-0000-0000-000085640000}"/>
    <cellStyle name="Note 9 2 3 3 2" xfId="15088" xr:uid="{00000000-0005-0000-0000-000086640000}"/>
    <cellStyle name="Note 9 2 3 3 2 2" xfId="38930" xr:uid="{6B631D50-00E4-48EA-A506-EBFFDD73F1A3}"/>
    <cellStyle name="Note 9 2 3 3 3" xfId="23035" xr:uid="{00000000-0005-0000-0000-000087640000}"/>
    <cellStyle name="Note 9 2 3 3 3 2" xfId="46867" xr:uid="{CF5FEBFB-F4B8-40AD-9962-0D91C34BCE84}"/>
    <cellStyle name="Note 9 2 3 3 4" xfId="30989" xr:uid="{0158848B-0761-4643-B0F8-D7B91262020C}"/>
    <cellStyle name="Note 9 2 3 4" xfId="11552" xr:uid="{00000000-0005-0000-0000-000088640000}"/>
    <cellStyle name="Note 9 2 3 4 2" xfId="35401" xr:uid="{E0A60404-9383-4654-AC06-E5EF29779FC7}"/>
    <cellStyle name="Note 9 2 3 5" xfId="19507" xr:uid="{00000000-0005-0000-0000-000089640000}"/>
    <cellStyle name="Note 9 2 3 5 2" xfId="43339" xr:uid="{9CC48B5C-1FDC-490E-9E21-F10400B1D813}"/>
    <cellStyle name="Note 9 2 3 6" xfId="27459" xr:uid="{2A7D0932-7982-46E8-BE35-C49DBFDB90BA}"/>
    <cellStyle name="Note 9 2 3_Exh G" xfId="3683" xr:uid="{00000000-0005-0000-0000-00008A640000}"/>
    <cellStyle name="Note 9 2 4" xfId="4406" xr:uid="{00000000-0005-0000-0000-00008B640000}"/>
    <cellStyle name="Note 9 2 4 2" xfId="7998" xr:uid="{00000000-0005-0000-0000-00008C640000}"/>
    <cellStyle name="Note 9 2 4 2 2" xfId="15968" xr:uid="{00000000-0005-0000-0000-00008D640000}"/>
    <cellStyle name="Note 9 2 4 2 2 2" xfId="39810" xr:uid="{952586E8-D0E2-40CB-B3C8-C0E86334BF46}"/>
    <cellStyle name="Note 9 2 4 2 3" xfId="23914" xr:uid="{00000000-0005-0000-0000-00008E640000}"/>
    <cellStyle name="Note 9 2 4 2 3 2" xfId="47746" xr:uid="{9816545D-6831-4973-91DD-F89D0893BBE3}"/>
    <cellStyle name="Note 9 2 4 2 4" xfId="31869" xr:uid="{1524D5FB-7BB1-4CFE-B1D6-04C34170FE75}"/>
    <cellStyle name="Note 9 2 4 3" xfId="12430" xr:uid="{00000000-0005-0000-0000-00008F640000}"/>
    <cellStyle name="Note 9 2 4 3 2" xfId="36279" xr:uid="{7EDE5BB3-B91A-4051-8F19-39525599E51C}"/>
    <cellStyle name="Note 9 2 4 4" xfId="20385" xr:uid="{00000000-0005-0000-0000-000090640000}"/>
    <cellStyle name="Note 9 2 4 4 2" xfId="44217" xr:uid="{2C166FE7-8094-46ED-B450-B287ED046DEF}"/>
    <cellStyle name="Note 9 2 4 5" xfId="28338" xr:uid="{A09D6DCC-DCA6-4553-8F20-F9B488CC13BA}"/>
    <cellStyle name="Note 9 2 5" xfId="6226" xr:uid="{00000000-0005-0000-0000-000091640000}"/>
    <cellStyle name="Note 9 2 5 2" xfId="14209" xr:uid="{00000000-0005-0000-0000-000092640000}"/>
    <cellStyle name="Note 9 2 5 2 2" xfId="38052" xr:uid="{1EB43644-1CC8-4657-AF56-0755C72A3C89}"/>
    <cellStyle name="Note 9 2 5 3" xfId="22157" xr:uid="{00000000-0005-0000-0000-000093640000}"/>
    <cellStyle name="Note 9 2 5 3 2" xfId="45989" xr:uid="{EB92B02A-CC55-4D84-AC85-6E90C488D82D}"/>
    <cellStyle name="Note 9 2 5 4" xfId="30111" xr:uid="{6C9076B9-5776-4296-8FF6-A39F1891041A}"/>
    <cellStyle name="Note 9 2 6" xfId="9778" xr:uid="{00000000-0005-0000-0000-000094640000}"/>
    <cellStyle name="Note 9 2 6 2" xfId="17736" xr:uid="{00000000-0005-0000-0000-000095640000}"/>
    <cellStyle name="Note 9 2 6 2 2" xfId="41576" xr:uid="{C39C2126-F5A1-4803-86F7-2DE346FFB5F7}"/>
    <cellStyle name="Note 9 2 6 3" xfId="25680" xr:uid="{00000000-0005-0000-0000-000096640000}"/>
    <cellStyle name="Note 9 2 6 3 2" xfId="49512" xr:uid="{BB05DF12-8D10-4A1C-AD6D-94E3EF766631}"/>
    <cellStyle name="Note 9 2 6 4" xfId="33635" xr:uid="{AC8705EE-7DA1-4D36-B381-77BA644BE889}"/>
    <cellStyle name="Note 9 2 7" xfId="10674" xr:uid="{00000000-0005-0000-0000-000097640000}"/>
    <cellStyle name="Note 9 2 7 2" xfId="34523" xr:uid="{AB17183B-8372-4FE9-8A5C-B227B8BEAFA7}"/>
    <cellStyle name="Note 9 2 8" xfId="18629" xr:uid="{00000000-0005-0000-0000-000098640000}"/>
    <cellStyle name="Note 9 2 8 2" xfId="42461" xr:uid="{CE486E6A-AE1A-4C18-A7DB-5AEE510096FA}"/>
    <cellStyle name="Note 9 2 9" xfId="26581" xr:uid="{5185B392-403C-40F1-A600-A94F930EF2C3}"/>
    <cellStyle name="Note 9 2_Exh G" xfId="3680" xr:uid="{00000000-0005-0000-0000-000099640000}"/>
    <cellStyle name="Note 9 3" xfId="734" xr:uid="{00000000-0005-0000-0000-00009A640000}"/>
    <cellStyle name="Note 9 3 2" xfId="1760" xr:uid="{00000000-0005-0000-0000-00009B640000}"/>
    <cellStyle name="Note 9 3 2 2" xfId="5287" xr:uid="{00000000-0005-0000-0000-00009C640000}"/>
    <cellStyle name="Note 9 3 2 2 2" xfId="8878" xr:uid="{00000000-0005-0000-0000-00009D640000}"/>
    <cellStyle name="Note 9 3 2 2 2 2" xfId="16848" xr:uid="{00000000-0005-0000-0000-00009E640000}"/>
    <cellStyle name="Note 9 3 2 2 2 2 2" xfId="40690" xr:uid="{7BA52E4B-BEA9-4E81-888B-0F16DEED7B7F}"/>
    <cellStyle name="Note 9 3 2 2 2 3" xfId="24794" xr:uid="{00000000-0005-0000-0000-00009F640000}"/>
    <cellStyle name="Note 9 3 2 2 2 3 2" xfId="48626" xr:uid="{F088ADB2-8808-4F78-8A9B-F26AF4447D27}"/>
    <cellStyle name="Note 9 3 2 2 2 4" xfId="32749" xr:uid="{121FDCA3-06B5-4493-A6EF-B9E80552D087}"/>
    <cellStyle name="Note 9 3 2 2 3" xfId="13310" xr:uid="{00000000-0005-0000-0000-0000A0640000}"/>
    <cellStyle name="Note 9 3 2 2 3 2" xfId="37159" xr:uid="{FCABA7E6-2460-4BB1-BFBA-B8FC3E78DD35}"/>
    <cellStyle name="Note 9 3 2 2 4" xfId="21265" xr:uid="{00000000-0005-0000-0000-0000A1640000}"/>
    <cellStyle name="Note 9 3 2 2 4 2" xfId="45097" xr:uid="{0DE34CCF-FB3E-42BC-86FE-97474D989DD3}"/>
    <cellStyle name="Note 9 3 2 2 5" xfId="29218" xr:uid="{BFA1A0DC-AC88-4671-898A-F8C1B795F6B7}"/>
    <cellStyle name="Note 9 3 2 3" xfId="7119" xr:uid="{00000000-0005-0000-0000-0000A2640000}"/>
    <cellStyle name="Note 9 3 2 3 2" xfId="15090" xr:uid="{00000000-0005-0000-0000-0000A3640000}"/>
    <cellStyle name="Note 9 3 2 3 2 2" xfId="38932" xr:uid="{6DF68F2E-9056-44E8-8FF2-2EC4D957C92B}"/>
    <cellStyle name="Note 9 3 2 3 3" xfId="23037" xr:uid="{00000000-0005-0000-0000-0000A4640000}"/>
    <cellStyle name="Note 9 3 2 3 3 2" xfId="46869" xr:uid="{E7E32DBC-AC83-432E-9A1B-691590658963}"/>
    <cellStyle name="Note 9 3 2 3 4" xfId="30991" xr:uid="{3684B375-E59C-46C0-A947-D8E182BED6D1}"/>
    <cellStyle name="Note 9 3 2 4" xfId="11554" xr:uid="{00000000-0005-0000-0000-0000A5640000}"/>
    <cellStyle name="Note 9 3 2 4 2" xfId="35403" xr:uid="{0629671D-4FA6-4CD1-8C23-23722B992BE7}"/>
    <cellStyle name="Note 9 3 2 5" xfId="19509" xr:uid="{00000000-0005-0000-0000-0000A6640000}"/>
    <cellStyle name="Note 9 3 2 5 2" xfId="43341" xr:uid="{32E4144E-1792-4A8F-8E20-BB216C2F481A}"/>
    <cellStyle name="Note 9 3 2 6" xfId="27461" xr:uid="{4B26D67F-4328-4822-948A-C2A5E08ECC55}"/>
    <cellStyle name="Note 9 3 2_Exh G" xfId="3685" xr:uid="{00000000-0005-0000-0000-0000A7640000}"/>
    <cellStyle name="Note 9 3 3" xfId="4408" xr:uid="{00000000-0005-0000-0000-0000A8640000}"/>
    <cellStyle name="Note 9 3 3 2" xfId="8000" xr:uid="{00000000-0005-0000-0000-0000A9640000}"/>
    <cellStyle name="Note 9 3 3 2 2" xfId="15970" xr:uid="{00000000-0005-0000-0000-0000AA640000}"/>
    <cellStyle name="Note 9 3 3 2 2 2" xfId="39812" xr:uid="{025402E5-89FA-47C7-AAF8-CC30F966A95D}"/>
    <cellStyle name="Note 9 3 3 2 3" xfId="23916" xr:uid="{00000000-0005-0000-0000-0000AB640000}"/>
    <cellStyle name="Note 9 3 3 2 3 2" xfId="47748" xr:uid="{85655C44-CA1C-4E5F-A4C2-ABE55C91B7EB}"/>
    <cellStyle name="Note 9 3 3 2 4" xfId="31871" xr:uid="{55C0D61F-6845-4FDC-BFEF-916AA714DF0B}"/>
    <cellStyle name="Note 9 3 3 3" xfId="12432" xr:uid="{00000000-0005-0000-0000-0000AC640000}"/>
    <cellStyle name="Note 9 3 3 3 2" xfId="36281" xr:uid="{A9F54A81-4971-4B9C-B747-733A73440430}"/>
    <cellStyle name="Note 9 3 3 4" xfId="20387" xr:uid="{00000000-0005-0000-0000-0000AD640000}"/>
    <cellStyle name="Note 9 3 3 4 2" xfId="44219" xr:uid="{071D1F73-4DEA-47B2-9963-E7450FBA5BC1}"/>
    <cellStyle name="Note 9 3 3 5" xfId="28340" xr:uid="{10A356E1-703E-4BA8-BB5F-89F19340AEB4}"/>
    <cellStyle name="Note 9 3 4" xfId="6228" xr:uid="{00000000-0005-0000-0000-0000AE640000}"/>
    <cellStyle name="Note 9 3 4 2" xfId="14211" xr:uid="{00000000-0005-0000-0000-0000AF640000}"/>
    <cellStyle name="Note 9 3 4 2 2" xfId="38054" xr:uid="{2A5B5B53-711F-484A-BBD2-18046760BF61}"/>
    <cellStyle name="Note 9 3 4 3" xfId="22159" xr:uid="{00000000-0005-0000-0000-0000B0640000}"/>
    <cellStyle name="Note 9 3 4 3 2" xfId="45991" xr:uid="{D855488D-BE13-4326-9B5A-D73F6E948206}"/>
    <cellStyle name="Note 9 3 4 4" xfId="30113" xr:uid="{1FE304DB-EDA2-4876-BBB6-917105D9E9FE}"/>
    <cellStyle name="Note 9 3 5" xfId="9780" xr:uid="{00000000-0005-0000-0000-0000B1640000}"/>
    <cellStyle name="Note 9 3 5 2" xfId="17738" xr:uid="{00000000-0005-0000-0000-0000B2640000}"/>
    <cellStyle name="Note 9 3 5 2 2" xfId="41578" xr:uid="{D869A498-2E05-4320-9410-39124CA16A02}"/>
    <cellStyle name="Note 9 3 5 3" xfId="25682" xr:uid="{00000000-0005-0000-0000-0000B3640000}"/>
    <cellStyle name="Note 9 3 5 3 2" xfId="49514" xr:uid="{FA716C05-1469-4773-819A-8DF163AF5753}"/>
    <cellStyle name="Note 9 3 5 4" xfId="33637" xr:uid="{5EC47388-7488-40BA-93CA-8919656C2AEA}"/>
    <cellStyle name="Note 9 3 6" xfId="10676" xr:uid="{00000000-0005-0000-0000-0000B4640000}"/>
    <cellStyle name="Note 9 3 6 2" xfId="34525" xr:uid="{34C0D769-605B-4B84-8CC5-31E8C2BB7219}"/>
    <cellStyle name="Note 9 3 7" xfId="18631" xr:uid="{00000000-0005-0000-0000-0000B5640000}"/>
    <cellStyle name="Note 9 3 7 2" xfId="42463" xr:uid="{73370D5C-FF90-4822-957A-70087EB19867}"/>
    <cellStyle name="Note 9 3 8" xfId="26583" xr:uid="{CAFDE4F9-349A-41D7-8DD4-F04AD2FF9896}"/>
    <cellStyle name="Note 9 3_Exh G" xfId="3684" xr:uid="{00000000-0005-0000-0000-0000B6640000}"/>
    <cellStyle name="Note 9 4" xfId="1037" xr:uid="{00000000-0005-0000-0000-0000B7640000}"/>
    <cellStyle name="Note 9 4 2" xfId="1932" xr:uid="{00000000-0005-0000-0000-0000B8640000}"/>
    <cellStyle name="Note 9 4 2 2" xfId="5449" xr:uid="{00000000-0005-0000-0000-0000B9640000}"/>
    <cellStyle name="Note 9 4 2 2 2" xfId="9040" xr:uid="{00000000-0005-0000-0000-0000BA640000}"/>
    <cellStyle name="Note 9 4 2 2 2 2" xfId="17010" xr:uid="{00000000-0005-0000-0000-0000BB640000}"/>
    <cellStyle name="Note 9 4 2 2 2 2 2" xfId="40852" xr:uid="{85F5DB24-E768-4C5D-89E7-BC9EC28DC9A3}"/>
    <cellStyle name="Note 9 4 2 2 2 3" xfId="24956" xr:uid="{00000000-0005-0000-0000-0000BC640000}"/>
    <cellStyle name="Note 9 4 2 2 2 3 2" xfId="48788" xr:uid="{4FF6F304-2880-4723-B83E-00B41D78F801}"/>
    <cellStyle name="Note 9 4 2 2 2 4" xfId="32911" xr:uid="{F854AF45-7057-41EC-A750-1B1A5A7CD89F}"/>
    <cellStyle name="Note 9 4 2 2 3" xfId="13472" xr:uid="{00000000-0005-0000-0000-0000BD640000}"/>
    <cellStyle name="Note 9 4 2 2 3 2" xfId="37321" xr:uid="{F35A9143-9507-47AB-9AFA-CFDC65AD70D2}"/>
    <cellStyle name="Note 9 4 2 2 4" xfId="21427" xr:uid="{00000000-0005-0000-0000-0000BE640000}"/>
    <cellStyle name="Note 9 4 2 2 4 2" xfId="45259" xr:uid="{05CDFAFE-43A0-4DB7-AD40-513E05FDBE39}"/>
    <cellStyle name="Note 9 4 2 2 5" xfId="29380" xr:uid="{FCB04ED0-1D36-4610-8197-5FF83ACCA4C3}"/>
    <cellStyle name="Note 9 4 2 3" xfId="7281" xr:uid="{00000000-0005-0000-0000-0000BF640000}"/>
    <cellStyle name="Note 9 4 2 3 2" xfId="15252" xr:uid="{00000000-0005-0000-0000-0000C0640000}"/>
    <cellStyle name="Note 9 4 2 3 2 2" xfId="39094" xr:uid="{C6ACBE81-6FE8-4D6F-8A92-3C87EF40DA2B}"/>
    <cellStyle name="Note 9 4 2 3 3" xfId="23199" xr:uid="{00000000-0005-0000-0000-0000C1640000}"/>
    <cellStyle name="Note 9 4 2 3 3 2" xfId="47031" xr:uid="{9FE996E6-5A70-428C-9963-5D10D49BD029}"/>
    <cellStyle name="Note 9 4 2 3 4" xfId="31153" xr:uid="{2F18982D-C728-458B-8290-047945938E0A}"/>
    <cellStyle name="Note 9 4 2 4" xfId="11716" xr:uid="{00000000-0005-0000-0000-0000C2640000}"/>
    <cellStyle name="Note 9 4 2 4 2" xfId="35565" xr:uid="{97DE4D4F-3165-446A-938C-831C0565C8D0}"/>
    <cellStyle name="Note 9 4 2 5" xfId="19671" xr:uid="{00000000-0005-0000-0000-0000C3640000}"/>
    <cellStyle name="Note 9 4 2 5 2" xfId="43503" xr:uid="{2548050B-672E-4F1A-9EA3-7D6BF103A094}"/>
    <cellStyle name="Note 9 4 2 6" xfId="27623" xr:uid="{07606C73-9462-4344-8A22-EEF9B12042A0}"/>
    <cellStyle name="Note 9 4 2_Exh G" xfId="3687" xr:uid="{00000000-0005-0000-0000-0000C4640000}"/>
    <cellStyle name="Note 9 4 3" xfId="4570" xr:uid="{00000000-0005-0000-0000-0000C5640000}"/>
    <cellStyle name="Note 9 4 3 2" xfId="8162" xr:uid="{00000000-0005-0000-0000-0000C6640000}"/>
    <cellStyle name="Note 9 4 3 2 2" xfId="16132" xr:uid="{00000000-0005-0000-0000-0000C7640000}"/>
    <cellStyle name="Note 9 4 3 2 2 2" xfId="39974" xr:uid="{4BD1D994-2BE2-4513-BB17-3EDE5B9C6899}"/>
    <cellStyle name="Note 9 4 3 2 3" xfId="24078" xr:uid="{00000000-0005-0000-0000-0000C8640000}"/>
    <cellStyle name="Note 9 4 3 2 3 2" xfId="47910" xr:uid="{78C8BB83-55B4-47FB-A6A1-874823D1B441}"/>
    <cellStyle name="Note 9 4 3 2 4" xfId="32033" xr:uid="{B8E10B37-B55A-4043-A061-72FF0C3E7000}"/>
    <cellStyle name="Note 9 4 3 3" xfId="12594" xr:uid="{00000000-0005-0000-0000-0000C9640000}"/>
    <cellStyle name="Note 9 4 3 3 2" xfId="36443" xr:uid="{D3677765-E255-499A-A9DD-20203B96DFD5}"/>
    <cellStyle name="Note 9 4 3 4" xfId="20549" xr:uid="{00000000-0005-0000-0000-0000CA640000}"/>
    <cellStyle name="Note 9 4 3 4 2" xfId="44381" xr:uid="{1C9B6469-67D7-4E5D-8728-FEC0F7BF5E3E}"/>
    <cellStyle name="Note 9 4 3 5" xfId="28502" xr:uid="{6ACAD47C-00A5-4E27-99EC-514D1F554E74}"/>
    <cellStyle name="Note 9 4 4" xfId="6402" xr:uid="{00000000-0005-0000-0000-0000CB640000}"/>
    <cellStyle name="Note 9 4 4 2" xfId="14374" xr:uid="{00000000-0005-0000-0000-0000CC640000}"/>
    <cellStyle name="Note 9 4 4 2 2" xfId="38216" xr:uid="{44A4CB88-4953-4B88-BAC7-19189840842C}"/>
    <cellStyle name="Note 9 4 4 3" xfId="22321" xr:uid="{00000000-0005-0000-0000-0000CD640000}"/>
    <cellStyle name="Note 9 4 4 3 2" xfId="46153" xr:uid="{AE891A76-2F3F-4972-BBED-666CA2CDA770}"/>
    <cellStyle name="Note 9 4 4 4" xfId="30275" xr:uid="{870B71CA-450C-4469-989F-4A150849CAFA}"/>
    <cellStyle name="Note 9 4 5" xfId="9942" xr:uid="{00000000-0005-0000-0000-0000CE640000}"/>
    <cellStyle name="Note 9 4 5 2" xfId="17900" xr:uid="{00000000-0005-0000-0000-0000CF640000}"/>
    <cellStyle name="Note 9 4 5 2 2" xfId="41740" xr:uid="{CDC63EC5-9A76-4C83-B319-B981DF13F7CD}"/>
    <cellStyle name="Note 9 4 5 3" xfId="25844" xr:uid="{00000000-0005-0000-0000-0000D0640000}"/>
    <cellStyle name="Note 9 4 5 3 2" xfId="49676" xr:uid="{B47A73D7-7BF9-422B-B981-6C9879313EAF}"/>
    <cellStyle name="Note 9 4 5 4" xfId="33799" xr:uid="{624C4EE8-59C5-4D17-86EC-F730D2450BA0}"/>
    <cellStyle name="Note 9 4 6" xfId="10838" xr:uid="{00000000-0005-0000-0000-0000D1640000}"/>
    <cellStyle name="Note 9 4 6 2" xfId="34687" xr:uid="{E44B7865-C2CF-435A-8162-3A504C97FBC8}"/>
    <cellStyle name="Note 9 4 7" xfId="18793" xr:uid="{00000000-0005-0000-0000-0000D2640000}"/>
    <cellStyle name="Note 9 4 7 2" xfId="42625" xr:uid="{17B125CC-9029-43B8-9CCD-EF5E64807373}"/>
    <cellStyle name="Note 9 4 8" xfId="26745" xr:uid="{68465ACF-3318-42D2-894D-4F3EAFF5A991}"/>
    <cellStyle name="Note 9 4_Exh G" xfId="3686" xr:uid="{00000000-0005-0000-0000-0000D3640000}"/>
    <cellStyle name="Note 9 5" xfId="1757" xr:uid="{00000000-0005-0000-0000-0000D4640000}"/>
    <cellStyle name="Note 9 5 2" xfId="5284" xr:uid="{00000000-0005-0000-0000-0000D5640000}"/>
    <cellStyle name="Note 9 5 2 2" xfId="8875" xr:uid="{00000000-0005-0000-0000-0000D6640000}"/>
    <cellStyle name="Note 9 5 2 2 2" xfId="16845" xr:uid="{00000000-0005-0000-0000-0000D7640000}"/>
    <cellStyle name="Note 9 5 2 2 2 2" xfId="40687" xr:uid="{E2784E14-631A-49F8-A183-20F4BBC34474}"/>
    <cellStyle name="Note 9 5 2 2 3" xfId="24791" xr:uid="{00000000-0005-0000-0000-0000D8640000}"/>
    <cellStyle name="Note 9 5 2 2 3 2" xfId="48623" xr:uid="{44C01FFE-FF1F-4B4B-BE37-7B5D55DDA016}"/>
    <cellStyle name="Note 9 5 2 2 4" xfId="32746" xr:uid="{E5D1CB3B-DBC6-400C-B6BE-3AEAB52CE928}"/>
    <cellStyle name="Note 9 5 2 3" xfId="13307" xr:uid="{00000000-0005-0000-0000-0000D9640000}"/>
    <cellStyle name="Note 9 5 2 3 2" xfId="37156" xr:uid="{0CC1E72F-7F09-4E67-9688-1AB72169C69C}"/>
    <cellStyle name="Note 9 5 2 4" xfId="21262" xr:uid="{00000000-0005-0000-0000-0000DA640000}"/>
    <cellStyle name="Note 9 5 2 4 2" xfId="45094" xr:uid="{031118EF-EFDF-497A-8D96-956A132594D5}"/>
    <cellStyle name="Note 9 5 2 5" xfId="29215" xr:uid="{4875B6C3-E4D1-4893-B2A8-EB62E0761EBA}"/>
    <cellStyle name="Note 9 5 3" xfId="7116" xr:uid="{00000000-0005-0000-0000-0000DB640000}"/>
    <cellStyle name="Note 9 5 3 2" xfId="15087" xr:uid="{00000000-0005-0000-0000-0000DC640000}"/>
    <cellStyle name="Note 9 5 3 2 2" xfId="38929" xr:uid="{22D0326C-02FD-4950-988B-8CDECF1E124E}"/>
    <cellStyle name="Note 9 5 3 3" xfId="23034" xr:uid="{00000000-0005-0000-0000-0000DD640000}"/>
    <cellStyle name="Note 9 5 3 3 2" xfId="46866" xr:uid="{EC09DB24-E68C-4DC3-9E3E-E7470C7A5CFF}"/>
    <cellStyle name="Note 9 5 3 4" xfId="30988" xr:uid="{8338139E-CBF8-4580-B6B2-59B5DE317D85}"/>
    <cellStyle name="Note 9 5 4" xfId="11551" xr:uid="{00000000-0005-0000-0000-0000DE640000}"/>
    <cellStyle name="Note 9 5 4 2" xfId="35400" xr:uid="{EEEBB55E-EB5E-4B40-A415-91404DE198E0}"/>
    <cellStyle name="Note 9 5 5" xfId="19506" xr:uid="{00000000-0005-0000-0000-0000DF640000}"/>
    <cellStyle name="Note 9 5 5 2" xfId="43338" xr:uid="{6A2CBF48-990B-4B7A-AD9F-DFE9B31C5C1E}"/>
    <cellStyle name="Note 9 5 6" xfId="27458" xr:uid="{B46E9553-82F2-4BB0-9687-1C51FDFCBB2F}"/>
    <cellStyle name="Note 9 5_Exh G" xfId="3688" xr:uid="{00000000-0005-0000-0000-0000E0640000}"/>
    <cellStyle name="Note 9 6" xfId="4405" xr:uid="{00000000-0005-0000-0000-0000E1640000}"/>
    <cellStyle name="Note 9 6 2" xfId="7997" xr:uid="{00000000-0005-0000-0000-0000E2640000}"/>
    <cellStyle name="Note 9 6 2 2" xfId="15967" xr:uid="{00000000-0005-0000-0000-0000E3640000}"/>
    <cellStyle name="Note 9 6 2 2 2" xfId="39809" xr:uid="{F3442581-C66B-4807-B45B-E27AA1C13D99}"/>
    <cellStyle name="Note 9 6 2 3" xfId="23913" xr:uid="{00000000-0005-0000-0000-0000E4640000}"/>
    <cellStyle name="Note 9 6 2 3 2" xfId="47745" xr:uid="{7AB757CF-CCD2-4E5D-A0A5-8BAF19F415BF}"/>
    <cellStyle name="Note 9 6 2 4" xfId="31868" xr:uid="{82152DC6-DD9C-4034-8B66-AEE997C635CA}"/>
    <cellStyle name="Note 9 6 3" xfId="12429" xr:uid="{00000000-0005-0000-0000-0000E5640000}"/>
    <cellStyle name="Note 9 6 3 2" xfId="36278" xr:uid="{22F523A3-1225-46F2-8910-7C265C5DCC36}"/>
    <cellStyle name="Note 9 6 4" xfId="20384" xr:uid="{00000000-0005-0000-0000-0000E6640000}"/>
    <cellStyle name="Note 9 6 4 2" xfId="44216" xr:uid="{63C1CCD7-746F-4032-9FD5-82C7F288995B}"/>
    <cellStyle name="Note 9 6 5" xfId="28337" xr:uid="{6033349D-DA3A-4F38-B015-575531D4E7A5}"/>
    <cellStyle name="Note 9 7" xfId="6225" xr:uid="{00000000-0005-0000-0000-0000E7640000}"/>
    <cellStyle name="Note 9 7 2" xfId="14208" xr:uid="{00000000-0005-0000-0000-0000E8640000}"/>
    <cellStyle name="Note 9 7 2 2" xfId="38051" xr:uid="{F8A12693-B556-47A7-A9FA-DD7ACB6301E3}"/>
    <cellStyle name="Note 9 7 3" xfId="22156" xr:uid="{00000000-0005-0000-0000-0000E9640000}"/>
    <cellStyle name="Note 9 7 3 2" xfId="45988" xr:uid="{9DEFCB75-D49F-495D-B4B6-B6E68D2469AD}"/>
    <cellStyle name="Note 9 7 4" xfId="30110" xr:uid="{A70B7A2C-1211-45ED-BA8F-6B93FCED5545}"/>
    <cellStyle name="Note 9 8" xfId="9777" xr:uid="{00000000-0005-0000-0000-0000EA640000}"/>
    <cellStyle name="Note 9 8 2" xfId="17735" xr:uid="{00000000-0005-0000-0000-0000EB640000}"/>
    <cellStyle name="Note 9 8 2 2" xfId="41575" xr:uid="{50E5D5B6-8394-4308-BCFA-E2C55E89E792}"/>
    <cellStyle name="Note 9 8 3" xfId="25679" xr:uid="{00000000-0005-0000-0000-0000EC640000}"/>
    <cellStyle name="Note 9 8 3 2" xfId="49511" xr:uid="{3631378F-98BE-45FC-9208-116AA7BD97B6}"/>
    <cellStyle name="Note 9 8 4" xfId="33634" xr:uid="{C08FB77F-2549-4656-9792-D82943581AAC}"/>
    <cellStyle name="Note 9 9" xfId="10673" xr:uid="{00000000-0005-0000-0000-0000ED640000}"/>
    <cellStyle name="Note 9 9 2" xfId="34522" xr:uid="{C0476EFF-DB74-4AFB-917A-2D96C5A2BBE5}"/>
    <cellStyle name="Note 9_Exh G" xfId="3679" xr:uid="{00000000-0005-0000-0000-0000EE640000}"/>
    <cellStyle name="Output 2" xfId="812" xr:uid="{00000000-0005-0000-0000-0000EF640000}"/>
    <cellStyle name="Output 3" xfId="813" xr:uid="{00000000-0005-0000-0000-0000F0640000}"/>
    <cellStyle name="Output 3 2" xfId="6236" xr:uid="{00000000-0005-0000-0000-0000F1640000}"/>
    <cellStyle name="Output 4" xfId="814" xr:uid="{00000000-0005-0000-0000-0000F2640000}"/>
    <cellStyle name="Output 4 2" xfId="6237" xr:uid="{00000000-0005-0000-0000-0000F3640000}"/>
    <cellStyle name="Output Amounts" xfId="9" xr:uid="{00000000-0005-0000-0000-0000F4640000}"/>
    <cellStyle name="Output Column Headings" xfId="10" xr:uid="{00000000-0005-0000-0000-0000F5640000}"/>
    <cellStyle name="Output Line Items" xfId="11" xr:uid="{00000000-0005-0000-0000-0000F6640000}"/>
    <cellStyle name="Output Line Items 2" xfId="3691" xr:uid="{00000000-0005-0000-0000-0000F7640000}"/>
    <cellStyle name="Output Line Items 2 2" xfId="7284" xr:uid="{00000000-0005-0000-0000-0000F8640000}"/>
    <cellStyle name="Output Line Items 2 2 2" xfId="15254" xr:uid="{00000000-0005-0000-0000-0000F9640000}"/>
    <cellStyle name="Output Line Items 2 2 2 2" xfId="39096" xr:uid="{DD1B4581-ED16-4FE9-8D26-767DF391F833}"/>
    <cellStyle name="Output Line Items 2 2 3" xfId="31155" xr:uid="{6B9629A4-57B1-41F7-9C4F-31C740D38E2A}"/>
    <cellStyle name="Output Line Items 2 3" xfId="27624" xr:uid="{D68E4EC4-62A1-4E83-B9F6-A0869640F005}"/>
    <cellStyle name="Output Line Items 3" xfId="5452" xr:uid="{00000000-0005-0000-0000-0000FA640000}"/>
    <cellStyle name="Output Line Items 3 2" xfId="13473" xr:uid="{00000000-0005-0000-0000-0000FB640000}"/>
    <cellStyle name="Output Line Items 3 2 2" xfId="37322" xr:uid="{9F230919-D3E3-4D78-A5E8-B6F0F7FCFD58}"/>
    <cellStyle name="Output Line Items 3 3" xfId="29381" xr:uid="{E56313D5-4E26-4450-B7FF-567F3DD9AAEC}"/>
    <cellStyle name="Output Line Items 4" xfId="25867" xr:uid="{DAC44F73-0623-4BAD-BBDC-2544B852F1F6}"/>
    <cellStyle name="Output Line Items 5" xfId="49822" xr:uid="{A6CAE701-5986-412A-B9D2-3D3EF86F7C09}"/>
    <cellStyle name="Output Line Items_Exh G" xfId="3689" xr:uid="{00000000-0005-0000-0000-0000FC640000}"/>
    <cellStyle name="Output Report Heading" xfId="12" xr:uid="{00000000-0005-0000-0000-0000FD640000}"/>
    <cellStyle name="Output Report Title" xfId="13" xr:uid="{00000000-0005-0000-0000-0000FE640000}"/>
    <cellStyle name="Percent" xfId="1933" builtinId="5"/>
    <cellStyle name="Percent 2 2" xfId="1044" xr:uid="{00000000-0005-0000-0000-000001650000}"/>
    <cellStyle name="Percent 3" xfId="1040" xr:uid="{00000000-0005-0000-0000-000002650000}"/>
    <cellStyle name="Percent 4" xfId="7282" xr:uid="{00000000-0005-0000-0000-000003650000}"/>
    <cellStyle name="R00A" xfId="49729" xr:uid="{7B6C0521-7885-4DB5-B264-E219D81DF26D}"/>
    <cellStyle name="R00B" xfId="49730" xr:uid="{98E9EBBF-D33C-4870-8619-E4CCB7FE6D7E}"/>
    <cellStyle name="R00L" xfId="49731" xr:uid="{C4FF600F-1EAC-4A4F-B738-673259829868}"/>
    <cellStyle name="R01A" xfId="49732" xr:uid="{DE1E0AE8-EA60-4498-92F0-43FB7007CDEC}"/>
    <cellStyle name="R01A 2" xfId="49835" xr:uid="{DABF9478-ABC1-43BE-8EA0-4E827A71B562}"/>
    <cellStyle name="R01B" xfId="25854" xr:uid="{00000000-0005-0000-0000-000004650000}"/>
    <cellStyle name="R01H" xfId="25855" xr:uid="{00000000-0005-0000-0000-000005650000}"/>
    <cellStyle name="R01L" xfId="25861" xr:uid="{00000000-0005-0000-0000-000006650000}"/>
    <cellStyle name="R02A" xfId="25860" xr:uid="{00000000-0005-0000-0000-000007650000}"/>
    <cellStyle name="R02A 2" xfId="49836" xr:uid="{D1F025BA-102A-42E8-AD04-8D68630742F4}"/>
    <cellStyle name="R02B" xfId="25856" xr:uid="{00000000-0005-0000-0000-000008650000}"/>
    <cellStyle name="R02H" xfId="49733" xr:uid="{9CBCAA73-9F11-4254-8054-AF0AA71F6F70}"/>
    <cellStyle name="R02L" xfId="25857" xr:uid="{00000000-0005-0000-0000-000009650000}"/>
    <cellStyle name="R03A" xfId="49734" xr:uid="{B8150B26-A38B-411A-9C1F-713565795023}"/>
    <cellStyle name="R03B" xfId="49735" xr:uid="{0B8CD15F-4416-430F-8748-8DD071013D90}"/>
    <cellStyle name="R03H" xfId="49736" xr:uid="{8CF50398-D3EE-434B-A96F-22B187A24912}"/>
    <cellStyle name="R03L" xfId="49737" xr:uid="{B2E5094E-A000-4592-A4B7-39799F3C4979}"/>
    <cellStyle name="R04A" xfId="49738" xr:uid="{30C3E21F-4C7D-4492-9DD8-6DDAA92046A5}"/>
    <cellStyle name="R04B" xfId="49739" xr:uid="{E1BD74AC-8068-4BAB-A82E-97C36F6650B9}"/>
    <cellStyle name="R04H" xfId="49740" xr:uid="{66CE1DD6-250A-44DD-B070-B6DF6B0071F2}"/>
    <cellStyle name="R04L" xfId="49741" xr:uid="{67189EA3-ADB9-487C-8F42-160572CC00F3}"/>
    <cellStyle name="R05A" xfId="49742" xr:uid="{C8E11FEA-5847-4E79-8849-696E1F4BD714}"/>
    <cellStyle name="R05B" xfId="49743" xr:uid="{F12A779A-FC04-4EA5-9ACB-6BEE437BD4D5}"/>
    <cellStyle name="R05H" xfId="49744" xr:uid="{4A349211-27A5-45F0-9A61-EDA5810BF6D3}"/>
    <cellStyle name="R05L" xfId="49745" xr:uid="{CCF23101-AF9D-42AA-9A10-A1AFDB9DE572}"/>
    <cellStyle name="R05L 2" xfId="49781" xr:uid="{6F9D4CE7-1A52-4BEE-B2DF-49672611DE7C}"/>
    <cellStyle name="R05L 3" xfId="49767" xr:uid="{B3B8F5D7-F2EB-45E8-B55C-76C55797736C}"/>
    <cellStyle name="R06A" xfId="49746" xr:uid="{60DBFAD4-68B0-4C88-994E-FA60A95F9159}"/>
    <cellStyle name="R06B" xfId="49747" xr:uid="{54C3346D-A60C-4C4F-9405-2B2D147C4413}"/>
    <cellStyle name="R06H" xfId="49748" xr:uid="{3AEA0AAD-CFA7-4AE6-B8B9-BD7E01ED1A46}"/>
    <cellStyle name="R06L" xfId="49749" xr:uid="{048A8497-953F-4DE4-859C-27069A4DFE88}"/>
    <cellStyle name="R07A" xfId="49750" xr:uid="{F4E5A1A0-6741-4EE6-A45A-9723749FE4D0}"/>
    <cellStyle name="R07B" xfId="49751" xr:uid="{9ECF5628-EEC7-433D-9063-2A60C438965E}"/>
    <cellStyle name="R07H" xfId="49752" xr:uid="{5852413E-657C-470A-AACE-EA9CFA079B29}"/>
    <cellStyle name="R07L" xfId="49753" xr:uid="{D72A47E1-0953-43E0-83CB-70BF7CAD80BD}"/>
    <cellStyle name="Title 2" xfId="815" xr:uid="{00000000-0005-0000-0000-00000A650000}"/>
    <cellStyle name="Title 3" xfId="816" xr:uid="{00000000-0005-0000-0000-00000B650000}"/>
    <cellStyle name="Title 4" xfId="817" xr:uid="{00000000-0005-0000-0000-00000C650000}"/>
    <cellStyle name="Total 2" xfId="818" xr:uid="{00000000-0005-0000-0000-00000D650000}"/>
    <cellStyle name="Total 3" xfId="819" xr:uid="{00000000-0005-0000-0000-00000E650000}"/>
    <cellStyle name="Total 3 2" xfId="6238" xr:uid="{00000000-0005-0000-0000-00000F650000}"/>
    <cellStyle name="Total 4" xfId="820" xr:uid="{00000000-0005-0000-0000-000010650000}"/>
    <cellStyle name="Total 4 2" xfId="6239" xr:uid="{00000000-0005-0000-0000-000011650000}"/>
    <cellStyle name="Warning Text 2" xfId="821" xr:uid="{00000000-0005-0000-0000-000012650000}"/>
    <cellStyle name="Warning Text 3" xfId="822" xr:uid="{00000000-0005-0000-0000-000013650000}"/>
    <cellStyle name="Warning Text 4" xfId="823" xr:uid="{00000000-0005-0000-0000-000014650000}"/>
  </cellStyles>
  <dxfs count="0"/>
  <tableStyles count="0" defaultTableStyle="TableStyleMedium9" defaultPivotStyle="PivotStyleLight16"/>
  <colors>
    <mruColors>
      <color rgb="FFCCFFCC"/>
      <color rgb="FFFFFFCC"/>
      <color rgb="FFCCCCFF"/>
      <color rgb="FF0000FF"/>
      <color rgb="FFCCECFF"/>
      <color rgb="FF5C39EF"/>
      <color rgb="FF1362D7"/>
      <color rgb="FF3711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10026</xdr:colOff>
      <xdr:row>0</xdr:row>
      <xdr:rowOff>0</xdr:rowOff>
    </xdr:from>
    <xdr:to>
      <xdr:col>1</xdr:col>
      <xdr:colOff>1314951</xdr:colOff>
      <xdr:row>7</xdr:row>
      <xdr:rowOff>158750</xdr:rowOff>
    </xdr:to>
    <xdr:pic>
      <xdr:nvPicPr>
        <xdr:cNvPr id="2" name="Picture 1" descr="New York State Comptroller Official Sea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0026" y="0"/>
          <a:ext cx="1495425" cy="1495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16</xdr:row>
      <xdr:rowOff>171450</xdr:rowOff>
    </xdr:from>
    <xdr:to>
      <xdr:col>10</xdr:col>
      <xdr:colOff>190499</xdr:colOff>
      <xdr:row>30</xdr:row>
      <xdr:rowOff>161925</xdr:rowOff>
    </xdr:to>
    <xdr:sp macro="" textlink="">
      <xdr:nvSpPr>
        <xdr:cNvPr id="2" name="Rectangle 2">
          <a:extLst>
            <a:ext uri="{FF2B5EF4-FFF2-40B4-BE49-F238E27FC236}">
              <a16:creationId xmlns:a16="http://schemas.microsoft.com/office/drawing/2014/main" id="{00000000-0008-0000-2300-000002000000}"/>
            </a:ext>
            <a:ext uri="{C183D7F6-B498-43B3-948B-1728B52AA6E4}">
              <adec:decorative xmlns:adec="http://schemas.microsoft.com/office/drawing/2017/decorative" val="1"/>
            </a:ext>
          </a:extLst>
        </xdr:cNvPr>
        <xdr:cNvSpPr>
          <a:spLocks noChangeArrowheads="1"/>
        </xdr:cNvSpPr>
      </xdr:nvSpPr>
      <xdr:spPr bwMode="auto">
        <a:xfrm>
          <a:off x="0" y="3314700"/>
          <a:ext cx="7858124" cy="2533650"/>
        </a:xfrm>
        <a:prstGeom prst="rect">
          <a:avLst/>
        </a:prstGeom>
        <a:noFill/>
        <a:ln w="9525">
          <a:solidFill>
            <a:srgbClr val="000000"/>
          </a:solidFill>
          <a:miter lim="800000"/>
          <a:headEnd/>
          <a:tailEnd/>
        </a:ln>
      </xdr:spPr>
    </xdr:sp>
    <xdr:clientData/>
  </xdr:twoCellAnchor>
  <xdr:twoCellAnchor>
    <xdr:from>
      <xdr:col>1</xdr:col>
      <xdr:colOff>0</xdr:colOff>
      <xdr:row>16</xdr:row>
      <xdr:rowOff>171450</xdr:rowOff>
    </xdr:from>
    <xdr:to>
      <xdr:col>10</xdr:col>
      <xdr:colOff>190499</xdr:colOff>
      <xdr:row>30</xdr:row>
      <xdr:rowOff>161925</xdr:rowOff>
    </xdr:to>
    <xdr:sp macro="" textlink="">
      <xdr:nvSpPr>
        <xdr:cNvPr id="4" name="Rectangle 2">
          <a:extLst>
            <a:ext uri="{FF2B5EF4-FFF2-40B4-BE49-F238E27FC236}">
              <a16:creationId xmlns:a16="http://schemas.microsoft.com/office/drawing/2014/main" id="{00000000-0008-0000-2300-000004000000}"/>
            </a:ext>
            <a:ext uri="{C183D7F6-B498-43B3-948B-1728B52AA6E4}">
              <adec:decorative xmlns:adec="http://schemas.microsoft.com/office/drawing/2017/decorative" val="1"/>
            </a:ext>
          </a:extLst>
        </xdr:cNvPr>
        <xdr:cNvSpPr>
          <a:spLocks noChangeArrowheads="1"/>
        </xdr:cNvSpPr>
      </xdr:nvSpPr>
      <xdr:spPr bwMode="auto">
        <a:xfrm>
          <a:off x="0" y="3314700"/>
          <a:ext cx="7924799" cy="2533650"/>
        </a:xfrm>
        <a:prstGeom prst="rect">
          <a:avLst/>
        </a:prstGeom>
        <a:noFill/>
        <a:ln w="9525">
          <a:solidFill>
            <a:srgbClr val="000000"/>
          </a:solidFill>
          <a:miter lim="800000"/>
          <a:headEnd/>
          <a:tailEnd/>
        </a:ln>
      </xdr:spPr>
    </xdr:sp>
    <xdr:clientData/>
  </xdr:twoCellAnchor>
  <xdr:twoCellAnchor>
    <xdr:from>
      <xdr:col>1</xdr:col>
      <xdr:colOff>0</xdr:colOff>
      <xdr:row>16</xdr:row>
      <xdr:rowOff>171450</xdr:rowOff>
    </xdr:from>
    <xdr:to>
      <xdr:col>10</xdr:col>
      <xdr:colOff>190499</xdr:colOff>
      <xdr:row>30</xdr:row>
      <xdr:rowOff>161925</xdr:rowOff>
    </xdr:to>
    <xdr:sp macro="" textlink="">
      <xdr:nvSpPr>
        <xdr:cNvPr id="6" name="Rectangle 2">
          <a:extLst>
            <a:ext uri="{FF2B5EF4-FFF2-40B4-BE49-F238E27FC236}">
              <a16:creationId xmlns:a16="http://schemas.microsoft.com/office/drawing/2014/main" id="{00000000-0008-0000-2300-000006000000}"/>
            </a:ext>
            <a:ext uri="{C183D7F6-B498-43B3-948B-1728B52AA6E4}">
              <adec:decorative xmlns:adec="http://schemas.microsoft.com/office/drawing/2017/decorative" val="1"/>
            </a:ext>
          </a:extLst>
        </xdr:cNvPr>
        <xdr:cNvSpPr>
          <a:spLocks noChangeArrowheads="1"/>
        </xdr:cNvSpPr>
      </xdr:nvSpPr>
      <xdr:spPr bwMode="auto">
        <a:xfrm>
          <a:off x="0" y="3314700"/>
          <a:ext cx="7924799" cy="2533650"/>
        </a:xfrm>
        <a:prstGeom prst="rect">
          <a:avLst/>
        </a:prstGeom>
        <a:noFill/>
        <a:ln w="9525">
          <a:solidFill>
            <a:srgbClr val="000000"/>
          </a:solidFill>
          <a:miter lim="800000"/>
          <a:headEnd/>
          <a:tailEnd/>
        </a:ln>
      </xdr:spPr>
    </xdr:sp>
    <xdr:clientData/>
  </xdr:twoCellAnchor>
  <xdr:twoCellAnchor>
    <xdr:from>
      <xdr:col>1</xdr:col>
      <xdr:colOff>0</xdr:colOff>
      <xdr:row>16</xdr:row>
      <xdr:rowOff>171450</xdr:rowOff>
    </xdr:from>
    <xdr:to>
      <xdr:col>10</xdr:col>
      <xdr:colOff>190499</xdr:colOff>
      <xdr:row>30</xdr:row>
      <xdr:rowOff>161925</xdr:rowOff>
    </xdr:to>
    <xdr:sp macro="" textlink="">
      <xdr:nvSpPr>
        <xdr:cNvPr id="8" name="Rectangle 2">
          <a:extLst>
            <a:ext uri="{FF2B5EF4-FFF2-40B4-BE49-F238E27FC236}">
              <a16:creationId xmlns:a16="http://schemas.microsoft.com/office/drawing/2014/main" id="{00000000-0008-0000-2300-000008000000}"/>
            </a:ext>
            <a:ext uri="{C183D7F6-B498-43B3-948B-1728B52AA6E4}">
              <adec:decorative xmlns:adec="http://schemas.microsoft.com/office/drawing/2017/decorative" val="1"/>
            </a:ext>
          </a:extLst>
        </xdr:cNvPr>
        <xdr:cNvSpPr>
          <a:spLocks noChangeArrowheads="1"/>
        </xdr:cNvSpPr>
      </xdr:nvSpPr>
      <xdr:spPr bwMode="auto">
        <a:xfrm>
          <a:off x="0" y="3314700"/>
          <a:ext cx="7924799" cy="2533650"/>
        </a:xfrm>
        <a:prstGeom prst="rect">
          <a:avLst/>
        </a:prstGeom>
        <a:no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6.bin"/><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customProperty" Target="../customProperty37.bin"/><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customProperty" Target="../customProperty38.bin"/><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customProperty" Target="../customProperty39.bin"/><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ustomProperty" Target="../customProperty40.bin"/><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customProperty" Target="../customProperty41.bin"/><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customProperty" Target="../customProperty42.bin"/><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customProperty" Target="../customProperty43.bin"/><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customProperty" Target="../customProperty44.bin"/><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autoPageBreaks="0"/>
  </sheetPr>
  <dimension ref="A1:L109"/>
  <sheetViews>
    <sheetView showGridLines="0" tabSelected="1" workbookViewId="0"/>
  </sheetViews>
  <sheetFormatPr defaultColWidth="8.84375" defaultRowHeight="12.5"/>
  <cols>
    <col min="1" max="1" width="2.07421875" style="236" customWidth="1"/>
    <col min="2" max="2" width="22.84375" style="236" customWidth="1"/>
    <col min="3" max="3" width="6" style="236" customWidth="1"/>
    <col min="4" max="4" width="24.07421875" style="236" customWidth="1"/>
    <col min="5" max="6" width="12.4609375" style="236" customWidth="1"/>
    <col min="7" max="7" width="4" style="236" customWidth="1"/>
    <col min="8" max="8" width="12.4609375" style="236" customWidth="1"/>
    <col min="9" max="9" width="12" style="236" customWidth="1"/>
    <col min="10" max="10" width="3.84375" style="236" customWidth="1"/>
    <col min="11" max="11" width="28.4609375" style="236" customWidth="1"/>
    <col min="12" max="16384" width="8.84375" style="236"/>
  </cols>
  <sheetData>
    <row r="1" spans="1:11" s="233" customFormat="1" ht="13">
      <c r="A1" s="231"/>
      <c r="B1" s="231"/>
      <c r="C1" s="231"/>
      <c r="D1" s="231"/>
      <c r="E1" s="231"/>
      <c r="F1" s="231"/>
      <c r="G1" s="231"/>
      <c r="H1" s="231"/>
      <c r="I1" s="231"/>
      <c r="J1" s="232"/>
    </row>
    <row r="2" spans="1:11" s="233" customFormat="1" ht="13">
      <c r="A2" s="231"/>
      <c r="B2" s="231"/>
      <c r="C2" s="231"/>
      <c r="D2" s="231"/>
      <c r="E2" s="231"/>
      <c r="F2" s="231"/>
      <c r="G2" s="231"/>
      <c r="H2" s="231"/>
      <c r="I2" s="231"/>
      <c r="J2" s="232"/>
    </row>
    <row r="3" spans="1:11" s="233" customFormat="1" ht="13">
      <c r="A3" s="231"/>
      <c r="B3" s="231"/>
      <c r="C3" s="231"/>
      <c r="D3" s="231"/>
      <c r="E3" s="231"/>
      <c r="F3" s="231"/>
      <c r="G3" s="231"/>
      <c r="H3" s="231"/>
      <c r="I3" s="231"/>
      <c r="J3" s="232"/>
    </row>
    <row r="4" spans="1:11" s="233" customFormat="1" ht="13">
      <c r="A4" s="231" t="s">
        <v>0</v>
      </c>
      <c r="B4" s="231"/>
      <c r="C4" s="231"/>
      <c r="D4" s="231"/>
      <c r="E4" s="231"/>
      <c r="F4" s="231"/>
      <c r="G4" s="231"/>
      <c r="H4" s="231"/>
      <c r="I4" s="327" t="s">
        <v>1</v>
      </c>
      <c r="J4" s="232"/>
    </row>
    <row r="5" spans="1:11" ht="18">
      <c r="A5" s="231" t="s">
        <v>2</v>
      </c>
      <c r="B5" s="234"/>
      <c r="C5" s="234"/>
      <c r="D5" s="234"/>
      <c r="E5" s="234"/>
      <c r="F5" s="234"/>
      <c r="G5" s="234"/>
      <c r="H5" s="234"/>
      <c r="I5" s="327" t="s">
        <v>3</v>
      </c>
      <c r="J5" s="235"/>
    </row>
    <row r="6" spans="1:11" ht="18">
      <c r="A6" s="231" t="s">
        <v>4</v>
      </c>
      <c r="B6" s="234"/>
      <c r="C6" s="234"/>
      <c r="D6" s="234"/>
      <c r="E6" s="234"/>
      <c r="F6" s="234"/>
      <c r="G6" s="234"/>
      <c r="H6" s="234"/>
      <c r="I6" s="234"/>
      <c r="J6" s="235"/>
    </row>
    <row r="7" spans="1:11" ht="18">
      <c r="A7" s="231" t="s">
        <v>5</v>
      </c>
      <c r="B7" s="234"/>
      <c r="C7" s="234"/>
      <c r="D7" s="234"/>
      <c r="E7" s="234"/>
      <c r="F7" s="234"/>
      <c r="G7" s="234"/>
      <c r="H7" s="234"/>
      <c r="I7" s="234"/>
      <c r="J7" s="235"/>
    </row>
    <row r="8" spans="1:11" ht="18.5" thickBot="1">
      <c r="A8" s="234"/>
      <c r="B8" s="234"/>
      <c r="C8" s="234"/>
      <c r="D8" s="234"/>
      <c r="E8" s="234"/>
      <c r="F8" s="234"/>
      <c r="G8" s="234"/>
      <c r="H8" s="234"/>
      <c r="I8" s="234"/>
      <c r="J8" s="235"/>
    </row>
    <row r="9" spans="1:11" ht="18.5" thickTop="1">
      <c r="A9" s="237" t="s">
        <v>6</v>
      </c>
      <c r="B9" s="238"/>
      <c r="C9" s="238"/>
      <c r="D9" s="238"/>
      <c r="E9" s="238"/>
      <c r="F9" s="238"/>
      <c r="G9" s="238"/>
      <c r="H9" s="238"/>
      <c r="I9" s="238"/>
      <c r="J9" s="239"/>
    </row>
    <row r="10" spans="1:11" ht="18.5" thickBot="1">
      <c r="A10" s="554" t="str">
        <f>_xlfn.TEXTAFTER('Exh D Governmental  '!A6," ",4)</f>
        <v>JULY 31, 2026</v>
      </c>
      <c r="B10" s="234"/>
      <c r="C10" s="234"/>
      <c r="D10" s="234"/>
      <c r="E10" s="234"/>
      <c r="F10" s="234"/>
      <c r="G10" s="234"/>
      <c r="H10" s="234"/>
      <c r="I10" s="234"/>
      <c r="J10" s="239"/>
      <c r="K10" s="1478"/>
    </row>
    <row r="11" spans="1:11" ht="18.5" thickTop="1">
      <c r="A11" s="240"/>
      <c r="B11" s="241"/>
      <c r="C11" s="241"/>
      <c r="D11" s="241"/>
      <c r="E11" s="241"/>
      <c r="F11" s="241"/>
      <c r="G11" s="241"/>
      <c r="H11" s="241"/>
      <c r="I11" s="241"/>
      <c r="J11" s="242"/>
      <c r="K11" s="1478"/>
    </row>
    <row r="12" spans="1:11" ht="13">
      <c r="A12" s="231" t="s">
        <v>7</v>
      </c>
      <c r="B12" s="234"/>
      <c r="C12" s="234"/>
      <c r="D12" s="234"/>
      <c r="E12" s="231"/>
      <c r="F12" s="231"/>
      <c r="G12" s="231"/>
      <c r="H12" s="234"/>
      <c r="I12" s="234"/>
      <c r="J12" s="243"/>
    </row>
    <row r="13" spans="1:11" ht="13">
      <c r="A13" s="233"/>
      <c r="J13" s="243"/>
    </row>
    <row r="14" spans="1:11" ht="13">
      <c r="A14" s="233" t="s">
        <v>8</v>
      </c>
      <c r="B14" s="246"/>
      <c r="J14" s="244"/>
    </row>
    <row r="15" spans="1:11" ht="13">
      <c r="A15" s="233"/>
      <c r="B15" s="271"/>
      <c r="J15" s="244"/>
    </row>
    <row r="16" spans="1:11" ht="13">
      <c r="A16" s="233"/>
      <c r="B16" s="518" t="s">
        <v>9</v>
      </c>
      <c r="D16" s="245" t="s">
        <v>10</v>
      </c>
      <c r="F16" s="246"/>
      <c r="J16" s="272">
        <v>2</v>
      </c>
    </row>
    <row r="17" spans="1:11" ht="13">
      <c r="A17" s="233"/>
      <c r="B17" s="518" t="s">
        <v>11</v>
      </c>
      <c r="D17" s="236" t="s">
        <v>12</v>
      </c>
      <c r="E17" s="1090"/>
      <c r="F17" s="1091"/>
      <c r="G17" s="1090"/>
      <c r="H17" s="1090"/>
      <c r="I17" s="1090"/>
      <c r="J17" s="272">
        <v>3</v>
      </c>
    </row>
    <row r="18" spans="1:11" ht="13">
      <c r="A18" s="248"/>
      <c r="B18" s="513" t="s">
        <v>13</v>
      </c>
      <c r="D18" s="976" t="s">
        <v>14</v>
      </c>
      <c r="E18" s="245"/>
      <c r="F18" s="245"/>
      <c r="G18" s="245"/>
      <c r="H18" s="245"/>
      <c r="I18" s="245"/>
      <c r="J18" s="272">
        <v>4</v>
      </c>
    </row>
    <row r="19" spans="1:11" ht="13">
      <c r="A19" s="233"/>
      <c r="B19" s="513" t="s">
        <v>15</v>
      </c>
      <c r="D19" s="977" t="s">
        <v>16</v>
      </c>
      <c r="E19" s="977"/>
      <c r="F19" s="977"/>
      <c r="G19" s="977"/>
      <c r="H19" s="977"/>
      <c r="I19" s="977"/>
      <c r="J19" s="272">
        <v>5</v>
      </c>
    </row>
    <row r="20" spans="1:11" ht="13">
      <c r="A20" s="233"/>
      <c r="B20" s="513" t="s">
        <v>17</v>
      </c>
      <c r="D20" s="977" t="s">
        <v>18</v>
      </c>
      <c r="E20" s="977"/>
      <c r="F20" s="977"/>
      <c r="G20" s="977"/>
      <c r="H20" s="977"/>
      <c r="I20" s="977"/>
      <c r="J20" s="272">
        <v>6</v>
      </c>
    </row>
    <row r="21" spans="1:11" ht="13">
      <c r="A21" s="233"/>
      <c r="B21" s="518" t="s">
        <v>19</v>
      </c>
      <c r="D21" s="976" t="s">
        <v>20</v>
      </c>
      <c r="E21" s="977"/>
      <c r="F21" s="977"/>
      <c r="G21" s="977"/>
      <c r="H21" s="977"/>
      <c r="I21" s="977"/>
      <c r="J21" s="272">
        <v>7</v>
      </c>
    </row>
    <row r="22" spans="1:11" ht="13">
      <c r="A22" s="233"/>
      <c r="B22" s="513" t="s">
        <v>21</v>
      </c>
      <c r="D22" s="976" t="s">
        <v>22</v>
      </c>
      <c r="E22" s="977"/>
      <c r="F22" s="977"/>
      <c r="G22" s="977"/>
      <c r="H22" s="977"/>
      <c r="I22" s="977"/>
      <c r="J22" s="272">
        <v>8</v>
      </c>
    </row>
    <row r="23" spans="1:11" ht="13">
      <c r="A23" s="233"/>
      <c r="B23" s="518" t="s">
        <v>23</v>
      </c>
      <c r="D23" s="976" t="s">
        <v>24</v>
      </c>
      <c r="E23" s="977"/>
      <c r="F23" s="977"/>
      <c r="G23" s="977"/>
      <c r="H23" s="977"/>
      <c r="I23" s="977"/>
      <c r="J23" s="272">
        <v>9</v>
      </c>
    </row>
    <row r="24" spans="1:11" ht="13">
      <c r="A24" s="233"/>
      <c r="B24" s="513" t="s">
        <v>25</v>
      </c>
      <c r="D24" s="976" t="s">
        <v>26</v>
      </c>
      <c r="E24" s="977"/>
      <c r="F24" s="977"/>
      <c r="G24" s="977"/>
      <c r="H24" s="977"/>
      <c r="I24" s="977"/>
      <c r="J24" s="272">
        <v>10</v>
      </c>
    </row>
    <row r="25" spans="1:11" ht="13">
      <c r="A25" s="233"/>
      <c r="B25" s="513" t="s">
        <v>27</v>
      </c>
      <c r="D25" s="976" t="s">
        <v>28</v>
      </c>
      <c r="E25" s="977"/>
      <c r="F25" s="977"/>
      <c r="G25" s="977"/>
      <c r="H25" s="977"/>
      <c r="I25" s="977"/>
      <c r="J25" s="272">
        <v>11</v>
      </c>
    </row>
    <row r="26" spans="1:11" ht="13">
      <c r="A26" s="233"/>
      <c r="B26" s="513" t="s">
        <v>29</v>
      </c>
      <c r="D26" s="976" t="s">
        <v>30</v>
      </c>
      <c r="E26" s="977"/>
      <c r="F26" s="977"/>
      <c r="G26" s="977"/>
      <c r="H26" s="977"/>
      <c r="I26" s="977"/>
      <c r="J26" s="272">
        <v>12</v>
      </c>
    </row>
    <row r="27" spans="1:11" ht="13">
      <c r="A27" s="233"/>
      <c r="B27" s="513" t="s">
        <v>31</v>
      </c>
      <c r="D27" s="976" t="s">
        <v>32</v>
      </c>
      <c r="E27" s="977"/>
      <c r="F27" s="977"/>
      <c r="G27" s="977"/>
      <c r="H27" s="977"/>
      <c r="I27" s="977"/>
      <c r="J27" s="272">
        <v>13</v>
      </c>
    </row>
    <row r="28" spans="1:11" ht="13">
      <c r="A28" s="233"/>
      <c r="B28" s="513" t="s">
        <v>33</v>
      </c>
      <c r="D28" s="976" t="s">
        <v>34</v>
      </c>
      <c r="E28" s="977"/>
      <c r="F28" s="977"/>
      <c r="G28" s="977"/>
      <c r="H28" s="977"/>
      <c r="I28" s="977"/>
      <c r="J28" s="272">
        <v>14</v>
      </c>
    </row>
    <row r="29" spans="1:11" ht="13">
      <c r="A29" s="233"/>
      <c r="B29" s="513" t="s">
        <v>35</v>
      </c>
      <c r="D29" s="249" t="s">
        <v>36</v>
      </c>
      <c r="E29" s="977"/>
      <c r="F29" s="977"/>
      <c r="G29" s="977"/>
      <c r="H29" s="977"/>
      <c r="I29" s="977"/>
      <c r="J29" s="272">
        <v>15</v>
      </c>
    </row>
    <row r="30" spans="1:11" ht="13">
      <c r="A30" s="233"/>
      <c r="B30" s="518" t="s">
        <v>37</v>
      </c>
      <c r="D30" s="976" t="s">
        <v>38</v>
      </c>
      <c r="E30" s="976"/>
      <c r="F30" s="976"/>
      <c r="G30" s="976"/>
      <c r="H30" s="976"/>
      <c r="I30" s="976"/>
      <c r="J30" s="272">
        <v>16</v>
      </c>
      <c r="K30" s="233"/>
    </row>
    <row r="31" spans="1:11" ht="13">
      <c r="A31" s="233"/>
      <c r="B31" s="513" t="s">
        <v>39</v>
      </c>
      <c r="D31" s="976" t="s">
        <v>12</v>
      </c>
      <c r="E31" s="1090"/>
      <c r="F31" s="1090"/>
      <c r="G31" s="1090"/>
      <c r="H31" s="1090"/>
      <c r="I31" s="1090"/>
      <c r="J31" s="272">
        <v>18</v>
      </c>
      <c r="K31" s="233"/>
    </row>
    <row r="32" spans="1:11" ht="13">
      <c r="A32" s="233"/>
      <c r="B32" s="513"/>
      <c r="J32" s="272"/>
      <c r="K32" s="233"/>
    </row>
    <row r="33" spans="1:11" ht="13">
      <c r="A33" s="233"/>
      <c r="B33" s="514"/>
      <c r="J33" s="272"/>
    </row>
    <row r="34" spans="1:11" ht="13">
      <c r="A34" s="233" t="s">
        <v>40</v>
      </c>
      <c r="B34" s="515"/>
      <c r="C34" s="233"/>
      <c r="D34" s="233"/>
      <c r="E34" s="233"/>
      <c r="F34" s="233"/>
      <c r="G34" s="233"/>
      <c r="H34" s="233"/>
      <c r="I34" s="233"/>
      <c r="J34" s="273"/>
    </row>
    <row r="35" spans="1:11" ht="13">
      <c r="A35" s="233"/>
      <c r="B35" s="515"/>
      <c r="C35" s="233"/>
      <c r="D35" s="233"/>
      <c r="E35" s="233"/>
      <c r="F35" s="233"/>
      <c r="G35" s="233"/>
      <c r="H35" s="233"/>
      <c r="I35" s="233"/>
      <c r="J35" s="273"/>
    </row>
    <row r="36" spans="1:11" ht="13">
      <c r="A36" s="233"/>
      <c r="B36" s="518" t="s">
        <v>41</v>
      </c>
      <c r="D36" s="245" t="s">
        <v>42</v>
      </c>
      <c r="E36" s="245"/>
      <c r="F36" s="245"/>
      <c r="G36" s="245"/>
      <c r="H36" s="245"/>
      <c r="I36" s="245"/>
      <c r="J36" s="272">
        <v>20</v>
      </c>
    </row>
    <row r="37" spans="1:11" ht="13">
      <c r="A37" s="233"/>
      <c r="B37" s="518" t="s">
        <v>43</v>
      </c>
      <c r="D37" s="236" t="s">
        <v>44</v>
      </c>
      <c r="J37" s="272">
        <v>22</v>
      </c>
    </row>
    <row r="38" spans="1:11" ht="13">
      <c r="A38" s="233"/>
      <c r="B38" s="518" t="s">
        <v>45</v>
      </c>
      <c r="D38" s="977" t="s">
        <v>46</v>
      </c>
      <c r="E38" s="977"/>
      <c r="F38" s="977"/>
      <c r="G38" s="977"/>
      <c r="H38" s="977"/>
      <c r="I38" s="977"/>
      <c r="J38" s="272">
        <v>24</v>
      </c>
    </row>
    <row r="39" spans="1:11" ht="13">
      <c r="A39" s="233"/>
      <c r="B39" s="518" t="s">
        <v>47</v>
      </c>
      <c r="D39" s="977" t="s">
        <v>48</v>
      </c>
      <c r="E39" s="977"/>
      <c r="F39" s="977"/>
      <c r="G39" s="977"/>
      <c r="H39" s="977"/>
      <c r="I39" s="977"/>
      <c r="J39" s="272">
        <v>26</v>
      </c>
    </row>
    <row r="40" spans="1:11" ht="13">
      <c r="A40" s="233"/>
      <c r="B40" s="513" t="s">
        <v>49</v>
      </c>
      <c r="D40" s="977" t="s">
        <v>50</v>
      </c>
      <c r="E40" s="977"/>
      <c r="F40" s="977"/>
      <c r="G40" s="977"/>
      <c r="H40" s="977"/>
      <c r="I40" s="977"/>
      <c r="J40" s="272">
        <v>28</v>
      </c>
    </row>
    <row r="41" spans="1:11" ht="13">
      <c r="A41" s="233"/>
      <c r="B41" s="518" t="s">
        <v>51</v>
      </c>
      <c r="D41" s="977" t="s">
        <v>52</v>
      </c>
      <c r="E41" s="977"/>
      <c r="F41" s="977"/>
      <c r="G41" s="977"/>
      <c r="H41" s="977"/>
      <c r="I41" s="977"/>
      <c r="J41" s="272">
        <v>29</v>
      </c>
    </row>
    <row r="42" spans="1:11" ht="13">
      <c r="A42" s="233"/>
      <c r="B42" s="518" t="s">
        <v>53</v>
      </c>
      <c r="D42" s="977" t="s">
        <v>54</v>
      </c>
      <c r="E42" s="977"/>
      <c r="F42" s="977"/>
      <c r="G42" s="977"/>
      <c r="H42" s="977"/>
      <c r="I42" s="977"/>
      <c r="J42" s="272">
        <v>31</v>
      </c>
    </row>
    <row r="43" spans="1:11" ht="13">
      <c r="A43" s="233"/>
      <c r="B43" s="518" t="s">
        <v>55</v>
      </c>
      <c r="D43" s="977" t="s">
        <v>56</v>
      </c>
      <c r="E43" s="977"/>
      <c r="F43" s="977"/>
      <c r="G43" s="977"/>
      <c r="H43" s="977"/>
      <c r="I43" s="977"/>
      <c r="J43" s="272">
        <v>33</v>
      </c>
    </row>
    <row r="44" spans="1:11" ht="13">
      <c r="A44" s="233"/>
      <c r="B44" s="513" t="s">
        <v>57</v>
      </c>
      <c r="D44" s="977" t="s">
        <v>58</v>
      </c>
      <c r="E44" s="977"/>
      <c r="F44" s="977"/>
      <c r="G44" s="977"/>
      <c r="H44" s="977"/>
      <c r="I44" s="977"/>
      <c r="J44" s="272">
        <v>34</v>
      </c>
    </row>
    <row r="45" spans="1:11" ht="13">
      <c r="A45" s="233"/>
      <c r="B45" s="518" t="s">
        <v>59</v>
      </c>
      <c r="D45" s="977" t="s">
        <v>60</v>
      </c>
      <c r="E45" s="977"/>
      <c r="F45" s="977"/>
      <c r="G45" s="977"/>
      <c r="H45" s="977"/>
      <c r="I45" s="977"/>
      <c r="J45" s="272">
        <v>35</v>
      </c>
    </row>
    <row r="46" spans="1:11" ht="13">
      <c r="A46" s="233"/>
      <c r="B46" s="513" t="s">
        <v>61</v>
      </c>
      <c r="D46" s="977" t="s">
        <v>62</v>
      </c>
      <c r="E46" s="977"/>
      <c r="F46" s="977"/>
      <c r="G46" s="977"/>
      <c r="H46" s="977"/>
      <c r="I46" s="977"/>
      <c r="J46" s="272">
        <v>36</v>
      </c>
    </row>
    <row r="47" spans="1:11" ht="13">
      <c r="A47" s="233"/>
      <c r="B47" s="513" t="s">
        <v>63</v>
      </c>
      <c r="D47" s="976" t="s">
        <v>64</v>
      </c>
      <c r="E47" s="976"/>
      <c r="F47" s="976"/>
      <c r="G47" s="976"/>
      <c r="H47" s="976"/>
      <c r="I47" s="976"/>
      <c r="J47" s="272">
        <v>37</v>
      </c>
      <c r="K47" s="233"/>
    </row>
    <row r="48" spans="1:11" ht="13">
      <c r="A48" s="233"/>
      <c r="B48" s="514"/>
      <c r="J48" s="272"/>
    </row>
    <row r="49" spans="1:12" ht="13">
      <c r="A49" s="233" t="s">
        <v>65</v>
      </c>
      <c r="B49" s="514"/>
      <c r="J49" s="272"/>
    </row>
    <row r="50" spans="1:12" ht="13">
      <c r="A50" s="233"/>
      <c r="B50" s="515"/>
      <c r="C50" s="233"/>
      <c r="D50" s="233"/>
      <c r="E50" s="233"/>
      <c r="F50" s="233"/>
      <c r="G50" s="233"/>
      <c r="H50" s="233"/>
      <c r="I50" s="233"/>
      <c r="J50" s="273"/>
    </row>
    <row r="51" spans="1:12" ht="13">
      <c r="A51" s="233"/>
      <c r="B51" s="513" t="s">
        <v>66</v>
      </c>
      <c r="D51" s="236" t="s">
        <v>67</v>
      </c>
      <c r="J51" s="272">
        <v>38</v>
      </c>
    </row>
    <row r="52" spans="1:12" ht="13">
      <c r="A52" s="233"/>
      <c r="B52" s="513" t="s">
        <v>68</v>
      </c>
      <c r="D52" s="977" t="s">
        <v>69</v>
      </c>
      <c r="E52" s="977"/>
      <c r="F52" s="977"/>
      <c r="G52" s="977"/>
      <c r="H52" s="977"/>
      <c r="I52" s="977"/>
      <c r="J52" s="272">
        <v>41</v>
      </c>
    </row>
    <row r="53" spans="1:12" ht="13">
      <c r="A53" s="233"/>
      <c r="B53" s="513" t="s">
        <v>70</v>
      </c>
      <c r="D53" s="977" t="s">
        <v>71</v>
      </c>
      <c r="E53" s="977"/>
      <c r="F53" s="977"/>
      <c r="G53" s="977"/>
      <c r="H53" s="977"/>
      <c r="I53" s="977"/>
      <c r="J53" s="272">
        <v>42</v>
      </c>
      <c r="L53" s="236" t="s">
        <v>103</v>
      </c>
    </row>
    <row r="54" spans="1:12" ht="13">
      <c r="A54" s="233"/>
      <c r="B54" s="513" t="s">
        <v>72</v>
      </c>
      <c r="D54" s="977" t="s">
        <v>73</v>
      </c>
      <c r="E54" s="977"/>
      <c r="F54" s="977"/>
      <c r="G54" s="977"/>
      <c r="H54" s="977"/>
      <c r="I54" s="977"/>
      <c r="J54" s="272">
        <v>43</v>
      </c>
    </row>
    <row r="55" spans="1:12" ht="13">
      <c r="A55" s="233"/>
      <c r="B55" s="513" t="s">
        <v>74</v>
      </c>
      <c r="D55" s="977" t="s">
        <v>75</v>
      </c>
      <c r="E55" s="977"/>
      <c r="F55" s="977"/>
      <c r="G55" s="977"/>
      <c r="H55" s="977"/>
      <c r="I55" s="977"/>
      <c r="J55" s="272">
        <v>44</v>
      </c>
      <c r="K55" s="250"/>
    </row>
    <row r="56" spans="1:12" ht="13">
      <c r="A56" s="233"/>
      <c r="B56" s="518" t="s">
        <v>76</v>
      </c>
      <c r="D56" s="977" t="s">
        <v>1420</v>
      </c>
      <c r="E56" s="977"/>
      <c r="F56" s="977"/>
      <c r="G56" s="977"/>
      <c r="H56" s="977"/>
      <c r="I56" s="977"/>
      <c r="J56" s="272">
        <v>45</v>
      </c>
      <c r="K56" s="243"/>
    </row>
    <row r="57" spans="1:12" ht="13">
      <c r="A57" s="233"/>
      <c r="B57" s="513" t="s">
        <v>77</v>
      </c>
      <c r="D57" s="976" t="s">
        <v>78</v>
      </c>
      <c r="E57" s="976"/>
      <c r="F57" s="976"/>
      <c r="G57" s="976"/>
      <c r="H57" s="976"/>
      <c r="I57" s="976"/>
      <c r="J57" s="272">
        <v>46</v>
      </c>
      <c r="K57" s="243"/>
    </row>
    <row r="58" spans="1:12" ht="13">
      <c r="A58" s="233"/>
      <c r="B58" s="516" t="s">
        <v>79</v>
      </c>
      <c r="D58" s="245" t="s">
        <v>80</v>
      </c>
      <c r="E58" s="245"/>
      <c r="F58" s="245"/>
      <c r="G58" s="245"/>
      <c r="H58" s="245"/>
      <c r="I58" s="245"/>
      <c r="J58" s="272">
        <v>47</v>
      </c>
      <c r="K58" s="243"/>
    </row>
    <row r="59" spans="1:12" ht="13">
      <c r="A59" s="233"/>
      <c r="B59" s="517" t="s">
        <v>81</v>
      </c>
      <c r="D59" s="1090" t="s">
        <v>82</v>
      </c>
      <c r="E59" s="1090"/>
      <c r="F59" s="1090"/>
      <c r="G59" s="1090"/>
      <c r="H59" s="1090"/>
      <c r="I59" s="1090"/>
      <c r="J59" s="272">
        <v>48</v>
      </c>
      <c r="K59" s="243"/>
    </row>
    <row r="60" spans="1:12" ht="13">
      <c r="A60" s="233"/>
      <c r="B60" s="517" t="s">
        <v>83</v>
      </c>
      <c r="D60" s="1092" t="s">
        <v>84</v>
      </c>
      <c r="E60" s="1090"/>
      <c r="F60" s="1092"/>
      <c r="G60" s="1090"/>
      <c r="H60" s="1090"/>
      <c r="I60" s="1090"/>
      <c r="J60" s="272">
        <v>49</v>
      </c>
      <c r="K60" s="243"/>
    </row>
    <row r="61" spans="1:12" ht="13">
      <c r="A61" s="233"/>
      <c r="B61" s="517" t="s">
        <v>85</v>
      </c>
      <c r="D61" s="1090" t="s">
        <v>86</v>
      </c>
      <c r="E61" s="1090"/>
      <c r="F61" s="1090"/>
      <c r="G61" s="1090"/>
      <c r="H61" s="1090"/>
      <c r="I61" s="1090"/>
      <c r="J61" s="272">
        <v>50</v>
      </c>
    </row>
    <row r="62" spans="1:12" ht="13">
      <c r="A62" s="233"/>
      <c r="B62" s="580" t="s">
        <v>87</v>
      </c>
      <c r="D62" s="1090" t="s">
        <v>88</v>
      </c>
      <c r="E62" s="1090"/>
      <c r="F62" s="1090"/>
      <c r="G62" s="1090"/>
      <c r="H62" s="1091"/>
      <c r="I62" s="1090"/>
      <c r="J62" s="272">
        <v>51</v>
      </c>
    </row>
    <row r="63" spans="1:12" ht="13">
      <c r="A63" s="233"/>
      <c r="B63" s="580" t="s">
        <v>89</v>
      </c>
      <c r="D63" s="1090" t="s">
        <v>90</v>
      </c>
      <c r="E63" s="1090"/>
      <c r="F63" s="1090"/>
      <c r="G63" s="1090"/>
      <c r="H63" s="1091"/>
      <c r="I63" s="1090"/>
      <c r="J63" s="272">
        <v>53</v>
      </c>
    </row>
    <row r="64" spans="1:12" ht="13">
      <c r="A64" s="233"/>
      <c r="B64" s="518" t="s">
        <v>91</v>
      </c>
      <c r="D64" s="1090" t="s">
        <v>92</v>
      </c>
      <c r="E64" s="1090"/>
      <c r="F64" s="1090"/>
      <c r="G64" s="1090"/>
      <c r="H64" s="1091"/>
      <c r="I64" s="1090"/>
      <c r="J64" s="272">
        <v>56</v>
      </c>
    </row>
    <row r="65" spans="1:10" ht="13.4" customHeight="1">
      <c r="A65" s="233"/>
      <c r="B65" s="518" t="s">
        <v>93</v>
      </c>
      <c r="D65" s="1090" t="s">
        <v>94</v>
      </c>
      <c r="E65" s="1090"/>
      <c r="F65" s="1090"/>
      <c r="G65" s="1090"/>
      <c r="H65" s="1091"/>
      <c r="I65" s="1090"/>
      <c r="J65" s="272">
        <v>57</v>
      </c>
    </row>
    <row r="66" spans="1:10" ht="13.4" customHeight="1">
      <c r="A66" s="233"/>
      <c r="B66" s="518" t="s">
        <v>95</v>
      </c>
      <c r="D66" s="1090" t="s">
        <v>96</v>
      </c>
      <c r="E66" s="1090"/>
      <c r="F66" s="1090"/>
      <c r="G66" s="1090"/>
      <c r="H66" s="1091"/>
      <c r="I66" s="1090"/>
      <c r="J66" s="272">
        <v>58</v>
      </c>
    </row>
    <row r="67" spans="1:10" ht="13.4" customHeight="1">
      <c r="A67" s="233"/>
      <c r="B67" s="251"/>
      <c r="D67" s="246"/>
      <c r="E67" s="246"/>
      <c r="F67" s="246"/>
      <c r="G67" s="246"/>
      <c r="H67" s="246"/>
      <c r="I67" s="246"/>
      <c r="J67" s="247"/>
    </row>
    <row r="68" spans="1:10" ht="13.4" customHeight="1">
      <c r="A68" s="233"/>
      <c r="B68" s="251"/>
      <c r="D68" s="246"/>
      <c r="E68" s="246"/>
      <c r="F68" s="246"/>
      <c r="G68" s="246"/>
      <c r="H68" s="246"/>
      <c r="I68" s="246"/>
      <c r="J68" s="247"/>
    </row>
    <row r="69" spans="1:10" ht="13.4" customHeight="1">
      <c r="A69" s="233"/>
      <c r="B69" s="251"/>
      <c r="D69" s="246"/>
      <c r="E69" s="246"/>
      <c r="F69" s="246"/>
      <c r="G69" s="246"/>
      <c r="H69" s="246"/>
      <c r="I69" s="246"/>
      <c r="J69" s="247"/>
    </row>
    <row r="70" spans="1:10" ht="13.4" customHeight="1">
      <c r="A70" s="233"/>
      <c r="B70" s="251"/>
      <c r="D70" s="246"/>
      <c r="E70" s="246"/>
      <c r="F70" s="246"/>
      <c r="G70" s="246"/>
      <c r="H70" s="246"/>
      <c r="I70" s="246"/>
      <c r="J70" s="247"/>
    </row>
    <row r="71" spans="1:10" ht="13.4" customHeight="1">
      <c r="A71" s="233"/>
      <c r="B71" s="251"/>
      <c r="D71" s="246"/>
      <c r="E71" s="246"/>
      <c r="F71" s="246"/>
      <c r="G71" s="246"/>
      <c r="H71" s="246"/>
      <c r="I71" s="246"/>
      <c r="J71" s="247"/>
    </row>
    <row r="72" spans="1:10" ht="13.4" customHeight="1">
      <c r="A72" s="233"/>
      <c r="B72" s="251"/>
      <c r="D72" s="246"/>
      <c r="E72" s="246"/>
      <c r="F72" s="246"/>
      <c r="G72" s="246"/>
      <c r="H72" s="246"/>
      <c r="I72" s="246"/>
      <c r="J72" s="247"/>
    </row>
    <row r="73" spans="1:10" ht="13.4" customHeight="1">
      <c r="A73" s="233"/>
      <c r="B73" s="251"/>
      <c r="D73" s="246"/>
      <c r="E73" s="246"/>
      <c r="F73" s="246"/>
      <c r="G73" s="246"/>
      <c r="H73" s="246"/>
      <c r="I73" s="246"/>
      <c r="J73" s="247"/>
    </row>
    <row r="74" spans="1:10" ht="13.4" customHeight="1">
      <c r="A74" s="233"/>
      <c r="B74" s="251"/>
      <c r="D74" s="246"/>
      <c r="E74" s="246"/>
      <c r="F74" s="246"/>
      <c r="G74" s="246"/>
      <c r="H74" s="246"/>
      <c r="I74" s="246"/>
      <c r="J74" s="247"/>
    </row>
    <row r="75" spans="1:10" ht="13.4" customHeight="1">
      <c r="A75" s="233"/>
      <c r="B75" s="251"/>
      <c r="D75" s="246"/>
      <c r="E75" s="246"/>
      <c r="F75" s="246"/>
      <c r="G75" s="246"/>
      <c r="H75" s="246"/>
      <c r="I75" s="246"/>
      <c r="J75" s="247"/>
    </row>
    <row r="76" spans="1:10" ht="13.4" customHeight="1">
      <c r="A76" s="233"/>
      <c r="B76" s="251"/>
      <c r="D76" s="246"/>
      <c r="E76" s="246"/>
      <c r="F76" s="246"/>
      <c r="G76" s="246"/>
      <c r="H76" s="246"/>
      <c r="I76" s="246"/>
      <c r="J76" s="247"/>
    </row>
    <row r="77" spans="1:10" ht="13.4" customHeight="1">
      <c r="A77" s="233"/>
      <c r="B77" s="251"/>
      <c r="D77" s="246"/>
      <c r="E77" s="246"/>
      <c r="F77" s="246"/>
      <c r="G77" s="246"/>
      <c r="H77" s="246"/>
      <c r="I77" s="246"/>
      <c r="J77" s="247"/>
    </row>
    <row r="78" spans="1:10" ht="13.4" customHeight="1">
      <c r="A78" s="233"/>
      <c r="B78" s="251"/>
      <c r="D78" s="246"/>
      <c r="E78" s="246"/>
      <c r="F78" s="246"/>
      <c r="G78" s="246"/>
      <c r="H78" s="246"/>
      <c r="I78" s="246"/>
      <c r="J78" s="247"/>
    </row>
    <row r="79" spans="1:10" ht="13.4" customHeight="1">
      <c r="A79" s="233"/>
      <c r="B79" s="251"/>
      <c r="D79" s="246"/>
      <c r="E79" s="246"/>
      <c r="F79" s="246"/>
      <c r="G79" s="246"/>
      <c r="H79" s="246"/>
      <c r="I79" s="246"/>
      <c r="J79" s="247"/>
    </row>
    <row r="80" spans="1:10" ht="13.4" customHeight="1">
      <c r="A80" s="233"/>
      <c r="B80" s="251"/>
      <c r="D80" s="246"/>
      <c r="E80" s="246"/>
      <c r="F80" s="246"/>
      <c r="G80" s="246"/>
      <c r="H80" s="246"/>
      <c r="I80" s="246"/>
      <c r="J80" s="247"/>
    </row>
    <row r="81" spans="1:10" ht="13.4" customHeight="1">
      <c r="A81" s="233"/>
      <c r="B81" s="251"/>
      <c r="D81" s="246"/>
      <c r="E81" s="246"/>
      <c r="F81" s="246"/>
      <c r="G81" s="246"/>
      <c r="H81" s="246"/>
      <c r="I81" s="246"/>
      <c r="J81" s="247"/>
    </row>
    <row r="82" spans="1:10" ht="13.4" customHeight="1">
      <c r="A82" s="233"/>
      <c r="B82" s="251"/>
      <c r="D82" s="246"/>
      <c r="E82" s="246"/>
      <c r="F82" s="246"/>
      <c r="G82" s="246"/>
      <c r="H82" s="246"/>
      <c r="I82" s="246"/>
      <c r="J82" s="247"/>
    </row>
    <row r="83" spans="1:10" ht="13.4" customHeight="1">
      <c r="A83" s="233"/>
      <c r="B83" s="251"/>
      <c r="D83" s="246"/>
      <c r="E83" s="246"/>
      <c r="F83" s="246"/>
      <c r="G83" s="246"/>
      <c r="H83" s="246"/>
      <c r="I83" s="246"/>
      <c r="J83" s="247"/>
    </row>
    <row r="84" spans="1:10" ht="13.4" customHeight="1">
      <c r="A84" s="233"/>
      <c r="B84" s="251"/>
      <c r="D84" s="246"/>
      <c r="E84" s="246"/>
      <c r="F84" s="246"/>
      <c r="G84" s="246"/>
      <c r="H84" s="246"/>
      <c r="I84" s="246"/>
      <c r="J84" s="247"/>
    </row>
    <row r="85" spans="1:10" ht="13.4" customHeight="1">
      <c r="A85" s="233"/>
      <c r="B85" s="251"/>
      <c r="D85" s="246"/>
      <c r="E85" s="246"/>
      <c r="F85" s="246"/>
      <c r="G85" s="246"/>
      <c r="H85" s="246"/>
      <c r="I85" s="246"/>
      <c r="J85" s="247"/>
    </row>
    <row r="86" spans="1:10" ht="13.4" customHeight="1">
      <c r="A86" s="233"/>
      <c r="B86" s="251"/>
      <c r="D86" s="246"/>
      <c r="E86" s="246"/>
      <c r="F86" s="246"/>
      <c r="G86" s="246"/>
      <c r="H86" s="246"/>
      <c r="I86" s="246"/>
      <c r="J86" s="247"/>
    </row>
    <row r="87" spans="1:10" ht="13.4" customHeight="1">
      <c r="A87" s="233"/>
      <c r="B87" s="251"/>
      <c r="D87" s="246"/>
      <c r="E87" s="246"/>
      <c r="F87" s="246"/>
      <c r="G87" s="246"/>
      <c r="H87" s="246"/>
      <c r="I87" s="246"/>
      <c r="J87" s="247"/>
    </row>
    <row r="88" spans="1:10" ht="13.4" customHeight="1">
      <c r="A88" s="233"/>
      <c r="B88" s="251"/>
      <c r="D88" s="246"/>
      <c r="E88" s="246"/>
      <c r="F88" s="246"/>
      <c r="G88" s="246"/>
      <c r="H88" s="246"/>
      <c r="I88" s="246"/>
      <c r="J88" s="247"/>
    </row>
    <row r="89" spans="1:10" ht="13.4" customHeight="1">
      <c r="A89" s="233"/>
      <c r="B89" s="251"/>
      <c r="D89" s="246"/>
      <c r="E89" s="246"/>
      <c r="F89" s="246"/>
      <c r="G89" s="246"/>
      <c r="H89" s="246"/>
      <c r="I89" s="246"/>
      <c r="J89" s="247"/>
    </row>
    <row r="90" spans="1:10" ht="13.4" customHeight="1">
      <c r="A90" s="233"/>
      <c r="B90" s="251"/>
      <c r="D90" s="246"/>
      <c r="E90" s="246"/>
      <c r="F90" s="246"/>
      <c r="G90" s="246"/>
      <c r="H90" s="246"/>
      <c r="I90" s="246"/>
      <c r="J90" s="247"/>
    </row>
    <row r="91" spans="1:10" ht="13.4" customHeight="1">
      <c r="A91" s="233"/>
      <c r="B91" s="251"/>
      <c r="D91" s="246"/>
      <c r="E91" s="246"/>
      <c r="F91" s="246"/>
      <c r="G91" s="246"/>
      <c r="H91" s="246"/>
      <c r="I91" s="246"/>
      <c r="J91" s="247"/>
    </row>
    <row r="92" spans="1:10" ht="13.4" customHeight="1">
      <c r="A92" s="233"/>
      <c r="B92" s="251"/>
      <c r="D92" s="246"/>
      <c r="E92" s="246"/>
      <c r="F92" s="246"/>
      <c r="G92" s="246"/>
      <c r="H92" s="246"/>
      <c r="I92" s="246"/>
      <c r="J92" s="247"/>
    </row>
    <row r="93" spans="1:10" ht="13.4" customHeight="1">
      <c r="A93" s="233"/>
      <c r="B93" s="251"/>
      <c r="D93" s="246"/>
      <c r="E93" s="246"/>
      <c r="F93" s="246"/>
      <c r="G93" s="246"/>
      <c r="H93" s="246"/>
      <c r="I93" s="246"/>
      <c r="J93" s="247"/>
    </row>
    <row r="94" spans="1:10" ht="13.4" customHeight="1">
      <c r="A94" s="233"/>
      <c r="B94" s="251"/>
      <c r="D94" s="246"/>
      <c r="E94" s="246"/>
      <c r="F94" s="246"/>
      <c r="G94" s="246"/>
      <c r="H94" s="246"/>
      <c r="I94" s="246"/>
      <c r="J94" s="247"/>
    </row>
    <row r="95" spans="1:10" ht="13.4" customHeight="1">
      <c r="A95" s="233"/>
      <c r="B95" s="251"/>
      <c r="D95" s="246"/>
      <c r="E95" s="246"/>
      <c r="F95" s="246"/>
      <c r="G95" s="246"/>
      <c r="H95" s="246"/>
      <c r="I95" s="246"/>
      <c r="J95" s="247"/>
    </row>
    <row r="96" spans="1:10" ht="13.4" customHeight="1">
      <c r="A96" s="233"/>
      <c r="B96" s="251"/>
      <c r="D96" s="246"/>
      <c r="E96" s="246"/>
      <c r="F96" s="246"/>
      <c r="G96" s="246"/>
      <c r="H96" s="246"/>
      <c r="I96" s="246"/>
      <c r="J96" s="247"/>
    </row>
    <row r="97" spans="1:10" ht="13.4" customHeight="1">
      <c r="A97" s="233"/>
      <c r="B97" s="251"/>
      <c r="D97" s="246"/>
      <c r="E97" s="246"/>
      <c r="F97" s="246"/>
      <c r="G97" s="246"/>
      <c r="H97" s="246"/>
      <c r="I97" s="246"/>
      <c r="J97" s="247"/>
    </row>
    <row r="98" spans="1:10" ht="13.4" customHeight="1">
      <c r="A98" s="233"/>
      <c r="B98" s="251"/>
      <c r="D98" s="246"/>
      <c r="E98" s="246"/>
      <c r="F98" s="246"/>
      <c r="G98" s="246"/>
      <c r="H98" s="246"/>
      <c r="I98" s="246"/>
      <c r="J98" s="247"/>
    </row>
    <row r="99" spans="1:10" ht="13.4" customHeight="1">
      <c r="A99" s="233"/>
      <c r="B99" s="251"/>
      <c r="D99" s="246"/>
      <c r="E99" s="246"/>
      <c r="F99" s="246"/>
      <c r="G99" s="246"/>
      <c r="H99" s="246"/>
      <c r="I99" s="246"/>
      <c r="J99" s="247"/>
    </row>
    <row r="100" spans="1:10" ht="13.4" customHeight="1">
      <c r="A100" s="233"/>
      <c r="B100" s="251"/>
      <c r="D100" s="246"/>
      <c r="E100" s="246"/>
      <c r="F100" s="246"/>
      <c r="G100" s="246"/>
      <c r="H100" s="246"/>
      <c r="I100" s="246"/>
      <c r="J100" s="247"/>
    </row>
    <row r="101" spans="1:10">
      <c r="B101" s="251"/>
      <c r="J101" s="252"/>
    </row>
    <row r="102" spans="1:10">
      <c r="B102" s="251"/>
      <c r="J102" s="252"/>
    </row>
    <row r="103" spans="1:10">
      <c r="B103" s="251"/>
      <c r="J103" s="252"/>
    </row>
    <row r="104" spans="1:10">
      <c r="B104" s="251"/>
    </row>
    <row r="105" spans="1:10">
      <c r="B105" s="251"/>
    </row>
    <row r="106" spans="1:10">
      <c r="B106" s="251"/>
    </row>
    <row r="107" spans="1:10">
      <c r="B107" s="251"/>
    </row>
    <row r="108" spans="1:10">
      <c r="B108" s="251"/>
    </row>
    <row r="109" spans="1:10">
      <c r="B109" s="251"/>
    </row>
  </sheetData>
  <hyperlinks>
    <hyperlink ref="B16" location="'Exhibit A'!A1" display="Exhibit A" xr:uid="{00000000-0004-0000-0000-000000000000}"/>
    <hyperlink ref="B17" location="'Exh A Supp'!A1" display="Exhibit A Supplemental " xr:uid="{00000000-0004-0000-0000-000001000000}"/>
    <hyperlink ref="B18" location="Footnotes!A1" display="Exhibit A Footnotes" xr:uid="{00000000-0004-0000-0000-000002000000}"/>
    <hyperlink ref="B19" location="'Exh B'!A1" display="Exhibit B" xr:uid="{00000000-0004-0000-0000-000003000000}"/>
    <hyperlink ref="B20" location="'Exh C'!A1" display="Exhibit C" xr:uid="{00000000-0004-0000-0000-000004000000}"/>
    <hyperlink ref="B21" location="'Exh D Governmental  '!A1" display="Exhibit D Governmental" xr:uid="{00000000-0004-0000-0000-000005000000}"/>
    <hyperlink ref="B22" location="'Exh D State Operating'!A1" display="Exhibit D State Operating" xr:uid="{00000000-0004-0000-0000-000006000000}"/>
    <hyperlink ref="B23" location="'Exh D General Fund'!A1" display="Exhibit D General Fund" xr:uid="{00000000-0004-0000-0000-000007000000}"/>
    <hyperlink ref="B29" location="'EXHIBIT E '!A1" display="Exhibit E" xr:uid="{00000000-0004-0000-0000-000008000000}"/>
    <hyperlink ref="B30" location="'Cashflow Governmental'!A1" display="Cash Flow - Governmental" xr:uid="{00000000-0004-0000-0000-000009000000}"/>
    <hyperlink ref="B36" location="'Exhibit F'!A1" display="Exhibit F" xr:uid="{00000000-0004-0000-0000-00000A000000}"/>
    <hyperlink ref="B37" location="'Exhibit G'!A1" display="Exhibit G" xr:uid="{00000000-0004-0000-0000-00000B000000}"/>
    <hyperlink ref="B38" location="'Exhibit G state'!A1" display="Exhibit G State" xr:uid="{00000000-0004-0000-0000-00000C000000}"/>
    <hyperlink ref="B39" location="'Exhibit G Federal'!A1" display="Exhibit G Federal" xr:uid="{00000000-0004-0000-0000-00000D000000}"/>
    <hyperlink ref="B40" location="'Exhibit H'!A1" display="Exhibit H" xr:uid="{00000000-0004-0000-0000-00000E000000}"/>
    <hyperlink ref="B41" location="'Exhibit I'!A1" display="Exhibit I" xr:uid="{00000000-0004-0000-0000-00000F000000}"/>
    <hyperlink ref="B42" location="'Exhibit I State'!A1" display="Exhibit I State" xr:uid="{00000000-0004-0000-0000-000010000000}"/>
    <hyperlink ref="B43" location="'Exhibit I Federal'!A1" display="Exhibit I Federal" xr:uid="{00000000-0004-0000-0000-000011000000}"/>
    <hyperlink ref="B44" location="'Exhibit J'!A1" display="Exhibit J" xr:uid="{00000000-0004-0000-0000-000012000000}"/>
    <hyperlink ref="B45" location="'Exhibit K'!A1" display="Exhibit K" xr:uid="{00000000-0004-0000-0000-000013000000}"/>
    <hyperlink ref="B46" location="'EXHIBIT L'!A1" display="Exhibit L" xr:uid="{00000000-0004-0000-0000-000014000000}"/>
    <hyperlink ref="B47" location="'EXHIBIT M'!A1" display="Exhibit M" xr:uid="{00000000-0004-0000-0000-000015000000}"/>
    <hyperlink ref="B51" location="'Sch 1 '!A1" display="Schedule 1" xr:uid="{00000000-0004-0000-0000-000016000000}"/>
    <hyperlink ref="B52" location="'Sch 2 '!A1" display="Schedule 2" xr:uid="{00000000-0004-0000-0000-000017000000}"/>
    <hyperlink ref="B53" location="'Sch 3 '!A1" display="Schedule 3" xr:uid="{00000000-0004-0000-0000-000018000000}"/>
    <hyperlink ref="B54" location="'Sch 4'!A1" display="Schedule 4" xr:uid="{00000000-0004-0000-0000-000019000000}"/>
    <hyperlink ref="B55" location="'Sch 5 '!A1" display="Schedule 5" xr:uid="{00000000-0004-0000-0000-00001A000000}"/>
    <hyperlink ref="B56" location="'Sch 5a'!A1" display="Schedule 5a" xr:uid="{00000000-0004-0000-0000-00001B000000}"/>
    <hyperlink ref="B57" location="'Sch 6'!A1" display="Schedule 6" xr:uid="{00000000-0004-0000-0000-00001C000000}"/>
    <hyperlink ref="B58" location="'HCRA '!A1" display="Appendix A " xr:uid="{00000000-0004-0000-0000-00001D000000}"/>
    <hyperlink ref="B59" location="'HCRA PROG DISB'!A1" display="Appendix B" xr:uid="{00000000-0004-0000-0000-00001E000000}"/>
    <hyperlink ref="B60" location="'Public Goods '!A1" display="Appendix D" xr:uid="{00000000-0004-0000-0000-00001F000000}"/>
    <hyperlink ref="B61" location="'Medicaid Disp Share'!B1" display="Appendix E" xr:uid="{00000000-0004-0000-0000-000020000000}"/>
    <hyperlink ref="B62" location="'Appendix E'!A1" display="Appendix E" xr:uid="{00000000-0004-0000-0000-000021000000}"/>
    <hyperlink ref="B63" location="'Appendix F'!D1" display="Appendix F" xr:uid="{00000000-0004-0000-0000-000022000000}"/>
    <hyperlink ref="B31" location="'Cash Flow State Operating'!A1" display="Cash Flow - State Operating" xr:uid="{00000000-0004-0000-0000-000023000000}"/>
    <hyperlink ref="B25" location="'Exh D Special Revenue State Fed'!A1" display="Exhibit D Special Revenue State/Federal" xr:uid="{00000000-0004-0000-0000-000024000000}"/>
    <hyperlink ref="B26" location="'Exh D Debt Service'!A1" display="Exhibit D Debt" xr:uid="{00000000-0004-0000-0000-000025000000}"/>
    <hyperlink ref="B28" location="'Exh D Captl Projects State Fed'!A1" display="Exhibit D Capital Projects State/Federal" xr:uid="{00000000-0004-0000-0000-000026000000}"/>
    <hyperlink ref="B24" location="'Exh D Special Revenue'!A1" display="Exhibit D Special Revenue" xr:uid="{00000000-0004-0000-0000-000027000000}"/>
    <hyperlink ref="B27" location="'Exh D Capital Projects'!A1" display="Exhibit D Capital Projects" xr:uid="{00000000-0004-0000-0000-000028000000}"/>
    <hyperlink ref="B64" location="'Appendix G'!A1" display="Appendix G" xr:uid="{00000000-0004-0000-0000-000029000000}"/>
    <hyperlink ref="B65" location="'Appendix H'!A1" display="Appendix H" xr:uid="{00000000-0004-0000-0000-00002A000000}"/>
    <hyperlink ref="B66" location="'Appendix I'!A1" display="Appendix I" xr:uid="{00000000-0004-0000-0000-00002B000000}"/>
  </hyperlinks>
  <printOptions horizontalCentered="1"/>
  <pageMargins left="1" right="0.5" top="0.45" bottom="0.35" header="0" footer="0"/>
  <pageSetup scale="62" orientation="landscape" r:id="rId1"/>
  <headerFooter alignWithMargins="0"/>
  <rowBreaks count="3" manualBreakCount="3">
    <brk id="103" max="9" man="1"/>
    <brk id="116" max="9" man="1"/>
    <brk id="130" max="10" man="1"/>
  </rowBreaks>
  <customProperties>
    <customPr name="SheetOptions" r:id="rId2"/>
    <customPr name="WORKBKFUNCTIONCACHE"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Q51"/>
  <sheetViews>
    <sheetView showGridLines="0" zoomScale="90" workbookViewId="0"/>
  </sheetViews>
  <sheetFormatPr defaultColWidth="8.84375" defaultRowHeight="15.5"/>
  <cols>
    <col min="1" max="1" width="50.07421875" style="291" customWidth="1"/>
    <col min="2" max="2" width="3.84375" style="256" customWidth="1"/>
    <col min="3" max="3" width="16.84375" style="256" customWidth="1"/>
    <col min="4" max="4" width="1.53515625" style="256" customWidth="1"/>
    <col min="5" max="5" width="16.4609375" style="128" customWidth="1"/>
    <col min="6" max="6" width="1.53515625" style="256" customWidth="1"/>
    <col min="7" max="7" width="14.07421875" style="256" customWidth="1"/>
    <col min="8" max="8" width="1.53515625" style="256" customWidth="1"/>
    <col min="9" max="9" width="14.07421875" style="256" customWidth="1"/>
    <col min="10" max="10" width="1.53515625" style="256" customWidth="1"/>
    <col min="11" max="11" width="14.07421875" style="256" customWidth="1"/>
    <col min="12" max="12" width="1.53515625" style="256" customWidth="1"/>
    <col min="13" max="13" width="16.07421875" style="256" customWidth="1"/>
    <col min="14" max="14" width="1.53515625" style="256" customWidth="1"/>
    <col min="15" max="15" width="12.53515625" style="256" customWidth="1"/>
    <col min="16" max="16" width="11.4609375" style="256" customWidth="1"/>
    <col min="17" max="17" width="1.84375" style="256" customWidth="1"/>
    <col min="18" max="16384" width="8.84375" style="291"/>
  </cols>
  <sheetData>
    <row r="1" spans="1:17">
      <c r="A1" s="265" t="s">
        <v>97</v>
      </c>
      <c r="B1" s="48"/>
      <c r="C1" s="48"/>
      <c r="D1" s="48"/>
      <c r="E1" s="124"/>
      <c r="F1" s="48"/>
      <c r="G1" s="48"/>
      <c r="H1" s="48"/>
      <c r="I1" s="48"/>
      <c r="J1" s="48"/>
      <c r="K1" s="48"/>
      <c r="L1" s="48"/>
      <c r="M1" s="48"/>
      <c r="N1" s="48"/>
      <c r="O1" s="48"/>
      <c r="P1" s="48"/>
      <c r="Q1" s="48"/>
    </row>
    <row r="2" spans="1:17" ht="17.25" customHeight="1">
      <c r="A2" s="49"/>
      <c r="B2" s="48"/>
      <c r="C2" s="48"/>
      <c r="D2" s="48"/>
      <c r="E2" s="124"/>
      <c r="F2" s="48"/>
      <c r="G2" s="48"/>
      <c r="H2" s="48"/>
      <c r="I2" s="48"/>
      <c r="J2" s="48"/>
      <c r="K2" s="48"/>
      <c r="L2" s="48"/>
      <c r="M2" s="48"/>
      <c r="N2" s="48"/>
      <c r="O2" s="48"/>
      <c r="P2" s="48"/>
      <c r="Q2" s="48"/>
    </row>
    <row r="3" spans="1:17" ht="18" customHeight="1">
      <c r="A3" s="50" t="s">
        <v>98</v>
      </c>
      <c r="B3" s="30"/>
      <c r="C3" s="30"/>
      <c r="D3" s="30"/>
      <c r="E3" s="125"/>
      <c r="F3" s="30"/>
      <c r="G3" s="30"/>
      <c r="H3" s="30"/>
      <c r="I3" s="30"/>
      <c r="J3" s="30"/>
      <c r="K3" s="30"/>
      <c r="L3" s="30"/>
      <c r="M3" s="352"/>
      <c r="N3" s="30"/>
      <c r="O3" s="352" t="s">
        <v>224</v>
      </c>
      <c r="P3" s="30"/>
      <c r="Q3" s="30"/>
    </row>
    <row r="4" spans="1:17" ht="18" customHeight="1">
      <c r="A4" s="50" t="s">
        <v>225</v>
      </c>
      <c r="B4" s="30"/>
      <c r="C4" s="30"/>
      <c r="D4" s="30"/>
      <c r="E4" s="125"/>
      <c r="F4" s="30"/>
      <c r="G4" s="30"/>
      <c r="H4" s="30"/>
      <c r="I4" s="30"/>
      <c r="J4" s="30"/>
      <c r="K4" s="30"/>
      <c r="L4" s="30"/>
      <c r="M4" s="353"/>
      <c r="N4" s="30"/>
      <c r="O4" s="353"/>
      <c r="P4" s="30"/>
      <c r="Q4" s="30"/>
    </row>
    <row r="5" spans="1:17" ht="18" customHeight="1">
      <c r="A5" s="65" t="str">
        <f>'Exh D Governmental  '!A5</f>
        <v>FISCAL YEAR 2026-2027</v>
      </c>
      <c r="B5" s="23"/>
      <c r="C5" s="23"/>
      <c r="D5" s="23"/>
      <c r="E5" s="23"/>
      <c r="F5" s="30"/>
      <c r="G5" s="30"/>
      <c r="H5" s="30"/>
      <c r="I5" s="30"/>
      <c r="J5" s="30"/>
      <c r="K5" s="30"/>
      <c r="L5" s="30"/>
      <c r="M5" s="30"/>
      <c r="N5" s="30"/>
      <c r="O5" s="30"/>
      <c r="P5" s="30"/>
      <c r="Q5" s="30"/>
    </row>
    <row r="6" spans="1:17" ht="18" customHeight="1">
      <c r="A6" s="50" t="str">
        <f>+'Exh D Governmental  '!A6</f>
        <v>FOR FOUR MONTHS ENDED JULY 31, 2026</v>
      </c>
      <c r="B6" s="30"/>
      <c r="C6" s="30"/>
      <c r="D6" s="30"/>
      <c r="E6" s="125"/>
      <c r="F6" s="30"/>
      <c r="G6" s="30"/>
      <c r="H6" s="30"/>
      <c r="I6" s="30"/>
      <c r="J6" s="30"/>
      <c r="K6" s="30"/>
      <c r="L6" s="30"/>
      <c r="M6" s="30"/>
      <c r="N6" s="30"/>
      <c r="O6" s="30"/>
      <c r="P6" s="30"/>
      <c r="Q6" s="30"/>
    </row>
    <row r="7" spans="1:17" ht="18" customHeight="1">
      <c r="A7" s="50" t="s">
        <v>226</v>
      </c>
      <c r="B7" s="30"/>
      <c r="C7" s="30"/>
      <c r="D7" s="30"/>
      <c r="E7" s="125"/>
      <c r="F7" s="30"/>
      <c r="G7" s="30"/>
      <c r="H7" s="30"/>
      <c r="I7" s="30"/>
      <c r="J7" s="30"/>
      <c r="K7" s="30"/>
      <c r="L7" s="30"/>
      <c r="M7" s="30"/>
      <c r="N7" s="30"/>
      <c r="O7" s="30"/>
      <c r="P7" s="30"/>
      <c r="Q7" s="30"/>
    </row>
    <row r="8" spans="1:17" ht="15" customHeight="1">
      <c r="A8" s="34"/>
      <c r="B8" s="30"/>
      <c r="C8" s="30"/>
      <c r="D8" s="30"/>
      <c r="E8" s="125"/>
      <c r="F8" s="30"/>
      <c r="G8" s="30"/>
      <c r="H8" s="30"/>
      <c r="I8" s="30"/>
      <c r="J8" s="30"/>
      <c r="K8" s="30"/>
      <c r="L8" s="30"/>
      <c r="M8" s="30"/>
      <c r="N8" s="30"/>
      <c r="O8" s="30"/>
      <c r="P8" s="30"/>
      <c r="Q8" s="30"/>
    </row>
    <row r="9" spans="1:17">
      <c r="A9" s="35"/>
      <c r="B9" s="30"/>
      <c r="C9" s="30"/>
      <c r="D9" s="30"/>
      <c r="E9" s="125"/>
      <c r="F9" s="30"/>
      <c r="G9" s="30"/>
      <c r="H9" s="30"/>
      <c r="I9" s="30"/>
      <c r="J9" s="30"/>
      <c r="K9" s="30"/>
      <c r="L9" s="30"/>
      <c r="M9" s="30"/>
      <c r="N9" s="30"/>
      <c r="O9" s="30"/>
      <c r="P9" s="30"/>
      <c r="Q9" s="30"/>
    </row>
    <row r="10" spans="1:17">
      <c r="A10" s="35"/>
      <c r="B10" s="30"/>
      <c r="C10" s="30"/>
      <c r="D10" s="30"/>
      <c r="E10" s="125"/>
      <c r="F10" s="30"/>
      <c r="G10" s="30"/>
      <c r="H10" s="30"/>
      <c r="I10" s="30"/>
      <c r="J10" s="30"/>
      <c r="K10" s="30"/>
      <c r="L10" s="30"/>
      <c r="M10" s="30"/>
      <c r="N10" s="30"/>
      <c r="O10" s="30"/>
      <c r="P10" s="30"/>
      <c r="Q10" s="30"/>
    </row>
    <row r="11" spans="1:17">
      <c r="C11" s="1002"/>
      <c r="D11" s="1002"/>
      <c r="E11" s="1212"/>
      <c r="F11" s="1002"/>
      <c r="G11" s="1212" t="s">
        <v>274</v>
      </c>
      <c r="H11" s="1002"/>
      <c r="I11" s="1212"/>
      <c r="J11" s="1002"/>
      <c r="K11" s="1212"/>
      <c r="L11" s="1002"/>
      <c r="M11" s="1212"/>
      <c r="N11" s="1002"/>
      <c r="O11" s="427"/>
      <c r="P11" s="51"/>
      <c r="Q11" s="51"/>
    </row>
    <row r="12" spans="1:17">
      <c r="G12" s="53"/>
      <c r="I12" s="53"/>
      <c r="K12" s="53"/>
      <c r="M12" s="52" t="s">
        <v>228</v>
      </c>
      <c r="O12" s="52" t="s">
        <v>228</v>
      </c>
      <c r="P12" s="51"/>
      <c r="Q12" s="51"/>
    </row>
    <row r="13" spans="1:17">
      <c r="G13" s="53"/>
      <c r="I13" s="53"/>
      <c r="K13" s="53"/>
      <c r="M13" s="37" t="s">
        <v>229</v>
      </c>
      <c r="O13" s="37" t="s">
        <v>229</v>
      </c>
      <c r="P13" s="51"/>
      <c r="Q13" s="51"/>
    </row>
    <row r="14" spans="1:17">
      <c r="B14" s="36"/>
      <c r="C14" s="38" t="s">
        <v>231</v>
      </c>
      <c r="D14" s="36"/>
      <c r="E14" s="37" t="s">
        <v>232</v>
      </c>
      <c r="F14" s="36"/>
      <c r="G14" s="36"/>
      <c r="H14" s="36"/>
      <c r="I14" s="36"/>
      <c r="J14" s="36"/>
      <c r="K14" s="36"/>
      <c r="L14" s="36"/>
      <c r="M14" s="37" t="s">
        <v>233</v>
      </c>
      <c r="N14" s="36"/>
      <c r="O14" s="37" t="s">
        <v>233</v>
      </c>
      <c r="P14" s="36"/>
      <c r="Q14" s="36"/>
    </row>
    <row r="15" spans="1:17">
      <c r="B15" s="54"/>
      <c r="C15" s="37" t="s">
        <v>234</v>
      </c>
      <c r="D15" s="1322"/>
      <c r="E15" s="37" t="s">
        <v>234</v>
      </c>
      <c r="F15" s="1322"/>
      <c r="G15" s="36"/>
      <c r="H15" s="1322"/>
      <c r="I15" s="36"/>
      <c r="J15" s="1322"/>
      <c r="K15" s="36"/>
      <c r="L15" s="1322"/>
      <c r="M15" s="37" t="s">
        <v>231</v>
      </c>
      <c r="N15" s="1322"/>
      <c r="O15" s="37" t="s">
        <v>232</v>
      </c>
      <c r="P15" s="37"/>
      <c r="Q15" s="36"/>
    </row>
    <row r="16" spans="1:17">
      <c r="B16" s="37"/>
      <c r="C16" s="430" t="s">
        <v>235</v>
      </c>
      <c r="D16" s="36"/>
      <c r="E16" s="37" t="s">
        <v>1511</v>
      </c>
      <c r="F16" s="36"/>
      <c r="G16" s="38" t="s">
        <v>228</v>
      </c>
      <c r="H16" s="36"/>
      <c r="I16" s="583" t="s">
        <v>275</v>
      </c>
      <c r="J16" s="36"/>
      <c r="K16" s="583" t="s">
        <v>276</v>
      </c>
      <c r="L16" s="36"/>
      <c r="M16" s="37" t="s">
        <v>236</v>
      </c>
      <c r="N16" s="36"/>
      <c r="O16" s="430" t="s">
        <v>236</v>
      </c>
      <c r="P16" s="37"/>
      <c r="Q16" s="36"/>
    </row>
    <row r="17" spans="1:17">
      <c r="A17" s="39"/>
      <c r="B17" s="30"/>
      <c r="C17" s="30"/>
      <c r="D17" s="30"/>
      <c r="E17" s="1001"/>
      <c r="F17" s="30"/>
      <c r="G17" s="1001"/>
      <c r="H17" s="30"/>
      <c r="I17" s="30"/>
      <c r="J17" s="30"/>
      <c r="K17" s="30"/>
      <c r="L17" s="30"/>
      <c r="M17" s="1001"/>
      <c r="N17" s="30"/>
      <c r="O17" s="30"/>
      <c r="P17" s="30"/>
      <c r="Q17" s="30"/>
    </row>
    <row r="18" spans="1:17">
      <c r="A18" s="3" t="s">
        <v>114</v>
      </c>
      <c r="E18" s="256"/>
      <c r="P18" s="30"/>
      <c r="Q18" s="30"/>
    </row>
    <row r="19" spans="1:17">
      <c r="A19" s="350" t="s">
        <v>237</v>
      </c>
      <c r="B19" s="378"/>
      <c r="C19" s="378"/>
      <c r="D19" s="378"/>
      <c r="E19" s="256"/>
      <c r="F19" s="378"/>
      <c r="H19" s="378"/>
      <c r="J19" s="378"/>
      <c r="L19" s="378"/>
      <c r="N19" s="378"/>
      <c r="O19" s="555"/>
    </row>
    <row r="20" spans="1:17">
      <c r="A20" s="350" t="s">
        <v>238</v>
      </c>
      <c r="B20" s="378"/>
      <c r="C20" s="277">
        <v>0</v>
      </c>
      <c r="D20" s="276"/>
      <c r="E20" s="277">
        <v>0</v>
      </c>
      <c r="F20" s="378"/>
      <c r="G20" s="387">
        <f>+'Exh D Special Revenue State Fed'!G20</f>
        <v>0</v>
      </c>
      <c r="H20" s="378"/>
      <c r="I20" s="387">
        <v>0</v>
      </c>
      <c r="J20" s="378"/>
      <c r="K20" s="387">
        <f t="shared" ref="K20:K25" si="0">+G20+I20</f>
        <v>0</v>
      </c>
      <c r="L20" s="378"/>
      <c r="M20" s="274">
        <f>K20-C20</f>
        <v>0</v>
      </c>
      <c r="N20" s="378"/>
      <c r="O20" s="274">
        <f>K20-E20</f>
        <v>0</v>
      </c>
      <c r="P20" s="1486"/>
      <c r="Q20" s="1486"/>
    </row>
    <row r="21" spans="1:17">
      <c r="A21" s="350" t="s">
        <v>239</v>
      </c>
      <c r="C21" s="275">
        <v>793</v>
      </c>
      <c r="D21" s="1784"/>
      <c r="E21" s="275">
        <v>793</v>
      </c>
      <c r="G21" s="264">
        <f>+'Exh D Special Revenue State Fed'!G21</f>
        <v>829.4</v>
      </c>
      <c r="I21" s="264">
        <v>0</v>
      </c>
      <c r="K21" s="264">
        <f t="shared" si="0"/>
        <v>829.4</v>
      </c>
      <c r="M21" s="264">
        <f t="shared" ref="M21:M25" si="1">K21-C21</f>
        <v>36.399999999999977</v>
      </c>
      <c r="O21" s="264">
        <f>K21-E21</f>
        <v>36.399999999999977</v>
      </c>
      <c r="P21" s="1486"/>
      <c r="Q21" s="1486"/>
    </row>
    <row r="22" spans="1:17">
      <c r="A22" s="350" t="s">
        <v>240</v>
      </c>
      <c r="B22" s="378"/>
      <c r="C22" s="275">
        <v>954</v>
      </c>
      <c r="D22" s="367"/>
      <c r="E22" s="275">
        <v>954</v>
      </c>
      <c r="F22" s="378"/>
      <c r="G22" s="264">
        <f>+'Exh D Special Revenue State Fed'!G22</f>
        <v>1154.2</v>
      </c>
      <c r="H22" s="378"/>
      <c r="I22" s="264">
        <v>0</v>
      </c>
      <c r="J22" s="378"/>
      <c r="K22" s="264">
        <f t="shared" si="0"/>
        <v>1154.2</v>
      </c>
      <c r="L22" s="378"/>
      <c r="M22" s="264">
        <f t="shared" si="1"/>
        <v>200.20000000000005</v>
      </c>
      <c r="N22" s="378"/>
      <c r="O22" s="264">
        <f t="shared" ref="O22:O25" si="2">K22-E22</f>
        <v>200.20000000000005</v>
      </c>
      <c r="P22" s="1486"/>
      <c r="Q22" s="1486"/>
    </row>
    <row r="23" spans="1:17" ht="15" customHeight="1">
      <c r="A23" s="350" t="s">
        <v>119</v>
      </c>
      <c r="C23" s="275">
        <v>9450</v>
      </c>
      <c r="D23" s="1785"/>
      <c r="E23" s="275">
        <v>9450</v>
      </c>
      <c r="G23" s="264">
        <f>+'Exh D Special Revenue State Fed'!G23+'Exh D Special Revenue State Fed'!S23</f>
        <v>9926.7999999999993</v>
      </c>
      <c r="I23" s="264">
        <v>0</v>
      </c>
      <c r="K23" s="264">
        <f t="shared" si="0"/>
        <v>9926.7999999999993</v>
      </c>
      <c r="M23" s="264">
        <f t="shared" si="1"/>
        <v>476.79999999999927</v>
      </c>
      <c r="O23" s="264">
        <f t="shared" si="2"/>
        <v>476.79999999999927</v>
      </c>
      <c r="P23" s="1486"/>
      <c r="Q23" s="1506"/>
    </row>
    <row r="24" spans="1:17" ht="15" customHeight="1">
      <c r="A24" s="350" t="s">
        <v>120</v>
      </c>
      <c r="C24" s="275">
        <v>33907</v>
      </c>
      <c r="D24" s="1784"/>
      <c r="E24" s="275">
        <v>33907</v>
      </c>
      <c r="G24" s="264">
        <f>+'Exh D Special Revenue State Fed'!G24+'Exh D Special Revenue State Fed'!S24</f>
        <v>38166.299999999996</v>
      </c>
      <c r="I24" s="264">
        <v>0</v>
      </c>
      <c r="K24" s="264">
        <f t="shared" si="0"/>
        <v>38166.299999999996</v>
      </c>
      <c r="M24" s="264">
        <f t="shared" si="1"/>
        <v>4259.2999999999956</v>
      </c>
      <c r="O24" s="264">
        <f t="shared" si="2"/>
        <v>4259.2999999999956</v>
      </c>
      <c r="P24" s="1486"/>
      <c r="Q24" s="1486"/>
    </row>
    <row r="25" spans="1:17">
      <c r="A25" s="350" t="s">
        <v>1515</v>
      </c>
      <c r="B25" s="380"/>
      <c r="C25" s="834">
        <v>2301</v>
      </c>
      <c r="D25" s="1784"/>
      <c r="E25" s="834">
        <v>2301</v>
      </c>
      <c r="F25" s="380"/>
      <c r="G25" s="381">
        <f>+'Exh D Special Revenue State Fed'!G25+'Exh D Special Revenue State Fed'!S25</f>
        <v>2282.6</v>
      </c>
      <c r="H25" s="380"/>
      <c r="I25" s="381">
        <f>+'Exhibit G'!AB114</f>
        <v>-397.1</v>
      </c>
      <c r="J25" s="380"/>
      <c r="K25" s="382">
        <f t="shared" si="0"/>
        <v>1885.5</v>
      </c>
      <c r="L25" s="380"/>
      <c r="M25" s="264">
        <f t="shared" si="1"/>
        <v>-415.5</v>
      </c>
      <c r="N25" s="380"/>
      <c r="O25" s="264">
        <f t="shared" si="2"/>
        <v>-415.5</v>
      </c>
      <c r="P25" s="1509"/>
      <c r="Q25" s="1486"/>
    </row>
    <row r="26" spans="1:17" ht="18" customHeight="1">
      <c r="A26" s="1211" t="s">
        <v>261</v>
      </c>
      <c r="B26" s="36"/>
      <c r="C26" s="357">
        <f>ROUND(SUM(C20:C25),1)</f>
        <v>47405</v>
      </c>
      <c r="D26" s="36"/>
      <c r="E26" s="357">
        <f>ROUND(SUM(E20:E25),1)</f>
        <v>47405</v>
      </c>
      <c r="F26" s="36"/>
      <c r="G26" s="357">
        <f>ROUND(SUM(G20:G25),1)</f>
        <v>52359.3</v>
      </c>
      <c r="H26" s="36"/>
      <c r="I26" s="357">
        <f>ROUND(SUM(I20:I25),1)</f>
        <v>-397.1</v>
      </c>
      <c r="J26" s="36"/>
      <c r="K26" s="357">
        <f>ROUND(SUM(K20:K25),1)</f>
        <v>51962.2</v>
      </c>
      <c r="L26" s="36"/>
      <c r="M26" s="961">
        <f>ROUND(SUM(M20:M25),1)</f>
        <v>4557.2</v>
      </c>
      <c r="N26" s="36"/>
      <c r="O26" s="961">
        <f>ROUND(SUM(O20:O25),1)</f>
        <v>4557.2</v>
      </c>
      <c r="P26" s="1509"/>
      <c r="Q26" s="1486"/>
    </row>
    <row r="27" spans="1:17">
      <c r="C27" s="264"/>
      <c r="E27" s="264"/>
      <c r="G27" s="615"/>
      <c r="I27" s="264"/>
      <c r="K27" s="264"/>
      <c r="M27" s="615"/>
      <c r="O27" s="615"/>
      <c r="P27" s="1511"/>
      <c r="Q27" s="1511"/>
    </row>
    <row r="28" spans="1:17">
      <c r="A28" s="3" t="s">
        <v>122</v>
      </c>
      <c r="C28" s="264"/>
      <c r="E28" s="264"/>
      <c r="G28" s="264"/>
      <c r="I28" s="264" t="s">
        <v>103</v>
      </c>
      <c r="K28" s="264" t="s">
        <v>103</v>
      </c>
      <c r="M28" s="264"/>
      <c r="O28" s="264"/>
      <c r="P28" s="1486"/>
      <c r="Q28" s="1486"/>
    </row>
    <row r="29" spans="1:17">
      <c r="A29" s="350" t="s">
        <v>243</v>
      </c>
      <c r="B29" s="378"/>
      <c r="C29" s="275">
        <v>35353</v>
      </c>
      <c r="D29" s="1784"/>
      <c r="E29" s="275">
        <v>35353</v>
      </c>
      <c r="F29" s="378"/>
      <c r="G29" s="287">
        <f>+'Exh D Special Revenue State Fed'!G29+'Exh D Special Revenue State Fed'!S29</f>
        <v>36173.9</v>
      </c>
      <c r="H29" s="378"/>
      <c r="I29" s="287">
        <v>0</v>
      </c>
      <c r="J29" s="378"/>
      <c r="K29" s="264">
        <f t="shared" ref="K29:K34" si="3">+G29+I29</f>
        <v>36173.9</v>
      </c>
      <c r="L29" s="378"/>
      <c r="M29" s="264">
        <f t="shared" ref="M29:M34" si="4">K29-C29</f>
        <v>820.90000000000146</v>
      </c>
      <c r="N29" s="378"/>
      <c r="O29" s="264">
        <f>K29-E29</f>
        <v>820.90000000000146</v>
      </c>
      <c r="P29" s="1486"/>
      <c r="Q29" s="1486"/>
    </row>
    <row r="30" spans="1:17">
      <c r="A30" s="350" t="s">
        <v>244</v>
      </c>
      <c r="B30" s="378"/>
      <c r="C30" s="275">
        <v>4317</v>
      </c>
      <c r="D30" s="1784"/>
      <c r="E30" s="275">
        <v>4317</v>
      </c>
      <c r="F30" s="378"/>
      <c r="G30" s="287">
        <f>+'Exh D Special Revenue State Fed'!G30+'Exh D Special Revenue State Fed'!S30</f>
        <v>4423.2</v>
      </c>
      <c r="H30" s="378"/>
      <c r="I30" s="287">
        <v>0</v>
      </c>
      <c r="J30" s="378"/>
      <c r="K30" s="264">
        <f t="shared" si="3"/>
        <v>4423.2</v>
      </c>
      <c r="L30" s="378"/>
      <c r="M30" s="264">
        <f t="shared" si="4"/>
        <v>106.19999999999982</v>
      </c>
      <c r="N30" s="378"/>
      <c r="O30" s="264">
        <f t="shared" ref="O30:O34" si="5">K30-E30</f>
        <v>106.19999999999982</v>
      </c>
      <c r="P30" s="1509"/>
      <c r="Q30" s="1486"/>
    </row>
    <row r="31" spans="1:17">
      <c r="A31" s="350" t="s">
        <v>209</v>
      </c>
      <c r="B31" s="378"/>
      <c r="C31" s="275">
        <v>402</v>
      </c>
      <c r="D31" s="1784"/>
      <c r="E31" s="275">
        <v>402</v>
      </c>
      <c r="F31" s="378"/>
      <c r="G31" s="287">
        <f>+'Exh D Special Revenue State Fed'!G31+'Exh D Special Revenue State Fed'!S31</f>
        <v>640.70000000000005</v>
      </c>
      <c r="H31" s="378"/>
      <c r="I31" s="287">
        <v>0</v>
      </c>
      <c r="J31" s="378"/>
      <c r="K31" s="264">
        <f t="shared" si="3"/>
        <v>640.70000000000005</v>
      </c>
      <c r="L31" s="378"/>
      <c r="M31" s="264">
        <f t="shared" si="4"/>
        <v>238.70000000000005</v>
      </c>
      <c r="N31" s="378"/>
      <c r="O31" s="264">
        <f t="shared" si="5"/>
        <v>238.70000000000005</v>
      </c>
      <c r="P31" s="1506"/>
      <c r="Q31" s="1486"/>
    </row>
    <row r="32" spans="1:17">
      <c r="A32" s="350" t="s">
        <v>245</v>
      </c>
      <c r="B32" s="378"/>
      <c r="C32" s="275">
        <v>0</v>
      </c>
      <c r="D32" s="378"/>
      <c r="E32" s="275">
        <v>0</v>
      </c>
      <c r="F32" s="378"/>
      <c r="G32" s="287">
        <f>+'Exh D Special Revenue State Fed'!G32+'Exh D Special Revenue State Fed'!S32</f>
        <v>0</v>
      </c>
      <c r="H32" s="378"/>
      <c r="I32" s="287">
        <v>0</v>
      </c>
      <c r="J32" s="378"/>
      <c r="K32" s="264">
        <f t="shared" si="3"/>
        <v>0</v>
      </c>
      <c r="L32" s="378"/>
      <c r="M32" s="264">
        <f t="shared" si="4"/>
        <v>0</v>
      </c>
      <c r="N32" s="378"/>
      <c r="O32" s="264">
        <f t="shared" si="5"/>
        <v>0</v>
      </c>
      <c r="P32" s="1509"/>
      <c r="Q32" s="1486"/>
    </row>
    <row r="33" spans="1:17">
      <c r="A33" s="350" t="s">
        <v>140</v>
      </c>
      <c r="B33" s="378"/>
      <c r="C33" s="275">
        <v>0</v>
      </c>
      <c r="D33" s="378"/>
      <c r="E33" s="275">
        <v>0</v>
      </c>
      <c r="F33" s="378"/>
      <c r="G33" s="288">
        <f>+'Exh D Special Revenue State Fed'!G33+'Exh D Special Revenue State Fed'!S33</f>
        <v>0</v>
      </c>
      <c r="H33" s="378"/>
      <c r="I33" s="288">
        <v>0</v>
      </c>
      <c r="J33" s="378"/>
      <c r="K33" s="264">
        <f t="shared" si="3"/>
        <v>0</v>
      </c>
      <c r="L33" s="378"/>
      <c r="M33" s="264">
        <f t="shared" si="4"/>
        <v>0</v>
      </c>
      <c r="N33" s="378"/>
      <c r="O33" s="264">
        <f t="shared" si="5"/>
        <v>0</v>
      </c>
      <c r="P33" s="1509"/>
      <c r="Q33" s="1486"/>
    </row>
    <row r="34" spans="1:17">
      <c r="A34" s="350" t="s">
        <v>1516</v>
      </c>
      <c r="B34" s="378"/>
      <c r="C34" s="275">
        <v>1227</v>
      </c>
      <c r="D34" s="378"/>
      <c r="E34" s="275">
        <v>1227</v>
      </c>
      <c r="F34" s="378"/>
      <c r="G34" s="287">
        <f>+'Exh D Special Revenue State Fed'!G34+'Exh D Special Revenue State Fed'!S34</f>
        <v>1708.4</v>
      </c>
      <c r="H34" s="378"/>
      <c r="I34" s="287">
        <f>-'Exhibit G'!AB115</f>
        <v>-397.1</v>
      </c>
      <c r="J34" s="378"/>
      <c r="K34" s="264">
        <f t="shared" si="3"/>
        <v>1311.3000000000002</v>
      </c>
      <c r="L34" s="378"/>
      <c r="M34" s="264">
        <f t="shared" si="4"/>
        <v>84.300000000000182</v>
      </c>
      <c r="N34" s="378"/>
      <c r="O34" s="264">
        <f t="shared" si="5"/>
        <v>84.300000000000182</v>
      </c>
      <c r="P34" s="1509"/>
      <c r="Q34" s="1486"/>
    </row>
    <row r="35" spans="1:17" ht="18" customHeight="1">
      <c r="A35" s="1211" t="s">
        <v>270</v>
      </c>
      <c r="B35" s="36"/>
      <c r="C35" s="616">
        <f>ROUND(SUM(C29:C34),1)</f>
        <v>41299</v>
      </c>
      <c r="D35" s="36"/>
      <c r="E35" s="616">
        <f>ROUND(SUM(E29:E34),1)</f>
        <v>41299</v>
      </c>
      <c r="F35" s="36"/>
      <c r="G35" s="617">
        <f>ROUND(SUM(G29:G34),1)</f>
        <v>42946.2</v>
      </c>
      <c r="H35" s="36"/>
      <c r="I35" s="616">
        <f>ROUND(SUM(I29:I34),1)</f>
        <v>-397.1</v>
      </c>
      <c r="J35" s="36"/>
      <c r="K35" s="616">
        <f>ROUND(SUM(K29:K34),1)</f>
        <v>42549.1</v>
      </c>
      <c r="L35" s="36"/>
      <c r="M35" s="617">
        <f>ROUND(SUM(M29:M34),1)</f>
        <v>1250.0999999999999</v>
      </c>
      <c r="N35" s="36"/>
      <c r="O35" s="617">
        <f>ROUND(SUM(O29:O34),1)</f>
        <v>1250.0999999999999</v>
      </c>
      <c r="P35" s="1509"/>
      <c r="Q35" s="1486"/>
    </row>
    <row r="36" spans="1:17">
      <c r="C36" s="264"/>
      <c r="E36" s="264"/>
      <c r="G36" s="615"/>
      <c r="I36" s="264"/>
      <c r="K36" s="264"/>
      <c r="M36" s="615"/>
      <c r="O36" s="615"/>
      <c r="P36" s="1511"/>
      <c r="Q36" s="1511"/>
    </row>
    <row r="37" spans="1:17">
      <c r="A37" s="3" t="s">
        <v>271</v>
      </c>
      <c r="C37" s="264"/>
      <c r="E37" s="264"/>
      <c r="G37" s="264"/>
      <c r="I37" s="264"/>
      <c r="K37" s="264"/>
      <c r="M37" s="264"/>
      <c r="O37" s="264"/>
      <c r="P37" s="1486"/>
      <c r="Q37" s="1486"/>
    </row>
    <row r="38" spans="1:17">
      <c r="A38" s="3" t="s">
        <v>272</v>
      </c>
      <c r="C38" s="264"/>
      <c r="E38" s="264"/>
      <c r="G38" s="264"/>
      <c r="I38" s="264"/>
      <c r="K38" s="264"/>
      <c r="M38" s="264"/>
      <c r="O38" s="264"/>
      <c r="P38" s="1486"/>
      <c r="Q38" s="1486"/>
    </row>
    <row r="39" spans="1:17">
      <c r="A39" s="1211" t="s">
        <v>252</v>
      </c>
      <c r="B39" s="42"/>
      <c r="C39" s="13">
        <f>ROUND(SUM(C26)-SUM(C35),1)</f>
        <v>6106</v>
      </c>
      <c r="D39" s="42"/>
      <c r="E39" s="13">
        <f>ROUND(SUM(E26)-SUM(E35),1)</f>
        <v>6106</v>
      </c>
      <c r="F39" s="42"/>
      <c r="G39" s="13">
        <f>ROUND(SUM(G26)-SUM(G35),1)</f>
        <v>9413.1</v>
      </c>
      <c r="H39" s="42"/>
      <c r="I39" s="13">
        <v>0</v>
      </c>
      <c r="J39" s="42"/>
      <c r="K39" s="13">
        <f>+G39+I39</f>
        <v>9413.1</v>
      </c>
      <c r="L39" s="42"/>
      <c r="M39" s="13">
        <f>ROUND(SUM(M26)-SUM(M35),1)</f>
        <v>3307.1</v>
      </c>
      <c r="N39" s="42"/>
      <c r="O39" s="13">
        <f>ROUND(SUM(O26)-SUM(O35),1)</f>
        <v>3307.1</v>
      </c>
      <c r="P39" s="1486"/>
      <c r="Q39" s="1486"/>
    </row>
    <row r="40" spans="1:17" ht="15" customHeight="1">
      <c r="C40" s="264"/>
      <c r="E40" s="264"/>
      <c r="G40" s="264"/>
      <c r="I40" s="264"/>
      <c r="K40" s="264"/>
      <c r="M40" s="264"/>
      <c r="O40" s="264"/>
      <c r="P40" s="1511"/>
      <c r="Q40" s="1512"/>
    </row>
    <row r="41" spans="1:17">
      <c r="A41" s="1211" t="str">
        <f>+'Exh D Governmental  '!A49</f>
        <v>Fund Balances (Deficits) at April 1</v>
      </c>
      <c r="C41" s="26">
        <f>'Exh D Special Revenue State Fed'!C41+'Exh D Special Revenue State Fed'!O41</f>
        <v>21209</v>
      </c>
      <c r="E41" s="26">
        <v>21209</v>
      </c>
      <c r="G41" s="13">
        <f>'Exh D Special Revenue State Fed'!G41+'Exh D Special Revenue State Fed'!S41</f>
        <v>21208.6</v>
      </c>
      <c r="I41" s="13">
        <v>0</v>
      </c>
      <c r="K41" s="13">
        <f>+G41+I41</f>
        <v>21208.6</v>
      </c>
      <c r="M41" s="13">
        <f t="shared" ref="M41" si="6">K41-C41</f>
        <v>-0.40000000000145519</v>
      </c>
      <c r="O41" s="13">
        <f>K41-E41</f>
        <v>-0.40000000000145519</v>
      </c>
      <c r="P41" s="1486"/>
      <c r="Q41" s="1486"/>
    </row>
    <row r="42" spans="1:17" ht="18" customHeight="1" thickBot="1">
      <c r="A42" s="1211" t="str">
        <f>+'Exh D Governmental  '!A50</f>
        <v>Fund Balances (Deficits) at July 31, 2026</v>
      </c>
      <c r="B42" s="42"/>
      <c r="C42" s="673">
        <f>ROUND(SUM(C39:C41),1)</f>
        <v>27315</v>
      </c>
      <c r="D42" s="42"/>
      <c r="E42" s="673">
        <f>ROUND(SUM(E39:E41),1)</f>
        <v>27315</v>
      </c>
      <c r="F42" s="42"/>
      <c r="G42" s="673">
        <f>ROUND(SUM(G39:G41),1)</f>
        <v>30621.7</v>
      </c>
      <c r="H42" s="42"/>
      <c r="I42" s="673">
        <f>ROUND(SUM(I39:I41),1)</f>
        <v>0</v>
      </c>
      <c r="J42" s="42"/>
      <c r="K42" s="673">
        <f>ROUND(SUM(K39:K41),1)</f>
        <v>30621.7</v>
      </c>
      <c r="L42" s="42"/>
      <c r="M42" s="673">
        <f>ROUND(SUM(M39:M41),1)</f>
        <v>3306.7</v>
      </c>
      <c r="N42" s="42"/>
      <c r="O42" s="673">
        <f>ROUND(SUM(O39:O41),1)</f>
        <v>3306.7</v>
      </c>
      <c r="P42" s="1486"/>
      <c r="Q42" s="1486"/>
    </row>
    <row r="43" spans="1:17" ht="15" customHeight="1" thickTop="1">
      <c r="A43" s="39"/>
      <c r="E43" s="290"/>
      <c r="G43" s="274"/>
      <c r="I43" s="274"/>
      <c r="K43" s="274"/>
      <c r="M43" s="274"/>
      <c r="O43" s="556"/>
    </row>
    <row r="44" spans="1:17">
      <c r="A44" s="385" t="str">
        <f>'Exh D Governmental  '!A52</f>
        <v>(*)  Source: 2026-27 Enacted Budget dated June 10, 2026.</v>
      </c>
    </row>
    <row r="45" spans="1:17">
      <c r="A45" s="291" t="str">
        <f>'Exh D Governmental  '!A53</f>
        <v>(**) Source: 2026-27 First Quarter Budget Update dated July 30, 2026, which made no changes to the Enacted Financial Plan.</v>
      </c>
    </row>
    <row r="46" spans="1:17">
      <c r="A46" s="350" t="s">
        <v>1457</v>
      </c>
    </row>
    <row r="48" spans="1:17">
      <c r="A48" s="350"/>
    </row>
    <row r="50" spans="1:1">
      <c r="A50" s="55"/>
    </row>
    <row r="51" spans="1:1">
      <c r="A51" s="55"/>
    </row>
  </sheetData>
  <printOptions horizontalCentered="1"/>
  <pageMargins left="0.7" right="0.7" top="0.75" bottom="0.6" header="0.3" footer="0.3"/>
  <pageSetup scale="60" firstPageNumber="10" orientation="landscape" useFirstPageNumber="1" r:id="rId1"/>
  <headerFooter scaleWithDoc="0" alignWithMargins="0">
    <oddFooter>&amp;C&amp;8&amp;P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Z47"/>
  <sheetViews>
    <sheetView showGridLines="0" zoomScale="80" workbookViewId="0"/>
  </sheetViews>
  <sheetFormatPr defaultColWidth="8.84375" defaultRowHeight="15.5"/>
  <cols>
    <col min="1" max="1" width="53.07421875" style="291" customWidth="1"/>
    <col min="2" max="2" width="0.84375" style="256" customWidth="1"/>
    <col min="3" max="3" width="15.84375" style="128" customWidth="1"/>
    <col min="4" max="4" width="1.07421875" style="256" customWidth="1"/>
    <col min="5" max="5" width="15.84375" style="128" customWidth="1"/>
    <col min="6" max="6" width="1.07421875" style="256" customWidth="1"/>
    <col min="7" max="7" width="15.84375" style="256" customWidth="1"/>
    <col min="8" max="8" width="1.07421875" style="256" customWidth="1"/>
    <col min="9" max="9" width="15.84375" style="256" customWidth="1"/>
    <col min="10" max="10" width="1.07421875" style="256" customWidth="1"/>
    <col min="11" max="11" width="15.84375" style="256" customWidth="1"/>
    <col min="12" max="14" width="1.07421875" style="256" customWidth="1"/>
    <col min="15" max="15" width="15.84375" style="256" customWidth="1"/>
    <col min="16" max="16" width="1.07421875" style="256" customWidth="1"/>
    <col min="17" max="17" width="15.84375" style="256" customWidth="1"/>
    <col min="18" max="18" width="1.07421875" style="256" customWidth="1"/>
    <col min="19" max="19" width="15.84375" style="256" customWidth="1"/>
    <col min="20" max="20" width="1.07421875" style="256" customWidth="1"/>
    <col min="21" max="21" width="15.84375" style="256" customWidth="1"/>
    <col min="22" max="22" width="1.07421875" style="256" customWidth="1"/>
    <col min="23" max="23" width="15.84375" style="128" customWidth="1"/>
    <col min="24" max="24" width="1" style="256" customWidth="1"/>
    <col min="25" max="25" width="3.84375" style="128" customWidth="1"/>
    <col min="26" max="26" width="1" style="256" customWidth="1"/>
    <col min="27" max="16384" width="8.84375" style="291"/>
  </cols>
  <sheetData>
    <row r="1" spans="1:26">
      <c r="A1" s="386" t="s">
        <v>97</v>
      </c>
      <c r="B1" s="48"/>
      <c r="C1" s="124"/>
      <c r="D1" s="48"/>
      <c r="E1" s="124"/>
      <c r="F1" s="48"/>
      <c r="G1" s="48"/>
      <c r="H1" s="48"/>
      <c r="I1" s="48"/>
      <c r="J1" s="48"/>
      <c r="K1" s="48"/>
      <c r="L1" s="48"/>
      <c r="M1" s="48"/>
      <c r="N1" s="48"/>
      <c r="O1" s="48"/>
      <c r="P1" s="48"/>
      <c r="Q1" s="48"/>
      <c r="R1" s="48"/>
      <c r="S1" s="48"/>
      <c r="T1" s="48"/>
      <c r="U1" s="48"/>
      <c r="V1" s="48"/>
      <c r="W1" s="124"/>
      <c r="X1" s="48"/>
      <c r="Y1" s="124"/>
      <c r="Z1" s="48"/>
    </row>
    <row r="2" spans="1:26" ht="17.25" customHeight="1">
      <c r="A2" s="49"/>
      <c r="B2" s="48"/>
      <c r="C2" s="124"/>
      <c r="D2" s="48"/>
      <c r="E2" s="124"/>
      <c r="F2" s="48"/>
      <c r="G2" s="48"/>
      <c r="H2" s="48"/>
      <c r="I2" s="48"/>
      <c r="J2" s="48"/>
      <c r="K2" s="48"/>
      <c r="L2" s="48"/>
      <c r="M2" s="48"/>
      <c r="N2" s="48"/>
      <c r="O2" s="48"/>
      <c r="P2" s="48"/>
      <c r="Q2" s="48"/>
      <c r="R2" s="48"/>
      <c r="S2" s="48"/>
      <c r="T2" s="48"/>
      <c r="U2" s="48"/>
      <c r="V2" s="48"/>
      <c r="W2" s="124"/>
      <c r="X2" s="48"/>
      <c r="Y2" s="124"/>
      <c r="Z2" s="48"/>
    </row>
    <row r="3" spans="1:26" ht="18.75" customHeight="1">
      <c r="A3" s="50" t="s">
        <v>98</v>
      </c>
      <c r="B3" s="30"/>
      <c r="C3" s="125"/>
      <c r="D3" s="30"/>
      <c r="E3" s="125"/>
      <c r="F3" s="30"/>
      <c r="G3" s="30"/>
      <c r="H3" s="30"/>
      <c r="I3" s="30"/>
      <c r="J3" s="30"/>
      <c r="K3" s="30"/>
      <c r="L3" s="30"/>
      <c r="M3" s="30"/>
      <c r="N3" s="30"/>
      <c r="O3" s="30"/>
      <c r="P3" s="30"/>
      <c r="Q3" s="30"/>
      <c r="R3" s="30"/>
      <c r="S3" s="30"/>
      <c r="T3" s="30"/>
      <c r="U3" s="352"/>
      <c r="V3" s="30"/>
      <c r="W3" s="352" t="s">
        <v>224</v>
      </c>
      <c r="X3" s="30"/>
      <c r="Y3" s="125"/>
      <c r="Z3" s="30"/>
    </row>
    <row r="4" spans="1:26" ht="18.75" customHeight="1">
      <c r="A4" s="50" t="s">
        <v>225</v>
      </c>
      <c r="B4" s="30"/>
      <c r="C4" s="125"/>
      <c r="D4" s="30"/>
      <c r="E4" s="125"/>
      <c r="F4" s="30"/>
      <c r="G4" s="30"/>
      <c r="H4" s="30"/>
      <c r="I4" s="30"/>
      <c r="J4" s="30"/>
      <c r="K4" s="30"/>
      <c r="L4" s="30"/>
      <c r="M4" s="30"/>
      <c r="N4" s="30"/>
      <c r="O4" s="30"/>
      <c r="P4" s="30"/>
      <c r="Q4" s="30"/>
      <c r="R4" s="30"/>
      <c r="S4" s="30"/>
      <c r="T4" s="30"/>
      <c r="U4" s="353"/>
      <c r="V4" s="30"/>
      <c r="W4" s="353"/>
      <c r="X4" s="30"/>
      <c r="Y4" s="125"/>
      <c r="Z4" s="30"/>
    </row>
    <row r="5" spans="1:26" ht="18.75" customHeight="1">
      <c r="A5" s="1989" t="str">
        <f>'Exh D Governmental  '!A5</f>
        <v>FISCAL YEAR 2026-2027</v>
      </c>
      <c r="B5" s="23"/>
      <c r="C5" s="23"/>
      <c r="D5" s="23"/>
      <c r="E5" s="23"/>
      <c r="F5" s="30"/>
      <c r="G5" s="268"/>
      <c r="H5" s="30"/>
      <c r="I5" s="30"/>
      <c r="J5" s="30"/>
      <c r="K5" s="30"/>
      <c r="L5" s="30"/>
      <c r="M5" s="30"/>
      <c r="N5" s="30"/>
      <c r="O5" s="277"/>
      <c r="P5" s="30"/>
      <c r="Q5" s="30"/>
      <c r="R5" s="30"/>
      <c r="S5" s="30"/>
      <c r="T5" s="30"/>
      <c r="U5" s="30"/>
      <c r="V5" s="30"/>
      <c r="W5" s="125"/>
      <c r="X5" s="30"/>
      <c r="Y5" s="125"/>
      <c r="Z5" s="30"/>
    </row>
    <row r="6" spans="1:26" ht="18.75" customHeight="1">
      <c r="A6" s="33" t="str">
        <f>'Exh D Governmental  '!A6</f>
        <v>FOR FOUR MONTHS ENDED JULY 31, 2026</v>
      </c>
      <c r="B6" s="30"/>
      <c r="C6" s="125"/>
      <c r="D6" s="30"/>
      <c r="E6" s="125"/>
      <c r="F6" s="30"/>
      <c r="G6" s="30"/>
      <c r="H6" s="30"/>
      <c r="I6" s="30"/>
      <c r="J6" s="30"/>
      <c r="K6" s="30"/>
      <c r="L6" s="30"/>
      <c r="M6" s="30"/>
      <c r="N6" s="30"/>
      <c r="O6" s="30"/>
      <c r="P6" s="30"/>
      <c r="Q6" s="30"/>
      <c r="R6" s="30"/>
      <c r="S6" s="30"/>
      <c r="T6" s="30"/>
      <c r="U6" s="30"/>
      <c r="V6" s="30"/>
      <c r="W6" s="125"/>
      <c r="X6" s="30"/>
      <c r="Y6" s="125"/>
      <c r="Z6" s="30"/>
    </row>
    <row r="7" spans="1:26" ht="18.75" customHeight="1">
      <c r="A7" s="50" t="s">
        <v>226</v>
      </c>
      <c r="B7" s="30"/>
      <c r="C7" s="125"/>
      <c r="D7" s="30"/>
      <c r="E7" s="125"/>
      <c r="F7" s="30"/>
      <c r="G7" s="30"/>
      <c r="H7" s="30"/>
      <c r="I7" s="30"/>
      <c r="J7" s="30"/>
      <c r="K7" s="30"/>
      <c r="L7" s="30"/>
      <c r="M7" s="30"/>
      <c r="N7" s="30"/>
      <c r="O7" s="30"/>
      <c r="P7" s="30"/>
      <c r="Q7" s="30"/>
      <c r="R7" s="30"/>
      <c r="S7" s="30"/>
      <c r="T7" s="30"/>
      <c r="U7" s="30"/>
      <c r="V7" s="30"/>
      <c r="W7" s="125"/>
      <c r="X7" s="30"/>
      <c r="Y7" s="125"/>
      <c r="Z7" s="30"/>
    </row>
    <row r="8" spans="1:26" ht="15" customHeight="1">
      <c r="A8" s="34"/>
      <c r="B8" s="30"/>
      <c r="C8" s="125"/>
      <c r="D8" s="30"/>
      <c r="E8" s="125"/>
      <c r="F8" s="30"/>
      <c r="G8" s="30"/>
      <c r="H8" s="30"/>
      <c r="I8" s="30"/>
      <c r="J8" s="30"/>
      <c r="K8" s="30"/>
      <c r="L8" s="30"/>
      <c r="M8" s="30"/>
      <c r="N8" s="30"/>
      <c r="O8" s="30"/>
      <c r="P8" s="30"/>
      <c r="Q8" s="30"/>
      <c r="R8" s="30"/>
      <c r="S8" s="30"/>
      <c r="T8" s="30"/>
      <c r="U8" s="30"/>
      <c r="V8" s="30"/>
      <c r="W8" s="125"/>
      <c r="X8" s="30"/>
      <c r="Y8" s="125"/>
      <c r="Z8" s="30"/>
    </row>
    <row r="9" spans="1:26">
      <c r="A9" s="35"/>
      <c r="B9" s="30"/>
      <c r="C9" s="125"/>
      <c r="D9" s="30"/>
      <c r="E9" s="125"/>
      <c r="F9" s="30"/>
      <c r="G9" s="30"/>
      <c r="H9" s="30"/>
      <c r="I9" s="30"/>
      <c r="J9" s="30"/>
      <c r="K9" s="30"/>
      <c r="L9" s="30"/>
      <c r="M9" s="30"/>
      <c r="N9" s="30"/>
      <c r="O9" s="30"/>
      <c r="P9" s="30"/>
      <c r="Q9" s="30"/>
      <c r="R9" s="30"/>
      <c r="S9" s="30"/>
      <c r="T9" s="30"/>
      <c r="U9" s="30"/>
      <c r="V9" s="30"/>
      <c r="W9" s="125"/>
      <c r="X9" s="30"/>
      <c r="Y9" s="125"/>
      <c r="Z9" s="30"/>
    </row>
    <row r="10" spans="1:26">
      <c r="A10" s="35"/>
      <c r="B10" s="30"/>
      <c r="C10" s="125"/>
      <c r="D10" s="30"/>
      <c r="E10" s="125"/>
      <c r="F10" s="30"/>
      <c r="G10" s="30"/>
      <c r="H10" s="30"/>
      <c r="I10" s="30"/>
      <c r="J10" s="30"/>
      <c r="K10" s="30"/>
      <c r="L10" s="30"/>
      <c r="M10" s="30"/>
      <c r="N10" s="30"/>
      <c r="O10" s="30"/>
      <c r="P10" s="30"/>
      <c r="Q10" s="30"/>
      <c r="R10" s="30"/>
      <c r="S10" s="30"/>
      <c r="T10" s="30"/>
      <c r="U10" s="30"/>
      <c r="V10" s="30"/>
      <c r="W10" s="125"/>
      <c r="X10" s="30"/>
      <c r="Y10" s="125"/>
      <c r="Z10" s="30"/>
    </row>
    <row r="11" spans="1:26">
      <c r="C11" s="2059" t="s">
        <v>1410</v>
      </c>
      <c r="D11" s="2059"/>
      <c r="E11" s="2059"/>
      <c r="F11" s="2059"/>
      <c r="G11" s="2059"/>
      <c r="H11" s="2059"/>
      <c r="I11" s="2059"/>
      <c r="J11" s="1212"/>
      <c r="K11" s="1212"/>
      <c r="L11" s="52"/>
      <c r="M11" s="52"/>
      <c r="N11" s="51"/>
      <c r="O11" s="2059" t="s">
        <v>1411</v>
      </c>
      <c r="P11" s="2059"/>
      <c r="Q11" s="2059"/>
      <c r="R11" s="2059"/>
      <c r="S11" s="2059"/>
      <c r="T11" s="2059"/>
      <c r="U11" s="2059"/>
      <c r="V11" s="1003"/>
      <c r="W11" s="1213"/>
      <c r="X11" s="532"/>
      <c r="Y11" s="532"/>
      <c r="Z11" s="532"/>
    </row>
    <row r="12" spans="1:26">
      <c r="C12" s="126"/>
      <c r="D12" s="52"/>
      <c r="E12" s="126"/>
      <c r="F12" s="52"/>
      <c r="G12" s="53"/>
      <c r="H12" s="52"/>
      <c r="I12" s="52" t="s">
        <v>228</v>
      </c>
      <c r="J12" s="52"/>
      <c r="K12" s="52" t="s">
        <v>228</v>
      </c>
      <c r="L12" s="52"/>
      <c r="M12" s="1514"/>
      <c r="N12" s="51"/>
      <c r="O12" s="126"/>
      <c r="P12" s="52"/>
      <c r="Q12" s="126"/>
      <c r="R12" s="52"/>
      <c r="S12" s="53"/>
      <c r="T12" s="52"/>
      <c r="U12" s="52" t="s">
        <v>228</v>
      </c>
      <c r="V12" s="52"/>
      <c r="W12" s="52" t="s">
        <v>228</v>
      </c>
      <c r="X12" s="52"/>
      <c r="Z12" s="52"/>
    </row>
    <row r="13" spans="1:26">
      <c r="B13" s="36"/>
      <c r="C13" s="127"/>
      <c r="D13" s="36"/>
      <c r="E13" s="127"/>
      <c r="F13" s="36"/>
      <c r="G13" s="36"/>
      <c r="H13" s="36"/>
      <c r="I13" s="37" t="s">
        <v>229</v>
      </c>
      <c r="J13" s="36"/>
      <c r="K13" s="37" t="s">
        <v>229</v>
      </c>
      <c r="L13" s="37"/>
      <c r="M13" s="1515"/>
      <c r="N13" s="37"/>
      <c r="O13" s="127"/>
      <c r="P13" s="36"/>
      <c r="Q13" s="127"/>
      <c r="R13" s="36"/>
      <c r="S13" s="36"/>
      <c r="T13" s="36"/>
      <c r="U13" s="37" t="s">
        <v>229</v>
      </c>
      <c r="V13" s="36"/>
      <c r="W13" s="37" t="s">
        <v>229</v>
      </c>
      <c r="X13" s="36"/>
      <c r="Y13" s="127"/>
      <c r="Z13" s="36"/>
    </row>
    <row r="14" spans="1:26">
      <c r="B14" s="54"/>
      <c r="C14" s="38" t="s">
        <v>231</v>
      </c>
      <c r="D14" s="36"/>
      <c r="E14" s="37" t="s">
        <v>232</v>
      </c>
      <c r="F14" s="36"/>
      <c r="G14" s="36"/>
      <c r="H14" s="36"/>
      <c r="I14" s="37" t="s">
        <v>233</v>
      </c>
      <c r="J14" s="36"/>
      <c r="K14" s="37" t="s">
        <v>233</v>
      </c>
      <c r="L14" s="37"/>
      <c r="M14" s="1515"/>
      <c r="N14" s="37"/>
      <c r="O14" s="38" t="s">
        <v>231</v>
      </c>
      <c r="P14" s="36"/>
      <c r="Q14" s="37" t="s">
        <v>232</v>
      </c>
      <c r="R14" s="36"/>
      <c r="S14" s="36"/>
      <c r="T14" s="36"/>
      <c r="U14" s="37" t="s">
        <v>233</v>
      </c>
      <c r="V14" s="36"/>
      <c r="W14" s="37" t="s">
        <v>233</v>
      </c>
      <c r="X14" s="291"/>
      <c r="Y14" s="37"/>
      <c r="Z14" s="36"/>
    </row>
    <row r="15" spans="1:26">
      <c r="B15" s="54"/>
      <c r="C15" s="37" t="s">
        <v>234</v>
      </c>
      <c r="D15" s="36"/>
      <c r="E15" s="37" t="s">
        <v>234</v>
      </c>
      <c r="F15" s="36"/>
      <c r="G15" s="36"/>
      <c r="H15" s="36"/>
      <c r="I15" s="37" t="s">
        <v>231</v>
      </c>
      <c r="J15" s="36"/>
      <c r="K15" s="37" t="s">
        <v>232</v>
      </c>
      <c r="L15" s="37"/>
      <c r="M15" s="1515"/>
      <c r="N15" s="37"/>
      <c r="O15" s="37" t="s">
        <v>234</v>
      </c>
      <c r="P15" s="36"/>
      <c r="Q15" s="37" t="s">
        <v>234</v>
      </c>
      <c r="R15" s="36"/>
      <c r="S15" s="36"/>
      <c r="T15" s="36"/>
      <c r="U15" s="37" t="s">
        <v>231</v>
      </c>
      <c r="V15" s="36"/>
      <c r="W15" s="37" t="s">
        <v>232</v>
      </c>
      <c r="X15" s="36"/>
      <c r="Y15" s="37"/>
      <c r="Z15" s="36"/>
    </row>
    <row r="16" spans="1:26">
      <c r="B16" s="37"/>
      <c r="C16" s="37" t="s">
        <v>235</v>
      </c>
      <c r="D16" s="36"/>
      <c r="E16" s="37" t="s">
        <v>1511</v>
      </c>
      <c r="F16" s="36"/>
      <c r="G16" s="38" t="s">
        <v>228</v>
      </c>
      <c r="H16" s="36"/>
      <c r="I16" s="37" t="s">
        <v>236</v>
      </c>
      <c r="J16" s="36"/>
      <c r="K16" s="37" t="s">
        <v>236</v>
      </c>
      <c r="L16" s="37"/>
      <c r="M16" s="1515"/>
      <c r="N16" s="37"/>
      <c r="O16" s="37" t="s">
        <v>235</v>
      </c>
      <c r="P16" s="36"/>
      <c r="Q16" s="37" t="s">
        <v>1511</v>
      </c>
      <c r="R16" s="36"/>
      <c r="S16" s="38" t="s">
        <v>228</v>
      </c>
      <c r="T16" s="36"/>
      <c r="U16" s="37" t="s">
        <v>236</v>
      </c>
      <c r="V16" s="36"/>
      <c r="W16" s="37" t="s">
        <v>236</v>
      </c>
      <c r="X16" s="36"/>
      <c r="Y16" s="37"/>
      <c r="Z16" s="36"/>
    </row>
    <row r="17" spans="1:26">
      <c r="A17" s="39"/>
      <c r="B17" s="30"/>
      <c r="C17" s="1001"/>
      <c r="D17" s="30"/>
      <c r="E17" s="1001"/>
      <c r="F17" s="30"/>
      <c r="G17" s="1001"/>
      <c r="H17" s="30"/>
      <c r="I17" s="1001"/>
      <c r="J17" s="30"/>
      <c r="K17" s="1001"/>
      <c r="L17" s="30"/>
      <c r="M17" s="1516"/>
      <c r="N17" s="30"/>
      <c r="O17" s="1001"/>
      <c r="P17" s="30"/>
      <c r="Q17" s="1001"/>
      <c r="R17" s="30"/>
      <c r="S17" s="1001"/>
      <c r="T17" s="30"/>
      <c r="U17" s="1001"/>
      <c r="V17" s="30"/>
      <c r="W17" s="1001"/>
      <c r="X17" s="30"/>
      <c r="Y17" s="30"/>
      <c r="Z17" s="30"/>
    </row>
    <row r="18" spans="1:26">
      <c r="A18" s="3" t="s">
        <v>114</v>
      </c>
      <c r="C18" s="256"/>
      <c r="E18" s="256"/>
      <c r="M18" s="1517"/>
      <c r="W18" s="256"/>
      <c r="Y18" s="256"/>
    </row>
    <row r="19" spans="1:26">
      <c r="A19" s="350" t="s">
        <v>237</v>
      </c>
      <c r="B19" s="378"/>
      <c r="C19" s="256"/>
      <c r="D19" s="378"/>
      <c r="E19" s="256"/>
      <c r="F19" s="378"/>
      <c r="H19" s="378"/>
      <c r="J19" s="378"/>
      <c r="M19" s="1517"/>
      <c r="P19" s="378"/>
      <c r="R19" s="378"/>
      <c r="T19" s="378"/>
      <c r="V19" s="378"/>
      <c r="W19" s="256"/>
      <c r="Y19" s="256"/>
    </row>
    <row r="20" spans="1:26">
      <c r="A20" s="350" t="s">
        <v>238</v>
      </c>
      <c r="B20" s="378" t="s">
        <v>103</v>
      </c>
      <c r="C20" s="277">
        <v>0</v>
      </c>
      <c r="D20" s="276"/>
      <c r="E20" s="277">
        <v>0</v>
      </c>
      <c r="F20" s="276"/>
      <c r="G20" s="274">
        <f>'Exhibit G State'!AC17</f>
        <v>0</v>
      </c>
      <c r="H20" s="276"/>
      <c r="I20" s="274">
        <f>G20-C20</f>
        <v>0</v>
      </c>
      <c r="J20" s="276"/>
      <c r="K20" s="274">
        <f>G20-E20</f>
        <v>0</v>
      </c>
      <c r="L20" s="274"/>
      <c r="M20" s="1491"/>
      <c r="O20" s="277">
        <v>0</v>
      </c>
      <c r="P20" s="276"/>
      <c r="Q20" s="277">
        <v>0</v>
      </c>
      <c r="R20" s="276"/>
      <c r="S20" s="274">
        <v>0</v>
      </c>
      <c r="T20" s="276"/>
      <c r="U20" s="274">
        <f>S20-O20</f>
        <v>0</v>
      </c>
      <c r="V20" s="276"/>
      <c r="W20" s="274">
        <v>0</v>
      </c>
      <c r="X20" s="276"/>
      <c r="Y20" s="1518"/>
      <c r="Z20" s="276"/>
    </row>
    <row r="21" spans="1:26">
      <c r="A21" s="350" t="s">
        <v>239</v>
      </c>
      <c r="B21" s="256" t="s">
        <v>103</v>
      </c>
      <c r="C21" s="275">
        <v>793</v>
      </c>
      <c r="D21" s="1784"/>
      <c r="E21" s="275">
        <v>793</v>
      </c>
      <c r="F21" s="264"/>
      <c r="G21" s="264">
        <f>'Exhibit G State'!AC29</f>
        <v>829.4</v>
      </c>
      <c r="H21" s="264"/>
      <c r="I21" s="264">
        <f t="shared" ref="I21:I25" si="0">G21-C21</f>
        <v>36.399999999999977</v>
      </c>
      <c r="J21" s="264"/>
      <c r="K21" s="264">
        <f>G21-E21</f>
        <v>36.399999999999977</v>
      </c>
      <c r="L21" s="264"/>
      <c r="M21" s="986"/>
      <c r="O21" s="275">
        <v>0</v>
      </c>
      <c r="P21" s="1784"/>
      <c r="Q21" s="275">
        <v>0</v>
      </c>
      <c r="R21" s="264"/>
      <c r="S21" s="264">
        <v>0</v>
      </c>
      <c r="T21" s="264"/>
      <c r="U21" s="264">
        <f>S21-O21</f>
        <v>0</v>
      </c>
      <c r="V21" s="264"/>
      <c r="W21" s="264">
        <v>0</v>
      </c>
      <c r="X21" s="264"/>
      <c r="Y21" s="1518"/>
      <c r="Z21" s="264"/>
    </row>
    <row r="22" spans="1:26">
      <c r="A22" s="350" t="s">
        <v>240</v>
      </c>
      <c r="B22" s="378" t="s">
        <v>103</v>
      </c>
      <c r="C22" s="275">
        <v>954</v>
      </c>
      <c r="D22" s="367"/>
      <c r="E22" s="275">
        <v>954</v>
      </c>
      <c r="F22" s="287"/>
      <c r="G22" s="264">
        <f>'Exhibit G State'!AC36</f>
        <v>1154.2</v>
      </c>
      <c r="H22" s="287"/>
      <c r="I22" s="264">
        <f t="shared" si="0"/>
        <v>200.20000000000005</v>
      </c>
      <c r="J22" s="287"/>
      <c r="K22" s="264">
        <f t="shared" ref="K22:K25" si="1">G22-E22</f>
        <v>200.20000000000005</v>
      </c>
      <c r="L22" s="264"/>
      <c r="M22" s="986"/>
      <c r="O22" s="275">
        <v>0</v>
      </c>
      <c r="P22" s="367"/>
      <c r="Q22" s="275">
        <v>0</v>
      </c>
      <c r="R22" s="287"/>
      <c r="S22" s="264">
        <v>0</v>
      </c>
      <c r="T22" s="287"/>
      <c r="U22" s="264">
        <f t="shared" ref="U22:U25" si="2">S22-O22</f>
        <v>0</v>
      </c>
      <c r="V22" s="287"/>
      <c r="W22" s="264">
        <v>0</v>
      </c>
      <c r="X22" s="287"/>
      <c r="Y22" s="1518"/>
      <c r="Z22" s="287"/>
    </row>
    <row r="23" spans="1:26" ht="15" customHeight="1">
      <c r="A23" s="350" t="s">
        <v>119</v>
      </c>
      <c r="B23" s="256" t="s">
        <v>103</v>
      </c>
      <c r="C23" s="275">
        <v>9226</v>
      </c>
      <c r="D23" s="1785"/>
      <c r="E23" s="275">
        <v>9226</v>
      </c>
      <c r="F23" s="1192"/>
      <c r="G23" s="264">
        <f>'Exhibit G State'!AC81</f>
        <v>9686.4</v>
      </c>
      <c r="H23" s="1192"/>
      <c r="I23" s="264">
        <f t="shared" si="0"/>
        <v>460.39999999999964</v>
      </c>
      <c r="J23" s="1192"/>
      <c r="K23" s="264">
        <f t="shared" si="1"/>
        <v>460.39999999999964</v>
      </c>
      <c r="L23" s="264"/>
      <c r="M23" s="986"/>
      <c r="O23" s="275">
        <v>224</v>
      </c>
      <c r="P23" s="1785"/>
      <c r="Q23" s="275">
        <v>224</v>
      </c>
      <c r="R23" s="1192"/>
      <c r="S23" s="288">
        <f>'Exhibit G Federal'!AC52</f>
        <v>240.4</v>
      </c>
      <c r="T23" s="1192"/>
      <c r="U23" s="264">
        <f t="shared" si="2"/>
        <v>16.400000000000006</v>
      </c>
      <c r="V23" s="1192"/>
      <c r="W23" s="264">
        <f>S23-Q23</f>
        <v>16.400000000000006</v>
      </c>
      <c r="X23" s="264"/>
      <c r="Y23" s="1518"/>
      <c r="Z23" s="264"/>
    </row>
    <row r="24" spans="1:26" ht="15" customHeight="1">
      <c r="A24" s="350" t="s">
        <v>120</v>
      </c>
      <c r="B24" s="256" t="s">
        <v>103</v>
      </c>
      <c r="C24" s="275">
        <v>0</v>
      </c>
      <c r="D24" s="1784"/>
      <c r="E24" s="275">
        <v>0</v>
      </c>
      <c r="F24" s="264"/>
      <c r="G24" s="288">
        <f>'Exhibit G State'!AC83</f>
        <v>0.2</v>
      </c>
      <c r="H24" s="264"/>
      <c r="I24" s="264">
        <f t="shared" si="0"/>
        <v>0.2</v>
      </c>
      <c r="J24" s="264"/>
      <c r="K24" s="264">
        <f t="shared" si="1"/>
        <v>0.2</v>
      </c>
      <c r="L24" s="264"/>
      <c r="M24" s="986"/>
      <c r="O24" s="275">
        <v>33907</v>
      </c>
      <c r="P24" s="1784"/>
      <c r="Q24" s="275">
        <v>33907</v>
      </c>
      <c r="R24" s="264"/>
      <c r="S24" s="288">
        <f>'Exhibit G Federal'!AC54</f>
        <v>38166.1</v>
      </c>
      <c r="T24" s="264"/>
      <c r="U24" s="264">
        <f t="shared" si="2"/>
        <v>4259.0999999999985</v>
      </c>
      <c r="V24" s="264"/>
      <c r="W24" s="264">
        <f t="shared" ref="W24:W25" si="3">S24-Q24</f>
        <v>4259.0999999999985</v>
      </c>
      <c r="X24" s="264"/>
      <c r="Y24" s="1518"/>
      <c r="Z24" s="264"/>
    </row>
    <row r="25" spans="1:26">
      <c r="A25" s="350" t="s">
        <v>147</v>
      </c>
      <c r="B25" s="388" t="s">
        <v>103</v>
      </c>
      <c r="C25" s="834">
        <v>2301</v>
      </c>
      <c r="D25" s="1784"/>
      <c r="E25" s="834">
        <v>2301</v>
      </c>
      <c r="F25" s="264"/>
      <c r="G25" s="288">
        <f>'Exhibit G State'!AC112</f>
        <v>2282.6</v>
      </c>
      <c r="H25" s="264"/>
      <c r="I25" s="264">
        <f t="shared" si="0"/>
        <v>-18.400000000000091</v>
      </c>
      <c r="J25" s="264"/>
      <c r="K25" s="264">
        <f t="shared" si="1"/>
        <v>-18.400000000000091</v>
      </c>
      <c r="L25" s="264"/>
      <c r="M25" s="986"/>
      <c r="N25" s="388"/>
      <c r="O25" s="834">
        <v>0</v>
      </c>
      <c r="P25" s="1784"/>
      <c r="Q25" s="834">
        <v>0</v>
      </c>
      <c r="R25" s="264"/>
      <c r="S25" s="288">
        <f>'Exhibit G Federal'!AC85</f>
        <v>0</v>
      </c>
      <c r="T25" s="264"/>
      <c r="U25" s="264">
        <f t="shared" si="2"/>
        <v>0</v>
      </c>
      <c r="V25" s="264"/>
      <c r="W25" s="264">
        <f t="shared" si="3"/>
        <v>0</v>
      </c>
      <c r="X25" s="264"/>
      <c r="Y25" s="1518"/>
      <c r="Z25" s="264"/>
    </row>
    <row r="26" spans="1:26" ht="18" customHeight="1">
      <c r="A26" s="1211" t="s">
        <v>261</v>
      </c>
      <c r="B26" s="36" t="s">
        <v>103</v>
      </c>
      <c r="C26" s="617">
        <f>ROUND(SUM(C20:C25),1)</f>
        <v>13274</v>
      </c>
      <c r="D26" s="13"/>
      <c r="E26" s="617">
        <f>ROUND(SUM(E20:E25),1)</f>
        <v>13274</v>
      </c>
      <c r="F26" s="13"/>
      <c r="G26" s="617">
        <f>ROUND(SUM(G20:G25),1)</f>
        <v>13952.8</v>
      </c>
      <c r="H26" s="13"/>
      <c r="I26" s="616">
        <f>ROUND(SUM(I20:I25),1)</f>
        <v>678.8</v>
      </c>
      <c r="J26" s="13"/>
      <c r="K26" s="616">
        <f>ROUND(SUM(K20:K25),1)</f>
        <v>678.8</v>
      </c>
      <c r="L26" s="13"/>
      <c r="M26" s="1493"/>
      <c r="O26" s="617">
        <f>ROUND(SUM(O20:O25),1)</f>
        <v>34131</v>
      </c>
      <c r="P26" s="13"/>
      <c r="Q26" s="617">
        <f>ROUND(SUM(Q20:Q25),1)</f>
        <v>34131</v>
      </c>
      <c r="R26" s="13"/>
      <c r="S26" s="616">
        <f>ROUND(SUM(S20:S25),1)</f>
        <v>38406.5</v>
      </c>
      <c r="T26" s="13"/>
      <c r="U26" s="616">
        <f>ROUND(SUM(U20:U25),1)</f>
        <v>4275.5</v>
      </c>
      <c r="V26" s="13"/>
      <c r="W26" s="616">
        <f>ROUND(SUM(W20:W25),1)</f>
        <v>4275.5</v>
      </c>
      <c r="X26" s="13"/>
      <c r="Y26" s="13"/>
      <c r="Z26" s="13"/>
    </row>
    <row r="27" spans="1:26">
      <c r="C27" s="615"/>
      <c r="D27" s="264"/>
      <c r="E27" s="615"/>
      <c r="F27" s="264"/>
      <c r="G27" s="615"/>
      <c r="H27" s="264"/>
      <c r="I27" s="264"/>
      <c r="J27" s="264"/>
      <c r="K27" s="264"/>
      <c r="L27" s="264"/>
      <c r="M27" s="986"/>
      <c r="O27" s="615"/>
      <c r="P27" s="264"/>
      <c r="Q27" s="615"/>
      <c r="R27" s="264"/>
      <c r="S27" s="615"/>
      <c r="T27" s="264"/>
      <c r="U27" s="264"/>
      <c r="V27" s="264"/>
      <c r="W27" s="264"/>
      <c r="X27" s="264"/>
      <c r="Y27" s="264"/>
      <c r="Z27" s="264"/>
    </row>
    <row r="28" spans="1:26">
      <c r="A28" s="3" t="s">
        <v>122</v>
      </c>
      <c r="C28" s="264"/>
      <c r="D28" s="264"/>
      <c r="E28" s="264"/>
      <c r="F28" s="264"/>
      <c r="G28" s="264"/>
      <c r="H28" s="264"/>
      <c r="I28" s="264"/>
      <c r="J28" s="264"/>
      <c r="K28" s="264"/>
      <c r="L28" s="264"/>
      <c r="M28" s="986"/>
      <c r="O28" s="264"/>
      <c r="P28" s="264"/>
      <c r="Q28" s="264"/>
      <c r="R28" s="264"/>
      <c r="S28" s="264"/>
      <c r="T28" s="264"/>
      <c r="U28" s="264"/>
      <c r="V28" s="264"/>
      <c r="W28" s="264"/>
      <c r="X28" s="264"/>
      <c r="Y28" s="264"/>
      <c r="Z28" s="264"/>
    </row>
    <row r="29" spans="1:26">
      <c r="A29" s="350" t="s">
        <v>243</v>
      </c>
      <c r="B29" s="378" t="s">
        <v>103</v>
      </c>
      <c r="C29" s="275">
        <v>4803</v>
      </c>
      <c r="D29" s="1784"/>
      <c r="E29" s="275">
        <v>4803</v>
      </c>
      <c r="F29" s="264"/>
      <c r="G29" s="287">
        <f>'Exhibit G State'!AC99</f>
        <v>4508.3</v>
      </c>
      <c r="H29" s="264"/>
      <c r="I29" s="264">
        <f t="shared" ref="I29:I34" si="4">G29-C29</f>
        <v>-294.69999999999982</v>
      </c>
      <c r="J29" s="264"/>
      <c r="K29" s="264">
        <f>G29-E29</f>
        <v>-294.69999999999982</v>
      </c>
      <c r="L29" s="264"/>
      <c r="M29" s="986"/>
      <c r="O29" s="275">
        <v>30550</v>
      </c>
      <c r="P29" s="1784"/>
      <c r="Q29" s="275">
        <v>30550</v>
      </c>
      <c r="R29" s="264"/>
      <c r="S29" s="287">
        <f>'Exhibit G Federal'!AC70</f>
        <v>31665.599999999999</v>
      </c>
      <c r="T29" s="264"/>
      <c r="U29" s="264">
        <f t="shared" ref="U29:U34" si="5">S29-O29</f>
        <v>1115.5999999999985</v>
      </c>
      <c r="V29" s="264"/>
      <c r="W29" s="264">
        <f>S29-Q29</f>
        <v>1115.5999999999985</v>
      </c>
      <c r="X29" s="264"/>
      <c r="Y29" s="1518"/>
      <c r="Z29" s="264"/>
    </row>
    <row r="30" spans="1:26">
      <c r="A30" s="350" t="s">
        <v>244</v>
      </c>
      <c r="B30" s="378" t="s">
        <v>103</v>
      </c>
      <c r="C30" s="275">
        <v>3628</v>
      </c>
      <c r="D30" s="1784"/>
      <c r="E30" s="275">
        <v>3628</v>
      </c>
      <c r="F30" s="264"/>
      <c r="G30" s="287">
        <f>'Exhibit G State'!AC101+'Exhibit G State'!AC102</f>
        <v>3646.2</v>
      </c>
      <c r="H30" s="264"/>
      <c r="I30" s="264">
        <f t="shared" si="4"/>
        <v>18.199999999999818</v>
      </c>
      <c r="J30" s="264"/>
      <c r="K30" s="264">
        <f t="shared" ref="K30:K34" si="6">G30-E30</f>
        <v>18.199999999999818</v>
      </c>
      <c r="L30" s="264"/>
      <c r="M30" s="986"/>
      <c r="O30" s="275">
        <v>689</v>
      </c>
      <c r="P30" s="1784"/>
      <c r="Q30" s="275">
        <v>689</v>
      </c>
      <c r="R30" s="264"/>
      <c r="S30" s="287">
        <f>'Exhibit G Federal'!AC72+'Exhibit G Federal'!AC73</f>
        <v>777</v>
      </c>
      <c r="T30" s="264"/>
      <c r="U30" s="264">
        <f t="shared" si="5"/>
        <v>88</v>
      </c>
      <c r="V30" s="264"/>
      <c r="W30" s="264">
        <f t="shared" ref="W30:W34" si="7">S30-Q30</f>
        <v>88</v>
      </c>
      <c r="X30" s="264"/>
      <c r="Y30" s="1518"/>
      <c r="Z30" s="264"/>
    </row>
    <row r="31" spans="1:26">
      <c r="A31" s="350" t="s">
        <v>209</v>
      </c>
      <c r="B31" s="378" t="s">
        <v>103</v>
      </c>
      <c r="C31" s="275">
        <v>322</v>
      </c>
      <c r="D31" s="1784"/>
      <c r="E31" s="275">
        <v>322</v>
      </c>
      <c r="F31" s="264"/>
      <c r="G31" s="287">
        <f>'Exhibit G State'!AC103</f>
        <v>513.20000000000005</v>
      </c>
      <c r="H31" s="264"/>
      <c r="I31" s="264">
        <f t="shared" si="4"/>
        <v>191.20000000000005</v>
      </c>
      <c r="J31" s="264"/>
      <c r="K31" s="264">
        <f t="shared" si="6"/>
        <v>191.20000000000005</v>
      </c>
      <c r="L31" s="264"/>
      <c r="M31" s="986"/>
      <c r="O31" s="275">
        <v>80</v>
      </c>
      <c r="P31" s="1784"/>
      <c r="Q31" s="275">
        <v>80</v>
      </c>
      <c r="R31" s="264"/>
      <c r="S31" s="287">
        <f>'Exhibit G Federal'!AC74</f>
        <v>127.5</v>
      </c>
      <c r="T31" s="264"/>
      <c r="U31" s="264">
        <f t="shared" si="5"/>
        <v>47.5</v>
      </c>
      <c r="V31" s="264"/>
      <c r="W31" s="264">
        <f t="shared" si="7"/>
        <v>47.5</v>
      </c>
      <c r="X31" s="264"/>
      <c r="Y31" s="1518"/>
      <c r="Z31" s="264"/>
    </row>
    <row r="32" spans="1:26">
      <c r="A32" s="350" t="s">
        <v>245</v>
      </c>
      <c r="B32" s="378"/>
      <c r="C32" s="275">
        <v>0</v>
      </c>
      <c r="D32" s="378"/>
      <c r="E32" s="275">
        <v>0</v>
      </c>
      <c r="F32" s="264"/>
      <c r="G32" s="287">
        <v>0</v>
      </c>
      <c r="H32" s="264"/>
      <c r="I32" s="264">
        <f t="shared" si="4"/>
        <v>0</v>
      </c>
      <c r="J32" s="264"/>
      <c r="K32" s="264">
        <f t="shared" si="6"/>
        <v>0</v>
      </c>
      <c r="L32" s="264"/>
      <c r="M32" s="986"/>
      <c r="O32" s="275">
        <v>0</v>
      </c>
      <c r="P32" s="378"/>
      <c r="Q32" s="275">
        <v>0</v>
      </c>
      <c r="R32" s="264"/>
      <c r="S32" s="287">
        <f>'Exhibit G Federal'!AC76</f>
        <v>0</v>
      </c>
      <c r="T32" s="264"/>
      <c r="U32" s="264">
        <f t="shared" si="5"/>
        <v>0</v>
      </c>
      <c r="V32" s="264"/>
      <c r="W32" s="264">
        <f t="shared" si="7"/>
        <v>0</v>
      </c>
      <c r="X32" s="264"/>
      <c r="Y32" s="1518"/>
      <c r="Z32" s="264"/>
    </row>
    <row r="33" spans="1:26">
      <c r="A33" s="350" t="s">
        <v>140</v>
      </c>
      <c r="B33" s="388" t="s">
        <v>103</v>
      </c>
      <c r="C33" s="275">
        <v>0</v>
      </c>
      <c r="D33" s="378"/>
      <c r="E33" s="275">
        <v>0</v>
      </c>
      <c r="F33" s="264"/>
      <c r="G33" s="275">
        <f>'Exhibit G State'!AC104</f>
        <v>0</v>
      </c>
      <c r="H33" s="264"/>
      <c r="I33" s="264">
        <f t="shared" si="4"/>
        <v>0</v>
      </c>
      <c r="J33" s="264"/>
      <c r="K33" s="264">
        <f t="shared" si="6"/>
        <v>0</v>
      </c>
      <c r="L33" s="264"/>
      <c r="M33" s="986"/>
      <c r="N33" s="388"/>
      <c r="O33" s="275">
        <v>0</v>
      </c>
      <c r="P33" s="378"/>
      <c r="Q33" s="275">
        <v>0</v>
      </c>
      <c r="R33" s="264"/>
      <c r="S33" s="287">
        <f>'Exhibit G Federal'!AC77</f>
        <v>0</v>
      </c>
      <c r="T33" s="264"/>
      <c r="U33" s="264">
        <f t="shared" si="5"/>
        <v>0</v>
      </c>
      <c r="V33" s="264"/>
      <c r="W33" s="264">
        <f t="shared" si="7"/>
        <v>0</v>
      </c>
      <c r="X33" s="264"/>
      <c r="Y33" s="1518"/>
      <c r="Z33" s="264"/>
    </row>
    <row r="34" spans="1:26">
      <c r="A34" s="350" t="s">
        <v>248</v>
      </c>
      <c r="B34" s="388" t="s">
        <v>103</v>
      </c>
      <c r="C34" s="275">
        <v>74</v>
      </c>
      <c r="D34" s="378"/>
      <c r="E34" s="275">
        <v>74</v>
      </c>
      <c r="F34" s="264"/>
      <c r="G34" s="288">
        <f>-'Exhibit G State'!AC113</f>
        <v>91.699999999999989</v>
      </c>
      <c r="H34" s="264"/>
      <c r="I34" s="264">
        <f t="shared" si="4"/>
        <v>17.699999999999989</v>
      </c>
      <c r="J34" s="264"/>
      <c r="K34" s="264">
        <f t="shared" si="6"/>
        <v>17.699999999999989</v>
      </c>
      <c r="L34" s="264"/>
      <c r="M34" s="986"/>
      <c r="N34" s="388"/>
      <c r="O34" s="275">
        <v>1153</v>
      </c>
      <c r="P34" s="378"/>
      <c r="Q34" s="275">
        <v>1153</v>
      </c>
      <c r="R34" s="264"/>
      <c r="S34" s="288">
        <f>-'Exhibit G Federal'!AC86</f>
        <v>1616.7</v>
      </c>
      <c r="T34" s="264"/>
      <c r="U34" s="264">
        <f t="shared" si="5"/>
        <v>463.70000000000005</v>
      </c>
      <c r="V34" s="264"/>
      <c r="W34" s="264">
        <f t="shared" si="7"/>
        <v>463.70000000000005</v>
      </c>
      <c r="X34" s="264"/>
      <c r="Y34" s="1518"/>
      <c r="Z34" s="264"/>
    </row>
    <row r="35" spans="1:26" ht="18" customHeight="1">
      <c r="A35" s="1211" t="s">
        <v>270</v>
      </c>
      <c r="B35" s="36" t="s">
        <v>103</v>
      </c>
      <c r="C35" s="616">
        <f>ROUND(SUM(C29:C34),1)</f>
        <v>8827</v>
      </c>
      <c r="D35" s="13"/>
      <c r="E35" s="616">
        <f>ROUND(SUM(E29:E34),1)</f>
        <v>8827</v>
      </c>
      <c r="F35" s="13"/>
      <c r="G35" s="616">
        <f>ROUND(SUM(G29:G34),1)</f>
        <v>8759.4</v>
      </c>
      <c r="H35" s="13"/>
      <c r="I35" s="616">
        <f>ROUND(SUM(I29:I34),1)</f>
        <v>-67.599999999999994</v>
      </c>
      <c r="J35" s="13"/>
      <c r="K35" s="616">
        <f>ROUND(SUM(K29:K34),1)</f>
        <v>-67.599999999999994</v>
      </c>
      <c r="L35" s="13"/>
      <c r="M35" s="1493"/>
      <c r="N35" s="36"/>
      <c r="O35" s="616">
        <f>ROUND(SUM(O29:O34),1)</f>
        <v>32472</v>
      </c>
      <c r="P35" s="13"/>
      <c r="Q35" s="616">
        <f>ROUND(SUM(Q29:Q34),1)</f>
        <v>32472</v>
      </c>
      <c r="R35" s="13"/>
      <c r="S35" s="616">
        <f>ROUND(SUM(S29:S34),1)</f>
        <v>34186.800000000003</v>
      </c>
      <c r="T35" s="13"/>
      <c r="U35" s="616">
        <f>ROUND(SUM(U29:U34),1)</f>
        <v>1714.8</v>
      </c>
      <c r="V35" s="13"/>
      <c r="W35" s="616">
        <f>ROUND(SUM(W29:W34),1)</f>
        <v>1714.8</v>
      </c>
      <c r="X35" s="13"/>
      <c r="Y35" s="13"/>
      <c r="Z35" s="13"/>
    </row>
    <row r="36" spans="1:26">
      <c r="C36" s="615"/>
      <c r="D36" s="264"/>
      <c r="E36" s="615"/>
      <c r="F36" s="264"/>
      <c r="G36" s="615"/>
      <c r="H36" s="264"/>
      <c r="I36" s="264"/>
      <c r="J36" s="264"/>
      <c r="K36" s="264"/>
      <c r="L36" s="264"/>
      <c r="M36" s="986"/>
      <c r="O36" s="615"/>
      <c r="P36" s="264"/>
      <c r="Q36" s="615"/>
      <c r="R36" s="264"/>
      <c r="S36" s="615"/>
      <c r="T36" s="264"/>
      <c r="U36" s="264"/>
      <c r="V36" s="264"/>
      <c r="W36" s="264"/>
      <c r="X36" s="264"/>
      <c r="Y36" s="264"/>
      <c r="Z36" s="264"/>
    </row>
    <row r="37" spans="1:26">
      <c r="A37" s="3" t="s">
        <v>271</v>
      </c>
      <c r="C37" s="264"/>
      <c r="D37" s="264"/>
      <c r="E37" s="264"/>
      <c r="F37" s="264"/>
      <c r="G37" s="264"/>
      <c r="H37" s="264"/>
      <c r="I37" s="264"/>
      <c r="J37" s="264"/>
      <c r="K37" s="264"/>
      <c r="L37" s="264"/>
      <c r="M37" s="986"/>
      <c r="O37" s="264"/>
      <c r="P37" s="264"/>
      <c r="Q37" s="264"/>
      <c r="R37" s="264"/>
      <c r="S37" s="264"/>
      <c r="T37" s="264"/>
      <c r="U37" s="264"/>
      <c r="V37" s="264"/>
      <c r="W37" s="264"/>
      <c r="X37" s="264"/>
      <c r="Y37" s="264"/>
      <c r="Z37" s="264"/>
    </row>
    <row r="38" spans="1:26">
      <c r="A38" s="3" t="s">
        <v>272</v>
      </c>
      <c r="C38" s="264"/>
      <c r="D38" s="264"/>
      <c r="E38" s="264"/>
      <c r="F38" s="264"/>
      <c r="G38" s="264"/>
      <c r="H38" s="264"/>
      <c r="I38" s="264"/>
      <c r="J38" s="264"/>
      <c r="K38" s="264"/>
      <c r="L38" s="264"/>
      <c r="M38" s="986"/>
      <c r="O38" s="264"/>
      <c r="P38" s="264"/>
      <c r="Q38" s="264"/>
      <c r="R38" s="264"/>
      <c r="S38" s="264"/>
      <c r="T38" s="264"/>
      <c r="U38" s="264"/>
      <c r="V38" s="264"/>
      <c r="W38" s="264"/>
      <c r="X38" s="264"/>
      <c r="Y38" s="264"/>
      <c r="Z38" s="264"/>
    </row>
    <row r="39" spans="1:26">
      <c r="A39" s="1211" t="s">
        <v>252</v>
      </c>
      <c r="B39" s="1210" t="s">
        <v>103</v>
      </c>
      <c r="C39" s="13">
        <f>ROUND(SUM(C26)-SUM(C35),1)</f>
        <v>4447</v>
      </c>
      <c r="D39" s="18"/>
      <c r="E39" s="13">
        <f>ROUND(SUM(E26)-SUM(E35),1)</f>
        <v>4447</v>
      </c>
      <c r="F39" s="18"/>
      <c r="G39" s="13">
        <f>ROUND(SUM(G26)-SUM(G35),1)</f>
        <v>5193.3999999999996</v>
      </c>
      <c r="H39" s="18"/>
      <c r="I39" s="13">
        <f>ROUND(SUM(I26)-SUM(I35),1)</f>
        <v>746.4</v>
      </c>
      <c r="J39" s="18"/>
      <c r="K39" s="13">
        <f>ROUND(SUM(K26)-SUM(K35),1)</f>
        <v>746.4</v>
      </c>
      <c r="L39" s="13"/>
      <c r="M39" s="1493"/>
      <c r="N39" s="36"/>
      <c r="O39" s="13">
        <f>ROUND(SUM(O26)-SUM(O35),1)</f>
        <v>1659</v>
      </c>
      <c r="P39" s="18"/>
      <c r="Q39" s="13">
        <f>ROUND(SUM(Q26)-SUM(Q35),1)</f>
        <v>1659</v>
      </c>
      <c r="R39" s="18"/>
      <c r="S39" s="13">
        <f>ROUND(SUM(S26)-SUM(S35),1)</f>
        <v>4219.7</v>
      </c>
      <c r="T39" s="18"/>
      <c r="U39" s="13">
        <f>ROUND(SUM(U26)-SUM(U35),1)</f>
        <v>2560.6999999999998</v>
      </c>
      <c r="V39" s="18"/>
      <c r="W39" s="13">
        <f>ROUND(SUM(W26)-SUM(W35),1)</f>
        <v>2560.6999999999998</v>
      </c>
      <c r="X39" s="18"/>
      <c r="Y39" s="13"/>
      <c r="Z39" s="18"/>
    </row>
    <row r="40" spans="1:26" ht="15" customHeight="1">
      <c r="C40" s="264"/>
      <c r="D40" s="264"/>
      <c r="E40" s="264"/>
      <c r="F40" s="264"/>
      <c r="G40" s="264"/>
      <c r="H40" s="264"/>
      <c r="I40" s="13"/>
      <c r="J40" s="264"/>
      <c r="K40" s="13"/>
      <c r="L40" s="264"/>
      <c r="M40" s="1493"/>
      <c r="N40" s="36"/>
      <c r="O40" s="264"/>
      <c r="P40" s="264"/>
      <c r="Q40" s="264"/>
      <c r="R40" s="264"/>
      <c r="S40" s="264"/>
      <c r="T40" s="264"/>
      <c r="U40" s="13"/>
      <c r="V40" s="264"/>
      <c r="W40" s="13"/>
      <c r="X40" s="264"/>
      <c r="Y40" s="264"/>
      <c r="Z40" s="264"/>
    </row>
    <row r="41" spans="1:26">
      <c r="A41" s="1211" t="str">
        <f>+'Exh D Governmental  '!A49</f>
        <v>Fund Balances (Deficits) at April 1</v>
      </c>
      <c r="B41" s="256" t="s">
        <v>103</v>
      </c>
      <c r="C41" s="13">
        <v>12732</v>
      </c>
      <c r="D41" s="264"/>
      <c r="E41" s="13">
        <v>12732</v>
      </c>
      <c r="F41" s="264"/>
      <c r="G41" s="13">
        <v>12731.9</v>
      </c>
      <c r="H41" s="264"/>
      <c r="I41" s="13">
        <f t="shared" ref="I41" si="8">G41-C41</f>
        <v>-0.1000000000003638</v>
      </c>
      <c r="J41" s="264"/>
      <c r="K41" s="13">
        <f>G41-E41</f>
        <v>-0.1000000000003638</v>
      </c>
      <c r="L41" s="13"/>
      <c r="M41" s="1788"/>
      <c r="N41" s="36"/>
      <c r="O41" s="13">
        <v>8477</v>
      </c>
      <c r="P41" s="264"/>
      <c r="Q41" s="13">
        <v>8477</v>
      </c>
      <c r="R41" s="264"/>
      <c r="S41" s="13">
        <v>8476.7000000000007</v>
      </c>
      <c r="T41" s="264"/>
      <c r="U41" s="13">
        <f t="shared" ref="U41" si="9">S41-O41</f>
        <v>-0.2999999999992724</v>
      </c>
      <c r="V41" s="264"/>
      <c r="W41" s="13">
        <f>S41-Q41</f>
        <v>-0.2999999999992724</v>
      </c>
      <c r="X41" s="264" t="s">
        <v>103</v>
      </c>
      <c r="Y41" s="13"/>
      <c r="Z41" s="264"/>
    </row>
    <row r="42" spans="1:26" ht="18" customHeight="1" thickBot="1">
      <c r="A42" s="1211" t="str">
        <f>+'Exh D Governmental  '!A50</f>
        <v>Fund Balances (Deficits) at July 31, 2026</v>
      </c>
      <c r="B42" s="43" t="s">
        <v>103</v>
      </c>
      <c r="C42" s="673">
        <f>ROUND(SUM(C39:C41),1)</f>
        <v>17179</v>
      </c>
      <c r="D42" s="44"/>
      <c r="E42" s="673">
        <f>ROUND(SUM(E39:E41),1)</f>
        <v>17179</v>
      </c>
      <c r="F42" s="44"/>
      <c r="G42" s="673">
        <f>ROUND(SUM(G39:G41),1)</f>
        <v>17925.3</v>
      </c>
      <c r="H42" s="44"/>
      <c r="I42" s="673">
        <f>ROUND(SUM(I39:I41),1)</f>
        <v>746.3</v>
      </c>
      <c r="J42" s="44"/>
      <c r="K42" s="673">
        <f>ROUND(SUM(K39:K41),1)</f>
        <v>746.3</v>
      </c>
      <c r="L42" s="20"/>
      <c r="M42" s="340"/>
      <c r="N42" s="36"/>
      <c r="O42" s="673">
        <f>ROUND(SUM(O39:O41),1)</f>
        <v>10136</v>
      </c>
      <c r="P42" s="44"/>
      <c r="Q42" s="673">
        <f>ROUND(SUM(Q39:Q41),1)</f>
        <v>10136</v>
      </c>
      <c r="R42" s="44"/>
      <c r="S42" s="673">
        <f>ROUND(SUM(S39:S41),1)</f>
        <v>12696.4</v>
      </c>
      <c r="T42" s="44"/>
      <c r="U42" s="673">
        <f>ROUND(SUM(U39:U41),1)</f>
        <v>2560.4</v>
      </c>
      <c r="V42" s="44"/>
      <c r="W42" s="673">
        <f>ROUND(SUM(W39:W41),1)</f>
        <v>2560.4</v>
      </c>
      <c r="X42" s="44"/>
      <c r="Y42" s="20"/>
      <c r="Z42" s="44"/>
    </row>
    <row r="43" spans="1:26" ht="15" customHeight="1" thickTop="1">
      <c r="A43" s="39"/>
      <c r="W43" s="256"/>
      <c r="X43" s="274"/>
      <c r="Y43" s="290"/>
      <c r="Z43" s="274"/>
    </row>
    <row r="44" spans="1:26">
      <c r="A44" s="385" t="str">
        <f>'Exh D Governmental  '!A52</f>
        <v>(*)  Source: 2026-27 Enacted Budget dated June 10, 2026.</v>
      </c>
    </row>
    <row r="45" spans="1:26">
      <c r="A45" s="385" t="str">
        <f>'Exh D Governmental  '!A53</f>
        <v>(**) Source: 2026-27 First Quarter Budget Update dated July 30, 2026, which made no changes to the Enacted Financial Plan.</v>
      </c>
      <c r="B45" s="291"/>
      <c r="C45" s="274"/>
      <c r="D45" s="291"/>
      <c r="E45" s="291"/>
      <c r="F45" s="291"/>
      <c r="G45" s="291"/>
      <c r="H45" s="291"/>
      <c r="I45" s="291"/>
      <c r="J45" s="291"/>
      <c r="K45" s="291"/>
      <c r="L45" s="291"/>
      <c r="M45" s="291"/>
      <c r="N45" s="291"/>
      <c r="O45" s="291"/>
      <c r="P45" s="291"/>
      <c r="Q45" s="291"/>
      <c r="R45" s="291"/>
      <c r="S45" s="274"/>
      <c r="T45" s="291"/>
      <c r="U45" s="291"/>
      <c r="V45" s="291"/>
      <c r="W45" s="291"/>
      <c r="X45" s="291"/>
      <c r="Y45" s="291"/>
      <c r="Z45" s="291"/>
    </row>
    <row r="46" spans="1:26">
      <c r="A46" s="385"/>
      <c r="B46" s="291"/>
      <c r="C46" s="274"/>
      <c r="D46" s="291"/>
      <c r="E46" s="291"/>
      <c r="F46" s="291"/>
      <c r="G46" s="291"/>
      <c r="H46" s="291"/>
      <c r="I46" s="291"/>
      <c r="J46" s="291"/>
      <c r="K46" s="291"/>
      <c r="L46" s="291"/>
      <c r="M46" s="291"/>
      <c r="N46" s="291"/>
      <c r="O46" s="291"/>
      <c r="P46" s="291"/>
      <c r="Q46" s="291"/>
      <c r="R46" s="291"/>
      <c r="S46" s="274"/>
      <c r="T46" s="291"/>
      <c r="U46" s="291"/>
      <c r="V46" s="291"/>
      <c r="W46" s="291"/>
      <c r="X46" s="291"/>
      <c r="Y46" s="291"/>
      <c r="Z46" s="291"/>
    </row>
    <row r="47" spans="1:26">
      <c r="A47" s="372"/>
    </row>
  </sheetData>
  <mergeCells count="2">
    <mergeCell ref="C11:I11"/>
    <mergeCell ref="O11:U11"/>
  </mergeCells>
  <printOptions horizontalCentered="1"/>
  <pageMargins left="0.2" right="0.2" top="0.75" bottom="0.25" header="0.3" footer="0.3"/>
  <pageSetup scale="50" firstPageNumber="11" orientation="landscape" useFirstPageNumber="1" r:id="rId1"/>
  <headerFooter scaleWithDoc="0" alignWithMargins="0">
    <oddFooter>&amp;C&amp;8&amp;P</oddFooter>
  </headerFooter>
  <customProperties>
    <customPr name="SheetOptions" r:id="rId2"/>
  </customProperties>
  <ignoredErrors>
    <ignoredError sqref="AA6:XFD6 B6 N6 Q6 E6 G6 I6 S6 U6"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L44"/>
  <sheetViews>
    <sheetView showGridLines="0" zoomScale="90" zoomScaleNormal="80" workbookViewId="0"/>
  </sheetViews>
  <sheetFormatPr defaultColWidth="8.84375" defaultRowHeight="15.5"/>
  <cols>
    <col min="1" max="1" width="47.07421875" style="291" customWidth="1"/>
    <col min="2" max="2" width="2" style="256" customWidth="1"/>
    <col min="3" max="3" width="15.07421875" style="128" customWidth="1"/>
    <col min="4" max="4" width="1.07421875" style="256" customWidth="1"/>
    <col min="5" max="5" width="15.07421875" style="128" customWidth="1"/>
    <col min="6" max="6" width="1.07421875" style="256" customWidth="1"/>
    <col min="7" max="7" width="15.07421875" style="256" customWidth="1"/>
    <col min="8" max="8" width="1.07421875" style="256" customWidth="1"/>
    <col min="9" max="9" width="15.07421875" style="256" customWidth="1"/>
    <col min="10" max="10" width="1.07421875" style="256" customWidth="1"/>
    <col min="11" max="11" width="15.07421875" style="256" customWidth="1"/>
    <col min="12" max="12" width="11.4609375" style="256" customWidth="1"/>
    <col min="13" max="16384" width="8.84375" style="291"/>
  </cols>
  <sheetData>
    <row r="1" spans="1:12">
      <c r="A1" s="386" t="s">
        <v>97</v>
      </c>
      <c r="B1" s="48"/>
      <c r="C1" s="124"/>
      <c r="D1" s="48"/>
      <c r="E1" s="124"/>
      <c r="F1" s="48"/>
      <c r="G1" s="48"/>
      <c r="H1" s="48"/>
      <c r="I1" s="48"/>
      <c r="J1" s="48"/>
      <c r="K1" s="48"/>
      <c r="L1" s="48"/>
    </row>
    <row r="2" spans="1:12" ht="17.149999999999999" customHeight="1">
      <c r="A2" s="49"/>
      <c r="B2" s="48"/>
      <c r="C2" s="124"/>
      <c r="D2" s="48"/>
      <c r="E2" s="124"/>
      <c r="F2" s="48"/>
      <c r="G2" s="48"/>
      <c r="H2" s="48"/>
      <c r="I2" s="48"/>
      <c r="J2" s="48"/>
      <c r="K2" s="48"/>
      <c r="L2" s="48"/>
    </row>
    <row r="3" spans="1:12" ht="18">
      <c r="A3" s="50" t="s">
        <v>98</v>
      </c>
      <c r="B3" s="30"/>
      <c r="C3" s="125"/>
      <c r="D3" s="30"/>
      <c r="E3" s="125"/>
      <c r="F3" s="30"/>
      <c r="G3" s="30"/>
      <c r="H3" s="30"/>
      <c r="I3" s="352"/>
      <c r="J3" s="30"/>
      <c r="K3" s="352" t="s">
        <v>224</v>
      </c>
      <c r="L3" s="30"/>
    </row>
    <row r="4" spans="1:12" ht="18">
      <c r="A4" s="50" t="s">
        <v>225</v>
      </c>
      <c r="B4" s="30"/>
      <c r="C4" s="125"/>
      <c r="D4" s="30"/>
      <c r="E4" s="125"/>
      <c r="F4" s="30"/>
      <c r="G4" s="30"/>
      <c r="H4" s="30"/>
      <c r="I4" s="353"/>
      <c r="J4" s="30"/>
      <c r="K4" s="353"/>
      <c r="L4" s="30"/>
    </row>
    <row r="5" spans="1:12" ht="18">
      <c r="A5" s="1989" t="str">
        <f>'Exh D Governmental  '!A5</f>
        <v>FISCAL YEAR 2026-2027</v>
      </c>
      <c r="B5" s="23"/>
      <c r="C5" s="23"/>
      <c r="D5" s="23"/>
      <c r="E5" s="23"/>
      <c r="F5" s="30"/>
      <c r="G5" s="30"/>
      <c r="H5" s="30"/>
      <c r="I5" s="30"/>
      <c r="J5" s="30"/>
      <c r="K5" s="30"/>
      <c r="L5" s="30"/>
    </row>
    <row r="6" spans="1:12" ht="18">
      <c r="A6" s="50" t="str">
        <f>'Exh D Governmental  '!A6</f>
        <v>FOR FOUR MONTHS ENDED JULY 31, 2026</v>
      </c>
      <c r="B6" s="30"/>
      <c r="C6" s="125"/>
      <c r="D6" s="30"/>
      <c r="E6" s="125"/>
      <c r="F6" s="30"/>
      <c r="G6" s="30"/>
      <c r="H6" s="30"/>
      <c r="I6" s="30"/>
      <c r="J6" s="30"/>
      <c r="K6" s="30"/>
      <c r="L6" s="30"/>
    </row>
    <row r="7" spans="1:12" ht="18">
      <c r="A7" s="50" t="s">
        <v>226</v>
      </c>
      <c r="B7" s="30"/>
      <c r="C7" s="125"/>
      <c r="D7" s="30"/>
      <c r="E7" s="125"/>
      <c r="F7" s="30"/>
      <c r="G7" s="30"/>
      <c r="H7" s="30"/>
      <c r="I7" s="30"/>
      <c r="J7" s="30"/>
      <c r="K7" s="30"/>
      <c r="L7" s="30"/>
    </row>
    <row r="8" spans="1:12" ht="15" customHeight="1">
      <c r="A8" s="34"/>
      <c r="B8" s="30"/>
      <c r="C8" s="125"/>
      <c r="D8" s="30"/>
      <c r="E8" s="125"/>
      <c r="F8" s="30"/>
      <c r="G8" s="30"/>
      <c r="H8" s="30"/>
      <c r="I8" s="30"/>
      <c r="J8" s="30"/>
      <c r="K8" s="30"/>
      <c r="L8" s="30"/>
    </row>
    <row r="9" spans="1:12">
      <c r="A9" s="35"/>
      <c r="B9" s="30"/>
      <c r="C9" s="125"/>
      <c r="D9" s="30"/>
      <c r="E9" s="125"/>
      <c r="F9" s="30"/>
      <c r="G9" s="30"/>
      <c r="H9" s="30"/>
      <c r="I9" s="30"/>
      <c r="J9" s="30"/>
      <c r="K9" s="30"/>
      <c r="L9" s="30"/>
    </row>
    <row r="10" spans="1:12">
      <c r="A10" s="35"/>
      <c r="B10" s="30"/>
      <c r="C10" s="125"/>
      <c r="D10" s="30"/>
      <c r="E10" s="125"/>
      <c r="F10" s="30"/>
      <c r="G10" s="30"/>
      <c r="H10" s="30"/>
      <c r="I10" s="30"/>
      <c r="J10" s="30"/>
      <c r="K10" s="30"/>
      <c r="L10" s="30"/>
    </row>
    <row r="11" spans="1:12">
      <c r="C11" s="2059" t="s">
        <v>279</v>
      </c>
      <c r="D11" s="2059"/>
      <c r="E11" s="2059"/>
      <c r="F11" s="2059"/>
      <c r="G11" s="2059"/>
      <c r="H11" s="2059"/>
      <c r="I11" s="2059"/>
      <c r="J11" s="426"/>
      <c r="K11" s="427"/>
      <c r="L11" s="51"/>
    </row>
    <row r="12" spans="1:12">
      <c r="D12" s="52"/>
      <c r="F12" s="52"/>
      <c r="G12" s="53"/>
      <c r="H12" s="52"/>
      <c r="I12" s="52" t="s">
        <v>228</v>
      </c>
      <c r="J12" s="52"/>
      <c r="K12" s="52" t="s">
        <v>228</v>
      </c>
      <c r="L12" s="51"/>
    </row>
    <row r="13" spans="1:12">
      <c r="B13" s="36"/>
      <c r="C13" s="127"/>
      <c r="D13" s="36"/>
      <c r="E13" s="127"/>
      <c r="F13" s="36"/>
      <c r="G13" s="36"/>
      <c r="H13" s="36"/>
      <c r="I13" s="37" t="s">
        <v>229</v>
      </c>
      <c r="J13" s="36"/>
      <c r="K13" s="37" t="s">
        <v>229</v>
      </c>
      <c r="L13" s="36"/>
    </row>
    <row r="14" spans="1:12">
      <c r="B14" s="54"/>
      <c r="C14" s="38" t="s">
        <v>231</v>
      </c>
      <c r="D14" s="36"/>
      <c r="E14" s="37" t="s">
        <v>232</v>
      </c>
      <c r="F14" s="36"/>
      <c r="G14" s="36"/>
      <c r="H14" s="36"/>
      <c r="I14" s="37" t="s">
        <v>233</v>
      </c>
      <c r="J14" s="36"/>
      <c r="K14" s="37" t="s">
        <v>233</v>
      </c>
      <c r="L14" s="37"/>
    </row>
    <row r="15" spans="1:12">
      <c r="B15" s="54"/>
      <c r="C15" s="37" t="s">
        <v>234</v>
      </c>
      <c r="D15" s="36"/>
      <c r="E15" s="37" t="s">
        <v>234</v>
      </c>
      <c r="F15" s="36"/>
      <c r="G15" s="36"/>
      <c r="H15" s="36"/>
      <c r="I15" s="37" t="s">
        <v>231</v>
      </c>
      <c r="J15" s="36"/>
      <c r="K15" s="37" t="s">
        <v>232</v>
      </c>
      <c r="L15" s="37"/>
    </row>
    <row r="16" spans="1:12">
      <c r="B16" s="37"/>
      <c r="C16" s="37" t="s">
        <v>235</v>
      </c>
      <c r="D16" s="36"/>
      <c r="E16" s="37" t="s">
        <v>1511</v>
      </c>
      <c r="F16" s="36"/>
      <c r="G16" s="38" t="s">
        <v>228</v>
      </c>
      <c r="H16" s="36"/>
      <c r="I16" s="37" t="s">
        <v>236</v>
      </c>
      <c r="J16" s="36"/>
      <c r="K16" s="37" t="s">
        <v>236</v>
      </c>
      <c r="L16" s="37"/>
    </row>
    <row r="17" spans="1:12">
      <c r="A17" s="39"/>
      <c r="B17" s="30"/>
      <c r="C17" s="1001"/>
      <c r="D17" s="30"/>
      <c r="E17" s="1001"/>
      <c r="F17" s="30"/>
      <c r="G17" s="1001"/>
      <c r="H17" s="30"/>
      <c r="I17" s="1001"/>
      <c r="J17" s="30"/>
      <c r="K17" s="1001"/>
      <c r="L17" s="30"/>
    </row>
    <row r="18" spans="1:12">
      <c r="A18" s="3" t="s">
        <v>114</v>
      </c>
      <c r="C18" s="256"/>
      <c r="E18" s="256"/>
    </row>
    <row r="19" spans="1:12">
      <c r="A19" s="350" t="s">
        <v>237</v>
      </c>
      <c r="B19" s="378"/>
      <c r="C19" s="256"/>
      <c r="D19" s="378"/>
      <c r="E19" s="256"/>
      <c r="F19" s="378"/>
      <c r="H19" s="378"/>
      <c r="J19" s="378"/>
    </row>
    <row r="20" spans="1:12">
      <c r="A20" s="350" t="s">
        <v>238</v>
      </c>
      <c r="B20" s="378" t="s">
        <v>103</v>
      </c>
      <c r="C20" s="277">
        <v>12384</v>
      </c>
      <c r="D20" s="276"/>
      <c r="E20" s="277">
        <v>12384</v>
      </c>
      <c r="F20" s="276"/>
      <c r="G20" s="387">
        <f>'Exhibit H'!AA17</f>
        <v>12834.5</v>
      </c>
      <c r="H20" s="276"/>
      <c r="I20" s="274">
        <f>G20-C20</f>
        <v>450.5</v>
      </c>
      <c r="J20" s="276"/>
      <c r="K20" s="274">
        <f>G20-E20</f>
        <v>450.5</v>
      </c>
      <c r="L20" s="1513"/>
    </row>
    <row r="21" spans="1:12">
      <c r="A21" s="350" t="s">
        <v>239</v>
      </c>
      <c r="B21" s="256" t="s">
        <v>103</v>
      </c>
      <c r="C21" s="275">
        <v>3401</v>
      </c>
      <c r="D21" s="1784"/>
      <c r="E21" s="275">
        <v>3401</v>
      </c>
      <c r="F21" s="264"/>
      <c r="G21" s="264">
        <f>'Exhibit H'!AA21</f>
        <v>3527.9</v>
      </c>
      <c r="H21" s="264"/>
      <c r="I21" s="264">
        <f>G21-C21</f>
        <v>126.90000000000009</v>
      </c>
      <c r="J21" s="264"/>
      <c r="K21" s="264">
        <f>G21-E21</f>
        <v>126.90000000000009</v>
      </c>
      <c r="L21" s="1513"/>
    </row>
    <row r="22" spans="1:12">
      <c r="A22" s="350" t="s">
        <v>240</v>
      </c>
      <c r="C22" s="275">
        <v>1881</v>
      </c>
      <c r="D22" s="367"/>
      <c r="E22" s="275">
        <v>1881</v>
      </c>
      <c r="F22" s="287"/>
      <c r="G22" s="264">
        <f>'Exhibit H'!AA24</f>
        <v>2446.1999999999998</v>
      </c>
      <c r="H22" s="287"/>
      <c r="I22" s="264">
        <f t="shared" ref="I22:I26" si="0">G22-C22</f>
        <v>565.19999999999982</v>
      </c>
      <c r="J22" s="287"/>
      <c r="K22" s="264">
        <f t="shared" ref="K22:K26" si="1">G22-E22</f>
        <v>565.19999999999982</v>
      </c>
      <c r="L22" s="1513"/>
    </row>
    <row r="23" spans="1:12">
      <c r="A23" s="350" t="s">
        <v>241</v>
      </c>
      <c r="B23" s="256" t="s">
        <v>103</v>
      </c>
      <c r="C23" s="275">
        <v>419</v>
      </c>
      <c r="D23" s="1784"/>
      <c r="E23" s="275">
        <v>419</v>
      </c>
      <c r="F23" s="1192"/>
      <c r="G23" s="264">
        <f>'Exhibit H'!AA28</f>
        <v>436.2</v>
      </c>
      <c r="H23" s="1192"/>
      <c r="I23" s="264">
        <f t="shared" si="0"/>
        <v>17.199999999999989</v>
      </c>
      <c r="J23" s="1192"/>
      <c r="K23" s="264">
        <f t="shared" si="1"/>
        <v>17.199999999999989</v>
      </c>
      <c r="L23" s="1513"/>
    </row>
    <row r="24" spans="1:12" ht="15" customHeight="1">
      <c r="A24" s="350" t="s">
        <v>119</v>
      </c>
      <c r="B24" s="256" t="s">
        <v>103</v>
      </c>
      <c r="C24" s="275">
        <v>186</v>
      </c>
      <c r="D24" s="1785"/>
      <c r="E24" s="275">
        <v>186</v>
      </c>
      <c r="F24" s="264"/>
      <c r="G24" s="264">
        <f>'Exhibit H'!AA51</f>
        <v>258.10000000000002</v>
      </c>
      <c r="H24" s="264"/>
      <c r="I24" s="264">
        <f t="shared" si="0"/>
        <v>72.100000000000023</v>
      </c>
      <c r="J24" s="264"/>
      <c r="K24" s="264">
        <f t="shared" si="1"/>
        <v>72.100000000000023</v>
      </c>
      <c r="L24" s="1513"/>
    </row>
    <row r="25" spans="1:12" ht="15" customHeight="1">
      <c r="A25" s="350" t="s">
        <v>120</v>
      </c>
      <c r="B25" s="256" t="s">
        <v>103</v>
      </c>
      <c r="C25" s="275">
        <v>27</v>
      </c>
      <c r="D25" s="1784"/>
      <c r="E25" s="275">
        <v>27</v>
      </c>
      <c r="F25" s="264"/>
      <c r="G25" s="264">
        <f>'Exhibit H'!AA53</f>
        <v>27.7</v>
      </c>
      <c r="H25" s="264"/>
      <c r="I25" s="264">
        <f t="shared" si="0"/>
        <v>0.69999999999999929</v>
      </c>
      <c r="J25" s="264"/>
      <c r="K25" s="264">
        <f t="shared" si="1"/>
        <v>0.69999999999999929</v>
      </c>
      <c r="L25" s="1513"/>
    </row>
    <row r="26" spans="1:12">
      <c r="A26" s="350" t="s">
        <v>147</v>
      </c>
      <c r="B26" s="388" t="s">
        <v>103</v>
      </c>
      <c r="C26" s="275">
        <v>831</v>
      </c>
      <c r="D26" s="1784"/>
      <c r="E26" s="275">
        <v>831</v>
      </c>
      <c r="F26" s="13"/>
      <c r="G26" s="381">
        <f>'Exhibit H'!AA69</f>
        <v>754.9</v>
      </c>
      <c r="H26" s="13"/>
      <c r="I26" s="264">
        <f t="shared" si="0"/>
        <v>-76.100000000000023</v>
      </c>
      <c r="J26" s="13"/>
      <c r="K26" s="264">
        <f t="shared" si="1"/>
        <v>-76.100000000000023</v>
      </c>
      <c r="L26" s="1513"/>
    </row>
    <row r="27" spans="1:12" ht="18" customHeight="1">
      <c r="A27" s="1211" t="s">
        <v>261</v>
      </c>
      <c r="B27" s="36" t="s">
        <v>103</v>
      </c>
      <c r="C27" s="617">
        <f>ROUND(SUM(C20:C26),1)</f>
        <v>19129</v>
      </c>
      <c r="D27" s="264"/>
      <c r="E27" s="617">
        <f>ROUND(SUM(E20:E26),1)</f>
        <v>19129</v>
      </c>
      <c r="F27" s="264"/>
      <c r="G27" s="617">
        <f>ROUND(SUM(G20:G26),1)</f>
        <v>20285.5</v>
      </c>
      <c r="H27" s="264"/>
      <c r="I27" s="617">
        <f>ROUND(SUM(I20:I26),1)</f>
        <v>1156.5</v>
      </c>
      <c r="J27" s="264"/>
      <c r="K27" s="617">
        <f>ROUND(SUM(K20:K26),1)</f>
        <v>1156.5</v>
      </c>
      <c r="L27" s="1513"/>
    </row>
    <row r="28" spans="1:12">
      <c r="C28" s="615"/>
      <c r="D28" s="264"/>
      <c r="E28" s="615"/>
      <c r="F28" s="264"/>
      <c r="G28" s="615"/>
      <c r="H28" s="264"/>
      <c r="I28" s="615"/>
      <c r="J28" s="264"/>
      <c r="K28" s="615"/>
      <c r="L28" s="1513"/>
    </row>
    <row r="29" spans="1:12">
      <c r="A29" s="3" t="s">
        <v>122</v>
      </c>
      <c r="C29" s="264"/>
      <c r="D29" s="264"/>
      <c r="E29" s="264"/>
      <c r="F29" s="264"/>
      <c r="G29" s="264"/>
      <c r="H29" s="264"/>
      <c r="I29" s="264"/>
      <c r="J29" s="264"/>
      <c r="K29" s="264"/>
      <c r="L29" s="1513"/>
    </row>
    <row r="30" spans="1:12">
      <c r="A30" s="350" t="s">
        <v>244</v>
      </c>
      <c r="B30" s="378" t="s">
        <v>103</v>
      </c>
      <c r="C30" s="275">
        <v>9</v>
      </c>
      <c r="D30" s="1784"/>
      <c r="E30" s="275">
        <v>9</v>
      </c>
      <c r="F30" s="264"/>
      <c r="G30" s="287">
        <f>'Exhibit H'!AA59</f>
        <v>9.1</v>
      </c>
      <c r="H30" s="264"/>
      <c r="I30" s="264">
        <f t="shared" ref="I30:I32" si="2">G30-C30</f>
        <v>9.9999999999999645E-2</v>
      </c>
      <c r="J30" s="264"/>
      <c r="K30" s="264">
        <f>G30-E30</f>
        <v>9.9999999999999645E-2</v>
      </c>
      <c r="L30" s="1513"/>
    </row>
    <row r="31" spans="1:12" ht="14.25" customHeight="1">
      <c r="A31" s="350" t="s">
        <v>245</v>
      </c>
      <c r="B31" s="388" t="s">
        <v>103</v>
      </c>
      <c r="C31" s="275">
        <v>15</v>
      </c>
      <c r="D31" s="378"/>
      <c r="E31" s="275">
        <v>15</v>
      </c>
      <c r="F31" s="264"/>
      <c r="G31" s="275">
        <f>'Exhibit H'!AA61</f>
        <v>15</v>
      </c>
      <c r="H31" s="264"/>
      <c r="I31" s="264">
        <f t="shared" si="2"/>
        <v>0</v>
      </c>
      <c r="J31" s="264"/>
      <c r="K31" s="264">
        <f t="shared" ref="K31:K32" si="3">G31-E31</f>
        <v>0</v>
      </c>
      <c r="L31" s="1513"/>
    </row>
    <row r="32" spans="1:12">
      <c r="A32" s="350" t="s">
        <v>248</v>
      </c>
      <c r="B32" s="388" t="s">
        <v>103</v>
      </c>
      <c r="C32" s="275">
        <v>18711</v>
      </c>
      <c r="D32" s="378"/>
      <c r="E32" s="275">
        <v>18711</v>
      </c>
      <c r="F32" s="264"/>
      <c r="G32" s="287">
        <f>-'Exhibit H'!AA70</f>
        <v>19892.7</v>
      </c>
      <c r="H32" s="264"/>
      <c r="I32" s="264">
        <f t="shared" si="2"/>
        <v>1181.7000000000007</v>
      </c>
      <c r="J32" s="264"/>
      <c r="K32" s="264">
        <f t="shared" si="3"/>
        <v>1181.7000000000007</v>
      </c>
      <c r="L32" s="1513"/>
    </row>
    <row r="33" spans="1:12" ht="18" customHeight="1">
      <c r="A33" s="1211" t="s">
        <v>270</v>
      </c>
      <c r="B33" s="36" t="s">
        <v>103</v>
      </c>
      <c r="C33" s="617">
        <f>ROUND(SUM(C30:C32),1)</f>
        <v>18735</v>
      </c>
      <c r="D33" s="264"/>
      <c r="E33" s="617">
        <f>ROUND(SUM(E30:E32),1)</f>
        <v>18735</v>
      </c>
      <c r="F33" s="264"/>
      <c r="G33" s="617">
        <f>ROUND(SUM(G30:G32),1)</f>
        <v>19916.8</v>
      </c>
      <c r="H33" s="264"/>
      <c r="I33" s="617">
        <f>ROUND(SUM(I30:I32),1)</f>
        <v>1181.8</v>
      </c>
      <c r="J33" s="264"/>
      <c r="K33" s="617">
        <f>ROUND(SUM(K30:K32),1)</f>
        <v>1181.8</v>
      </c>
      <c r="L33" s="1513"/>
    </row>
    <row r="34" spans="1:12">
      <c r="C34" s="615"/>
      <c r="D34" s="264"/>
      <c r="E34" s="615"/>
      <c r="F34" s="264"/>
      <c r="G34" s="615"/>
      <c r="H34" s="264"/>
      <c r="I34" s="615"/>
      <c r="J34" s="264"/>
      <c r="K34" s="615"/>
      <c r="L34" s="1513"/>
    </row>
    <row r="35" spans="1:12">
      <c r="A35" s="3" t="s">
        <v>271</v>
      </c>
      <c r="C35" s="264"/>
      <c r="D35" s="13"/>
      <c r="E35" s="264"/>
      <c r="F35" s="13"/>
      <c r="G35" s="264"/>
      <c r="H35" s="13"/>
      <c r="I35" s="264"/>
      <c r="J35" s="13"/>
      <c r="K35" s="264"/>
      <c r="L35" s="1513"/>
    </row>
    <row r="36" spans="1:12">
      <c r="A36" s="3" t="s">
        <v>272</v>
      </c>
      <c r="C36" s="264"/>
      <c r="D36" s="264"/>
      <c r="E36" s="264"/>
      <c r="F36" s="264"/>
      <c r="G36" s="264"/>
      <c r="H36" s="264"/>
      <c r="I36" s="264"/>
      <c r="J36" s="264"/>
      <c r="K36" s="264"/>
      <c r="L36" s="1513"/>
    </row>
    <row r="37" spans="1:12">
      <c r="A37" s="1211" t="s">
        <v>252</v>
      </c>
      <c r="B37" s="1210" t="s">
        <v>103</v>
      </c>
      <c r="C37" s="13">
        <f>C27-C33</f>
        <v>394</v>
      </c>
      <c r="D37" s="264"/>
      <c r="E37" s="13">
        <f>E27-E33</f>
        <v>394</v>
      </c>
      <c r="F37" s="264"/>
      <c r="G37" s="13">
        <f>G27-G33</f>
        <v>368.70000000000073</v>
      </c>
      <c r="H37" s="264"/>
      <c r="I37" s="13">
        <f>ROUND(SUM(I27)-SUM(I33),1)</f>
        <v>-25.3</v>
      </c>
      <c r="J37" s="264"/>
      <c r="K37" s="13">
        <f>ROUND(SUM(K27)-SUM(K33),1)</f>
        <v>-25.3</v>
      </c>
      <c r="L37" s="1513"/>
    </row>
    <row r="38" spans="1:12" ht="15" customHeight="1">
      <c r="C38" s="264"/>
      <c r="D38" s="264"/>
      <c r="E38" s="264"/>
      <c r="F38" s="264"/>
      <c r="G38" s="264"/>
      <c r="H38" s="264"/>
      <c r="I38" s="264"/>
      <c r="J38" s="264"/>
      <c r="K38" s="264"/>
      <c r="L38" s="1513"/>
    </row>
    <row r="39" spans="1:12">
      <c r="A39" s="1211" t="str">
        <f>'Exh D Governmental  '!A49</f>
        <v>Fund Balances (Deficits) at April 1</v>
      </c>
      <c r="B39" s="256" t="s">
        <v>103</v>
      </c>
      <c r="C39" s="13">
        <v>104</v>
      </c>
      <c r="D39" s="18"/>
      <c r="E39" s="13">
        <v>104</v>
      </c>
      <c r="F39" s="18"/>
      <c r="G39" s="13">
        <v>104.7</v>
      </c>
      <c r="H39" s="18"/>
      <c r="I39" s="13">
        <f t="shared" ref="I39" si="4">G39-C39</f>
        <v>0.70000000000000284</v>
      </c>
      <c r="J39" s="18"/>
      <c r="K39" s="13">
        <f>G39-E39</f>
        <v>0.70000000000000284</v>
      </c>
      <c r="L39" s="1513"/>
    </row>
    <row r="40" spans="1:12" ht="18" customHeight="1" thickBot="1">
      <c r="A40" s="1211" t="str">
        <f>+'Exh D Governmental  '!A50</f>
        <v>Fund Balances (Deficits) at July 31, 2026</v>
      </c>
      <c r="B40" s="43" t="s">
        <v>103</v>
      </c>
      <c r="C40" s="673">
        <f>ROUND(SUM(C37:C39),1)</f>
        <v>498</v>
      </c>
      <c r="D40" s="264"/>
      <c r="E40" s="673">
        <f>ROUND(SUM(E37:E39),1)</f>
        <v>498</v>
      </c>
      <c r="F40" s="264"/>
      <c r="G40" s="673">
        <f>ROUND(SUM(G37:G39),1)</f>
        <v>473.4</v>
      </c>
      <c r="H40" s="264"/>
      <c r="I40" s="673">
        <f>ROUND(SUM(I37:I39),1)</f>
        <v>-24.6</v>
      </c>
      <c r="J40" s="264"/>
      <c r="K40" s="673">
        <f>ROUND(SUM(K37:K39),1)</f>
        <v>-24.6</v>
      </c>
      <c r="L40" s="1513"/>
    </row>
    <row r="41" spans="1:12" ht="15" customHeight="1" thickTop="1">
      <c r="A41" s="39"/>
      <c r="C41" s="290"/>
      <c r="D41" s="264"/>
      <c r="E41" s="290"/>
      <c r="F41" s="264"/>
      <c r="G41" s="274"/>
      <c r="H41" s="264"/>
      <c r="I41" s="274"/>
      <c r="J41" s="264"/>
      <c r="K41" s="274"/>
    </row>
    <row r="42" spans="1:12">
      <c r="A42" s="385" t="str">
        <f>'Exh D Governmental  '!A52</f>
        <v>(*)  Source: 2026-27 Enacted Budget dated June 10, 2026.</v>
      </c>
      <c r="D42" s="44"/>
      <c r="F42" s="44"/>
      <c r="H42" s="44"/>
      <c r="J42" s="44"/>
    </row>
    <row r="43" spans="1:12">
      <c r="A43" s="385" t="str">
        <f>'Exh D Governmental  '!A53</f>
        <v>(**) Source: 2026-27 First Quarter Budget Update dated July 30, 2026, which made no changes to the Enacted Financial Plan.</v>
      </c>
    </row>
    <row r="44" spans="1:12">
      <c r="A44" s="350"/>
    </row>
  </sheetData>
  <mergeCells count="1">
    <mergeCell ref="C11:I11"/>
  </mergeCells>
  <printOptions horizontalCentered="1"/>
  <pageMargins left="0.75" right="0.75" top="0.75" bottom="0.75" header="0.5" footer="0.25"/>
  <pageSetup scale="79" firstPageNumber="12" orientation="landscape" useFirstPageNumber="1" r:id="rId1"/>
  <headerFooter scaleWithDoc="0" alignWithMargins="0">
    <oddFooter>&amp;C&amp;8&amp;P</oddFooter>
  </headerFooter>
  <customProperties>
    <customPr name="SheetOptions"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L49"/>
  <sheetViews>
    <sheetView showGridLines="0" zoomScale="90" zoomScaleNormal="90" workbookViewId="0"/>
  </sheetViews>
  <sheetFormatPr defaultColWidth="8.84375" defaultRowHeight="15.5"/>
  <cols>
    <col min="1" max="1" width="51.84375" style="291" customWidth="1"/>
    <col min="2" max="2" width="2.07421875" style="256" customWidth="1"/>
    <col min="3" max="3" width="15.84375" style="128" customWidth="1"/>
    <col min="4" max="4" width="1.07421875" style="256" customWidth="1"/>
    <col min="5" max="5" width="15.84375" style="128" customWidth="1"/>
    <col min="6" max="6" width="1.07421875" style="256" customWidth="1"/>
    <col min="7" max="7" width="15.84375" style="256" customWidth="1"/>
    <col min="8" max="8" width="1.07421875" style="256" customWidth="1"/>
    <col min="9" max="9" width="15.84375" style="256" customWidth="1"/>
    <col min="10" max="10" width="1.07421875" style="256" customWidth="1"/>
    <col min="11" max="11" width="15.84375" style="256" customWidth="1"/>
    <col min="12" max="12" width="9.84375" style="256" bestFit="1" customWidth="1"/>
    <col min="13" max="16384" width="8.84375" style="291"/>
  </cols>
  <sheetData>
    <row r="1" spans="1:12">
      <c r="A1" s="265" t="s">
        <v>97</v>
      </c>
      <c r="D1" s="48"/>
      <c r="F1" s="48"/>
      <c r="H1" s="48"/>
      <c r="J1" s="48"/>
    </row>
    <row r="2" spans="1:12" ht="16.5">
      <c r="A2" s="47"/>
      <c r="B2" s="48"/>
      <c r="C2" s="124"/>
      <c r="D2" s="48"/>
      <c r="E2" s="124"/>
      <c r="F2" s="48"/>
      <c r="G2" s="48"/>
      <c r="H2" s="48"/>
      <c r="I2" s="48"/>
      <c r="J2" s="48"/>
    </row>
    <row r="3" spans="1:12" ht="18">
      <c r="A3" s="50" t="s">
        <v>98</v>
      </c>
      <c r="B3" s="30"/>
      <c r="C3" s="125"/>
      <c r="D3" s="30"/>
      <c r="E3" s="125"/>
      <c r="F3" s="30"/>
      <c r="G3" s="30"/>
      <c r="H3" s="30"/>
      <c r="I3" s="352"/>
      <c r="J3" s="30"/>
      <c r="K3" s="352" t="s">
        <v>224</v>
      </c>
    </row>
    <row r="4" spans="1:12" ht="18">
      <c r="A4" s="50" t="s">
        <v>225</v>
      </c>
      <c r="B4" s="30"/>
      <c r="C4" s="125"/>
      <c r="D4" s="30"/>
      <c r="E4" s="125"/>
      <c r="F4" s="30"/>
      <c r="G4" s="30"/>
      <c r="H4" s="30"/>
      <c r="I4" s="353"/>
      <c r="J4" s="30"/>
      <c r="K4" s="353"/>
    </row>
    <row r="5" spans="1:12" ht="18">
      <c r="A5" s="1989" t="str">
        <f>'Exh D Governmental  '!A5</f>
        <v>FISCAL YEAR 2026-2027</v>
      </c>
      <c r="B5" s="23"/>
      <c r="C5" s="23"/>
      <c r="D5" s="23"/>
      <c r="E5" s="23"/>
      <c r="F5" s="30"/>
      <c r="G5" s="30"/>
      <c r="H5" s="30"/>
      <c r="I5" s="30"/>
      <c r="J5" s="30"/>
    </row>
    <row r="6" spans="1:12" ht="18">
      <c r="A6" s="540" t="str">
        <f>+'Exh D Governmental  '!A6</f>
        <v>FOR FOUR MONTHS ENDED JULY 31, 2026</v>
      </c>
      <c r="B6" s="30"/>
      <c r="C6" s="125"/>
      <c r="D6" s="30"/>
      <c r="E6" s="125"/>
      <c r="F6" s="30"/>
      <c r="G6" s="30"/>
      <c r="H6" s="30"/>
      <c r="I6" s="30"/>
      <c r="J6" s="30"/>
      <c r="K6" s="30"/>
      <c r="L6" s="30"/>
    </row>
    <row r="7" spans="1:12" ht="18">
      <c r="A7" s="50" t="s">
        <v>226</v>
      </c>
      <c r="B7" s="30"/>
      <c r="C7" s="125"/>
      <c r="D7" s="30"/>
      <c r="E7" s="125"/>
      <c r="F7" s="30"/>
      <c r="G7" s="30"/>
      <c r="H7" s="30"/>
      <c r="I7" s="30"/>
      <c r="J7" s="30"/>
    </row>
    <row r="8" spans="1:12" ht="17.5">
      <c r="A8" s="34"/>
      <c r="B8" s="30"/>
      <c r="C8" s="125"/>
      <c r="D8" s="30"/>
      <c r="E8" s="125"/>
      <c r="F8" s="30"/>
      <c r="G8" s="30"/>
      <c r="H8" s="30"/>
      <c r="I8" s="30"/>
      <c r="J8" s="30"/>
    </row>
    <row r="9" spans="1:12">
      <c r="A9" s="35"/>
      <c r="B9" s="30"/>
      <c r="C9" s="125"/>
      <c r="D9" s="30"/>
      <c r="E9" s="125"/>
      <c r="F9" s="30"/>
      <c r="G9" s="30"/>
      <c r="H9" s="30"/>
      <c r="I9" s="30"/>
      <c r="J9" s="30"/>
    </row>
    <row r="10" spans="1:12">
      <c r="A10" s="35"/>
      <c r="B10" s="30"/>
      <c r="C10" s="125"/>
      <c r="D10" s="30"/>
      <c r="E10" s="125"/>
      <c r="F10" s="30"/>
      <c r="G10" s="30"/>
      <c r="H10" s="30"/>
      <c r="I10" s="30"/>
      <c r="J10" s="30"/>
    </row>
    <row r="11" spans="1:12">
      <c r="B11" s="36"/>
      <c r="C11" s="1004"/>
      <c r="D11" s="427"/>
      <c r="E11" s="1004"/>
      <c r="F11" s="582"/>
      <c r="G11" s="1212" t="s">
        <v>280</v>
      </c>
      <c r="H11" s="582"/>
      <c r="I11" s="582"/>
      <c r="J11" s="1002"/>
      <c r="K11" s="1002"/>
    </row>
    <row r="12" spans="1:12">
      <c r="B12" s="36"/>
      <c r="C12" s="36"/>
      <c r="D12" s="52"/>
      <c r="E12" s="36"/>
      <c r="F12" s="52"/>
      <c r="G12" s="36"/>
      <c r="H12" s="52"/>
      <c r="I12" s="37" t="s">
        <v>228</v>
      </c>
      <c r="J12" s="52"/>
      <c r="K12" s="37" t="s">
        <v>228</v>
      </c>
    </row>
    <row r="13" spans="1:12">
      <c r="B13" s="36"/>
      <c r="C13" s="36"/>
      <c r="D13" s="36"/>
      <c r="E13" s="36"/>
      <c r="F13" s="36"/>
      <c r="G13" s="36"/>
      <c r="H13" s="36"/>
      <c r="I13" s="37" t="s">
        <v>229</v>
      </c>
      <c r="J13" s="36"/>
      <c r="K13" s="37" t="s">
        <v>229</v>
      </c>
    </row>
    <row r="14" spans="1:12">
      <c r="B14" s="36"/>
      <c r="C14" s="38" t="s">
        <v>231</v>
      </c>
      <c r="D14" s="36"/>
      <c r="E14" s="37" t="s">
        <v>232</v>
      </c>
      <c r="F14" s="36"/>
      <c r="G14" s="36"/>
      <c r="H14" s="36"/>
      <c r="I14" s="37" t="s">
        <v>233</v>
      </c>
      <c r="J14" s="36"/>
      <c r="K14" s="37" t="s">
        <v>233</v>
      </c>
    </row>
    <row r="15" spans="1:12" ht="15.75" customHeight="1">
      <c r="B15" s="36"/>
      <c r="C15" s="37" t="s">
        <v>234</v>
      </c>
      <c r="D15" s="36"/>
      <c r="E15" s="37" t="s">
        <v>234</v>
      </c>
      <c r="F15" s="36"/>
      <c r="G15" s="36"/>
      <c r="H15" s="36"/>
      <c r="I15" s="37" t="s">
        <v>231</v>
      </c>
      <c r="J15" s="36"/>
      <c r="K15" s="37" t="s">
        <v>232</v>
      </c>
    </row>
    <row r="16" spans="1:12">
      <c r="B16" s="36"/>
      <c r="C16" s="37" t="s">
        <v>235</v>
      </c>
      <c r="D16" s="36"/>
      <c r="E16" s="37" t="s">
        <v>1511</v>
      </c>
      <c r="F16" s="36"/>
      <c r="G16" s="38" t="s">
        <v>228</v>
      </c>
      <c r="H16" s="36"/>
      <c r="I16" s="37" t="s">
        <v>236</v>
      </c>
      <c r="J16" s="36"/>
      <c r="K16" s="37" t="s">
        <v>236</v>
      </c>
    </row>
    <row r="17" spans="1:12">
      <c r="A17" s="39"/>
      <c r="B17" s="30"/>
      <c r="C17" s="1001"/>
      <c r="D17" s="30"/>
      <c r="E17" s="1001"/>
      <c r="F17" s="30"/>
      <c r="G17" s="1001"/>
      <c r="H17" s="30"/>
      <c r="I17" s="1001"/>
      <c r="J17" s="30"/>
      <c r="K17" s="1001"/>
    </row>
    <row r="18" spans="1:12">
      <c r="A18" s="3" t="s">
        <v>114</v>
      </c>
      <c r="C18" s="256"/>
      <c r="E18" s="256"/>
      <c r="G18" s="256" t="s">
        <v>103</v>
      </c>
    </row>
    <row r="19" spans="1:12">
      <c r="A19" s="350" t="s">
        <v>237</v>
      </c>
      <c r="B19" s="378" t="s">
        <v>103</v>
      </c>
      <c r="C19" s="274"/>
      <c r="D19" s="378"/>
      <c r="E19" s="274"/>
      <c r="F19" s="378"/>
      <c r="G19" s="389"/>
      <c r="H19" s="378"/>
      <c r="I19" s="274"/>
      <c r="J19" s="378"/>
      <c r="K19" s="274"/>
    </row>
    <row r="20" spans="1:12">
      <c r="A20" s="350" t="s">
        <v>239</v>
      </c>
      <c r="B20" s="256" t="s">
        <v>103</v>
      </c>
      <c r="C20" s="387">
        <v>197</v>
      </c>
      <c r="D20" s="1784"/>
      <c r="E20" s="387">
        <v>197</v>
      </c>
      <c r="F20" s="276"/>
      <c r="G20" s="387">
        <f>+'Exh D Captl Projects State Fed'!G20</f>
        <v>196.7</v>
      </c>
      <c r="H20" s="276"/>
      <c r="I20" s="585">
        <f t="shared" ref="I20:I26" si="0">G20-C20</f>
        <v>-0.30000000000001137</v>
      </c>
      <c r="J20" s="276"/>
      <c r="K20" s="274">
        <f t="shared" ref="K20:K26" si="1">G20-E20</f>
        <v>-0.30000000000001137</v>
      </c>
      <c r="L20" s="1504"/>
    </row>
    <row r="21" spans="1:12">
      <c r="A21" s="350" t="s">
        <v>240</v>
      </c>
      <c r="B21" s="378" t="s">
        <v>103</v>
      </c>
      <c r="C21" s="275">
        <v>180</v>
      </c>
      <c r="D21" s="367"/>
      <c r="E21" s="275">
        <v>180</v>
      </c>
      <c r="F21" s="264"/>
      <c r="G21" s="288">
        <f>+'Exh D Captl Projects State Fed'!G21</f>
        <v>194.8</v>
      </c>
      <c r="H21" s="264"/>
      <c r="I21" s="586">
        <f t="shared" si="0"/>
        <v>14.800000000000011</v>
      </c>
      <c r="J21" s="264"/>
      <c r="K21" s="264">
        <f t="shared" si="1"/>
        <v>14.800000000000011</v>
      </c>
      <c r="L21" s="1504"/>
    </row>
    <row r="22" spans="1:12">
      <c r="A22" s="350" t="s">
        <v>241</v>
      </c>
      <c r="B22" s="256" t="s">
        <v>103</v>
      </c>
      <c r="C22" s="275">
        <v>52</v>
      </c>
      <c r="D22" s="1784"/>
      <c r="E22" s="275">
        <v>52</v>
      </c>
      <c r="F22" s="287"/>
      <c r="G22" s="288">
        <f>+'Exh D Captl Projects State Fed'!G22</f>
        <v>51.5</v>
      </c>
      <c r="H22" s="287"/>
      <c r="I22" s="586">
        <f t="shared" si="0"/>
        <v>-0.5</v>
      </c>
      <c r="J22" s="287"/>
      <c r="K22" s="264">
        <f t="shared" si="1"/>
        <v>-0.5</v>
      </c>
      <c r="L22" s="1504"/>
    </row>
    <row r="23" spans="1:12">
      <c r="A23" s="350" t="s">
        <v>119</v>
      </c>
      <c r="B23" s="256" t="s">
        <v>103</v>
      </c>
      <c r="C23" s="275">
        <v>3143</v>
      </c>
      <c r="D23" s="1785"/>
      <c r="E23" s="275">
        <v>3143</v>
      </c>
      <c r="F23" s="1192"/>
      <c r="G23" s="264">
        <f>+'Exh D Captl Projects State Fed'!G23+'Exh D Captl Projects State Fed'!S23</f>
        <v>3206.9</v>
      </c>
      <c r="H23" s="1192"/>
      <c r="I23" s="586">
        <f t="shared" si="0"/>
        <v>63.900000000000091</v>
      </c>
      <c r="J23" s="1192"/>
      <c r="K23" s="264">
        <f t="shared" si="1"/>
        <v>63.900000000000091</v>
      </c>
      <c r="L23" s="1504"/>
    </row>
    <row r="24" spans="1:12">
      <c r="A24" s="350" t="s">
        <v>120</v>
      </c>
      <c r="B24" s="256" t="s">
        <v>103</v>
      </c>
      <c r="C24" s="275">
        <v>792</v>
      </c>
      <c r="D24" s="1784"/>
      <c r="E24" s="275">
        <v>792</v>
      </c>
      <c r="F24" s="264"/>
      <c r="G24" s="264">
        <f>+'Exh D Captl Projects State Fed'!G24+'Exh D Captl Projects State Fed'!S24</f>
        <v>679.1</v>
      </c>
      <c r="H24" s="264"/>
      <c r="I24" s="586">
        <f t="shared" si="0"/>
        <v>-112.89999999999998</v>
      </c>
      <c r="J24" s="264"/>
      <c r="K24" s="264">
        <f t="shared" si="1"/>
        <v>-112.89999999999998</v>
      </c>
      <c r="L24" s="1504"/>
    </row>
    <row r="25" spans="1:12">
      <c r="A25" s="350" t="s">
        <v>247</v>
      </c>
      <c r="B25" s="256" t="s">
        <v>103</v>
      </c>
      <c r="C25" s="275">
        <v>0</v>
      </c>
      <c r="D25" s="1784"/>
      <c r="E25" s="275">
        <v>0</v>
      </c>
      <c r="F25" s="264"/>
      <c r="G25" s="275">
        <f>+'Exh D Captl Projects State Fed'!G25+'Exh D Captl Projects State Fed'!S25</f>
        <v>0</v>
      </c>
      <c r="H25" s="264"/>
      <c r="I25" s="275">
        <f t="shared" si="0"/>
        <v>0</v>
      </c>
      <c r="J25" s="264"/>
      <c r="K25" s="264">
        <f t="shared" si="1"/>
        <v>0</v>
      </c>
      <c r="L25" s="1504"/>
    </row>
    <row r="26" spans="1:12">
      <c r="A26" s="350" t="s">
        <v>147</v>
      </c>
      <c r="B26" s="256" t="s">
        <v>103</v>
      </c>
      <c r="C26" s="275">
        <v>1083</v>
      </c>
      <c r="D26" s="1784"/>
      <c r="E26" s="275">
        <v>1083</v>
      </c>
      <c r="F26" s="13"/>
      <c r="G26" s="287">
        <f>+'Exh D Captl Projects State Fed'!G26+'Exh D Captl Projects State Fed'!S26</f>
        <v>928.8</v>
      </c>
      <c r="H26" s="13"/>
      <c r="I26" s="586">
        <f t="shared" si="0"/>
        <v>-154.20000000000005</v>
      </c>
      <c r="J26" s="13"/>
      <c r="K26" s="264">
        <f t="shared" si="1"/>
        <v>-154.20000000000005</v>
      </c>
      <c r="L26" s="1504"/>
    </row>
    <row r="27" spans="1:12" ht="18" customHeight="1">
      <c r="A27" s="1211" t="s">
        <v>261</v>
      </c>
      <c r="B27" s="36" t="s">
        <v>103</v>
      </c>
      <c r="C27" s="617">
        <f>ROUND(SUM(C20:C26),1)</f>
        <v>5447</v>
      </c>
      <c r="D27" s="264"/>
      <c r="E27" s="617">
        <f>ROUND(SUM(E20:E26),1)</f>
        <v>5447</v>
      </c>
      <c r="F27" s="264"/>
      <c r="G27" s="617">
        <f>ROUND(SUM(G20:G26),1)</f>
        <v>5257.8</v>
      </c>
      <c r="H27" s="264"/>
      <c r="I27" s="616">
        <f>ROUND(SUM(I20:I26),1)</f>
        <v>-189.2</v>
      </c>
      <c r="J27" s="264"/>
      <c r="K27" s="617">
        <f>ROUND(SUM(K20:K26),1)</f>
        <v>-189.2</v>
      </c>
      <c r="L27" s="1504"/>
    </row>
    <row r="28" spans="1:12">
      <c r="B28" s="256" t="s">
        <v>103</v>
      </c>
      <c r="C28" s="615"/>
      <c r="D28" s="264"/>
      <c r="E28" s="615"/>
      <c r="F28" s="264"/>
      <c r="G28" s="615"/>
      <c r="H28" s="264"/>
      <c r="I28" s="264" t="s">
        <v>103</v>
      </c>
      <c r="J28" s="264"/>
      <c r="K28" s="615" t="s">
        <v>103</v>
      </c>
      <c r="L28" s="1504"/>
    </row>
    <row r="29" spans="1:12">
      <c r="A29" s="3" t="s">
        <v>122</v>
      </c>
      <c r="B29" s="256" t="s">
        <v>103</v>
      </c>
      <c r="C29" s="264"/>
      <c r="D29" s="264"/>
      <c r="E29" s="264"/>
      <c r="F29" s="264"/>
      <c r="G29" s="264"/>
      <c r="H29" s="264"/>
      <c r="I29" s="264"/>
      <c r="J29" s="264"/>
      <c r="K29" s="264"/>
      <c r="L29" s="1504"/>
    </row>
    <row r="30" spans="1:12">
      <c r="A30" s="350" t="s">
        <v>243</v>
      </c>
      <c r="B30" s="256" t="s">
        <v>103</v>
      </c>
      <c r="C30" s="275">
        <v>2124</v>
      </c>
      <c r="D30" s="1784"/>
      <c r="E30" s="275">
        <v>2124</v>
      </c>
      <c r="F30" s="264"/>
      <c r="G30" s="264">
        <f>+'Exh D Captl Projects State Fed'!G30+'Exh D Captl Projects State Fed'!S30</f>
        <v>2479.9</v>
      </c>
      <c r="H30" s="264"/>
      <c r="I30" s="586">
        <f>G30-C30</f>
        <v>355.90000000000009</v>
      </c>
      <c r="J30" s="264"/>
      <c r="K30" s="264">
        <f>G30-E30</f>
        <v>355.90000000000009</v>
      </c>
      <c r="L30" s="1504"/>
    </row>
    <row r="31" spans="1:12">
      <c r="A31" s="350" t="s">
        <v>140</v>
      </c>
      <c r="B31" s="256" t="s">
        <v>103</v>
      </c>
      <c r="C31" s="275">
        <v>3594</v>
      </c>
      <c r="D31" s="1784"/>
      <c r="E31" s="275">
        <v>3594</v>
      </c>
      <c r="F31" s="264"/>
      <c r="G31" s="264">
        <f>+'Exh D Captl Projects State Fed'!G31+'Exh D Captl Projects State Fed'!S31</f>
        <v>3222.6</v>
      </c>
      <c r="H31" s="264"/>
      <c r="I31" s="586">
        <f>G31-C31</f>
        <v>-371.40000000000009</v>
      </c>
      <c r="J31" s="264"/>
      <c r="K31" s="264">
        <f>G31-E31</f>
        <v>-371.40000000000009</v>
      </c>
      <c r="L31" s="1504"/>
    </row>
    <row r="32" spans="1:12">
      <c r="A32" s="350" t="s">
        <v>248</v>
      </c>
      <c r="B32" s="256" t="s">
        <v>103</v>
      </c>
      <c r="C32" s="275">
        <v>10</v>
      </c>
      <c r="D32" s="1784"/>
      <c r="E32" s="275">
        <v>10</v>
      </c>
      <c r="F32" s="264"/>
      <c r="G32" s="264">
        <f>+'Exh D Captl Projects State Fed'!G32+'Exh D Captl Projects State Fed'!S32</f>
        <v>23.2</v>
      </c>
      <c r="H32" s="264"/>
      <c r="I32" s="586">
        <f>G32-C32</f>
        <v>13.2</v>
      </c>
      <c r="J32" s="264"/>
      <c r="K32" s="264">
        <f>G32-E32</f>
        <v>13.2</v>
      </c>
      <c r="L32" s="1504"/>
    </row>
    <row r="33" spans="1:12" ht="18" customHeight="1">
      <c r="A33" s="1211" t="s">
        <v>270</v>
      </c>
      <c r="B33" s="36" t="s">
        <v>103</v>
      </c>
      <c r="C33" s="617">
        <f>ROUND(SUM(C30:C32),1)</f>
        <v>5728</v>
      </c>
      <c r="D33" s="264"/>
      <c r="E33" s="617">
        <f>ROUND(SUM(E30:E32),1)</f>
        <v>5728</v>
      </c>
      <c r="F33" s="264"/>
      <c r="G33" s="617">
        <f>ROUND(SUM(G30:G32),1)</f>
        <v>5725.7</v>
      </c>
      <c r="H33" s="264"/>
      <c r="I33" s="616">
        <f>ROUND(SUM(I30:I32),1)</f>
        <v>-2.2999999999999998</v>
      </c>
      <c r="J33" s="264"/>
      <c r="K33" s="617">
        <f>ROUND(SUM(K30:K32),1)</f>
        <v>-2.2999999999999998</v>
      </c>
      <c r="L33" s="1504"/>
    </row>
    <row r="34" spans="1:12">
      <c r="B34" s="256" t="s">
        <v>103</v>
      </c>
      <c r="C34" s="615"/>
      <c r="D34" s="264"/>
      <c r="E34" s="615"/>
      <c r="F34" s="264"/>
      <c r="G34" s="615"/>
      <c r="H34" s="264"/>
      <c r="I34" s="264"/>
      <c r="J34" s="264"/>
      <c r="K34" s="615"/>
      <c r="L34" s="1504"/>
    </row>
    <row r="35" spans="1:12">
      <c r="A35" s="3" t="s">
        <v>250</v>
      </c>
      <c r="C35" s="264"/>
      <c r="D35" s="13"/>
      <c r="E35" s="264"/>
      <c r="F35" s="13"/>
      <c r="G35" s="264"/>
      <c r="H35" s="13"/>
      <c r="I35" s="264"/>
      <c r="J35" s="13"/>
      <c r="K35" s="264"/>
      <c r="L35" s="1504"/>
    </row>
    <row r="36" spans="1:12">
      <c r="A36" s="3" t="s">
        <v>251</v>
      </c>
      <c r="C36" s="264"/>
      <c r="D36" s="264"/>
      <c r="E36" s="264"/>
      <c r="F36" s="264"/>
      <c r="G36" s="264"/>
      <c r="H36" s="264"/>
      <c r="I36" s="264"/>
      <c r="J36" s="264"/>
      <c r="K36" s="264"/>
      <c r="L36" s="1504"/>
    </row>
    <row r="37" spans="1:12">
      <c r="A37" s="1211" t="s">
        <v>252</v>
      </c>
      <c r="B37" s="42"/>
      <c r="C37" s="13">
        <f>ROUND(SUM(C27)-SUM(C33),1)</f>
        <v>-281</v>
      </c>
      <c r="D37" s="264"/>
      <c r="E37" s="13">
        <f>ROUND(SUM(E27)-SUM(E33),1)</f>
        <v>-281</v>
      </c>
      <c r="F37" s="264"/>
      <c r="G37" s="13">
        <f>ROUND(SUM(G27)-SUM(G33),1)</f>
        <v>-467.9</v>
      </c>
      <c r="H37" s="264"/>
      <c r="I37" s="13">
        <f>ROUND(SUM(I27)-SUM(I33),1)</f>
        <v>-186.9</v>
      </c>
      <c r="J37" s="264"/>
      <c r="K37" s="13">
        <f>ROUND(SUM(K27)-SUM(K33),1)</f>
        <v>-186.9</v>
      </c>
      <c r="L37" s="1504"/>
    </row>
    <row r="38" spans="1:12">
      <c r="C38" s="264"/>
      <c r="D38" s="264"/>
      <c r="E38" s="264"/>
      <c r="F38" s="264"/>
      <c r="G38" s="264"/>
      <c r="H38" s="264"/>
      <c r="I38" s="264"/>
      <c r="J38" s="264"/>
      <c r="K38" s="264"/>
      <c r="L38" s="1504"/>
    </row>
    <row r="39" spans="1:12">
      <c r="A39" s="1211" t="str">
        <f>+'Exh D Governmental  '!A49</f>
        <v>Fund Balances (Deficits) at April 1</v>
      </c>
      <c r="B39" s="384" t="s">
        <v>103</v>
      </c>
      <c r="C39" s="26">
        <f>'Exh D Captl Projects State Fed'!C39+'Exh D Captl Projects State Fed'!O39</f>
        <v>-2483</v>
      </c>
      <c r="D39" s="18"/>
      <c r="E39" s="26">
        <f>'Exh D Captl Projects State Fed'!E39+'Exh D Captl Projects State Fed'!Q39</f>
        <v>-2483</v>
      </c>
      <c r="F39" s="18"/>
      <c r="G39" s="13">
        <f>'Exhibit I'!E13</f>
        <v>-2483.1</v>
      </c>
      <c r="H39" s="18"/>
      <c r="I39" s="618">
        <f>G39-C39</f>
        <v>-9.9999999999909051E-2</v>
      </c>
      <c r="J39" s="18"/>
      <c r="K39" s="13">
        <f>G39-E39</f>
        <v>-9.9999999999909051E-2</v>
      </c>
      <c r="L39" s="1504"/>
    </row>
    <row r="40" spans="1:12" ht="16" thickBot="1">
      <c r="A40" s="1211" t="str">
        <f>+'Exh D Governmental  '!A50</f>
        <v>Fund Balances (Deficits) at July 31, 2026</v>
      </c>
      <c r="B40" s="43" t="s">
        <v>103</v>
      </c>
      <c r="C40" s="673">
        <f>ROUND(SUM(C37:C39),1)</f>
        <v>-2764</v>
      </c>
      <c r="D40" s="264"/>
      <c r="E40" s="673">
        <f>ROUND(SUM(E37:E39),1)</f>
        <v>-2764</v>
      </c>
      <c r="F40" s="264"/>
      <c r="G40" s="673">
        <f>ROUND(SUM(G37:G39),1)</f>
        <v>-2951</v>
      </c>
      <c r="H40" s="264"/>
      <c r="I40" s="673">
        <f>ROUND(SUM(I37:I39),1)</f>
        <v>-187</v>
      </c>
      <c r="J40" s="264"/>
      <c r="K40" s="673">
        <f>ROUND(SUM(K37:K39),1)</f>
        <v>-187</v>
      </c>
      <c r="L40" s="1504"/>
    </row>
    <row r="41" spans="1:12" ht="16" thickTop="1">
      <c r="C41" s="256"/>
      <c r="D41" s="264"/>
      <c r="E41" s="256"/>
      <c r="F41" s="264"/>
      <c r="G41" s="268"/>
      <c r="H41" s="264"/>
      <c r="J41" s="264"/>
    </row>
    <row r="42" spans="1:12">
      <c r="A42" s="677" t="str">
        <f>'Exh D Governmental  '!A52</f>
        <v>(*)  Source: 2026-27 Enacted Budget dated June 10, 2026.</v>
      </c>
      <c r="D42" s="44"/>
      <c r="F42" s="44"/>
      <c r="H42" s="44"/>
      <c r="J42" s="44"/>
    </row>
    <row r="43" spans="1:12">
      <c r="A43" s="385" t="str">
        <f>'Exh D Governmental  '!A53</f>
        <v>(**) Source: 2026-27 First Quarter Budget Update dated July 30, 2026, which made no changes to the Enacted Financial Plan.</v>
      </c>
      <c r="G43" s="380"/>
      <c r="I43" s="380"/>
      <c r="K43" s="388"/>
    </row>
    <row r="44" spans="1:12">
      <c r="A44" s="350"/>
    </row>
    <row r="45" spans="1:12">
      <c r="A45" s="350"/>
      <c r="D45" s="291"/>
      <c r="F45" s="291"/>
      <c r="H45" s="291"/>
      <c r="J45" s="291"/>
    </row>
    <row r="46" spans="1:12">
      <c r="A46" s="412"/>
      <c r="D46" s="291"/>
      <c r="F46" s="291"/>
      <c r="H46" s="291"/>
      <c r="J46" s="291"/>
    </row>
    <row r="47" spans="1:12">
      <c r="A47" s="46"/>
    </row>
    <row r="48" spans="1:12">
      <c r="D48" s="291"/>
      <c r="F48" s="291"/>
      <c r="H48" s="291"/>
      <c r="J48" s="291"/>
    </row>
    <row r="49" spans="4:10">
      <c r="D49" s="291"/>
      <c r="F49" s="291"/>
      <c r="H49" s="291"/>
      <c r="J49" s="291"/>
    </row>
  </sheetData>
  <printOptions horizontalCentered="1"/>
  <pageMargins left="0.7" right="0.7" top="0.75" bottom="0.75" header="0.3" footer="0.3"/>
  <pageSetup scale="72" firstPageNumber="13" orientation="landscape" useFirstPageNumber="1" r:id="rId1"/>
  <headerFooter scaleWithDoc="0" alignWithMargins="0">
    <oddFooter>&amp;C&amp;8&amp;P</oddFooter>
  </headerFooter>
  <customProperties>
    <customPr name="SheetOptions"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Y52"/>
  <sheetViews>
    <sheetView showGridLines="0" zoomScale="90" zoomScaleNormal="80" workbookViewId="0"/>
  </sheetViews>
  <sheetFormatPr defaultColWidth="8.84375" defaultRowHeight="15.5"/>
  <cols>
    <col min="1" max="1" width="51.84375" style="291" customWidth="1"/>
    <col min="2" max="2" width="2.07421875" style="256" customWidth="1"/>
    <col min="3" max="3" width="15.84375" style="128" customWidth="1"/>
    <col min="4" max="4" width="1.07421875" style="256" customWidth="1"/>
    <col min="5" max="5" width="15.84375" style="128" customWidth="1"/>
    <col min="6" max="6" width="1.07421875" style="256" customWidth="1"/>
    <col min="7" max="7" width="15.84375" style="256" customWidth="1"/>
    <col min="8" max="8" width="1.07421875" style="256" customWidth="1"/>
    <col min="9" max="9" width="15.84375" style="256" customWidth="1"/>
    <col min="10" max="10" width="1.07421875" style="256" customWidth="1"/>
    <col min="11" max="11" width="15.84375" style="256" customWidth="1"/>
    <col min="12" max="14" width="1.07421875" style="256" customWidth="1"/>
    <col min="15" max="15" width="15.84375" style="256" customWidth="1"/>
    <col min="16" max="16" width="1.07421875" style="256" customWidth="1"/>
    <col min="17" max="17" width="15.84375" style="256" customWidth="1"/>
    <col min="18" max="18" width="1.07421875" style="256" customWidth="1"/>
    <col min="19" max="19" width="15.84375" style="256" customWidth="1"/>
    <col min="20" max="20" width="1.07421875" style="256" customWidth="1"/>
    <col min="21" max="21" width="15.84375" style="256" customWidth="1"/>
    <col min="22" max="22" width="1.07421875" style="256" customWidth="1"/>
    <col min="23" max="23" width="15.84375" style="128" customWidth="1"/>
    <col min="24" max="24" width="0.84375" style="256" customWidth="1"/>
    <col min="25" max="25" width="15.84375" style="128" customWidth="1"/>
    <col min="26" max="16384" width="8.84375" style="291"/>
  </cols>
  <sheetData>
    <row r="1" spans="1:25">
      <c r="A1" s="386" t="s">
        <v>97</v>
      </c>
      <c r="D1" s="48"/>
      <c r="F1" s="48"/>
      <c r="H1" s="48"/>
      <c r="J1" s="48"/>
      <c r="N1" s="48"/>
      <c r="P1" s="48"/>
      <c r="R1" s="48"/>
      <c r="T1" s="48"/>
      <c r="V1" s="48"/>
    </row>
    <row r="2" spans="1:25" ht="16.5">
      <c r="A2" s="47"/>
      <c r="B2" s="48"/>
      <c r="C2" s="124"/>
      <c r="D2" s="48"/>
      <c r="E2" s="124"/>
      <c r="F2" s="48"/>
      <c r="G2" s="48"/>
      <c r="H2" s="48"/>
      <c r="I2" s="48"/>
      <c r="J2" s="48"/>
      <c r="K2" s="48"/>
      <c r="L2" s="48"/>
      <c r="M2" s="48"/>
      <c r="N2" s="48"/>
      <c r="O2" s="48"/>
      <c r="P2" s="48"/>
      <c r="Q2" s="48"/>
      <c r="R2" s="48"/>
      <c r="S2" s="48"/>
      <c r="T2" s="48"/>
      <c r="U2" s="48"/>
      <c r="V2" s="48"/>
      <c r="W2" s="124"/>
      <c r="X2" s="48"/>
      <c r="Y2" s="124"/>
    </row>
    <row r="3" spans="1:25" ht="18">
      <c r="A3" s="50" t="s">
        <v>98</v>
      </c>
      <c r="B3" s="30"/>
      <c r="C3" s="125"/>
      <c r="D3" s="30"/>
      <c r="E3" s="125"/>
      <c r="F3" s="30"/>
      <c r="G3" s="30"/>
      <c r="H3" s="30"/>
      <c r="I3" s="30"/>
      <c r="J3" s="30"/>
      <c r="K3" s="30"/>
      <c r="L3" s="30"/>
      <c r="M3" s="30"/>
      <c r="N3" s="30"/>
      <c r="O3" s="30"/>
      <c r="P3" s="30"/>
      <c r="Q3" s="30"/>
      <c r="R3" s="30"/>
      <c r="S3" s="30"/>
      <c r="T3" s="30"/>
      <c r="U3" s="352"/>
      <c r="V3" s="30"/>
      <c r="W3" s="352" t="s">
        <v>224</v>
      </c>
      <c r="X3" s="30"/>
      <c r="Y3" s="125"/>
    </row>
    <row r="4" spans="1:25" ht="18">
      <c r="A4" s="50" t="s">
        <v>281</v>
      </c>
      <c r="B4" s="30"/>
      <c r="C4" s="125"/>
      <c r="D4" s="30"/>
      <c r="E4" s="125"/>
      <c r="F4" s="30"/>
      <c r="G4" s="30"/>
      <c r="H4" s="30"/>
      <c r="I4" s="30"/>
      <c r="J4" s="30"/>
      <c r="K4" s="30"/>
      <c r="L4" s="30"/>
      <c r="M4" s="30"/>
      <c r="N4" s="30"/>
      <c r="O4" s="30"/>
      <c r="P4" s="30"/>
      <c r="Q4" s="30"/>
      <c r="R4" s="30"/>
      <c r="S4" s="30"/>
      <c r="T4" s="30"/>
      <c r="U4" s="353"/>
      <c r="V4" s="30"/>
      <c r="W4" s="353"/>
      <c r="X4" s="30"/>
      <c r="Y4" s="125"/>
    </row>
    <row r="5" spans="1:25" ht="18">
      <c r="A5" s="1989" t="str">
        <f>'Exh D Governmental  '!A5</f>
        <v>FISCAL YEAR 2026-2027</v>
      </c>
      <c r="B5" s="23"/>
      <c r="C5" s="23"/>
      <c r="D5" s="23"/>
      <c r="E5" s="23"/>
      <c r="F5" s="30"/>
      <c r="G5" s="30"/>
      <c r="H5" s="30"/>
      <c r="I5" s="30"/>
      <c r="J5" s="30"/>
      <c r="K5" s="30"/>
      <c r="L5" s="30"/>
      <c r="M5" s="30"/>
      <c r="N5" s="30"/>
      <c r="O5" s="30"/>
      <c r="P5" s="30"/>
      <c r="Q5" s="30"/>
      <c r="R5" s="30"/>
      <c r="S5" s="30"/>
      <c r="T5" s="30"/>
      <c r="U5" s="30"/>
      <c r="V5" s="30"/>
      <c r="W5" s="125"/>
      <c r="X5" s="30"/>
      <c r="Y5" s="125"/>
    </row>
    <row r="6" spans="1:25" ht="18">
      <c r="A6" s="540" t="str">
        <f>'Exh D Governmental  '!A6</f>
        <v>FOR FOUR MONTHS ENDED JULY 31, 2026</v>
      </c>
      <c r="B6" s="30"/>
      <c r="C6" s="125"/>
      <c r="D6" s="30"/>
      <c r="E6" s="125"/>
      <c r="F6" s="30"/>
      <c r="G6" s="30"/>
      <c r="H6" s="30"/>
      <c r="I6" s="30"/>
      <c r="J6" s="30"/>
      <c r="K6" s="30"/>
      <c r="L6" s="30"/>
      <c r="M6" s="30"/>
      <c r="N6" s="30"/>
      <c r="O6" s="30"/>
      <c r="P6" s="30"/>
      <c r="Q6" s="30"/>
      <c r="R6" s="30"/>
      <c r="S6" s="30"/>
      <c r="T6" s="30"/>
      <c r="U6" s="30"/>
      <c r="V6" s="30"/>
      <c r="W6" s="125"/>
      <c r="X6" s="30"/>
      <c r="Y6" s="125"/>
    </row>
    <row r="7" spans="1:25" ht="18">
      <c r="A7" s="50" t="s">
        <v>226</v>
      </c>
      <c r="B7" s="30"/>
      <c r="C7" s="125"/>
      <c r="D7" s="30"/>
      <c r="E7" s="125"/>
      <c r="F7" s="30"/>
      <c r="G7" s="30"/>
      <c r="H7" s="30"/>
      <c r="I7" s="30"/>
      <c r="J7" s="30"/>
      <c r="K7" s="30"/>
      <c r="L7" s="30"/>
      <c r="M7" s="30"/>
      <c r="N7" s="30"/>
      <c r="O7" s="30"/>
      <c r="P7" s="30"/>
      <c r="Q7" s="30"/>
      <c r="R7" s="30"/>
      <c r="S7" s="30"/>
      <c r="T7" s="30"/>
      <c r="U7" s="30"/>
      <c r="V7" s="30"/>
      <c r="W7" s="125"/>
      <c r="X7" s="30"/>
      <c r="Y7" s="125"/>
    </row>
    <row r="8" spans="1:25" ht="17.5">
      <c r="A8" s="34"/>
      <c r="B8" s="30"/>
      <c r="C8" s="125"/>
      <c r="D8" s="30"/>
      <c r="E8" s="125"/>
      <c r="F8" s="30"/>
      <c r="G8" s="30"/>
      <c r="H8" s="30"/>
      <c r="I8" s="30"/>
      <c r="J8" s="30"/>
      <c r="K8" s="30"/>
      <c r="L8" s="30"/>
      <c r="M8" s="30"/>
      <c r="N8" s="30"/>
      <c r="O8" s="30"/>
      <c r="P8" s="30"/>
      <c r="Q8" s="30"/>
      <c r="R8" s="30"/>
      <c r="S8" s="30"/>
      <c r="T8" s="30"/>
      <c r="U8" s="30"/>
      <c r="V8" s="30"/>
      <c r="W8" s="125"/>
      <c r="X8" s="30"/>
      <c r="Y8" s="125"/>
    </row>
    <row r="9" spans="1:25">
      <c r="A9" s="35"/>
      <c r="B9" s="30"/>
      <c r="C9" s="125"/>
      <c r="D9" s="30"/>
      <c r="E9" s="125"/>
      <c r="F9" s="30"/>
      <c r="G9" s="30"/>
      <c r="H9" s="30"/>
      <c r="I9" s="30"/>
      <c r="J9" s="30"/>
      <c r="K9" s="30"/>
      <c r="L9" s="30"/>
      <c r="M9" s="30"/>
      <c r="N9" s="30"/>
      <c r="O9" s="30"/>
      <c r="P9" s="30"/>
      <c r="Q9" s="30"/>
      <c r="R9" s="30"/>
      <c r="S9" s="30"/>
      <c r="T9" s="30"/>
      <c r="U9" s="30"/>
      <c r="V9" s="30"/>
      <c r="W9" s="125"/>
      <c r="X9" s="30"/>
      <c r="Y9" s="125"/>
    </row>
    <row r="10" spans="1:25">
      <c r="A10" s="35"/>
      <c r="B10" s="30"/>
      <c r="C10" s="125"/>
      <c r="D10" s="30"/>
      <c r="E10" s="125"/>
      <c r="F10" s="30"/>
      <c r="G10" s="30"/>
      <c r="H10" s="30"/>
      <c r="I10" s="30"/>
      <c r="J10" s="30"/>
      <c r="K10" s="30"/>
      <c r="L10" s="30"/>
      <c r="M10" s="30"/>
      <c r="N10" s="30"/>
      <c r="O10" s="125"/>
      <c r="P10" s="30"/>
      <c r="Q10" s="125"/>
      <c r="R10" s="30"/>
      <c r="S10" s="30"/>
      <c r="T10" s="30"/>
      <c r="U10" s="30"/>
      <c r="V10" s="30"/>
      <c r="W10" s="125"/>
      <c r="X10" s="30"/>
      <c r="Y10" s="125"/>
    </row>
    <row r="11" spans="1:25">
      <c r="B11" s="36"/>
      <c r="C11" s="2059" t="s">
        <v>282</v>
      </c>
      <c r="D11" s="2059"/>
      <c r="E11" s="2059"/>
      <c r="F11" s="2059"/>
      <c r="G11" s="2059"/>
      <c r="H11" s="2059"/>
      <c r="I11" s="2059"/>
      <c r="J11" s="1212"/>
      <c r="K11" s="1212"/>
      <c r="L11" s="52"/>
      <c r="M11" s="52"/>
      <c r="N11" s="51"/>
      <c r="O11" s="2059" t="s">
        <v>283</v>
      </c>
      <c r="P11" s="2059"/>
      <c r="Q11" s="2059"/>
      <c r="R11" s="2059"/>
      <c r="S11" s="2059"/>
      <c r="T11" s="2059"/>
      <c r="U11" s="2059"/>
      <c r="V11" s="1002"/>
      <c r="W11" s="1212"/>
      <c r="X11" s="1212"/>
      <c r="Y11" s="52"/>
    </row>
    <row r="12" spans="1:25">
      <c r="B12" s="36"/>
      <c r="C12" s="127"/>
      <c r="D12" s="52"/>
      <c r="E12" s="127"/>
      <c r="F12" s="52"/>
      <c r="G12" s="36"/>
      <c r="H12" s="52"/>
      <c r="I12" s="52" t="s">
        <v>228</v>
      </c>
      <c r="J12" s="52"/>
      <c r="K12" s="52" t="s">
        <v>228</v>
      </c>
      <c r="L12" s="52"/>
      <c r="M12" s="1514"/>
      <c r="N12" s="52"/>
      <c r="O12" s="127"/>
      <c r="P12" s="52"/>
      <c r="Q12" s="127"/>
      <c r="R12" s="52"/>
      <c r="S12" s="36"/>
      <c r="T12" s="52"/>
      <c r="U12" s="52" t="s">
        <v>228</v>
      </c>
      <c r="V12" s="52"/>
      <c r="W12" s="52" t="s">
        <v>228</v>
      </c>
      <c r="X12" s="36"/>
      <c r="Y12" s="127"/>
    </row>
    <row r="13" spans="1:25">
      <c r="B13" s="36"/>
      <c r="C13" s="127"/>
      <c r="D13" s="36"/>
      <c r="E13" s="127"/>
      <c r="F13" s="36"/>
      <c r="G13" s="36"/>
      <c r="H13" s="36"/>
      <c r="I13" s="37" t="s">
        <v>229</v>
      </c>
      <c r="J13" s="36"/>
      <c r="K13" s="37" t="s">
        <v>229</v>
      </c>
      <c r="L13" s="37"/>
      <c r="M13" s="1515"/>
      <c r="N13" s="36"/>
      <c r="O13" s="127"/>
      <c r="P13" s="36"/>
      <c r="Q13" s="127"/>
      <c r="R13" s="36"/>
      <c r="S13" s="36"/>
      <c r="T13" s="36"/>
      <c r="U13" s="37" t="s">
        <v>229</v>
      </c>
      <c r="V13" s="36"/>
      <c r="W13" s="37" t="s">
        <v>229</v>
      </c>
      <c r="X13" s="36"/>
      <c r="Y13" s="127"/>
    </row>
    <row r="14" spans="1:25" ht="15.75" customHeight="1">
      <c r="B14" s="36"/>
      <c r="C14" s="38" t="s">
        <v>231</v>
      </c>
      <c r="D14" s="36"/>
      <c r="E14" s="38" t="s">
        <v>232</v>
      </c>
      <c r="F14" s="36"/>
      <c r="G14" s="36"/>
      <c r="H14" s="36"/>
      <c r="I14" s="37" t="s">
        <v>233</v>
      </c>
      <c r="J14" s="36"/>
      <c r="K14" s="37" t="s">
        <v>233</v>
      </c>
      <c r="L14" s="37"/>
      <c r="M14" s="1515"/>
      <c r="N14" s="36"/>
      <c r="O14" s="38" t="s">
        <v>231</v>
      </c>
      <c r="P14" s="36"/>
      <c r="Q14" s="38" t="s">
        <v>232</v>
      </c>
      <c r="R14" s="36"/>
      <c r="S14" s="36"/>
      <c r="T14" s="36"/>
      <c r="U14" s="37" t="s">
        <v>233</v>
      </c>
      <c r="V14" s="36"/>
      <c r="W14" s="37" t="s">
        <v>233</v>
      </c>
      <c r="X14" s="291"/>
      <c r="Y14" s="38"/>
    </row>
    <row r="15" spans="1:25" ht="15.75" customHeight="1">
      <c r="B15" s="36"/>
      <c r="C15" s="37" t="s">
        <v>234</v>
      </c>
      <c r="D15" s="36"/>
      <c r="E15" s="37" t="s">
        <v>234</v>
      </c>
      <c r="F15" s="36"/>
      <c r="G15" s="36"/>
      <c r="H15" s="36"/>
      <c r="I15" s="37" t="s">
        <v>231</v>
      </c>
      <c r="J15" s="36"/>
      <c r="K15" s="38" t="s">
        <v>232</v>
      </c>
      <c r="L15" s="38"/>
      <c r="M15" s="1519"/>
      <c r="N15" s="36"/>
      <c r="O15" s="37" t="s">
        <v>234</v>
      </c>
      <c r="P15" s="36"/>
      <c r="Q15" s="37" t="s">
        <v>234</v>
      </c>
      <c r="R15" s="36"/>
      <c r="S15" s="36"/>
      <c r="T15" s="36"/>
      <c r="U15" s="37" t="s">
        <v>231</v>
      </c>
      <c r="V15" s="36"/>
      <c r="W15" s="38" t="s">
        <v>232</v>
      </c>
      <c r="X15" s="36"/>
      <c r="Y15" s="37"/>
    </row>
    <row r="16" spans="1:25">
      <c r="B16" s="36"/>
      <c r="C16" s="37" t="s">
        <v>235</v>
      </c>
      <c r="D16" s="36"/>
      <c r="E16" s="37" t="s">
        <v>1511</v>
      </c>
      <c r="F16" s="36"/>
      <c r="G16" s="38" t="s">
        <v>228</v>
      </c>
      <c r="H16" s="36"/>
      <c r="I16" s="37" t="s">
        <v>236</v>
      </c>
      <c r="J16" s="36"/>
      <c r="K16" s="37" t="s">
        <v>236</v>
      </c>
      <c r="L16" s="37"/>
      <c r="M16" s="1515"/>
      <c r="N16" s="36"/>
      <c r="O16" s="37" t="s">
        <v>235</v>
      </c>
      <c r="P16" s="36"/>
      <c r="Q16" s="37" t="s">
        <v>1511</v>
      </c>
      <c r="R16" s="36"/>
      <c r="S16" s="38" t="s">
        <v>228</v>
      </c>
      <c r="T16" s="36"/>
      <c r="U16" s="37" t="s">
        <v>236</v>
      </c>
      <c r="V16" s="36"/>
      <c r="W16" s="37" t="s">
        <v>236</v>
      </c>
      <c r="X16" s="36"/>
      <c r="Y16" s="37"/>
    </row>
    <row r="17" spans="1:25">
      <c r="A17" s="39"/>
      <c r="B17" s="30"/>
      <c r="C17" s="1001"/>
      <c r="D17" s="30"/>
      <c r="E17" s="1001"/>
      <c r="F17" s="30"/>
      <c r="G17" s="1001"/>
      <c r="H17" s="30"/>
      <c r="I17" s="1001"/>
      <c r="J17" s="30"/>
      <c r="K17" s="1001"/>
      <c r="L17" s="30"/>
      <c r="M17" s="1516"/>
      <c r="N17" s="30"/>
      <c r="O17" s="1001"/>
      <c r="P17" s="30"/>
      <c r="Q17" s="1001"/>
      <c r="R17" s="30"/>
      <c r="S17" s="1001"/>
      <c r="T17" s="30"/>
      <c r="U17" s="1001"/>
      <c r="V17" s="30"/>
      <c r="W17" s="1001"/>
      <c r="X17" s="30"/>
      <c r="Y17" s="30"/>
    </row>
    <row r="18" spans="1:25">
      <c r="A18" s="3" t="s">
        <v>114</v>
      </c>
      <c r="C18" s="256"/>
      <c r="E18" s="256"/>
      <c r="G18" s="268" t="s">
        <v>103</v>
      </c>
      <c r="M18" s="1517"/>
      <c r="S18" s="256" t="s">
        <v>103</v>
      </c>
      <c r="W18" s="256"/>
      <c r="Y18" s="256"/>
    </row>
    <row r="19" spans="1:25">
      <c r="A19" s="350" t="s">
        <v>237</v>
      </c>
      <c r="B19" s="378" t="s">
        <v>103</v>
      </c>
      <c r="C19" s="274"/>
      <c r="D19" s="378"/>
      <c r="E19" s="274"/>
      <c r="F19" s="378"/>
      <c r="G19" s="274"/>
      <c r="H19" s="378"/>
      <c r="I19" s="274"/>
      <c r="J19" s="378"/>
      <c r="K19" s="274"/>
      <c r="L19" s="274"/>
      <c r="M19" s="1491"/>
      <c r="N19" s="378"/>
      <c r="O19" s="274"/>
      <c r="P19" s="378"/>
      <c r="Q19" s="274"/>
      <c r="R19" s="378"/>
      <c r="S19" s="389"/>
      <c r="T19" s="378"/>
      <c r="U19" s="274"/>
      <c r="V19" s="378"/>
      <c r="W19" s="274"/>
      <c r="X19" s="274"/>
      <c r="Y19" s="274"/>
    </row>
    <row r="20" spans="1:25">
      <c r="A20" s="350" t="s">
        <v>239</v>
      </c>
      <c r="B20" s="256" t="s">
        <v>103</v>
      </c>
      <c r="C20" s="387">
        <v>197</v>
      </c>
      <c r="D20" s="1784"/>
      <c r="E20" s="387">
        <v>197</v>
      </c>
      <c r="F20" s="276"/>
      <c r="G20" s="387">
        <f>'Exhibit I State'!AD21</f>
        <v>196.7</v>
      </c>
      <c r="H20" s="276"/>
      <c r="I20" s="264">
        <f t="shared" ref="I20:I26" si="0">G20-C20</f>
        <v>-0.30000000000001137</v>
      </c>
      <c r="J20" s="276"/>
      <c r="K20" s="274">
        <f>G20-E20</f>
        <v>-0.30000000000001137</v>
      </c>
      <c r="L20" s="274"/>
      <c r="M20" s="1491"/>
      <c r="N20" s="276"/>
      <c r="O20" s="387">
        <v>0</v>
      </c>
      <c r="P20" s="1784"/>
      <c r="Q20" s="387">
        <v>0</v>
      </c>
      <c r="R20" s="276"/>
      <c r="S20" s="387">
        <v>0</v>
      </c>
      <c r="T20" s="276"/>
      <c r="U20" s="274">
        <v>0</v>
      </c>
      <c r="V20" s="276"/>
      <c r="W20" s="274">
        <f>S20-Q20</f>
        <v>0</v>
      </c>
      <c r="X20" s="277"/>
      <c r="Y20" s="1510"/>
    </row>
    <row r="21" spans="1:25">
      <c r="A21" s="350" t="s">
        <v>240</v>
      </c>
      <c r="B21" s="378" t="s">
        <v>103</v>
      </c>
      <c r="C21" s="275">
        <v>180</v>
      </c>
      <c r="D21" s="367"/>
      <c r="E21" s="275">
        <v>180</v>
      </c>
      <c r="F21" s="264"/>
      <c r="G21" s="288">
        <f>'Exhibit I State'!AD26</f>
        <v>194.8</v>
      </c>
      <c r="H21" s="264"/>
      <c r="I21" s="264">
        <f t="shared" si="0"/>
        <v>14.800000000000011</v>
      </c>
      <c r="J21" s="264"/>
      <c r="K21" s="264">
        <f>G21-E21</f>
        <v>14.800000000000011</v>
      </c>
      <c r="L21" s="264"/>
      <c r="M21" s="986"/>
      <c r="N21" s="264"/>
      <c r="O21" s="275">
        <v>0</v>
      </c>
      <c r="P21" s="367"/>
      <c r="Q21" s="275">
        <v>0</v>
      </c>
      <c r="R21" s="264"/>
      <c r="S21" s="288">
        <v>0</v>
      </c>
      <c r="T21" s="264"/>
      <c r="U21" s="264">
        <f t="shared" ref="U21:U24" si="1">S21-O21</f>
        <v>0</v>
      </c>
      <c r="V21" s="264"/>
      <c r="W21" s="264">
        <f t="shared" ref="W21:W25" si="2">S21-Q21</f>
        <v>0</v>
      </c>
      <c r="X21" s="275"/>
      <c r="Y21" s="1510"/>
    </row>
    <row r="22" spans="1:25">
      <c r="A22" s="350" t="s">
        <v>241</v>
      </c>
      <c r="B22" s="256" t="s">
        <v>103</v>
      </c>
      <c r="C22" s="275">
        <v>52</v>
      </c>
      <c r="D22" s="1784"/>
      <c r="E22" s="275">
        <v>52</v>
      </c>
      <c r="F22" s="287"/>
      <c r="G22" s="288">
        <f>'Exhibit I State'!AD29</f>
        <v>51.5</v>
      </c>
      <c r="H22" s="287"/>
      <c r="I22" s="264">
        <f t="shared" si="0"/>
        <v>-0.5</v>
      </c>
      <c r="J22" s="287"/>
      <c r="K22" s="264">
        <f t="shared" ref="K22:K26" si="3">G22-E22</f>
        <v>-0.5</v>
      </c>
      <c r="L22" s="264"/>
      <c r="M22" s="986"/>
      <c r="N22" s="287"/>
      <c r="O22" s="275">
        <v>0</v>
      </c>
      <c r="P22" s="1784"/>
      <c r="Q22" s="275">
        <v>0</v>
      </c>
      <c r="R22" s="287"/>
      <c r="S22" s="288">
        <v>0</v>
      </c>
      <c r="T22" s="287"/>
      <c r="U22" s="264">
        <f t="shared" si="1"/>
        <v>0</v>
      </c>
      <c r="V22" s="287"/>
      <c r="W22" s="264">
        <f t="shared" si="2"/>
        <v>0</v>
      </c>
      <c r="X22" s="275"/>
      <c r="Y22" s="1510"/>
    </row>
    <row r="23" spans="1:25">
      <c r="A23" s="350" t="s">
        <v>119</v>
      </c>
      <c r="B23" s="256" t="s">
        <v>103</v>
      </c>
      <c r="C23" s="275">
        <v>3105</v>
      </c>
      <c r="D23" s="1785"/>
      <c r="E23" s="275">
        <v>3105</v>
      </c>
      <c r="F23" s="1192"/>
      <c r="G23" s="288">
        <f>'Exhibit I State'!AD60</f>
        <v>3206.6</v>
      </c>
      <c r="H23" s="1192"/>
      <c r="I23" s="264">
        <f t="shared" si="0"/>
        <v>101.59999999999991</v>
      </c>
      <c r="J23" s="1192"/>
      <c r="K23" s="264">
        <f t="shared" si="3"/>
        <v>101.59999999999991</v>
      </c>
      <c r="L23" s="264"/>
      <c r="M23" s="986"/>
      <c r="N23" s="1518"/>
      <c r="O23" s="275">
        <v>38</v>
      </c>
      <c r="P23" s="1785"/>
      <c r="Q23" s="275">
        <v>38</v>
      </c>
      <c r="R23" s="1192"/>
      <c r="S23" s="264">
        <f>'Exhibit I Federal'!AD42</f>
        <v>0.3</v>
      </c>
      <c r="T23" s="1192"/>
      <c r="U23" s="264">
        <f t="shared" si="1"/>
        <v>-37.700000000000003</v>
      </c>
      <c r="V23" s="1192"/>
      <c r="W23" s="264">
        <f t="shared" si="2"/>
        <v>-37.700000000000003</v>
      </c>
      <c r="X23" s="264"/>
      <c r="Y23" s="1510"/>
    </row>
    <row r="24" spans="1:25">
      <c r="A24" s="350" t="s">
        <v>120</v>
      </c>
      <c r="B24" s="256" t="s">
        <v>103</v>
      </c>
      <c r="C24" s="275">
        <v>0</v>
      </c>
      <c r="D24" s="1784"/>
      <c r="E24" s="275">
        <v>0</v>
      </c>
      <c r="F24" s="264"/>
      <c r="G24" s="288">
        <f>'Exhibit I State'!AD62</f>
        <v>-0.9</v>
      </c>
      <c r="H24" s="264"/>
      <c r="I24" s="264">
        <f t="shared" si="0"/>
        <v>-0.9</v>
      </c>
      <c r="J24" s="264"/>
      <c r="K24" s="264">
        <f t="shared" si="3"/>
        <v>-0.9</v>
      </c>
      <c r="L24" s="264"/>
      <c r="M24" s="986"/>
      <c r="N24" s="264"/>
      <c r="O24" s="275">
        <v>792</v>
      </c>
      <c r="P24" s="1784"/>
      <c r="Q24" s="275">
        <v>792</v>
      </c>
      <c r="R24" s="264"/>
      <c r="S24" s="264">
        <f>'Exhibit I Federal'!AD44</f>
        <v>680</v>
      </c>
      <c r="T24" s="264"/>
      <c r="U24" s="264">
        <f t="shared" si="1"/>
        <v>-112</v>
      </c>
      <c r="V24" s="264"/>
      <c r="W24" s="264">
        <f t="shared" si="2"/>
        <v>-112</v>
      </c>
      <c r="X24" s="264"/>
      <c r="Y24" s="1510"/>
    </row>
    <row r="25" spans="1:25">
      <c r="A25" s="350" t="s">
        <v>247</v>
      </c>
      <c r="B25" s="256" t="s">
        <v>103</v>
      </c>
      <c r="C25" s="275">
        <v>0</v>
      </c>
      <c r="D25" s="1784"/>
      <c r="E25" s="275">
        <v>0</v>
      </c>
      <c r="F25" s="264"/>
      <c r="G25" s="288">
        <f>'Exhibit I State'!AD90</f>
        <v>0</v>
      </c>
      <c r="H25" s="264"/>
      <c r="I25" s="264">
        <f t="shared" si="0"/>
        <v>0</v>
      </c>
      <c r="J25" s="264"/>
      <c r="K25" s="264">
        <f t="shared" si="3"/>
        <v>0</v>
      </c>
      <c r="L25" s="264"/>
      <c r="M25" s="986"/>
      <c r="N25" s="264"/>
      <c r="O25" s="275">
        <v>0</v>
      </c>
      <c r="P25" s="1784"/>
      <c r="Q25" s="275">
        <v>0</v>
      </c>
      <c r="R25" s="264"/>
      <c r="S25" s="275">
        <v>0</v>
      </c>
      <c r="T25" s="264"/>
      <c r="U25" s="264">
        <f t="shared" ref="U25" si="4">S25-O25</f>
        <v>0</v>
      </c>
      <c r="V25" s="264"/>
      <c r="W25" s="264">
        <f t="shared" si="2"/>
        <v>0</v>
      </c>
      <c r="X25" s="264"/>
      <c r="Y25" s="1510"/>
    </row>
    <row r="26" spans="1:25">
      <c r="A26" s="350" t="s">
        <v>147</v>
      </c>
      <c r="B26" s="256" t="s">
        <v>103</v>
      </c>
      <c r="C26" s="275">
        <v>1082</v>
      </c>
      <c r="D26" s="1784"/>
      <c r="E26" s="275">
        <v>1082</v>
      </c>
      <c r="F26" s="13"/>
      <c r="G26" s="287">
        <f>'Exhibit I State'!AD91</f>
        <v>928.8</v>
      </c>
      <c r="H26" s="13"/>
      <c r="I26" s="264">
        <f t="shared" si="0"/>
        <v>-153.20000000000005</v>
      </c>
      <c r="J26" s="13"/>
      <c r="K26" s="264">
        <f t="shared" si="3"/>
        <v>-153.20000000000005</v>
      </c>
      <c r="L26" s="264"/>
      <c r="M26" s="986"/>
      <c r="N26" s="13"/>
      <c r="O26" s="275">
        <v>1</v>
      </c>
      <c r="P26" s="1784"/>
      <c r="Q26" s="275">
        <v>1</v>
      </c>
      <c r="R26" s="13"/>
      <c r="S26" s="287">
        <f>'Exhibit I Federal'!AD72</f>
        <v>0</v>
      </c>
      <c r="T26" s="13"/>
      <c r="U26" s="264">
        <f>S26-O26</f>
        <v>-1</v>
      </c>
      <c r="V26" s="13"/>
      <c r="W26" s="264">
        <f>S26-Q26</f>
        <v>-1</v>
      </c>
      <c r="X26" s="264"/>
      <c r="Y26" s="1510"/>
    </row>
    <row r="27" spans="1:25" ht="18" customHeight="1">
      <c r="A27" s="1211" t="s">
        <v>261</v>
      </c>
      <c r="B27" s="36" t="s">
        <v>103</v>
      </c>
      <c r="C27" s="617">
        <f>ROUND(SUM(C20:C26),1)</f>
        <v>4616</v>
      </c>
      <c r="D27" s="264"/>
      <c r="E27" s="617">
        <f>ROUND(SUM(E20:E26),1)</f>
        <v>4616</v>
      </c>
      <c r="F27" s="264"/>
      <c r="G27" s="617">
        <f>ROUND(SUM(G20:G26),1)</f>
        <v>4577.5</v>
      </c>
      <c r="H27" s="264"/>
      <c r="I27" s="617">
        <f>ROUND(SUM(I20:I26),1)</f>
        <v>-38.5</v>
      </c>
      <c r="J27" s="264"/>
      <c r="K27" s="617">
        <f>ROUND(SUM(K20:K26),1)</f>
        <v>-38.5</v>
      </c>
      <c r="L27" s="13"/>
      <c r="M27" s="1493"/>
      <c r="N27" s="264"/>
      <c r="O27" s="617">
        <f>ROUND(SUM(O20:O26),1)</f>
        <v>831</v>
      </c>
      <c r="P27" s="264"/>
      <c r="Q27" s="617">
        <f>ROUND(SUM(Q20:Q26),1)</f>
        <v>831</v>
      </c>
      <c r="R27" s="264"/>
      <c r="S27" s="617">
        <f>ROUND(SUM(S20:S26),1)</f>
        <v>680.3</v>
      </c>
      <c r="T27" s="264"/>
      <c r="U27" s="617">
        <f>ROUND(SUM(U20:U26),1)</f>
        <v>-150.69999999999999</v>
      </c>
      <c r="V27" s="264"/>
      <c r="W27" s="617">
        <f>ROUND(SUM(W20:W26),1)</f>
        <v>-150.69999999999999</v>
      </c>
      <c r="X27" s="13"/>
      <c r="Y27" s="1511"/>
    </row>
    <row r="28" spans="1:25">
      <c r="B28" s="256" t="s">
        <v>103</v>
      </c>
      <c r="C28" s="615"/>
      <c r="D28" s="264"/>
      <c r="E28" s="615"/>
      <c r="F28" s="264"/>
      <c r="G28" s="615"/>
      <c r="H28" s="264"/>
      <c r="I28" s="615" t="s">
        <v>103</v>
      </c>
      <c r="J28" s="264"/>
      <c r="K28" s="615"/>
      <c r="L28" s="264"/>
      <c r="M28" s="986"/>
      <c r="N28" s="264"/>
      <c r="O28" s="615"/>
      <c r="P28" s="264"/>
      <c r="Q28" s="615"/>
      <c r="R28" s="264"/>
      <c r="S28" s="615"/>
      <c r="T28" s="264"/>
      <c r="U28" s="615" t="s">
        <v>103</v>
      </c>
      <c r="V28" s="264"/>
      <c r="W28" s="615"/>
      <c r="X28" s="264"/>
      <c r="Y28" s="1486"/>
    </row>
    <row r="29" spans="1:25">
      <c r="A29" s="3" t="s">
        <v>122</v>
      </c>
      <c r="B29" s="256" t="s">
        <v>103</v>
      </c>
      <c r="C29" s="264"/>
      <c r="D29" s="264"/>
      <c r="E29" s="264"/>
      <c r="F29" s="264"/>
      <c r="G29" s="264"/>
      <c r="H29" s="264"/>
      <c r="I29" s="264"/>
      <c r="J29" s="264"/>
      <c r="K29" s="264"/>
      <c r="L29" s="264"/>
      <c r="M29" s="986"/>
      <c r="N29" s="264"/>
      <c r="O29" s="264"/>
      <c r="P29" s="264"/>
      <c r="Q29" s="264"/>
      <c r="R29" s="264"/>
      <c r="S29" s="264"/>
      <c r="T29" s="264"/>
      <c r="U29" s="264"/>
      <c r="V29" s="264"/>
      <c r="W29" s="264"/>
      <c r="X29" s="264"/>
      <c r="Y29" s="1486"/>
    </row>
    <row r="30" spans="1:25">
      <c r="A30" s="350" t="s">
        <v>243</v>
      </c>
      <c r="B30" s="256" t="s">
        <v>103</v>
      </c>
      <c r="C30" s="275">
        <v>1942</v>
      </c>
      <c r="D30" s="1784"/>
      <c r="E30" s="275">
        <v>1942</v>
      </c>
      <c r="F30" s="264"/>
      <c r="G30" s="275">
        <f>'Exhibit I State'!AD77</f>
        <v>2325.9</v>
      </c>
      <c r="H30" s="264"/>
      <c r="I30" s="264">
        <f t="shared" ref="I30:I32" si="5">G30-C30</f>
        <v>383.90000000000009</v>
      </c>
      <c r="J30" s="264"/>
      <c r="K30" s="264">
        <f>G30-E30</f>
        <v>383.90000000000009</v>
      </c>
      <c r="L30" s="264"/>
      <c r="M30" s="986"/>
      <c r="N30" s="264"/>
      <c r="O30" s="275">
        <v>182</v>
      </c>
      <c r="P30" s="1784"/>
      <c r="Q30" s="275">
        <v>182</v>
      </c>
      <c r="R30" s="264"/>
      <c r="S30" s="264">
        <f>'Exhibit I Federal'!AD59</f>
        <v>154</v>
      </c>
      <c r="T30" s="264"/>
      <c r="U30" s="264">
        <f t="shared" ref="U30:U32" si="6">S30-O30</f>
        <v>-28</v>
      </c>
      <c r="V30" s="264"/>
      <c r="W30" s="264">
        <f>S30-Q30</f>
        <v>-28</v>
      </c>
      <c r="X30" s="264"/>
      <c r="Y30" s="1510"/>
    </row>
    <row r="31" spans="1:25">
      <c r="A31" s="350" t="s">
        <v>140</v>
      </c>
      <c r="B31" s="256" t="s">
        <v>103</v>
      </c>
      <c r="C31" s="275">
        <v>3143</v>
      </c>
      <c r="D31" s="1784"/>
      <c r="E31" s="275">
        <v>3143</v>
      </c>
      <c r="F31" s="264"/>
      <c r="G31" s="275">
        <f>'Exhibit I State'!AD82</f>
        <v>2636.5</v>
      </c>
      <c r="H31" s="264"/>
      <c r="I31" s="264">
        <f t="shared" si="5"/>
        <v>-506.5</v>
      </c>
      <c r="J31" s="264"/>
      <c r="K31" s="264">
        <f t="shared" ref="K31:K32" si="7">G31-E31</f>
        <v>-506.5</v>
      </c>
      <c r="L31" s="264"/>
      <c r="M31" s="986"/>
      <c r="N31" s="264"/>
      <c r="O31" s="275">
        <v>451</v>
      </c>
      <c r="P31" s="1784"/>
      <c r="Q31" s="275">
        <v>451</v>
      </c>
      <c r="R31" s="264"/>
      <c r="S31" s="264">
        <f>'Exhibit I Federal'!AD64</f>
        <v>586.1</v>
      </c>
      <c r="T31" s="264"/>
      <c r="U31" s="264">
        <f t="shared" si="6"/>
        <v>135.10000000000002</v>
      </c>
      <c r="V31" s="264"/>
      <c r="W31" s="264">
        <f>S31-Q31</f>
        <v>135.10000000000002</v>
      </c>
      <c r="X31" s="264"/>
      <c r="Y31" s="1510"/>
    </row>
    <row r="32" spans="1:25">
      <c r="A32" s="350" t="s">
        <v>248</v>
      </c>
      <c r="B32" s="256" t="s">
        <v>103</v>
      </c>
      <c r="C32" s="275">
        <v>10</v>
      </c>
      <c r="D32" s="1784"/>
      <c r="E32" s="275">
        <v>10</v>
      </c>
      <c r="F32" s="264"/>
      <c r="G32" s="287">
        <f>-'Exhibit I State'!AD92</f>
        <v>23</v>
      </c>
      <c r="H32" s="264"/>
      <c r="I32" s="264">
        <f t="shared" si="5"/>
        <v>13</v>
      </c>
      <c r="J32" s="264"/>
      <c r="K32" s="264">
        <f t="shared" si="7"/>
        <v>13</v>
      </c>
      <c r="L32" s="264"/>
      <c r="M32" s="986"/>
      <c r="N32" s="264"/>
      <c r="O32" s="275">
        <v>0</v>
      </c>
      <c r="P32" s="1784"/>
      <c r="Q32" s="275">
        <v>0</v>
      </c>
      <c r="R32" s="264"/>
      <c r="S32" s="287">
        <f>-'Exhibit I Federal'!AD73</f>
        <v>0.2</v>
      </c>
      <c r="T32" s="264"/>
      <c r="U32" s="264">
        <f t="shared" si="6"/>
        <v>0.2</v>
      </c>
      <c r="V32" s="264"/>
      <c r="W32" s="264">
        <f t="shared" ref="W32" si="8">S32-Q32</f>
        <v>0.2</v>
      </c>
      <c r="X32" s="264"/>
      <c r="Y32" s="1510"/>
    </row>
    <row r="33" spans="1:25" ht="18" customHeight="1">
      <c r="A33" s="1211" t="s">
        <v>270</v>
      </c>
      <c r="B33" s="36" t="s">
        <v>103</v>
      </c>
      <c r="C33" s="617">
        <f>ROUND(SUM(C30:C32),1)</f>
        <v>5095</v>
      </c>
      <c r="D33" s="264"/>
      <c r="E33" s="617">
        <f>ROUND(SUM(E30:E32),1)</f>
        <v>5095</v>
      </c>
      <c r="F33" s="264"/>
      <c r="G33" s="617">
        <f>ROUND(SUM(G30:G32),1)</f>
        <v>4985.3999999999996</v>
      </c>
      <c r="H33" s="264"/>
      <c r="I33" s="617">
        <f>ROUND(SUM(I30:I32),1)</f>
        <v>-109.6</v>
      </c>
      <c r="J33" s="264"/>
      <c r="K33" s="617">
        <f>ROUND(SUM(K30:K32),1)</f>
        <v>-109.6</v>
      </c>
      <c r="L33" s="13"/>
      <c r="M33" s="1493"/>
      <c r="N33" s="264"/>
      <c r="O33" s="617">
        <f>ROUND(SUM(O30:O32),1)</f>
        <v>633</v>
      </c>
      <c r="P33" s="264"/>
      <c r="Q33" s="617">
        <f>ROUND(SUM(Q30:Q32),1)</f>
        <v>633</v>
      </c>
      <c r="R33" s="264"/>
      <c r="S33" s="617">
        <f>ROUND(SUM(S30:S32),1)</f>
        <v>740.3</v>
      </c>
      <c r="T33" s="264"/>
      <c r="U33" s="617">
        <f>ROUND(SUM(U30:U32),1)</f>
        <v>107.3</v>
      </c>
      <c r="V33" s="264"/>
      <c r="W33" s="617">
        <f>ROUND(SUM(W30:W32),1)</f>
        <v>107.3</v>
      </c>
      <c r="X33" s="13"/>
      <c r="Y33" s="1511"/>
    </row>
    <row r="34" spans="1:25">
      <c r="B34" s="256" t="s">
        <v>103</v>
      </c>
      <c r="C34" s="615"/>
      <c r="D34" s="264"/>
      <c r="E34" s="615"/>
      <c r="F34" s="264"/>
      <c r="G34" s="615"/>
      <c r="H34" s="264"/>
      <c r="I34" s="615"/>
      <c r="J34" s="264"/>
      <c r="K34" s="615"/>
      <c r="L34" s="264"/>
      <c r="M34" s="986"/>
      <c r="N34" s="264"/>
      <c r="O34" s="615"/>
      <c r="P34" s="264"/>
      <c r="Q34" s="615"/>
      <c r="R34" s="264"/>
      <c r="S34" s="615"/>
      <c r="T34" s="264"/>
      <c r="U34" s="615"/>
      <c r="V34" s="264"/>
      <c r="W34" s="615"/>
      <c r="X34" s="264"/>
      <c r="Y34" s="1486"/>
    </row>
    <row r="35" spans="1:25">
      <c r="A35" s="3" t="s">
        <v>250</v>
      </c>
      <c r="C35" s="264"/>
      <c r="D35" s="13"/>
      <c r="E35" s="264"/>
      <c r="F35" s="13"/>
      <c r="G35" s="264"/>
      <c r="H35" s="13"/>
      <c r="I35" s="264"/>
      <c r="J35" s="13"/>
      <c r="K35" s="264"/>
      <c r="L35" s="264"/>
      <c r="M35" s="986"/>
      <c r="N35" s="13"/>
      <c r="O35" s="264"/>
      <c r="P35" s="13"/>
      <c r="Q35" s="264"/>
      <c r="R35" s="13"/>
      <c r="S35" s="264"/>
      <c r="T35" s="13"/>
      <c r="U35" s="264"/>
      <c r="V35" s="13"/>
      <c r="W35" s="264"/>
      <c r="X35" s="264"/>
      <c r="Y35" s="1486"/>
    </row>
    <row r="36" spans="1:25">
      <c r="A36" s="3" t="s">
        <v>251</v>
      </c>
      <c r="C36" s="264"/>
      <c r="D36" s="264"/>
      <c r="E36" s="264"/>
      <c r="F36" s="264"/>
      <c r="G36" s="264"/>
      <c r="H36" s="264"/>
      <c r="I36" s="264"/>
      <c r="J36" s="264"/>
      <c r="K36" s="264"/>
      <c r="L36" s="264"/>
      <c r="M36" s="986"/>
      <c r="N36" s="264"/>
      <c r="O36" s="264"/>
      <c r="P36" s="264"/>
      <c r="Q36" s="264"/>
      <c r="R36" s="264"/>
      <c r="S36" s="264"/>
      <c r="T36" s="264"/>
      <c r="U36" s="264"/>
      <c r="V36" s="264"/>
      <c r="W36" s="264"/>
      <c r="X36" s="264"/>
      <c r="Y36" s="1486"/>
    </row>
    <row r="37" spans="1:25">
      <c r="A37" s="1211" t="s">
        <v>252</v>
      </c>
      <c r="B37" s="42" t="s">
        <v>103</v>
      </c>
      <c r="C37" s="13">
        <f>ROUND(SUM(C27)-SUM(C33),1)</f>
        <v>-479</v>
      </c>
      <c r="D37" s="264"/>
      <c r="E37" s="13">
        <f>ROUND(SUM(E27)-SUM(E33),1)</f>
        <v>-479</v>
      </c>
      <c r="F37" s="264"/>
      <c r="G37" s="13">
        <f>ROUND(SUM(G27)-SUM(G33),1)</f>
        <v>-407.9</v>
      </c>
      <c r="H37" s="264"/>
      <c r="I37" s="13">
        <f>ROUND(SUM(I27)-SUM(I33),1)</f>
        <v>71.099999999999994</v>
      </c>
      <c r="J37" s="264"/>
      <c r="K37" s="13">
        <f>ROUND(SUM(K27)-SUM(K33),1)</f>
        <v>71.099999999999994</v>
      </c>
      <c r="L37" s="13"/>
      <c r="M37" s="1493"/>
      <c r="N37" s="264"/>
      <c r="O37" s="13">
        <f>ROUND(SUM(O27)-SUM(O33),1)</f>
        <v>198</v>
      </c>
      <c r="P37" s="264"/>
      <c r="Q37" s="13">
        <f>ROUND(SUM(Q27)-SUM(Q33),1)</f>
        <v>198</v>
      </c>
      <c r="R37" s="264"/>
      <c r="S37" s="13">
        <f>ROUND(SUM(S27)-SUM(S33),1)</f>
        <v>-60</v>
      </c>
      <c r="T37" s="264"/>
      <c r="U37" s="13">
        <f>ROUND(SUM(U27)-SUM(U33),1)</f>
        <v>-258</v>
      </c>
      <c r="V37" s="264"/>
      <c r="W37" s="13">
        <f>ROUND(SUM(W27)-SUM(W33),1)</f>
        <v>-258</v>
      </c>
      <c r="X37" s="18"/>
      <c r="Y37" s="1511"/>
    </row>
    <row r="38" spans="1:25">
      <c r="C38" s="264"/>
      <c r="D38" s="264"/>
      <c r="E38" s="264"/>
      <c r="F38" s="264"/>
      <c r="G38" s="264"/>
      <c r="H38" s="264"/>
      <c r="I38" s="264"/>
      <c r="J38" s="264"/>
      <c r="K38" s="264"/>
      <c r="L38" s="13"/>
      <c r="M38" s="1493"/>
      <c r="N38" s="264"/>
      <c r="O38" s="264"/>
      <c r="P38" s="264"/>
      <c r="Q38" s="264"/>
      <c r="R38" s="264"/>
      <c r="S38" s="264"/>
      <c r="T38" s="264"/>
      <c r="U38" s="264"/>
      <c r="V38" s="264"/>
      <c r="W38" s="264"/>
      <c r="X38" s="264"/>
      <c r="Y38" s="1486"/>
    </row>
    <row r="39" spans="1:25">
      <c r="A39" s="1211" t="s">
        <v>253</v>
      </c>
      <c r="B39" s="384" t="s">
        <v>103</v>
      </c>
      <c r="C39" s="13">
        <v>-2206</v>
      </c>
      <c r="D39" s="18"/>
      <c r="E39" s="13">
        <v>-2206</v>
      </c>
      <c r="F39" s="18"/>
      <c r="G39" s="13">
        <v>-2206.4</v>
      </c>
      <c r="H39" s="18"/>
      <c r="I39" s="13">
        <f t="shared" ref="I39" si="9">G39-C39</f>
        <v>-0.40000000000009095</v>
      </c>
      <c r="J39" s="18"/>
      <c r="K39" s="13">
        <f>G39-E39</f>
        <v>-0.40000000000009095</v>
      </c>
      <c r="L39" s="13"/>
      <c r="M39" s="1493"/>
      <c r="N39" s="18"/>
      <c r="O39" s="13">
        <v>-277</v>
      </c>
      <c r="P39" s="18"/>
      <c r="Q39" s="13">
        <v>-277</v>
      </c>
      <c r="R39" s="18"/>
      <c r="S39" s="13">
        <v>-276.7</v>
      </c>
      <c r="T39" s="18"/>
      <c r="U39" s="13">
        <f t="shared" ref="U39" si="10">S39-O39</f>
        <v>0.30000000000001137</v>
      </c>
      <c r="V39" s="18"/>
      <c r="W39" s="13">
        <f>S39-Q39</f>
        <v>0.30000000000001137</v>
      </c>
      <c r="X39" s="264"/>
      <c r="Y39" s="1511"/>
    </row>
    <row r="40" spans="1:25" ht="16" thickBot="1">
      <c r="A40" s="1211" t="str">
        <f>+'Exh D Governmental  '!A50</f>
        <v>Fund Balances (Deficits) at July 31, 2026</v>
      </c>
      <c r="B40" s="43" t="s">
        <v>103</v>
      </c>
      <c r="C40" s="673">
        <f>ROUND(SUM(C37:C39),1)</f>
        <v>-2685</v>
      </c>
      <c r="D40" s="264"/>
      <c r="E40" s="673">
        <f>ROUND(SUM(E37:E39),1)</f>
        <v>-2685</v>
      </c>
      <c r="F40" s="264"/>
      <c r="G40" s="673">
        <f>ROUND(SUM(G37:G39),1)</f>
        <v>-2614.3000000000002</v>
      </c>
      <c r="H40" s="264"/>
      <c r="I40" s="673">
        <f>ROUND(SUM(I37:I39),1)</f>
        <v>70.7</v>
      </c>
      <c r="J40" s="264"/>
      <c r="K40" s="673">
        <f>ROUND(SUM(K37:K39),1)</f>
        <v>70.7</v>
      </c>
      <c r="L40" s="20"/>
      <c r="M40" s="340"/>
      <c r="N40" s="264"/>
      <c r="O40" s="673">
        <f>ROUND(SUM(O37:O39),1)</f>
        <v>-79</v>
      </c>
      <c r="P40" s="264"/>
      <c r="Q40" s="673">
        <f>ROUND(SUM(Q37:Q39),1)</f>
        <v>-79</v>
      </c>
      <c r="R40" s="264"/>
      <c r="S40" s="673">
        <f>ROUND(SUM(S37:S39),1)</f>
        <v>-336.7</v>
      </c>
      <c r="T40" s="264"/>
      <c r="U40" s="673">
        <f>ROUND(SUM(U37:U39),1)</f>
        <v>-257.7</v>
      </c>
      <c r="V40" s="264"/>
      <c r="W40" s="673">
        <f>ROUND(SUM(W37:W39),1)</f>
        <v>-257.7</v>
      </c>
      <c r="X40" s="44"/>
      <c r="Y40" s="1505"/>
    </row>
    <row r="41" spans="1:25" ht="16" thickTop="1">
      <c r="D41" s="264"/>
      <c r="F41" s="264"/>
      <c r="H41" s="264"/>
      <c r="J41" s="264"/>
      <c r="N41" s="264"/>
      <c r="P41" s="264"/>
      <c r="R41" s="264"/>
      <c r="S41" s="268"/>
      <c r="T41" s="264"/>
      <c r="V41" s="264"/>
      <c r="W41" s="256"/>
      <c r="Y41" s="256"/>
    </row>
    <row r="42" spans="1:25">
      <c r="A42" s="385" t="str">
        <f>'Exh D Governmental  '!A52</f>
        <v>(*)  Source: 2026-27 Enacted Budget dated June 10, 2026.</v>
      </c>
      <c r="D42" s="44"/>
      <c r="F42" s="44"/>
      <c r="G42" s="1786"/>
      <c r="H42" s="44"/>
      <c r="J42" s="44"/>
      <c r="N42" s="44"/>
      <c r="P42" s="44"/>
      <c r="R42" s="44"/>
      <c r="S42" s="1786"/>
      <c r="T42" s="44"/>
      <c r="U42" s="1787"/>
      <c r="V42" s="44"/>
    </row>
    <row r="43" spans="1:25">
      <c r="A43" s="385" t="str">
        <f>'Exh D Governmental  '!A53</f>
        <v>(**) Source: 2026-27 First Quarter Budget Update dated July 30, 2026, which made no changes to the Enacted Financial Plan.</v>
      </c>
      <c r="W43" s="256"/>
      <c r="Y43" s="256"/>
    </row>
    <row r="44" spans="1:25">
      <c r="A44" s="350"/>
    </row>
    <row r="45" spans="1:25">
      <c r="A45" s="350"/>
      <c r="D45" s="291"/>
      <c r="F45" s="291"/>
      <c r="H45" s="291"/>
      <c r="J45" s="291"/>
      <c r="N45" s="291"/>
      <c r="P45" s="291"/>
      <c r="R45" s="291"/>
      <c r="T45" s="291"/>
      <c r="V45" s="291"/>
    </row>
    <row r="46" spans="1:25">
      <c r="A46" s="412"/>
      <c r="D46" s="291"/>
      <c r="F46" s="291"/>
      <c r="H46" s="291"/>
      <c r="J46" s="291"/>
      <c r="N46" s="291"/>
      <c r="P46" s="291"/>
      <c r="R46" s="291"/>
      <c r="T46" s="291"/>
      <c r="V46" s="291"/>
    </row>
    <row r="47" spans="1:25">
      <c r="A47" s="46"/>
    </row>
    <row r="48" spans="1:25">
      <c r="D48" s="291"/>
      <c r="F48" s="291"/>
      <c r="H48" s="291"/>
      <c r="J48" s="291"/>
      <c r="N48" s="291"/>
      <c r="P48" s="291"/>
      <c r="R48" s="291"/>
      <c r="T48" s="291"/>
      <c r="V48" s="291"/>
    </row>
    <row r="49" spans="4:22">
      <c r="D49" s="291"/>
      <c r="F49" s="291"/>
      <c r="H49" s="291"/>
      <c r="J49" s="291"/>
      <c r="N49" s="291"/>
      <c r="P49" s="291"/>
      <c r="R49" s="291"/>
      <c r="T49" s="291"/>
      <c r="V49" s="291"/>
    </row>
    <row r="52" spans="4:22">
      <c r="G52" s="268"/>
    </row>
  </sheetData>
  <mergeCells count="2">
    <mergeCell ref="C11:I11"/>
    <mergeCell ref="O11:U11"/>
  </mergeCells>
  <printOptions horizontalCentered="1"/>
  <pageMargins left="0.2" right="0.2" top="0.75" bottom="0.75" header="0.3" footer="0.3"/>
  <pageSetup scale="51" firstPageNumber="14" orientation="landscape" useFirstPageNumber="1" r:id="rId1"/>
  <headerFooter scaleWithDoc="0" alignWithMargins="0">
    <oddFooter>&amp;C&amp;8&amp;P</oddFooter>
  </headerFooter>
  <customProperties>
    <customPr name="SheetOptions"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pageSetUpPr fitToPage="1"/>
  </sheetPr>
  <dimension ref="A1:AM66"/>
  <sheetViews>
    <sheetView showGridLines="0" zoomScale="80" zoomScaleNormal="80" workbookViewId="0"/>
  </sheetViews>
  <sheetFormatPr defaultColWidth="9.84375" defaultRowHeight="12.5"/>
  <cols>
    <col min="1" max="1" width="32.07421875" style="1313" customWidth="1"/>
    <col min="2" max="2" width="10.84375" style="1313" customWidth="1"/>
    <col min="3" max="3" width="3.4609375" style="1313" customWidth="1"/>
    <col min="4" max="4" width="12.84375" style="1313" customWidth="1"/>
    <col min="5" max="5" width="1.84375" style="1313" customWidth="1"/>
    <col min="6" max="6" width="12.84375" style="1313" customWidth="1"/>
    <col min="7" max="7" width="1.84375" style="1313" customWidth="1"/>
    <col min="8" max="8" width="12.84375" style="1313" customWidth="1"/>
    <col min="9" max="9" width="1.84375" style="1313" customWidth="1"/>
    <col min="10" max="10" width="12.84375" style="1313" customWidth="1"/>
    <col min="11" max="11" width="1.84375" style="1313" customWidth="1"/>
    <col min="12" max="12" width="12.84375" style="1313" customWidth="1"/>
    <col min="13" max="13" width="1.84375" style="1313" customWidth="1"/>
    <col min="14" max="14" width="12.84375" style="1313" customWidth="1"/>
    <col min="15" max="15" width="1.84375" style="1313" customWidth="1"/>
    <col min="16" max="16" width="12.84375" style="1313" customWidth="1"/>
    <col min="17" max="17" width="1.84375" style="1313" customWidth="1"/>
    <col min="18" max="18" width="12.84375" style="1313" customWidth="1"/>
    <col min="19" max="19" width="1.84375" style="1313" customWidth="1"/>
    <col min="20" max="20" width="1" style="1313" customWidth="1"/>
    <col min="21" max="21" width="1.84375" style="1313" customWidth="1"/>
    <col min="22" max="22" width="12.84375" style="1313" customWidth="1"/>
    <col min="23" max="23" width="1.84375" style="1313" customWidth="1"/>
    <col min="24" max="24" width="12.84375" style="1313" customWidth="1"/>
    <col min="25" max="25" width="1.84375" style="1313" customWidth="1"/>
    <col min="26" max="26" width="1" style="1313" customWidth="1"/>
    <col min="27" max="27" width="1.84375" style="1313" customWidth="1"/>
    <col min="28" max="28" width="12.84375" style="1313" customWidth="1"/>
    <col min="29" max="29" width="2" style="1313" customWidth="1"/>
    <col min="30" max="30" width="12.84375" style="1313" customWidth="1"/>
    <col min="31" max="31" width="1.53515625" style="1313" customWidth="1"/>
    <col min="32" max="32" width="0.4609375" style="1313" customWidth="1"/>
    <col min="33" max="33" width="1.53515625" style="1313" customWidth="1"/>
    <col min="34" max="34" width="11.84375" style="1313" customWidth="1"/>
    <col min="35" max="35" width="1.84375" style="1313" customWidth="1"/>
    <col min="36" max="36" width="11.84375" style="1313" customWidth="1"/>
    <col min="37" max="37" width="2.07421875" style="1313" customWidth="1"/>
    <col min="38" max="38" width="1.84375" style="1313" customWidth="1"/>
    <col min="39" max="39" width="9.84375" style="1313"/>
    <col min="40" max="40" width="9" style="1313" customWidth="1"/>
    <col min="41" max="16384" width="9.84375" style="1313"/>
  </cols>
  <sheetData>
    <row r="1" spans="1:39" s="1307" customFormat="1" ht="15.5">
      <c r="A1" s="284" t="s">
        <v>97</v>
      </c>
    </row>
    <row r="2" spans="1:39" s="1310" customFormat="1">
      <c r="A2" s="1308"/>
      <c r="B2" s="1309"/>
      <c r="C2" s="1309"/>
      <c r="D2" s="1307"/>
      <c r="E2" s="1309"/>
      <c r="F2" s="1309"/>
      <c r="G2" s="1309"/>
      <c r="H2" s="1309"/>
      <c r="I2" s="1309"/>
      <c r="J2" s="1309"/>
      <c r="K2" s="1309"/>
      <c r="L2" s="1309"/>
      <c r="M2" s="1309"/>
      <c r="N2" s="1309"/>
      <c r="O2" s="1309"/>
      <c r="P2" s="1309"/>
      <c r="Q2" s="1309"/>
      <c r="R2" s="1309"/>
      <c r="S2" s="1309"/>
      <c r="T2" s="1309"/>
      <c r="U2" s="1309"/>
      <c r="V2" s="1309"/>
      <c r="W2" s="1309"/>
      <c r="X2" s="1309"/>
      <c r="Y2" s="1309"/>
      <c r="Z2" s="1309"/>
      <c r="AA2" s="1309"/>
      <c r="AB2" s="1309"/>
      <c r="AC2" s="1309"/>
      <c r="AD2" s="1309"/>
      <c r="AE2" s="1309"/>
      <c r="AF2" s="1309"/>
      <c r="AG2" s="1309"/>
      <c r="AH2" s="1309"/>
    </row>
    <row r="3" spans="1:39" ht="18">
      <c r="A3" s="1311" t="s">
        <v>98</v>
      </c>
      <c r="B3" s="1312"/>
      <c r="C3" s="1312"/>
      <c r="D3" s="1307"/>
      <c r="E3" s="1312"/>
      <c r="F3" s="1312"/>
      <c r="G3" s="1312"/>
      <c r="H3" s="1312"/>
      <c r="I3" s="1312"/>
      <c r="J3" s="1312"/>
      <c r="K3" s="1312"/>
      <c r="L3" s="1817"/>
      <c r="M3" s="1817"/>
      <c r="N3" s="1817"/>
      <c r="O3" s="1817"/>
      <c r="P3" s="1312"/>
      <c r="Q3" s="1312"/>
      <c r="R3" s="1312"/>
      <c r="S3" s="1817"/>
      <c r="T3" s="1312"/>
      <c r="U3" s="1817"/>
      <c r="V3" s="1817"/>
      <c r="W3" s="1817"/>
      <c r="X3" s="1817"/>
      <c r="Y3" s="1817"/>
      <c r="Z3" s="1817"/>
      <c r="AA3" s="1817"/>
      <c r="AB3" s="1817"/>
      <c r="AC3" s="1817"/>
      <c r="AD3" s="1817"/>
      <c r="AE3" s="1817"/>
      <c r="AF3" s="1312"/>
      <c r="AG3" s="1312"/>
      <c r="AH3" s="1818"/>
      <c r="AI3" s="1818"/>
    </row>
    <row r="4" spans="1:39" ht="18">
      <c r="A4" s="1314" t="s">
        <v>100</v>
      </c>
      <c r="B4" s="1312"/>
      <c r="C4" s="1312"/>
      <c r="D4" s="1307"/>
      <c r="E4" s="1312"/>
      <c r="F4" s="1312"/>
      <c r="G4" s="1312"/>
      <c r="H4" s="1312"/>
      <c r="I4" s="1312"/>
      <c r="J4" s="1312"/>
      <c r="K4" s="1312"/>
      <c r="L4" s="1817"/>
      <c r="M4" s="1817"/>
      <c r="N4" s="1817"/>
      <c r="O4" s="1817"/>
      <c r="P4" s="1312"/>
      <c r="Q4" s="1312"/>
      <c r="R4" s="1312"/>
      <c r="S4" s="1817"/>
      <c r="T4" s="1312"/>
      <c r="U4" s="1817"/>
      <c r="V4" s="1817"/>
      <c r="W4" s="1817"/>
      <c r="X4" s="1817"/>
      <c r="Y4" s="1817"/>
      <c r="Z4" s="1817"/>
      <c r="AA4" s="1817"/>
      <c r="AB4" s="1817"/>
      <c r="AC4" s="1817"/>
      <c r="AD4" s="1817"/>
      <c r="AE4" s="1817"/>
      <c r="AF4" s="1312"/>
      <c r="AG4" s="1312"/>
      <c r="AH4" s="1818"/>
      <c r="AI4" s="1818"/>
    </row>
    <row r="5" spans="1:39" ht="18">
      <c r="A5" s="1311" t="s">
        <v>284</v>
      </c>
      <c r="B5" s="1312"/>
      <c r="C5" s="1312"/>
      <c r="D5" s="1307"/>
      <c r="E5" s="1312"/>
      <c r="F5" s="1312"/>
      <c r="G5" s="1312"/>
      <c r="H5" s="1817"/>
      <c r="I5" s="1817"/>
      <c r="J5" s="1817"/>
      <c r="K5" s="1312"/>
      <c r="L5" s="1817"/>
      <c r="M5" s="1817"/>
      <c r="N5" s="1817" t="s">
        <v>103</v>
      </c>
      <c r="O5" s="1817"/>
      <c r="P5" s="1312"/>
      <c r="Q5" s="1312"/>
      <c r="R5" s="1312"/>
      <c r="S5" s="1817"/>
      <c r="T5" s="1312"/>
      <c r="U5" s="1817"/>
      <c r="V5" s="1817"/>
      <c r="W5" s="1817"/>
      <c r="X5" s="1817"/>
      <c r="Y5" s="1817"/>
      <c r="Z5" s="1817"/>
      <c r="AA5" s="1817"/>
      <c r="AB5" s="1817"/>
      <c r="AC5" s="1817"/>
      <c r="AD5" s="1817"/>
      <c r="AE5" s="1817"/>
      <c r="AF5" s="1312"/>
      <c r="AG5" s="1312"/>
      <c r="AH5" s="1818"/>
      <c r="AI5" s="1818"/>
    </row>
    <row r="6" spans="1:39" ht="18">
      <c r="A6" s="1311" t="s">
        <v>102</v>
      </c>
      <c r="B6" s="1312"/>
      <c r="C6" s="1312"/>
      <c r="D6" s="1307"/>
      <c r="E6" s="1312"/>
      <c r="F6" s="1312"/>
      <c r="G6" s="1312"/>
      <c r="H6" s="1312"/>
      <c r="I6" s="1312"/>
      <c r="J6" s="1312"/>
      <c r="K6" s="1312"/>
      <c r="L6" s="1817"/>
      <c r="M6" s="1817"/>
      <c r="N6" s="1817"/>
      <c r="O6" s="1817"/>
      <c r="P6" s="1312"/>
      <c r="Q6" s="1312"/>
      <c r="R6" s="1312"/>
      <c r="S6" s="1817"/>
      <c r="T6" s="1312"/>
      <c r="U6" s="1817"/>
      <c r="V6" s="1817"/>
      <c r="W6" s="1817"/>
      <c r="X6" s="1817"/>
      <c r="Y6" s="1817"/>
      <c r="Z6" s="1817"/>
      <c r="AA6" s="1817"/>
      <c r="AB6" s="1817"/>
      <c r="AC6" s="1817"/>
      <c r="AD6" s="1817"/>
      <c r="AE6" s="1817"/>
      <c r="AF6" s="1312"/>
      <c r="AG6" s="1312"/>
      <c r="AH6" s="1818"/>
      <c r="AI6" s="1818"/>
    </row>
    <row r="7" spans="1:39" ht="18">
      <c r="A7" s="1312"/>
      <c r="B7" s="1312"/>
      <c r="C7" s="1312"/>
      <c r="D7" s="1307"/>
      <c r="E7" s="1312"/>
      <c r="F7" s="1312"/>
      <c r="G7" s="1312"/>
      <c r="H7" s="1312"/>
      <c r="I7" s="1312"/>
      <c r="J7" s="1312"/>
      <c r="K7" s="1312"/>
      <c r="L7" s="1817"/>
      <c r="M7" s="1817"/>
      <c r="N7" s="1817"/>
      <c r="O7" s="1817"/>
      <c r="P7" s="1817"/>
      <c r="Q7" s="1817"/>
      <c r="R7" s="1817"/>
      <c r="S7" s="1817"/>
      <c r="T7" s="1817"/>
      <c r="U7" s="1817"/>
      <c r="V7" s="1817"/>
      <c r="W7" s="1817"/>
      <c r="X7" s="1817"/>
      <c r="Y7" s="1817"/>
      <c r="Z7" s="1817"/>
      <c r="AA7" s="1817"/>
      <c r="AB7" s="1819"/>
      <c r="AC7" s="1819"/>
      <c r="AD7" s="1819"/>
      <c r="AE7" s="1819"/>
      <c r="AF7" s="1312"/>
      <c r="AG7" s="1312"/>
      <c r="AH7" s="1818"/>
      <c r="AI7" s="1818"/>
      <c r="AJ7" s="1820" t="s">
        <v>285</v>
      </c>
    </row>
    <row r="8" spans="1:39" ht="15.5">
      <c r="A8" s="284"/>
      <c r="B8" s="284"/>
      <c r="C8" s="284"/>
      <c r="D8" s="1307"/>
      <c r="E8" s="284"/>
      <c r="F8" s="284"/>
      <c r="G8" s="284"/>
      <c r="H8" s="284"/>
      <c r="I8" s="284"/>
      <c r="J8" s="284"/>
      <c r="K8" s="284"/>
      <c r="L8" s="285"/>
      <c r="M8" s="285"/>
      <c r="N8" s="285"/>
      <c r="O8" s="285"/>
      <c r="P8" s="285"/>
      <c r="Q8" s="285"/>
      <c r="R8" s="285"/>
      <c r="S8" s="285"/>
      <c r="T8" s="285"/>
      <c r="U8" s="285"/>
      <c r="V8" s="285"/>
      <c r="W8" s="285"/>
      <c r="X8" s="285"/>
      <c r="Y8" s="285"/>
      <c r="Z8" s="285"/>
      <c r="AA8" s="285"/>
      <c r="AB8" s="285"/>
      <c r="AC8" s="285"/>
      <c r="AD8" s="285"/>
      <c r="AE8" s="285"/>
      <c r="AF8" s="284"/>
      <c r="AG8" s="284"/>
      <c r="AH8" s="1818"/>
      <c r="AI8" s="1818"/>
    </row>
    <row r="9" spans="1:39" ht="15.5">
      <c r="A9" s="284"/>
      <c r="B9" s="284"/>
      <c r="C9" s="284"/>
      <c r="D9" s="1307"/>
      <c r="E9" s="285"/>
      <c r="F9" s="285"/>
      <c r="G9" s="285"/>
      <c r="H9" s="285"/>
      <c r="I9" s="285"/>
      <c r="J9" s="285"/>
      <c r="K9" s="285"/>
      <c r="L9" s="285"/>
      <c r="M9" s="285"/>
      <c r="N9" s="285"/>
      <c r="O9" s="285"/>
      <c r="P9" s="285"/>
      <c r="Q9" s="285"/>
      <c r="R9" s="285"/>
      <c r="S9" s="285"/>
      <c r="T9" s="285"/>
      <c r="U9" s="285"/>
      <c r="V9" s="1817"/>
      <c r="W9" s="1817"/>
      <c r="X9" s="1817"/>
      <c r="Y9" s="1817"/>
      <c r="Z9" s="1817"/>
      <c r="AA9" s="1817"/>
      <c r="AB9" s="1817"/>
      <c r="AC9" s="1817"/>
      <c r="AD9" s="1817"/>
      <c r="AE9" s="1817"/>
      <c r="AF9" s="285"/>
      <c r="AG9" s="285"/>
      <c r="AH9" s="1821"/>
      <c r="AI9" s="1821"/>
    </row>
    <row r="10" spans="1:39" ht="4.4000000000000004" customHeight="1">
      <c r="A10" s="284"/>
      <c r="B10" s="284"/>
      <c r="C10" s="284"/>
      <c r="D10" s="284"/>
      <c r="E10" s="284"/>
      <c r="F10" s="284"/>
      <c r="G10" s="284"/>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1818"/>
      <c r="AI10" s="1818"/>
    </row>
    <row r="11" spans="1:39" ht="15" customHeight="1">
      <c r="A11" s="284"/>
      <c r="B11" s="284"/>
      <c r="C11" s="284"/>
      <c r="D11" s="1315" t="s">
        <v>104</v>
      </c>
      <c r="E11" s="1315"/>
      <c r="F11" s="1315"/>
      <c r="G11" s="284"/>
      <c r="H11" s="1315" t="s">
        <v>286</v>
      </c>
      <c r="I11" s="1315"/>
      <c r="J11" s="1315"/>
      <c r="K11" s="284"/>
      <c r="L11" s="1315" t="s">
        <v>106</v>
      </c>
      <c r="M11" s="1315"/>
      <c r="N11" s="1315"/>
      <c r="O11" s="284"/>
      <c r="P11" s="1315" t="s">
        <v>287</v>
      </c>
      <c r="Q11" s="1315"/>
      <c r="R11" s="1315"/>
      <c r="S11" s="284"/>
      <c r="T11" s="284"/>
      <c r="U11" s="284"/>
      <c r="V11" s="1822" t="s">
        <v>288</v>
      </c>
      <c r="W11" s="1315"/>
      <c r="X11" s="1315"/>
      <c r="Y11" s="1315"/>
      <c r="Z11" s="1823"/>
      <c r="AA11" s="1823"/>
      <c r="AB11" s="1315"/>
      <c r="AC11" s="1315"/>
      <c r="AD11" s="1315"/>
      <c r="AE11" s="1824"/>
      <c r="AF11" s="1825"/>
      <c r="AG11" s="285"/>
      <c r="AH11" s="1822" t="s">
        <v>204</v>
      </c>
      <c r="AI11" s="1315"/>
      <c r="AJ11" s="1315"/>
    </row>
    <row r="12" spans="1:39" ht="15.5">
      <c r="A12" s="284"/>
      <c r="B12" s="284"/>
      <c r="C12" s="284"/>
      <c r="D12" s="1330" t="s">
        <v>109</v>
      </c>
      <c r="E12" s="1330"/>
      <c r="F12" s="1826" t="str">
        <f>'Exhibit A'!F11</f>
        <v>4 MOS. ENDED</v>
      </c>
      <c r="G12" s="285"/>
      <c r="H12" s="1330" t="s">
        <v>109</v>
      </c>
      <c r="I12" s="1827"/>
      <c r="J12" s="1330" t="str">
        <f>F12</f>
        <v>4 MOS. ENDED</v>
      </c>
      <c r="K12" s="285"/>
      <c r="L12" s="1330" t="s">
        <v>109</v>
      </c>
      <c r="M12" s="1827"/>
      <c r="N12" s="1330" t="str">
        <f>F12</f>
        <v>4 MOS. ENDED</v>
      </c>
      <c r="O12" s="285"/>
      <c r="P12" s="1330" t="s">
        <v>109</v>
      </c>
      <c r="Q12" s="1827"/>
      <c r="R12" s="1330" t="str">
        <f>F12</f>
        <v>4 MOS. ENDED</v>
      </c>
      <c r="S12" s="285"/>
      <c r="T12" s="285"/>
      <c r="U12" s="285"/>
      <c r="V12" s="1330" t="s">
        <v>109</v>
      </c>
      <c r="W12" s="1330"/>
      <c r="X12" s="1330" t="str">
        <f>F12</f>
        <v>4 MOS. ENDED</v>
      </c>
      <c r="Y12" s="1330"/>
      <c r="Z12" s="1828"/>
      <c r="AA12" s="1828"/>
      <c r="AB12" s="1330" t="s">
        <v>109</v>
      </c>
      <c r="AC12" s="1330"/>
      <c r="AD12" s="1330" t="str">
        <f>F12</f>
        <v>4 MOS. ENDED</v>
      </c>
      <c r="AE12" s="1828"/>
      <c r="AF12" s="1828"/>
      <c r="AG12" s="1829"/>
      <c r="AH12" s="1826" t="s">
        <v>110</v>
      </c>
      <c r="AI12" s="1827"/>
      <c r="AJ12" s="1826" t="s">
        <v>111</v>
      </c>
      <c r="AK12" s="1830"/>
      <c r="AL12" s="1818"/>
    </row>
    <row r="13" spans="1:39" ht="15.5">
      <c r="A13" s="284"/>
      <c r="B13" s="284"/>
      <c r="C13" s="284"/>
      <c r="D13" s="1316" t="str">
        <f>'Exhibit A'!D12</f>
        <v>JULY 2026</v>
      </c>
      <c r="E13" s="1831"/>
      <c r="F13" s="1316" t="str">
        <f>'Exhibit A'!F12</f>
        <v>JULY 31, 2026</v>
      </c>
      <c r="G13" s="285"/>
      <c r="H13" s="1316" t="str">
        <f>D13</f>
        <v>JULY 2026</v>
      </c>
      <c r="I13" s="1831"/>
      <c r="J13" s="1316" t="str">
        <f>F13</f>
        <v>JULY 31, 2026</v>
      </c>
      <c r="K13" s="285"/>
      <c r="L13" s="1316" t="str">
        <f>D13</f>
        <v>JULY 2026</v>
      </c>
      <c r="M13" s="1831"/>
      <c r="N13" s="1316" t="str">
        <f>F13</f>
        <v>JULY 31, 2026</v>
      </c>
      <c r="O13" s="285"/>
      <c r="P13" s="1316" t="str">
        <f>D13</f>
        <v>JULY 2026</v>
      </c>
      <c r="Q13" s="1831"/>
      <c r="R13" s="1316" t="str">
        <f>F13</f>
        <v>JULY 31, 2026</v>
      </c>
      <c r="S13" s="285"/>
      <c r="T13" s="285"/>
      <c r="U13" s="285"/>
      <c r="V13" s="1832" t="str">
        <f>D13</f>
        <v>JULY 2026</v>
      </c>
      <c r="W13" s="1832"/>
      <c r="X13" s="1832" t="str">
        <f>F13</f>
        <v>JULY 31, 2026</v>
      </c>
      <c r="Y13" s="1832"/>
      <c r="Z13" s="1828"/>
      <c r="AA13" s="1828"/>
      <c r="AB13" s="1831" t="str">
        <f>'Exhibit A'!AB12</f>
        <v>JULY 2025</v>
      </c>
      <c r="AC13" s="1831"/>
      <c r="AD13" s="1831" t="str">
        <f>'Exhibit A'!AD12</f>
        <v>JULY 31, 2025</v>
      </c>
      <c r="AE13" s="1831"/>
      <c r="AF13" s="1828"/>
      <c r="AG13" s="1832"/>
      <c r="AH13" s="1316" t="s">
        <v>112</v>
      </c>
      <c r="AI13" s="1831"/>
      <c r="AJ13" s="1316" t="s">
        <v>113</v>
      </c>
      <c r="AK13" s="1830"/>
      <c r="AL13" s="1818"/>
    </row>
    <row r="14" spans="1:39" ht="15.5">
      <c r="A14" s="284"/>
      <c r="B14" s="284"/>
      <c r="C14" s="284"/>
      <c r="D14" s="284"/>
      <c r="E14" s="284"/>
      <c r="F14" s="284"/>
      <c r="G14" s="284"/>
      <c r="H14" s="284"/>
      <c r="I14" s="284"/>
      <c r="J14" s="284"/>
      <c r="K14" s="284"/>
      <c r="L14" s="284"/>
      <c r="M14" s="284"/>
      <c r="N14" s="284"/>
      <c r="O14" s="284"/>
      <c r="P14" s="284"/>
      <c r="Q14" s="284"/>
      <c r="R14" s="284"/>
      <c r="S14" s="284"/>
      <c r="T14" s="1833"/>
      <c r="U14" s="1833"/>
      <c r="V14" s="1834"/>
      <c r="W14" s="284"/>
      <c r="X14" s="1834"/>
      <c r="Y14" s="284"/>
      <c r="Z14" s="1835"/>
      <c r="AA14" s="284"/>
      <c r="AB14" s="1834"/>
      <c r="AC14" s="284"/>
      <c r="AD14" s="1834"/>
      <c r="AE14" s="284"/>
      <c r="AF14" s="1911"/>
      <c r="AG14" s="284"/>
      <c r="AH14" s="284"/>
      <c r="AI14" s="284"/>
      <c r="AK14" s="1818"/>
      <c r="AL14" s="1818"/>
    </row>
    <row r="15" spans="1:39" ht="18" customHeight="1">
      <c r="A15" s="1317" t="s">
        <v>289</v>
      </c>
      <c r="B15" s="1318"/>
      <c r="C15" s="1318"/>
      <c r="D15" s="284"/>
      <c r="E15" s="284"/>
      <c r="F15" s="284"/>
      <c r="G15" s="284"/>
      <c r="H15" s="284"/>
      <c r="I15" s="284"/>
      <c r="J15" s="284"/>
      <c r="K15" s="284"/>
      <c r="L15" s="284"/>
      <c r="M15" s="284"/>
      <c r="N15" s="284"/>
      <c r="O15" s="284"/>
      <c r="P15" s="284"/>
      <c r="Q15" s="284"/>
      <c r="R15" s="284"/>
      <c r="S15" s="284"/>
      <c r="T15" s="1833"/>
      <c r="U15" s="1833"/>
      <c r="V15" s="284"/>
      <c r="W15" s="284"/>
      <c r="X15" s="284"/>
      <c r="Y15" s="284"/>
      <c r="Z15" s="1835"/>
      <c r="AA15" s="284"/>
      <c r="AB15" s="284"/>
      <c r="AC15" s="284"/>
      <c r="AD15" s="284"/>
      <c r="AE15" s="284"/>
      <c r="AF15" s="1911"/>
      <c r="AG15" s="284"/>
      <c r="AH15" s="284"/>
      <c r="AI15" s="284"/>
      <c r="AK15" s="1818"/>
      <c r="AL15" s="1818"/>
    </row>
    <row r="16" spans="1:39" ht="18" customHeight="1">
      <c r="A16" s="1318" t="s">
        <v>290</v>
      </c>
      <c r="B16" s="1318"/>
      <c r="C16" s="1301"/>
      <c r="D16" s="1331">
        <f>'Exhibit F'!J18</f>
        <v>4880.7999999999984</v>
      </c>
      <c r="E16" s="1331"/>
      <c r="F16" s="1331">
        <f>'Exhibit F'!AC18</f>
        <v>19648.599999999999</v>
      </c>
      <c r="G16" s="1331"/>
      <c r="H16" s="1836">
        <v>0</v>
      </c>
      <c r="I16" s="1331"/>
      <c r="J16" s="1836">
        <v>0</v>
      </c>
      <c r="K16" s="1331"/>
      <c r="L16" s="1836">
        <v>0</v>
      </c>
      <c r="M16" s="1331"/>
      <c r="N16" s="1836">
        <v>0</v>
      </c>
      <c r="O16" s="1331"/>
      <c r="P16" s="1836">
        <v>0</v>
      </c>
      <c r="Q16" s="1331"/>
      <c r="R16" s="1836">
        <v>0</v>
      </c>
      <c r="S16" s="1331"/>
      <c r="T16" s="2007"/>
      <c r="U16" s="2008"/>
      <c r="V16" s="1837">
        <f>SUM(D16)+SUM(H16)+SUM(L16)+SUM(P16)</f>
        <v>4880.7999999999984</v>
      </c>
      <c r="W16" s="1331"/>
      <c r="X16" s="1837">
        <f>SUM(F16)+SUM(J16)+SUM(N16)+SUM(R16)</f>
        <v>19648.599999999999</v>
      </c>
      <c r="Y16" s="1836"/>
      <c r="Z16" s="1838"/>
      <c r="AA16" s="1331"/>
      <c r="AB16" s="1933">
        <v>4640.1000000000004</v>
      </c>
      <c r="AC16" s="1331"/>
      <c r="AD16" s="1837">
        <f>'Cashflow Governmental'!AE21</f>
        <v>18151.099999999999</v>
      </c>
      <c r="AE16" s="1837"/>
      <c r="AF16" s="1911"/>
      <c r="AG16" s="1836"/>
      <c r="AH16" s="1837">
        <f>ROUND(SUM(X16)-SUM(AD16),1)</f>
        <v>1497.5</v>
      </c>
      <c r="AI16" s="1299"/>
      <c r="AJ16" s="1839">
        <f>ROUND(AH16/AD16,3)</f>
        <v>8.3000000000000004E-2</v>
      </c>
      <c r="AK16" s="1840"/>
      <c r="AL16" s="1818"/>
      <c r="AM16" s="1841"/>
    </row>
    <row r="17" spans="1:39" ht="18" customHeight="1">
      <c r="A17" s="1319" t="s">
        <v>291</v>
      </c>
      <c r="B17" s="1318"/>
      <c r="C17" s="755"/>
      <c r="D17" s="253">
        <f>'Exhibit F'!J19</f>
        <v>121.60000000000127</v>
      </c>
      <c r="E17" s="253"/>
      <c r="F17" s="253">
        <f>'Exhibit F'!AC19</f>
        <v>9417</v>
      </c>
      <c r="G17" s="253"/>
      <c r="H17" s="255">
        <v>0</v>
      </c>
      <c r="I17" s="1842"/>
      <c r="J17" s="255">
        <v>0</v>
      </c>
      <c r="K17" s="253"/>
      <c r="L17" s="255">
        <v>0</v>
      </c>
      <c r="M17" s="1842"/>
      <c r="N17" s="255">
        <v>0</v>
      </c>
      <c r="O17" s="253"/>
      <c r="P17" s="255">
        <v>0</v>
      </c>
      <c r="Q17" s="1842"/>
      <c r="R17" s="255">
        <v>0</v>
      </c>
      <c r="S17" s="253"/>
      <c r="T17" s="2009"/>
      <c r="U17" s="2009"/>
      <c r="V17" s="1842">
        <f t="shared" ref="V17:V20" si="0">SUM(D17)+SUM(H17)+SUM(L17)+SUM(P17)</f>
        <v>121.60000000000127</v>
      </c>
      <c r="W17" s="253"/>
      <c r="X17" s="1842">
        <f t="shared" ref="X17:X23" si="1">SUM(F17)+SUM(J17)+SUM(N17)+SUM(R17)</f>
        <v>9417</v>
      </c>
      <c r="Y17" s="1843"/>
      <c r="Z17" s="1844"/>
      <c r="AA17" s="253"/>
      <c r="AB17" s="512">
        <v>118.9</v>
      </c>
      <c r="AC17" s="253"/>
      <c r="AD17" s="1842">
        <f>'Cashflow Governmental'!AE22</f>
        <v>8526.1</v>
      </c>
      <c r="AE17" s="1842"/>
      <c r="AF17" s="1911"/>
      <c r="AG17" s="1843"/>
      <c r="AH17" s="1842">
        <f>ROUND(SUM(X17)-SUM(AD17),1)</f>
        <v>890.9</v>
      </c>
      <c r="AI17" s="1304"/>
      <c r="AJ17" s="1840">
        <f>ROUND(AH17/AD17,3)</f>
        <v>0.104</v>
      </c>
      <c r="AK17" s="1840"/>
      <c r="AL17" s="1818"/>
      <c r="AM17" s="1841"/>
    </row>
    <row r="18" spans="1:39" ht="18" customHeight="1">
      <c r="A18" s="1318" t="s">
        <v>292</v>
      </c>
      <c r="B18" s="1318" t="s">
        <v>103</v>
      </c>
      <c r="C18" s="1318"/>
      <c r="D18" s="253">
        <f>'Exhibit F'!J20</f>
        <v>71.700000000000273</v>
      </c>
      <c r="E18" s="253"/>
      <c r="F18" s="253">
        <f>'Exhibit F'!AC20</f>
        <v>3415.3</v>
      </c>
      <c r="G18" s="253"/>
      <c r="H18" s="255">
        <v>0</v>
      </c>
      <c r="I18" s="1842"/>
      <c r="J18" s="255">
        <v>0</v>
      </c>
      <c r="K18" s="253"/>
      <c r="L18" s="255">
        <v>0</v>
      </c>
      <c r="M18" s="1842"/>
      <c r="N18" s="255">
        <v>0</v>
      </c>
      <c r="O18" s="253"/>
      <c r="P18" s="255">
        <v>0</v>
      </c>
      <c r="Q18" s="1842"/>
      <c r="R18" s="255">
        <v>0</v>
      </c>
      <c r="S18" s="253"/>
      <c r="T18" s="2009"/>
      <c r="U18" s="2009"/>
      <c r="V18" s="1842">
        <f t="shared" si="0"/>
        <v>71.700000000000273</v>
      </c>
      <c r="W18" s="253"/>
      <c r="X18" s="1842">
        <f t="shared" si="1"/>
        <v>3415.3</v>
      </c>
      <c r="Y18" s="1843"/>
      <c r="Z18" s="1844"/>
      <c r="AA18" s="253"/>
      <c r="AB18" s="512">
        <v>65.100000000000009</v>
      </c>
      <c r="AC18" s="253"/>
      <c r="AD18" s="1842">
        <f>'Cashflow Governmental'!AE23</f>
        <v>3156.4</v>
      </c>
      <c r="AE18" s="1842"/>
      <c r="AF18" s="1911"/>
      <c r="AG18" s="1843"/>
      <c r="AH18" s="1842">
        <f>ROUND(SUM(X18)-SUM(AD18),1)</f>
        <v>258.89999999999998</v>
      </c>
      <c r="AI18" s="1304"/>
      <c r="AJ18" s="1840">
        <f>ROUND(AH18/AD18,3)</f>
        <v>8.2000000000000003E-2</v>
      </c>
      <c r="AK18" s="1840"/>
      <c r="AL18" s="1818"/>
      <c r="AM18" s="1841"/>
    </row>
    <row r="19" spans="1:39" ht="18" customHeight="1">
      <c r="A19" s="1319" t="s">
        <v>293</v>
      </c>
      <c r="B19" s="1318"/>
      <c r="C19" s="1318"/>
      <c r="D19" s="253">
        <f>'Exhibit F'!J21</f>
        <v>-53.5</v>
      </c>
      <c r="E19" s="253"/>
      <c r="F19" s="253">
        <f>'Exhibit F'!AC21</f>
        <v>-737</v>
      </c>
      <c r="G19" s="253"/>
      <c r="H19" s="255">
        <v>0</v>
      </c>
      <c r="I19" s="1842"/>
      <c r="J19" s="255">
        <v>0</v>
      </c>
      <c r="K19" s="253"/>
      <c r="L19" s="255">
        <v>0</v>
      </c>
      <c r="M19" s="1842"/>
      <c r="N19" s="255">
        <v>0</v>
      </c>
      <c r="O19" s="253"/>
      <c r="P19" s="255">
        <v>0</v>
      </c>
      <c r="Q19" s="1842"/>
      <c r="R19" s="255">
        <v>0</v>
      </c>
      <c r="S19" s="253"/>
      <c r="T19" s="2009"/>
      <c r="U19" s="2009"/>
      <c r="V19" s="1842">
        <f t="shared" si="0"/>
        <v>-53.5</v>
      </c>
      <c r="W19" s="253"/>
      <c r="X19" s="1842">
        <f t="shared" si="1"/>
        <v>-737</v>
      </c>
      <c r="Y19" s="1843"/>
      <c r="Z19" s="1844"/>
      <c r="AA19" s="253"/>
      <c r="AB19" s="512">
        <v>-66.7</v>
      </c>
      <c r="AC19" s="253"/>
      <c r="AD19" s="1842">
        <f>'Cashflow Governmental'!AE24</f>
        <v>-691.7</v>
      </c>
      <c r="AE19" s="1842"/>
      <c r="AF19" s="1911"/>
      <c r="AG19" s="1843"/>
      <c r="AH19" s="1842">
        <f>-ROUND(SUM(X19)-SUM(AD19),1)</f>
        <v>45.3</v>
      </c>
      <c r="AI19" s="1304"/>
      <c r="AJ19" s="1840">
        <f>-ROUND(AH19/AD19,3)</f>
        <v>6.5000000000000002E-2</v>
      </c>
      <c r="AK19" s="1840"/>
      <c r="AL19" s="1818"/>
      <c r="AM19" s="1841"/>
    </row>
    <row r="20" spans="1:39" ht="18" customHeight="1">
      <c r="A20" s="1319" t="s">
        <v>294</v>
      </c>
      <c r="B20" s="1318" t="s">
        <v>103</v>
      </c>
      <c r="C20" s="1318"/>
      <c r="D20" s="253">
        <f>'Exhibit F'!J22</f>
        <v>266.10000000000002</v>
      </c>
      <c r="E20" s="253"/>
      <c r="F20" s="253">
        <f>'Exhibit F'!AC22</f>
        <v>831</v>
      </c>
      <c r="G20" s="253"/>
      <c r="H20" s="255">
        <v>0</v>
      </c>
      <c r="I20" s="1842"/>
      <c r="J20" s="255">
        <v>0</v>
      </c>
      <c r="K20" s="253"/>
      <c r="L20" s="255">
        <v>0</v>
      </c>
      <c r="M20" s="1842"/>
      <c r="N20" s="255">
        <v>0</v>
      </c>
      <c r="O20" s="253"/>
      <c r="P20" s="255">
        <v>0</v>
      </c>
      <c r="Q20" s="1842"/>
      <c r="R20" s="255">
        <v>0</v>
      </c>
      <c r="S20" s="253"/>
      <c r="T20" s="2009"/>
      <c r="U20" s="2009"/>
      <c r="V20" s="1842">
        <f t="shared" si="0"/>
        <v>266.10000000000002</v>
      </c>
      <c r="W20" s="253"/>
      <c r="X20" s="1842">
        <f t="shared" si="1"/>
        <v>831</v>
      </c>
      <c r="Y20" s="1843"/>
      <c r="Z20" s="1844"/>
      <c r="AA20" s="253"/>
      <c r="AB20" s="512">
        <v>147.79999999999998</v>
      </c>
      <c r="AC20" s="253"/>
      <c r="AD20" s="1842">
        <f>'Cashflow Governmental'!AE25</f>
        <v>701.7</v>
      </c>
      <c r="AE20" s="1842"/>
      <c r="AF20" s="1911"/>
      <c r="AG20" s="1843"/>
      <c r="AH20" s="1842">
        <f>ROUND(SUM(X20)-SUM(AD20),1)</f>
        <v>129.30000000000001</v>
      </c>
      <c r="AI20" s="1304"/>
      <c r="AJ20" s="1845">
        <f>ROUND(AH20/AD20,3)</f>
        <v>0.184</v>
      </c>
      <c r="AK20" s="1840"/>
      <c r="AL20" s="1818"/>
      <c r="AM20" s="1841"/>
    </row>
    <row r="21" spans="1:39" s="1320" customFormat="1" ht="18" customHeight="1">
      <c r="A21" s="1317" t="s">
        <v>295</v>
      </c>
      <c r="B21" s="1317"/>
      <c r="C21" s="1317"/>
      <c r="D21" s="2010">
        <f>ROUND(SUM(D16:D20),1)</f>
        <v>5286.7</v>
      </c>
      <c r="E21" s="1"/>
      <c r="F21" s="2010">
        <f>ROUND(SUM(F16:F20),1)</f>
        <v>32574.9</v>
      </c>
      <c r="G21" s="1"/>
      <c r="H21" s="2010">
        <f>ROUND(SUM(H16:H20),1)</f>
        <v>0</v>
      </c>
      <c r="I21" s="1846"/>
      <c r="J21" s="2010">
        <f>ROUND(SUM(J16:J20),1)</f>
        <v>0</v>
      </c>
      <c r="K21" s="1"/>
      <c r="L21" s="2010">
        <f>ROUND(SUM(L16:L20),1)</f>
        <v>0</v>
      </c>
      <c r="M21" s="1846"/>
      <c r="N21" s="2010">
        <f>ROUND(SUM(N16:N20),1)</f>
        <v>0</v>
      </c>
      <c r="O21" s="1"/>
      <c r="P21" s="2010">
        <f>ROUND(SUM(P16:P20),1)</f>
        <v>0</v>
      </c>
      <c r="Q21" s="1846"/>
      <c r="R21" s="2010">
        <f>ROUND(SUM(R16:R20),1)</f>
        <v>0</v>
      </c>
      <c r="S21" s="1"/>
      <c r="T21" s="2011"/>
      <c r="U21" s="2011"/>
      <c r="V21" s="1847">
        <f>ROUND(SUM(V16:V20),1)</f>
        <v>5286.7</v>
      </c>
      <c r="W21" s="1"/>
      <c r="X21" s="1847">
        <f>ROUND(SUM(X16:X20),1)</f>
        <v>32574.9</v>
      </c>
      <c r="Y21" s="1848"/>
      <c r="Z21" s="1849"/>
      <c r="AA21" s="1"/>
      <c r="AB21" s="68">
        <f>ROUND(SUM(AB16:AB20),1)</f>
        <v>4905.2</v>
      </c>
      <c r="AC21" s="1"/>
      <c r="AD21" s="1850">
        <f>ROUND(SUM(AD16:AD20),1)</f>
        <v>29843.599999999999</v>
      </c>
      <c r="AE21" s="1846"/>
      <c r="AF21" s="1911"/>
      <c r="AG21" s="1848"/>
      <c r="AH21" s="1850">
        <f>ROUND(SUM(X21)-SUM(AD21),1)</f>
        <v>2731.3</v>
      </c>
      <c r="AI21" s="1303"/>
      <c r="AJ21" s="1851">
        <f>ROUND(AH21/AD21,3)</f>
        <v>9.1999999999999998E-2</v>
      </c>
      <c r="AK21" s="1852"/>
      <c r="AL21" s="1853"/>
      <c r="AM21" s="1854"/>
    </row>
    <row r="22" spans="1:39" ht="18" customHeight="1">
      <c r="A22" s="1319" t="s">
        <v>296</v>
      </c>
      <c r="B22" s="1318"/>
      <c r="C22" s="1318"/>
      <c r="D22" s="512">
        <f>'Exhibit F'!J24</f>
        <v>0</v>
      </c>
      <c r="E22" s="1842"/>
      <c r="F22" s="512">
        <f>'Exhibit F'!AC24</f>
        <v>0</v>
      </c>
      <c r="G22" s="253"/>
      <c r="H22" s="253">
        <f>'Exhibit G'!J17</f>
        <v>0</v>
      </c>
      <c r="I22" s="1842"/>
      <c r="J22" s="512">
        <f>'Exhibit G'!AE17</f>
        <v>0</v>
      </c>
      <c r="K22" s="253"/>
      <c r="L22" s="1005">
        <v>0</v>
      </c>
      <c r="M22" s="1842"/>
      <c r="N22" s="1005">
        <v>0</v>
      </c>
      <c r="O22" s="253"/>
      <c r="P22" s="1005">
        <v>0</v>
      </c>
      <c r="Q22" s="1842"/>
      <c r="R22" s="1005">
        <v>0</v>
      </c>
      <c r="S22" s="253"/>
      <c r="T22" s="2009"/>
      <c r="U22" s="2009"/>
      <c r="V22" s="2012">
        <f>SUM(D22)+SUM(H22)+SUM(L22)+SUM(P22)</f>
        <v>0</v>
      </c>
      <c r="W22" s="253"/>
      <c r="X22" s="2012">
        <f t="shared" si="1"/>
        <v>0</v>
      </c>
      <c r="Y22" s="1843"/>
      <c r="Z22" s="1844"/>
      <c r="AA22" s="253"/>
      <c r="AB22" s="512">
        <v>0</v>
      </c>
      <c r="AC22" s="253"/>
      <c r="AD22" s="1842">
        <f>'Cashflow Governmental'!AE27</f>
        <v>0</v>
      </c>
      <c r="AE22" s="255"/>
      <c r="AF22" s="1911"/>
      <c r="AG22" s="1843"/>
      <c r="AH22" s="255">
        <f>ROUND(SUM(X22)-SUM(AD22),1)</f>
        <v>0</v>
      </c>
      <c r="AI22" s="1304"/>
      <c r="AJ22" s="266">
        <f>ROUND(IF(AD22=0,0,AH22/(AD22)),3)</f>
        <v>0</v>
      </c>
      <c r="AK22" s="1855"/>
      <c r="AL22" s="1818"/>
      <c r="AM22" s="1841"/>
    </row>
    <row r="23" spans="1:39" ht="18" customHeight="1">
      <c r="A23" s="1319" t="s">
        <v>297</v>
      </c>
      <c r="B23" s="1318"/>
      <c r="C23" s="1318"/>
      <c r="D23" s="1102">
        <f>'Exhibit F'!J25</f>
        <v>-2391.3999999999987</v>
      </c>
      <c r="E23" s="253"/>
      <c r="F23" s="512">
        <f>'Exhibit F'!AC25</f>
        <v>-12834.5</v>
      </c>
      <c r="G23" s="253"/>
      <c r="H23" s="255">
        <v>0</v>
      </c>
      <c r="I23" s="1842"/>
      <c r="J23" s="255">
        <v>0</v>
      </c>
      <c r="K23" s="253"/>
      <c r="L23" s="1842">
        <f>'Exhibit H'!H17</f>
        <v>2391.3999999999987</v>
      </c>
      <c r="M23" s="1842"/>
      <c r="N23" s="1842">
        <f>'Exhibit H'!AA17</f>
        <v>12834.5</v>
      </c>
      <c r="O23" s="253"/>
      <c r="P23" s="255">
        <v>0</v>
      </c>
      <c r="Q23" s="1842"/>
      <c r="R23" s="255">
        <v>0</v>
      </c>
      <c r="S23" s="253"/>
      <c r="T23" s="2009"/>
      <c r="U23" s="2009"/>
      <c r="V23" s="1842">
        <f>ROUND(SUM(D23)+SUM(H23)+SUM(L23)+SUM(P23),1)</f>
        <v>0</v>
      </c>
      <c r="W23" s="253"/>
      <c r="X23" s="1842">
        <f t="shared" si="1"/>
        <v>0</v>
      </c>
      <c r="Y23" s="1843"/>
      <c r="Z23" s="1844"/>
      <c r="AA23" s="253"/>
      <c r="AB23" s="512">
        <v>0</v>
      </c>
      <c r="AC23" s="253"/>
      <c r="AD23" s="1842">
        <f>'Cashflow Governmental'!AE28</f>
        <v>0</v>
      </c>
      <c r="AE23" s="255"/>
      <c r="AF23" s="1911"/>
      <c r="AG23" s="1843"/>
      <c r="AH23" s="255">
        <f>ROUND(SUM(X23)-SUM(AD23),1)</f>
        <v>0</v>
      </c>
      <c r="AI23" s="1304"/>
      <c r="AJ23" s="266">
        <f>ROUND(IF(AD23=0,0,AH23/(AD23)),3)</f>
        <v>0</v>
      </c>
      <c r="AK23" s="1855"/>
      <c r="AL23" s="1818"/>
      <c r="AM23" s="1841"/>
    </row>
    <row r="24" spans="1:39" ht="18" customHeight="1">
      <c r="A24" s="1318" t="s">
        <v>298</v>
      </c>
      <c r="B24" s="1318"/>
      <c r="C24" s="1318"/>
      <c r="D24" s="1102">
        <f>'Exhibit F'!J26</f>
        <v>-503.89999999999964</v>
      </c>
      <c r="E24" s="253"/>
      <c r="F24" s="512">
        <f>'Exhibit F'!AC26</f>
        <v>-6905.9</v>
      </c>
      <c r="G24" s="253"/>
      <c r="H24" s="255">
        <v>0</v>
      </c>
      <c r="I24" s="1842"/>
      <c r="J24" s="255">
        <v>0</v>
      </c>
      <c r="K24" s="253"/>
      <c r="L24" s="255">
        <v>0</v>
      </c>
      <c r="M24" s="1842"/>
      <c r="N24" s="255">
        <v>0</v>
      </c>
      <c r="O24" s="253"/>
      <c r="P24" s="255">
        <v>0</v>
      </c>
      <c r="Q24" s="1842"/>
      <c r="R24" s="255">
        <v>0</v>
      </c>
      <c r="S24" s="253"/>
      <c r="T24" s="2009"/>
      <c r="U24" s="2009"/>
      <c r="V24" s="1842">
        <f>SUM(D24)+SUM(H24)+SUM(L24)+SUM(P24)</f>
        <v>-503.89999999999964</v>
      </c>
      <c r="W24" s="253"/>
      <c r="X24" s="1842">
        <f>SUM(F24)+SUM(J24)+SUM(N24)+SUM(R24)</f>
        <v>-6905.9</v>
      </c>
      <c r="Y24" s="1843"/>
      <c r="Z24" s="1844"/>
      <c r="AA24" s="253"/>
      <c r="AB24" s="512">
        <v>-408.7</v>
      </c>
      <c r="AC24" s="253"/>
      <c r="AD24" s="1842">
        <f>'Cashflow Governmental'!AE29</f>
        <v>-6137.8</v>
      </c>
      <c r="AE24" s="1842"/>
      <c r="AF24" s="1911"/>
      <c r="AG24" s="1843"/>
      <c r="AH24" s="1842">
        <f>-ROUND(SUM(X24)-SUM(AD24),1)</f>
        <v>768.1</v>
      </c>
      <c r="AI24" s="1304"/>
      <c r="AJ24" s="1856">
        <f>-ROUND(AH24/AD24,3)</f>
        <v>0.125</v>
      </c>
      <c r="AK24" s="1840"/>
      <c r="AL24" s="1818"/>
      <c r="AM24" s="1841"/>
    </row>
    <row r="25" spans="1:39" ht="18" customHeight="1">
      <c r="A25" s="1321" t="s">
        <v>299</v>
      </c>
      <c r="B25" s="1318"/>
      <c r="C25" s="1318"/>
      <c r="D25" s="2013">
        <f>ROUND(SUM(D21:D24),1)</f>
        <v>2391.4</v>
      </c>
      <c r="E25" s="1"/>
      <c r="F25" s="2013">
        <f>ROUND(SUM(F21:F24),1)</f>
        <v>12834.5</v>
      </c>
      <c r="G25" s="1"/>
      <c r="H25" s="1006">
        <f>ROUND(SUM(H21:H24),1)</f>
        <v>0</v>
      </c>
      <c r="I25" s="1846"/>
      <c r="J25" s="1006">
        <f>ROUND(SUM(J21:J24),1)</f>
        <v>0</v>
      </c>
      <c r="K25" s="1"/>
      <c r="L25" s="1006">
        <f>ROUND(SUM(L21:L24),1)</f>
        <v>2391.4</v>
      </c>
      <c r="M25" s="1846"/>
      <c r="N25" s="1006">
        <f>ROUND(SUM(N21:N24),1)</f>
        <v>12834.5</v>
      </c>
      <c r="O25" s="1"/>
      <c r="P25" s="1006">
        <f>ROUND(SUM(P21:P24),1)</f>
        <v>0</v>
      </c>
      <c r="Q25" s="1846"/>
      <c r="R25" s="1006">
        <f>ROUND(SUM(R21:R24),1)</f>
        <v>0</v>
      </c>
      <c r="S25" s="1"/>
      <c r="T25" s="2011"/>
      <c r="U25" s="2011"/>
      <c r="V25" s="1847">
        <f>ROUND(SUM(V21:V24),1)</f>
        <v>4782.8</v>
      </c>
      <c r="W25" s="1"/>
      <c r="X25" s="1847">
        <f>ROUND(SUM(X21:X24),1)</f>
        <v>25669</v>
      </c>
      <c r="Y25" s="1857"/>
      <c r="Z25" s="1849"/>
      <c r="AA25" s="1"/>
      <c r="AB25" s="1934">
        <f>ROUND(SUM(AB21:AB24),1)</f>
        <v>4496.5</v>
      </c>
      <c r="AC25" s="1"/>
      <c r="AD25" s="1847">
        <f>ROUND(SUM(AD21:AD24),1)</f>
        <v>23705.8</v>
      </c>
      <c r="AE25" s="1" t="s">
        <v>103</v>
      </c>
      <c r="AF25" s="1911"/>
      <c r="AG25" s="1848"/>
      <c r="AH25" s="1858">
        <f>ROUND(SUM(X25)-SUM(AD25),1)</f>
        <v>1963.2</v>
      </c>
      <c r="AI25" s="1303"/>
      <c r="AJ25" s="1859">
        <f>ROUND(AH25/AD25,3)</f>
        <v>8.3000000000000004E-2</v>
      </c>
      <c r="AK25" s="1852"/>
      <c r="AL25" s="1853"/>
      <c r="AM25" s="1841"/>
    </row>
    <row r="26" spans="1:39" ht="18" customHeight="1">
      <c r="A26" s="1318"/>
      <c r="B26" s="1318"/>
      <c r="C26" s="1318"/>
      <c r="D26" s="1332"/>
      <c r="E26" s="253"/>
      <c r="F26" s="1332" t="s">
        <v>103</v>
      </c>
      <c r="G26" s="253"/>
      <c r="H26" s="1332"/>
      <c r="I26" s="253"/>
      <c r="J26" s="1332" t="s">
        <v>230</v>
      </c>
      <c r="K26" s="253"/>
      <c r="L26" s="1332" t="s">
        <v>103</v>
      </c>
      <c r="M26" s="253"/>
      <c r="N26" s="1332" t="s">
        <v>103</v>
      </c>
      <c r="O26" s="253"/>
      <c r="P26" s="1332"/>
      <c r="Q26" s="253"/>
      <c r="R26" s="1332"/>
      <c r="S26" s="253"/>
      <c r="T26" s="2009"/>
      <c r="U26" s="2009"/>
      <c r="V26" s="1332"/>
      <c r="W26" s="253"/>
      <c r="X26" s="1332"/>
      <c r="Y26" s="253"/>
      <c r="Z26" s="1844"/>
      <c r="AA26" s="253"/>
      <c r="AB26" s="1332"/>
      <c r="AC26" s="253"/>
      <c r="AD26" s="1332"/>
      <c r="AE26" s="253"/>
      <c r="AF26" s="1911"/>
      <c r="AG26" s="253"/>
      <c r="AH26" s="253"/>
      <c r="AI26" s="1299"/>
      <c r="AJ26" s="1860"/>
      <c r="AK26" s="1855"/>
      <c r="AL26" s="1818"/>
      <c r="AM26" s="1841"/>
    </row>
    <row r="27" spans="1:39" ht="18" customHeight="1">
      <c r="A27" s="1321" t="s">
        <v>300</v>
      </c>
      <c r="B27" s="1318"/>
      <c r="C27" s="755"/>
      <c r="D27" s="2026"/>
      <c r="E27" s="253"/>
      <c r="F27" s="253"/>
      <c r="G27" s="253"/>
      <c r="H27" s="253"/>
      <c r="I27" s="253"/>
      <c r="J27" s="253"/>
      <c r="K27" s="253"/>
      <c r="L27" s="253"/>
      <c r="M27" s="253"/>
      <c r="N27" s="253"/>
      <c r="O27" s="253"/>
      <c r="P27" s="253"/>
      <c r="Q27" s="253"/>
      <c r="R27" s="253"/>
      <c r="S27" s="253"/>
      <c r="T27" s="2009"/>
      <c r="U27" s="2009"/>
      <c r="V27" s="253"/>
      <c r="W27" s="253"/>
      <c r="X27" s="253"/>
      <c r="Y27" s="253"/>
      <c r="Z27" s="1844"/>
      <c r="AA27" s="253"/>
      <c r="AB27" s="253"/>
      <c r="AC27" s="253"/>
      <c r="AD27" s="253"/>
      <c r="AE27" s="253"/>
      <c r="AF27" s="1911"/>
      <c r="AG27" s="253"/>
      <c r="AH27" s="253"/>
      <c r="AI27" s="1299"/>
      <c r="AJ27" s="1860"/>
      <c r="AK27" s="1855"/>
      <c r="AL27" s="1818"/>
      <c r="AM27" s="1841"/>
    </row>
    <row r="28" spans="1:39" ht="18" customHeight="1">
      <c r="A28" s="1318" t="s">
        <v>301</v>
      </c>
      <c r="B28" s="1318"/>
      <c r="C28" s="1318"/>
      <c r="D28" s="253">
        <f>'Exhibit F'!J29</f>
        <v>896.30000000000018</v>
      </c>
      <c r="E28" s="253"/>
      <c r="F28" s="253">
        <f>'Exhibit F'!AC29</f>
        <v>3530.8</v>
      </c>
      <c r="G28" s="253"/>
      <c r="H28" s="253">
        <f>'Exhibit G'!J20</f>
        <v>120.19999999999999</v>
      </c>
      <c r="I28" s="253"/>
      <c r="J28" s="253">
        <f>'Exhibit G'!AE20</f>
        <v>528.79999999999995</v>
      </c>
      <c r="K28" s="253"/>
      <c r="L28" s="1842">
        <f>'Exhibit H'!H20</f>
        <v>895.80000000000018</v>
      </c>
      <c r="M28" s="1842"/>
      <c r="N28" s="1842">
        <f>'Exhibit H'!AA20</f>
        <v>3527.9</v>
      </c>
      <c r="O28" s="253"/>
      <c r="P28" s="255">
        <v>0</v>
      </c>
      <c r="Q28" s="1842"/>
      <c r="R28" s="255">
        <v>0</v>
      </c>
      <c r="S28" s="253"/>
      <c r="T28" s="2009"/>
      <c r="U28" s="2009"/>
      <c r="V28" s="1842">
        <f t="shared" ref="V28:V34" si="2">SUM(D28)+SUM(H28)+SUM(L28)+SUM(P28)</f>
        <v>1912.3000000000004</v>
      </c>
      <c r="W28" s="253"/>
      <c r="X28" s="1842">
        <f t="shared" ref="X28:X35" si="3">SUM(F28)+SUM(J28)+SUM(N28)+SUM(R28)</f>
        <v>7587.5</v>
      </c>
      <c r="Y28" s="253"/>
      <c r="Z28" s="1844"/>
      <c r="AA28" s="253"/>
      <c r="AB28" s="1935">
        <v>1690.8999999999999</v>
      </c>
      <c r="AC28" s="253"/>
      <c r="AD28" s="1842">
        <f>'Cashflow Governmental'!AE32</f>
        <v>6943.7999999999993</v>
      </c>
      <c r="AE28" s="1842"/>
      <c r="AF28" s="1911"/>
      <c r="AG28" s="253"/>
      <c r="AH28" s="253">
        <f t="shared" ref="AH28:AH38" si="4">ROUND(SUM(X28)-SUM(AD28),1)</f>
        <v>643.70000000000005</v>
      </c>
      <c r="AI28" s="1304"/>
      <c r="AJ28" s="1840">
        <f t="shared" ref="AJ28:AJ38" si="5">ROUND(AH28/AD28,3)</f>
        <v>9.2999999999999999E-2</v>
      </c>
      <c r="AK28" s="1840"/>
      <c r="AL28" s="1818"/>
      <c r="AM28" s="1841"/>
    </row>
    <row r="29" spans="1:39" ht="18" customHeight="1">
      <c r="A29" s="1319" t="s">
        <v>302</v>
      </c>
      <c r="B29" s="1318"/>
      <c r="C29" s="286"/>
      <c r="D29" s="253">
        <f>'Exhibit F'!J30</f>
        <v>0</v>
      </c>
      <c r="E29" s="1842"/>
      <c r="F29" s="253">
        <f>'Exhibit F'!AC30</f>
        <v>0</v>
      </c>
      <c r="G29" s="253"/>
      <c r="H29" s="253">
        <f>'Exhibit G'!J21</f>
        <v>0</v>
      </c>
      <c r="I29" s="1842"/>
      <c r="J29" s="253">
        <f>'Exhibit G'!AE21</f>
        <v>10.7</v>
      </c>
      <c r="K29" s="253"/>
      <c r="L29" s="255">
        <v>0</v>
      </c>
      <c r="M29" s="1842"/>
      <c r="N29" s="255">
        <v>0</v>
      </c>
      <c r="O29" s="253"/>
      <c r="P29" s="512">
        <f>'Exhibit I'!K18</f>
        <v>0.1000000000000007</v>
      </c>
      <c r="Q29" s="253"/>
      <c r="R29" s="512">
        <f>'Exhibit I'!AD18</f>
        <v>23.6</v>
      </c>
      <c r="S29" s="253"/>
      <c r="T29" s="2009"/>
      <c r="U29" s="2009"/>
      <c r="V29" s="1842">
        <f t="shared" si="2"/>
        <v>0.1000000000000007</v>
      </c>
      <c r="W29" s="253"/>
      <c r="X29" s="1842">
        <f t="shared" si="3"/>
        <v>34.299999999999997</v>
      </c>
      <c r="Y29" s="1843"/>
      <c r="Z29" s="1844"/>
      <c r="AA29" s="253"/>
      <c r="AB29" s="512">
        <v>0</v>
      </c>
      <c r="AC29" s="253"/>
      <c r="AD29" s="1842">
        <f>'Cashflow Governmental'!AE33</f>
        <v>42.6</v>
      </c>
      <c r="AE29" s="1842"/>
      <c r="AF29" s="1911"/>
      <c r="AG29" s="1843"/>
      <c r="AH29" s="1842">
        <f t="shared" si="4"/>
        <v>-8.3000000000000007</v>
      </c>
      <c r="AI29" s="1305"/>
      <c r="AJ29" s="1840">
        <f t="shared" si="5"/>
        <v>-0.19500000000000001</v>
      </c>
      <c r="AK29" s="1840"/>
      <c r="AL29" s="1818"/>
      <c r="AM29" s="1841"/>
    </row>
    <row r="30" spans="1:39" ht="18" customHeight="1">
      <c r="A30" s="1318" t="s">
        <v>303</v>
      </c>
      <c r="B30" s="1318"/>
      <c r="C30" s="1318"/>
      <c r="D30" s="253">
        <f>'Exhibit F'!J31</f>
        <v>19.200000000000014</v>
      </c>
      <c r="E30" s="253"/>
      <c r="F30" s="253">
        <f>'Exhibit F'!AC31</f>
        <v>79.600000000000009</v>
      </c>
      <c r="G30" s="253"/>
      <c r="H30" s="253">
        <f>'Exhibit G'!J22</f>
        <v>45.400000000000013</v>
      </c>
      <c r="I30" s="1842"/>
      <c r="J30" s="253">
        <f>'Exhibit G'!AE22</f>
        <v>186.4</v>
      </c>
      <c r="K30" s="253"/>
      <c r="L30" s="255">
        <v>0</v>
      </c>
      <c r="M30" s="1842"/>
      <c r="N30" s="255">
        <v>0</v>
      </c>
      <c r="O30" s="253"/>
      <c r="P30" s="255">
        <v>0</v>
      </c>
      <c r="Q30" s="1842"/>
      <c r="R30" s="255">
        <v>0</v>
      </c>
      <c r="S30" s="253"/>
      <c r="T30" s="2009"/>
      <c r="U30" s="2009"/>
      <c r="V30" s="1842">
        <f t="shared" si="2"/>
        <v>64.600000000000023</v>
      </c>
      <c r="W30" s="253"/>
      <c r="X30" s="1842">
        <f t="shared" si="3"/>
        <v>266</v>
      </c>
      <c r="Y30" s="1843"/>
      <c r="Z30" s="1844"/>
      <c r="AA30" s="253"/>
      <c r="AB30" s="512">
        <v>74.599999999999994</v>
      </c>
      <c r="AC30" s="253"/>
      <c r="AD30" s="1842">
        <f>'Cashflow Governmental'!AE34</f>
        <v>279.89999999999998</v>
      </c>
      <c r="AE30" s="512"/>
      <c r="AF30" s="1912"/>
      <c r="AG30" s="1843"/>
      <c r="AH30" s="1842">
        <f t="shared" si="4"/>
        <v>-13.9</v>
      </c>
      <c r="AI30" s="1304"/>
      <c r="AJ30" s="1840">
        <f t="shared" si="5"/>
        <v>-0.05</v>
      </c>
      <c r="AK30" s="1840"/>
      <c r="AL30" s="1818"/>
      <c r="AM30" s="1841"/>
    </row>
    <row r="31" spans="1:39" ht="18" customHeight="1">
      <c r="A31" s="1318" t="s">
        <v>304</v>
      </c>
      <c r="B31" s="253"/>
      <c r="C31" s="1318"/>
      <c r="D31" s="253">
        <v>0</v>
      </c>
      <c r="E31" s="253"/>
      <c r="F31" s="253">
        <v>0</v>
      </c>
      <c r="G31" s="253"/>
      <c r="H31" s="253">
        <f>'Exhibit G'!J23</f>
        <v>4.1999999999999957</v>
      </c>
      <c r="I31" s="1842"/>
      <c r="J31" s="253">
        <f>'Exhibit G'!AE23</f>
        <v>63.3</v>
      </c>
      <c r="K31" s="253"/>
      <c r="L31" s="255">
        <v>0</v>
      </c>
      <c r="M31" s="1842"/>
      <c r="N31" s="255">
        <v>0</v>
      </c>
      <c r="O31" s="253"/>
      <c r="P31" s="255">
        <v>0</v>
      </c>
      <c r="Q31" s="1842"/>
      <c r="R31" s="255">
        <v>0</v>
      </c>
      <c r="S31" s="253"/>
      <c r="T31" s="2009"/>
      <c r="U31" s="2009"/>
      <c r="V31" s="1842">
        <f>SUM(D31)+SUM(H31)+SUM(L31)+SUM(P31)</f>
        <v>4.1999999999999957</v>
      </c>
      <c r="W31" s="253"/>
      <c r="X31" s="1842">
        <f>SUM(F31)+SUM(J31)+SUM(N31)+SUM(R31)</f>
        <v>63.3</v>
      </c>
      <c r="Y31" s="1843"/>
      <c r="Z31" s="1844"/>
      <c r="AA31" s="253"/>
      <c r="AB31" s="512">
        <v>2.6</v>
      </c>
      <c r="AC31" s="253"/>
      <c r="AD31" s="1842">
        <f>'Cashflow Governmental'!AE35</f>
        <v>38.9</v>
      </c>
      <c r="AE31" s="512"/>
      <c r="AF31" s="1912"/>
      <c r="AG31" s="1843"/>
      <c r="AH31" s="1842">
        <f>ROUND(SUM(X31)-SUM(AD31),1)</f>
        <v>24.4</v>
      </c>
      <c r="AI31" s="1304"/>
      <c r="AJ31" s="374">
        <f>ROUND(IF(AD31=0,0,AH31/ABS(AD31)),3)</f>
        <v>0.627</v>
      </c>
      <c r="AK31" s="1840"/>
      <c r="AL31" s="1818"/>
      <c r="AM31" s="1841"/>
    </row>
    <row r="32" spans="1:39" ht="18" customHeight="1">
      <c r="A32" s="1318" t="s">
        <v>305</v>
      </c>
      <c r="B32" s="1318"/>
      <c r="C32" s="1318"/>
      <c r="D32" s="253">
        <f>'Exhibit F'!J32</f>
        <v>0</v>
      </c>
      <c r="E32" s="1842"/>
      <c r="F32" s="253">
        <f>'Exhibit F'!AC32</f>
        <v>0</v>
      </c>
      <c r="G32" s="253"/>
      <c r="H32" s="253">
        <f>'Exhibit G'!J24</f>
        <v>9</v>
      </c>
      <c r="I32" s="1842"/>
      <c r="J32" s="253">
        <f>'Exhibit G'!AE24</f>
        <v>35</v>
      </c>
      <c r="K32" s="253"/>
      <c r="L32" s="255">
        <v>0</v>
      </c>
      <c r="M32" s="1842"/>
      <c r="N32" s="255">
        <v>0</v>
      </c>
      <c r="O32" s="253"/>
      <c r="P32" s="253">
        <f>'Exhibit I'!K19</f>
        <v>33.099999999999987</v>
      </c>
      <c r="Q32" s="1842"/>
      <c r="R32" s="253">
        <f>'Exhibit I'!AD19</f>
        <v>128.5</v>
      </c>
      <c r="S32" s="253"/>
      <c r="T32" s="2009"/>
      <c r="U32" s="2009"/>
      <c r="V32" s="1842">
        <f t="shared" si="2"/>
        <v>42.099999999999987</v>
      </c>
      <c r="W32" s="253"/>
      <c r="X32" s="1842">
        <f t="shared" si="3"/>
        <v>163.5</v>
      </c>
      <c r="Y32" s="253"/>
      <c r="Z32" s="1844"/>
      <c r="AA32" s="253"/>
      <c r="AB32" s="512">
        <v>41.4</v>
      </c>
      <c r="AC32" s="253"/>
      <c r="AD32" s="1842">
        <f>'Cashflow Governmental'!AE36</f>
        <v>162.19999999999999</v>
      </c>
      <c r="AE32" s="1842"/>
      <c r="AF32" s="1912"/>
      <c r="AG32" s="253"/>
      <c r="AH32" s="1842">
        <f t="shared" si="4"/>
        <v>1.3</v>
      </c>
      <c r="AI32" s="1299"/>
      <c r="AJ32" s="374">
        <f t="shared" ref="AJ32" si="6">ROUND(IF(AD32=0,0,AH32/ABS(AD32)),3)</f>
        <v>8.0000000000000002E-3</v>
      </c>
      <c r="AK32" s="1840"/>
      <c r="AL32" s="1818"/>
      <c r="AM32" s="1841"/>
    </row>
    <row r="33" spans="1:39" ht="18" customHeight="1">
      <c r="A33" s="421" t="s">
        <v>306</v>
      </c>
      <c r="B33" s="1318"/>
      <c r="C33" s="1318"/>
      <c r="D33" s="253">
        <f>'Exhibit F'!J33</f>
        <v>0</v>
      </c>
      <c r="E33" s="1842"/>
      <c r="F33" s="253">
        <f>'Exhibit F'!AC33</f>
        <v>-0.3</v>
      </c>
      <c r="G33" s="253"/>
      <c r="H33" s="253">
        <f>'Exhibit G'!J25</f>
        <v>0</v>
      </c>
      <c r="I33" s="1842"/>
      <c r="J33" s="253">
        <f>'Exhibit G'!AE25</f>
        <v>0</v>
      </c>
      <c r="K33" s="253"/>
      <c r="L33" s="255">
        <v>0</v>
      </c>
      <c r="M33" s="1842"/>
      <c r="N33" s="255">
        <v>0</v>
      </c>
      <c r="O33" s="253"/>
      <c r="P33" s="253">
        <v>0</v>
      </c>
      <c r="Q33" s="1842"/>
      <c r="R33" s="253">
        <v>0</v>
      </c>
      <c r="S33" s="253"/>
      <c r="T33" s="2009"/>
      <c r="U33" s="2009"/>
      <c r="V33" s="1842">
        <f t="shared" si="2"/>
        <v>0</v>
      </c>
      <c r="W33" s="253"/>
      <c r="X33" s="1842">
        <f t="shared" si="3"/>
        <v>-0.3</v>
      </c>
      <c r="Y33" s="253"/>
      <c r="Z33" s="1844"/>
      <c r="AA33" s="253"/>
      <c r="AB33" s="512">
        <v>0</v>
      </c>
      <c r="AC33" s="253"/>
      <c r="AD33" s="1842">
        <f>'Cashflow Governmental'!AE37</f>
        <v>0.30000000000000004</v>
      </c>
      <c r="AE33" s="1842"/>
      <c r="AF33" s="1912"/>
      <c r="AG33" s="253"/>
      <c r="AH33" s="1842">
        <f t="shared" ref="AH33" si="7">ROUND(SUM(X33)-SUM(AD33),1)</f>
        <v>-0.6</v>
      </c>
      <c r="AI33" s="1299"/>
      <c r="AJ33" s="374">
        <f>ROUND(IF(AD33=0,1,AH33/ABS(AD33)),3)</f>
        <v>-2</v>
      </c>
      <c r="AK33" s="1840"/>
      <c r="AL33" s="1818"/>
      <c r="AM33" s="1841"/>
    </row>
    <row r="34" spans="1:39" ht="18" customHeight="1">
      <c r="A34" s="1318" t="s">
        <v>307</v>
      </c>
      <c r="B34" s="1318"/>
      <c r="C34" s="1318"/>
      <c r="D34" s="253">
        <f>'Exhibit F'!J34</f>
        <v>30.199999999999989</v>
      </c>
      <c r="E34" s="253"/>
      <c r="F34" s="253">
        <f>'Exhibit F'!AC34</f>
        <v>98.1</v>
      </c>
      <c r="G34" s="253"/>
      <c r="H34" s="253">
        <f>'Exhibit G'!J26</f>
        <v>0</v>
      </c>
      <c r="I34" s="1842"/>
      <c r="J34" s="253">
        <f>'Exhibit G'!AE26</f>
        <v>0</v>
      </c>
      <c r="K34" s="253"/>
      <c r="L34" s="255">
        <v>0</v>
      </c>
      <c r="M34" s="1842"/>
      <c r="N34" s="255">
        <v>0</v>
      </c>
      <c r="O34" s="253"/>
      <c r="P34" s="255">
        <v>0</v>
      </c>
      <c r="Q34" s="1842"/>
      <c r="R34" s="255">
        <v>0</v>
      </c>
      <c r="S34" s="253"/>
      <c r="T34" s="2009"/>
      <c r="U34" s="2009"/>
      <c r="V34" s="1842">
        <f t="shared" si="2"/>
        <v>30.199999999999989</v>
      </c>
      <c r="W34" s="253"/>
      <c r="X34" s="1842">
        <f t="shared" si="3"/>
        <v>98.1</v>
      </c>
      <c r="Y34" s="1843"/>
      <c r="Z34" s="1844"/>
      <c r="AA34" s="253"/>
      <c r="AB34" s="512">
        <v>26.3</v>
      </c>
      <c r="AC34" s="253"/>
      <c r="AD34" s="1842">
        <f>'Cashflow Governmental'!AE38</f>
        <v>91.8</v>
      </c>
      <c r="AE34" s="1842"/>
      <c r="AF34" s="1912"/>
      <c r="AG34" s="1843"/>
      <c r="AH34" s="1842">
        <f t="shared" si="4"/>
        <v>6.3</v>
      </c>
      <c r="AI34" s="1304"/>
      <c r="AJ34" s="266">
        <f t="shared" ref="AJ34:AJ35" si="8">ROUND(IF(AD34=0,1,AH34/(AD34)),3)</f>
        <v>6.9000000000000006E-2</v>
      </c>
      <c r="AK34" s="1840"/>
      <c r="AL34" s="1818"/>
      <c r="AM34" s="1841"/>
    </row>
    <row r="35" spans="1:39" ht="18" customHeight="1">
      <c r="A35" s="1318" t="s">
        <v>308</v>
      </c>
      <c r="B35" s="1318"/>
      <c r="C35" s="1318"/>
      <c r="D35" s="253">
        <f>'Exhibit F'!J35</f>
        <v>0</v>
      </c>
      <c r="E35" s="1842"/>
      <c r="F35" s="253">
        <f>'Exhibit F'!AC35</f>
        <v>0</v>
      </c>
      <c r="G35" s="253"/>
      <c r="H35" s="253">
        <f>'Exhibit G'!J27</f>
        <v>9.9999999999999978E-2</v>
      </c>
      <c r="I35" s="1842"/>
      <c r="J35" s="253">
        <f>'Exhibit G'!AE27</f>
        <v>0.2</v>
      </c>
      <c r="K35" s="253"/>
      <c r="L35" s="255">
        <v>0</v>
      </c>
      <c r="M35" s="1842"/>
      <c r="N35" s="255">
        <v>0</v>
      </c>
      <c r="O35" s="253"/>
      <c r="P35" s="253">
        <f>'Exhibit I'!K20</f>
        <v>13.200000000000001</v>
      </c>
      <c r="Q35" s="1842"/>
      <c r="R35" s="253">
        <f>'Exhibit I'!AD20</f>
        <v>44.6</v>
      </c>
      <c r="S35" s="253"/>
      <c r="T35" s="2009"/>
      <c r="U35" s="2009"/>
      <c r="V35" s="1842">
        <f>SUM(D35)+SUM(H35)+SUM(L35)+SUM(P35)</f>
        <v>13.3</v>
      </c>
      <c r="W35" s="253"/>
      <c r="X35" s="1842">
        <f t="shared" si="3"/>
        <v>44.800000000000004</v>
      </c>
      <c r="Y35" s="1843"/>
      <c r="Z35" s="1844"/>
      <c r="AA35" s="253"/>
      <c r="AB35" s="512">
        <v>11.3</v>
      </c>
      <c r="AC35" s="253"/>
      <c r="AD35" s="1842">
        <f>'Cashflow Governmental'!AE39</f>
        <v>45.2</v>
      </c>
      <c r="AE35" s="512"/>
      <c r="AF35" s="1912"/>
      <c r="AG35" s="1843"/>
      <c r="AH35" s="255">
        <f t="shared" si="4"/>
        <v>-0.4</v>
      </c>
      <c r="AI35" s="1305"/>
      <c r="AJ35" s="266">
        <f t="shared" si="8"/>
        <v>-8.9999999999999993E-3</v>
      </c>
      <c r="AK35" s="1840"/>
      <c r="AL35" s="1818"/>
      <c r="AM35" s="1841"/>
    </row>
    <row r="36" spans="1:39" ht="18" customHeight="1">
      <c r="A36" s="1318" t="s">
        <v>309</v>
      </c>
      <c r="B36" s="1318"/>
      <c r="C36" s="1318"/>
      <c r="D36" s="253">
        <f>'Exhibit F'!J36</f>
        <v>0</v>
      </c>
      <c r="E36" s="1842"/>
      <c r="F36" s="253">
        <f>'Exhibit F'!AC36</f>
        <v>0</v>
      </c>
      <c r="G36" s="253"/>
      <c r="H36" s="253">
        <f>'Exhibit G'!J28</f>
        <v>9.9999999999999478E-2</v>
      </c>
      <c r="I36" s="1842"/>
      <c r="J36" s="253">
        <f>'Exhibit G'!AE28</f>
        <v>5</v>
      </c>
      <c r="K36" s="253"/>
      <c r="L36" s="255">
        <v>0</v>
      </c>
      <c r="M36" s="1842"/>
      <c r="N36" s="255">
        <v>0</v>
      </c>
      <c r="O36" s="253"/>
      <c r="P36" s="253">
        <v>0</v>
      </c>
      <c r="Q36" s="1842"/>
      <c r="R36" s="253">
        <v>0</v>
      </c>
      <c r="S36" s="253"/>
      <c r="T36" s="2009"/>
      <c r="U36" s="2009"/>
      <c r="V36" s="1842">
        <f>SUM(D36)+SUM(H36)+SUM(L36)+SUM(P36)</f>
        <v>9.9999999999999478E-2</v>
      </c>
      <c r="W36" s="253"/>
      <c r="X36" s="1842">
        <f>SUM(F36)+SUM(J36)+SUM(N36)+SUM(R36)</f>
        <v>5</v>
      </c>
      <c r="Y36" s="1843"/>
      <c r="Z36" s="1844"/>
      <c r="AA36" s="253"/>
      <c r="AB36" s="512">
        <v>0</v>
      </c>
      <c r="AC36" s="253"/>
      <c r="AD36" s="1842">
        <f>'Cashflow Governmental'!AE40</f>
        <v>5</v>
      </c>
      <c r="AE36" s="512"/>
      <c r="AF36" s="1912"/>
      <c r="AG36" s="1843"/>
      <c r="AH36" s="255">
        <f>ROUND(SUM(X36)-SUM(AD36),1)</f>
        <v>0</v>
      </c>
      <c r="AI36" s="1305"/>
      <c r="AJ36" s="266">
        <f>ROUND(IF(AD36=0,1,AH36/(AD36)),3)</f>
        <v>0</v>
      </c>
      <c r="AK36" s="1840"/>
      <c r="AL36" s="1818"/>
      <c r="AM36" s="1841"/>
    </row>
    <row r="37" spans="1:39" ht="18" customHeight="1">
      <c r="A37" s="1318" t="s">
        <v>310</v>
      </c>
      <c r="B37" s="1318"/>
      <c r="C37" s="1318"/>
      <c r="D37" s="253">
        <f>'Exhibit F'!J37</f>
        <v>4.7000000000000011</v>
      </c>
      <c r="E37" s="1842"/>
      <c r="F37" s="253">
        <f>'Exhibit F'!AC37</f>
        <v>9.3000000000000007</v>
      </c>
      <c r="G37" s="253"/>
      <c r="H37" s="253">
        <v>0</v>
      </c>
      <c r="I37" s="1842"/>
      <c r="J37" s="253">
        <v>0</v>
      </c>
      <c r="K37" s="253"/>
      <c r="L37" s="255">
        <v>0</v>
      </c>
      <c r="M37" s="1842"/>
      <c r="N37" s="255">
        <v>0</v>
      </c>
      <c r="O37" s="253"/>
      <c r="P37" s="253">
        <v>0</v>
      </c>
      <c r="Q37" s="1842"/>
      <c r="R37" s="253">
        <v>0</v>
      </c>
      <c r="S37" s="253"/>
      <c r="T37" s="2009"/>
      <c r="U37" s="2009"/>
      <c r="V37" s="1842">
        <f>SUM(D37)+SUM(H37)+SUM(L37)+SUM(P37)</f>
        <v>4.7000000000000011</v>
      </c>
      <c r="W37" s="253"/>
      <c r="X37" s="1842">
        <f t="shared" ref="X37" si="9">SUM(F37)+SUM(J37)+SUM(N37)+SUM(R37)</f>
        <v>9.3000000000000007</v>
      </c>
      <c r="Y37" s="1843"/>
      <c r="Z37" s="1844"/>
      <c r="AA37" s="253"/>
      <c r="AB37" s="512">
        <v>7.2</v>
      </c>
      <c r="AC37" s="253"/>
      <c r="AD37" s="1842">
        <f>'Cashflow Governmental'!AE41</f>
        <v>12.1</v>
      </c>
      <c r="AE37" s="512"/>
      <c r="AF37" s="1912"/>
      <c r="AG37" s="1843"/>
      <c r="AH37" s="255">
        <f t="shared" ref="AH37" si="10">ROUND(SUM(X37)-SUM(AD37),1)</f>
        <v>-2.8</v>
      </c>
      <c r="AI37" s="1305"/>
      <c r="AJ37" s="266">
        <f>ROUND(IF(AD37=0,1,AH37/(AD37)),3)</f>
        <v>-0.23100000000000001</v>
      </c>
      <c r="AK37" s="1840"/>
      <c r="AL37" s="1818"/>
      <c r="AM37" s="1841"/>
    </row>
    <row r="38" spans="1:39" ht="18" customHeight="1">
      <c r="A38" s="1317" t="s">
        <v>311</v>
      </c>
      <c r="B38" s="1318"/>
      <c r="C38" s="1318"/>
      <c r="D38" s="1006">
        <f>ROUND(SUM(D28:D37),1)</f>
        <v>950.4</v>
      </c>
      <c r="E38" s="1"/>
      <c r="F38" s="1006">
        <f>ROUND(SUM(F28:F37),1)</f>
        <v>3717.5</v>
      </c>
      <c r="G38" s="1"/>
      <c r="H38" s="1006">
        <f>ROUND(SUM(H28:H37),1)</f>
        <v>179</v>
      </c>
      <c r="I38" s="1"/>
      <c r="J38" s="1006">
        <f>ROUND(SUM(J28:J37),1)</f>
        <v>829.4</v>
      </c>
      <c r="K38" s="1"/>
      <c r="L38" s="1006">
        <f>ROUND(SUM(L28:L37),1)</f>
        <v>895.8</v>
      </c>
      <c r="M38" s="1"/>
      <c r="N38" s="1006">
        <f>ROUND(SUM(N28:N37),1)</f>
        <v>3527.9</v>
      </c>
      <c r="O38" s="1"/>
      <c r="P38" s="1006">
        <f>ROUND(SUM(P28:P37),1)</f>
        <v>46.4</v>
      </c>
      <c r="Q38" s="1"/>
      <c r="R38" s="1006">
        <f>ROUND(SUM(R28:R37),1)</f>
        <v>196.7</v>
      </c>
      <c r="S38" s="1"/>
      <c r="T38" s="2011"/>
      <c r="U38" s="2011"/>
      <c r="V38" s="1006">
        <f>ROUND(SUM(V28:V37),1)</f>
        <v>2071.6</v>
      </c>
      <c r="W38" s="1"/>
      <c r="X38" s="1006">
        <f>ROUND(SUM(X28:X37),1)</f>
        <v>8271.5</v>
      </c>
      <c r="Y38" s="1861"/>
      <c r="Z38" s="1849"/>
      <c r="AA38" s="1"/>
      <c r="AB38" s="1006">
        <f>ROUND(SUM(AB28:AB37),1)</f>
        <v>1854.3</v>
      </c>
      <c r="AC38" s="1"/>
      <c r="AD38" s="1006">
        <f>ROUND(SUM(AD28:AD37),1)</f>
        <v>7621.8</v>
      </c>
      <c r="AE38" s="1"/>
      <c r="AF38" s="1913"/>
      <c r="AG38" s="1"/>
      <c r="AH38" s="1858">
        <f t="shared" si="4"/>
        <v>649.70000000000005</v>
      </c>
      <c r="AI38" s="1300"/>
      <c r="AJ38" s="1859">
        <f t="shared" si="5"/>
        <v>8.5000000000000006E-2</v>
      </c>
      <c r="AK38" s="1852"/>
      <c r="AL38" s="1853"/>
      <c r="AM38" s="1841"/>
    </row>
    <row r="39" spans="1:39" ht="18" customHeight="1">
      <c r="A39" s="1318"/>
      <c r="B39" s="1318"/>
      <c r="C39" s="1318"/>
      <c r="D39" s="1332"/>
      <c r="E39" s="253"/>
      <c r="F39" s="1332"/>
      <c r="G39" s="253"/>
      <c r="H39" s="1332"/>
      <c r="I39" s="253"/>
      <c r="J39" s="1332"/>
      <c r="K39" s="253"/>
      <c r="L39" s="1332"/>
      <c r="M39" s="253"/>
      <c r="N39" s="1332"/>
      <c r="O39" s="253"/>
      <c r="P39" s="1332"/>
      <c r="Q39" s="253"/>
      <c r="R39" s="1332"/>
      <c r="S39" s="253"/>
      <c r="T39" s="2009"/>
      <c r="U39" s="2009"/>
      <c r="V39" s="1332"/>
      <c r="W39" s="253"/>
      <c r="X39" s="1332"/>
      <c r="Y39" s="253"/>
      <c r="Z39" s="1844"/>
      <c r="AA39" s="253"/>
      <c r="AB39" s="1332"/>
      <c r="AC39" s="253"/>
      <c r="AD39" s="1332"/>
      <c r="AE39" s="253"/>
      <c r="AF39" s="1912"/>
      <c r="AG39" s="253"/>
      <c r="AH39" s="253"/>
      <c r="AI39" s="1299"/>
      <c r="AJ39" s="1860"/>
      <c r="AK39" s="1855"/>
      <c r="AL39" s="1818"/>
      <c r="AM39" s="1841"/>
    </row>
    <row r="40" spans="1:39" ht="18" customHeight="1">
      <c r="A40" s="1317" t="s">
        <v>312</v>
      </c>
      <c r="B40" s="1318"/>
      <c r="C40" s="1318"/>
      <c r="D40" s="253"/>
      <c r="E40" s="253"/>
      <c r="F40" s="253"/>
      <c r="G40" s="253"/>
      <c r="H40" s="253"/>
      <c r="I40" s="253"/>
      <c r="J40" s="253"/>
      <c r="K40" s="253"/>
      <c r="L40" s="253"/>
      <c r="M40" s="253"/>
      <c r="N40" s="253"/>
      <c r="O40" s="253"/>
      <c r="P40" s="253"/>
      <c r="Q40" s="253"/>
      <c r="R40" s="253"/>
      <c r="S40" s="253"/>
      <c r="T40" s="2009"/>
      <c r="U40" s="2009"/>
      <c r="V40" s="253"/>
      <c r="W40" s="253"/>
      <c r="X40" s="253"/>
      <c r="Y40" s="253"/>
      <c r="Z40" s="1844"/>
      <c r="AA40" s="253"/>
      <c r="AB40" s="531"/>
      <c r="AC40" s="253"/>
      <c r="AD40" s="531"/>
      <c r="AE40" s="253"/>
      <c r="AF40" s="1912"/>
      <c r="AG40" s="253"/>
      <c r="AH40" s="253"/>
      <c r="AI40" s="1299"/>
      <c r="AJ40" s="1840"/>
      <c r="AK40" s="1855"/>
      <c r="AL40" s="1818"/>
      <c r="AM40" s="1841"/>
    </row>
    <row r="41" spans="1:39" ht="18" customHeight="1">
      <c r="A41" s="1318" t="s">
        <v>313</v>
      </c>
      <c r="B41" s="1318"/>
      <c r="C41" s="1318"/>
      <c r="D41" s="253">
        <f>'Exhibit F'!J40</f>
        <v>118.89999999999941</v>
      </c>
      <c r="E41" s="253"/>
      <c r="F41" s="253">
        <f>'Exhibit F'!AC40</f>
        <v>2792.2</v>
      </c>
      <c r="G41" s="253"/>
      <c r="H41" s="253">
        <f>'Exhibit G'!J31</f>
        <v>55.200000000000102</v>
      </c>
      <c r="I41" s="253"/>
      <c r="J41" s="253">
        <f>'Exhibit G'!AE31</f>
        <v>908.3</v>
      </c>
      <c r="K41" s="253"/>
      <c r="L41" s="255">
        <v>0</v>
      </c>
      <c r="M41" s="1842"/>
      <c r="N41" s="255">
        <v>0</v>
      </c>
      <c r="O41" s="253"/>
      <c r="P41" s="255">
        <f>'Exhibit I'!K23</f>
        <v>0</v>
      </c>
      <c r="Q41" s="1842"/>
      <c r="R41" s="255">
        <f>'Exhibit I'!AD23</f>
        <v>0</v>
      </c>
      <c r="S41" s="253"/>
      <c r="T41" s="2009"/>
      <c r="U41" s="2009"/>
      <c r="V41" s="1842">
        <f t="shared" ref="V41:V46" si="11">SUM(D41)+SUM(H41)+SUM(L41)+SUM(P41)</f>
        <v>174.09999999999951</v>
      </c>
      <c r="W41" s="253"/>
      <c r="X41" s="1842">
        <f t="shared" ref="X41:X46" si="12">SUM(F41)+SUM(J41)+SUM(N41)+SUM(R41)</f>
        <v>3700.5</v>
      </c>
      <c r="Y41" s="253"/>
      <c r="Z41" s="1844"/>
      <c r="AA41" s="253"/>
      <c r="AB41" s="512">
        <v>196.3</v>
      </c>
      <c r="AC41" s="253"/>
      <c r="AD41" s="512">
        <f>'Cashflow Governmental'!AE44</f>
        <v>2813.8</v>
      </c>
      <c r="AE41" s="1842"/>
      <c r="AF41" s="1912"/>
      <c r="AG41" s="253"/>
      <c r="AH41" s="1842">
        <f t="shared" ref="AH41:AH47" si="13">ROUND(SUM(X41)-SUM(AD41),1)</f>
        <v>886.7</v>
      </c>
      <c r="AI41" s="1304"/>
      <c r="AJ41" s="1840">
        <f t="shared" ref="AJ41:AJ47" si="14">ROUND(AH41/AD41,3)</f>
        <v>0.315</v>
      </c>
      <c r="AK41" s="1840"/>
      <c r="AL41" s="1818"/>
      <c r="AM41" s="1841"/>
    </row>
    <row r="42" spans="1:39" ht="18" customHeight="1">
      <c r="A42" s="1318" t="s">
        <v>314</v>
      </c>
      <c r="B42" s="1318"/>
      <c r="C42" s="1318"/>
      <c r="D42" s="253">
        <f>'Exhibit F'!J41</f>
        <v>0</v>
      </c>
      <c r="E42" s="253"/>
      <c r="F42" s="253">
        <f>'Exhibit F'!AC41</f>
        <v>130.20000000000002</v>
      </c>
      <c r="G42" s="253"/>
      <c r="H42" s="253">
        <f>'Exhibit G'!J32</f>
        <v>2.7999999999999954</v>
      </c>
      <c r="I42" s="253"/>
      <c r="J42" s="1842">
        <f>'Exhibit G'!AE32</f>
        <v>40.799999999999997</v>
      </c>
      <c r="K42" s="253"/>
      <c r="L42" s="255">
        <v>0</v>
      </c>
      <c r="M42" s="1842"/>
      <c r="N42" s="255">
        <v>0</v>
      </c>
      <c r="O42" s="253"/>
      <c r="P42" s="253">
        <f>'Exhibit I'!K24</f>
        <v>0.39999999999999991</v>
      </c>
      <c r="Q42" s="1842"/>
      <c r="R42" s="253">
        <f>'Exhibit I'!AD24</f>
        <v>3.2</v>
      </c>
      <c r="S42" s="253"/>
      <c r="T42" s="2009"/>
      <c r="U42" s="2009"/>
      <c r="V42" s="1842">
        <f t="shared" si="11"/>
        <v>3.1999999999999953</v>
      </c>
      <c r="W42" s="253"/>
      <c r="X42" s="1842">
        <f t="shared" si="12"/>
        <v>174.2</v>
      </c>
      <c r="Y42" s="253"/>
      <c r="Z42" s="1844"/>
      <c r="AA42" s="253"/>
      <c r="AB42" s="512">
        <v>0.8</v>
      </c>
      <c r="AC42" s="253"/>
      <c r="AD42" s="512">
        <f>'Cashflow Governmental'!AE45</f>
        <v>134.5</v>
      </c>
      <c r="AE42" s="1842"/>
      <c r="AF42" s="1912"/>
      <c r="AG42" s="253"/>
      <c r="AH42" s="1842">
        <f t="shared" si="13"/>
        <v>39.700000000000003</v>
      </c>
      <c r="AI42" s="1304"/>
      <c r="AJ42" s="1862">
        <f t="shared" si="14"/>
        <v>0.29499999999999998</v>
      </c>
      <c r="AK42" s="1840"/>
      <c r="AL42" s="1818"/>
      <c r="AM42" s="1841"/>
    </row>
    <row r="43" spans="1:39" ht="18" customHeight="1">
      <c r="A43" s="1318" t="s">
        <v>315</v>
      </c>
      <c r="B43" s="1318"/>
      <c r="C43" s="1318"/>
      <c r="D43" s="253">
        <f>'Exhibit F'!J42</f>
        <v>0.10000000000003695</v>
      </c>
      <c r="E43" s="253"/>
      <c r="F43" s="253">
        <f>'Exhibit F'!AC42</f>
        <v>529.70000000000005</v>
      </c>
      <c r="G43" s="253"/>
      <c r="H43" s="253">
        <f>'Exhibit G'!J33</f>
        <v>-0.6000000000000032</v>
      </c>
      <c r="I43" s="253"/>
      <c r="J43" s="253">
        <f>'Exhibit G'!AE33</f>
        <v>56.1</v>
      </c>
      <c r="K43" s="253"/>
      <c r="L43" s="255">
        <v>0</v>
      </c>
      <c r="M43" s="1842"/>
      <c r="N43" s="255">
        <v>0</v>
      </c>
      <c r="O43" s="253"/>
      <c r="P43" s="255">
        <v>0</v>
      </c>
      <c r="Q43" s="1842"/>
      <c r="R43" s="255">
        <v>0</v>
      </c>
      <c r="S43" s="253"/>
      <c r="T43" s="2009"/>
      <c r="U43" s="2009"/>
      <c r="V43" s="1842">
        <f t="shared" si="11"/>
        <v>-0.49999999999996625</v>
      </c>
      <c r="W43" s="253"/>
      <c r="X43" s="1842">
        <f t="shared" si="12"/>
        <v>585.80000000000007</v>
      </c>
      <c r="Y43" s="253"/>
      <c r="Z43" s="1844"/>
      <c r="AA43" s="253"/>
      <c r="AB43" s="512">
        <v>-9.3000000000000007</v>
      </c>
      <c r="AC43" s="253"/>
      <c r="AD43" s="512">
        <f>'Cashflow Governmental'!AE46</f>
        <v>564.1</v>
      </c>
      <c r="AE43" s="1842"/>
      <c r="AF43" s="1912"/>
      <c r="AG43" s="253"/>
      <c r="AH43" s="1842">
        <f t="shared" si="13"/>
        <v>21.7</v>
      </c>
      <c r="AI43" s="1304"/>
      <c r="AJ43" s="1840">
        <f>ROUND(AH43/AD43,3)</f>
        <v>3.7999999999999999E-2</v>
      </c>
      <c r="AK43" s="1840"/>
      <c r="AL43" s="1818"/>
      <c r="AM43" s="1841"/>
    </row>
    <row r="44" spans="1:39" ht="18" customHeight="1">
      <c r="A44" s="1318" t="s">
        <v>316</v>
      </c>
      <c r="B44" s="1318"/>
      <c r="C44" s="1318"/>
      <c r="D44" s="253">
        <f>'Exhibit F'!J43</f>
        <v>0</v>
      </c>
      <c r="E44" s="253"/>
      <c r="F44" s="253">
        <f>'Exhibit F'!AC43</f>
        <v>22.7</v>
      </c>
      <c r="G44" s="253"/>
      <c r="H44" s="253">
        <f>'Exhibit G'!J34</f>
        <v>0</v>
      </c>
      <c r="I44" s="253"/>
      <c r="J44" s="253">
        <f>'Exhibit G'!AE34</f>
        <v>-0.8</v>
      </c>
      <c r="K44" s="253"/>
      <c r="L44" s="255">
        <v>0</v>
      </c>
      <c r="M44" s="1842"/>
      <c r="N44" s="255">
        <v>0</v>
      </c>
      <c r="O44" s="253"/>
      <c r="P44" s="255">
        <v>0</v>
      </c>
      <c r="Q44" s="1842"/>
      <c r="R44" s="255">
        <v>0</v>
      </c>
      <c r="S44" s="253"/>
      <c r="T44" s="2009"/>
      <c r="U44" s="2009"/>
      <c r="V44" s="1842">
        <f>ROUND(SUM(D44)+SUM(H44)+SUM(L44)+SUM(P44),1)</f>
        <v>0</v>
      </c>
      <c r="W44" s="253"/>
      <c r="X44" s="1842">
        <f t="shared" si="12"/>
        <v>21.9</v>
      </c>
      <c r="Y44" s="253"/>
      <c r="Z44" s="1844"/>
      <c r="AA44" s="253"/>
      <c r="AB44" s="512">
        <v>-10.6</v>
      </c>
      <c r="AC44" s="253"/>
      <c r="AD44" s="512">
        <f>'Cashflow Governmental'!AE47</f>
        <v>-15.200000000000001</v>
      </c>
      <c r="AE44" s="1842"/>
      <c r="AF44" s="1912"/>
      <c r="AG44" s="253"/>
      <c r="AH44" s="1842">
        <f>ROUND(SUM(X44)-SUM(AD44),1)</f>
        <v>37.1</v>
      </c>
      <c r="AI44" s="1304"/>
      <c r="AJ44" s="1974">
        <f>ROUND(IF(AD44=0,1,AH44/ABS(AD44)),3)</f>
        <v>2.4409999999999998</v>
      </c>
      <c r="AK44" s="1840"/>
      <c r="AL44" s="1818"/>
      <c r="AM44" s="1841"/>
    </row>
    <row r="45" spans="1:39" ht="18" customHeight="1">
      <c r="A45" s="1318" t="s">
        <v>317</v>
      </c>
      <c r="B45" s="1318"/>
      <c r="C45" s="1318"/>
      <c r="D45" s="253">
        <f>'Exhibit F'!J44</f>
        <v>10.699999999999825</v>
      </c>
      <c r="E45" s="253"/>
      <c r="F45" s="253">
        <f>'Exhibit F'!AC44</f>
        <v>2446.1999999999998</v>
      </c>
      <c r="G45" s="253"/>
      <c r="H45" s="253">
        <v>0</v>
      </c>
      <c r="I45" s="253"/>
      <c r="J45" s="253">
        <v>0</v>
      </c>
      <c r="K45" s="253"/>
      <c r="L45" s="255">
        <f>'Exhibit H'!H23</f>
        <v>10.799999999999727</v>
      </c>
      <c r="M45" s="1842"/>
      <c r="N45" s="255">
        <f>'Exhibit H'!AA23</f>
        <v>2446.1999999999998</v>
      </c>
      <c r="O45" s="253"/>
      <c r="P45" s="255">
        <v>0</v>
      </c>
      <c r="Q45" s="1842"/>
      <c r="R45" s="255">
        <v>0</v>
      </c>
      <c r="S45" s="253"/>
      <c r="T45" s="2009"/>
      <c r="U45" s="2009"/>
      <c r="V45" s="1842">
        <f t="shared" si="11"/>
        <v>21.499999999999552</v>
      </c>
      <c r="W45" s="253"/>
      <c r="X45" s="1842">
        <f t="shared" si="12"/>
        <v>4892.3999999999996</v>
      </c>
      <c r="Y45" s="253"/>
      <c r="Z45" s="1844"/>
      <c r="AA45" s="253"/>
      <c r="AB45" s="512">
        <v>-25.4</v>
      </c>
      <c r="AC45" s="253"/>
      <c r="AD45" s="512">
        <f>'Cashflow Governmental'!AE48</f>
        <v>3913.4</v>
      </c>
      <c r="AE45" s="1842"/>
      <c r="AF45" s="1912"/>
      <c r="AG45" s="253"/>
      <c r="AH45" s="1842">
        <f>ROUND(SUM(X45)-SUM(AD45),1)</f>
        <v>979</v>
      </c>
      <c r="AI45" s="1304"/>
      <c r="AJ45" s="266">
        <f>ROUND(IF(AD45=0,1,AH45/(AD45)),3)</f>
        <v>0.25</v>
      </c>
      <c r="AK45" s="1840"/>
      <c r="AL45" s="1818"/>
      <c r="AM45" s="1841"/>
    </row>
    <row r="46" spans="1:39" ht="18" customHeight="1">
      <c r="A46" s="1318" t="s">
        <v>318</v>
      </c>
      <c r="B46" s="1318"/>
      <c r="C46" s="1318"/>
      <c r="D46" s="253">
        <f>'Exhibit F'!J45</f>
        <v>0</v>
      </c>
      <c r="E46" s="1842"/>
      <c r="F46" s="253">
        <f>'Exhibit F'!AC45</f>
        <v>0</v>
      </c>
      <c r="G46" s="253"/>
      <c r="H46" s="253">
        <f>'Exhibit G'!J35</f>
        <v>43.600000000000009</v>
      </c>
      <c r="I46" s="1842"/>
      <c r="J46" s="253">
        <f>'Exhibit G'!AE35</f>
        <v>149.80000000000001</v>
      </c>
      <c r="K46" s="253"/>
      <c r="L46" s="255">
        <v>0</v>
      </c>
      <c r="M46" s="1842"/>
      <c r="N46" s="255">
        <v>0</v>
      </c>
      <c r="O46" s="253"/>
      <c r="P46" s="253">
        <f>'Exhibit I'!K25</f>
        <v>55.500000000000007</v>
      </c>
      <c r="Q46" s="1842"/>
      <c r="R46" s="253">
        <f>'Exhibit I'!AD25</f>
        <v>191.6</v>
      </c>
      <c r="S46" s="253"/>
      <c r="T46" s="2009"/>
      <c r="U46" s="2009"/>
      <c r="V46" s="1842">
        <f t="shared" si="11"/>
        <v>99.100000000000023</v>
      </c>
      <c r="W46" s="253"/>
      <c r="X46" s="1842">
        <f t="shared" si="12"/>
        <v>341.4</v>
      </c>
      <c r="Y46" s="253"/>
      <c r="Z46" s="1844"/>
      <c r="AA46" s="253"/>
      <c r="AB46" s="512">
        <v>84.699999999999989</v>
      </c>
      <c r="AC46" s="253"/>
      <c r="AD46" s="512">
        <f>'Cashflow Governmental'!AE49</f>
        <v>341.1</v>
      </c>
      <c r="AE46" s="1842"/>
      <c r="AF46" s="1912"/>
      <c r="AG46" s="253"/>
      <c r="AH46" s="1842">
        <f t="shared" si="13"/>
        <v>0.3</v>
      </c>
      <c r="AI46" s="1305"/>
      <c r="AJ46" s="1840">
        <f t="shared" si="14"/>
        <v>1E-3</v>
      </c>
      <c r="AK46" s="1840"/>
      <c r="AL46" s="1818"/>
      <c r="AM46" s="1841"/>
    </row>
    <row r="47" spans="1:39" ht="18" customHeight="1">
      <c r="A47" s="1317" t="s">
        <v>311</v>
      </c>
      <c r="B47" s="1318"/>
      <c r="C47" s="1318"/>
      <c r="D47" s="1006">
        <f>ROUND(SUM(D41:D46),1)</f>
        <v>129.69999999999999</v>
      </c>
      <c r="E47" s="1"/>
      <c r="F47" s="1006">
        <f>ROUND(SUM(F41:F46),1)</f>
        <v>5921</v>
      </c>
      <c r="G47" s="1"/>
      <c r="H47" s="1006">
        <f>ROUND(SUM(H41:H46),1)</f>
        <v>101</v>
      </c>
      <c r="I47" s="1"/>
      <c r="J47" s="1006">
        <f>ROUND(SUM(J41:J46),1)</f>
        <v>1154.2</v>
      </c>
      <c r="K47" s="1"/>
      <c r="L47" s="2027">
        <f>ROUND(SUM(L41:L46),1)</f>
        <v>10.8</v>
      </c>
      <c r="M47" s="1846"/>
      <c r="N47" s="2027">
        <f>ROUND(SUM(N41:N46),1)</f>
        <v>2446.1999999999998</v>
      </c>
      <c r="O47" s="1"/>
      <c r="P47" s="1006">
        <f>ROUND(SUM(P41:P46),1)</f>
        <v>55.9</v>
      </c>
      <c r="Q47" s="1"/>
      <c r="R47" s="1006">
        <f>ROUND(SUM(R41:R46),1)</f>
        <v>194.8</v>
      </c>
      <c r="S47" s="1"/>
      <c r="T47" s="2011"/>
      <c r="U47" s="2011"/>
      <c r="V47" s="1006">
        <f>ROUND(SUM(V41:V46),1)</f>
        <v>297.39999999999998</v>
      </c>
      <c r="W47" s="1"/>
      <c r="X47" s="1006">
        <f>ROUND(SUM(X41:X46),1)</f>
        <v>9716.2000000000007</v>
      </c>
      <c r="Y47" s="1861"/>
      <c r="Z47" s="1849"/>
      <c r="AA47" s="1"/>
      <c r="AB47" s="1006">
        <f>ROUND(SUM(AB41:AB46),1)</f>
        <v>236.5</v>
      </c>
      <c r="AC47" s="1"/>
      <c r="AD47" s="1006">
        <f>ROUND(SUM(AD41:AD46),1)</f>
        <v>7751.7</v>
      </c>
      <c r="AE47" s="1"/>
      <c r="AF47" s="1913"/>
      <c r="AG47" s="1"/>
      <c r="AH47" s="1863">
        <f t="shared" si="13"/>
        <v>1964.5</v>
      </c>
      <c r="AI47" s="1300"/>
      <c r="AJ47" s="1859">
        <f t="shared" si="14"/>
        <v>0.253</v>
      </c>
      <c r="AK47" s="1852"/>
      <c r="AL47" s="1853"/>
      <c r="AM47" s="1841"/>
    </row>
    <row r="48" spans="1:39" ht="18" customHeight="1">
      <c r="A48" s="1318"/>
      <c r="B48" s="1318"/>
      <c r="C48" s="1318"/>
      <c r="D48" s="1332"/>
      <c r="E48" s="253"/>
      <c r="F48" s="1332"/>
      <c r="G48" s="253"/>
      <c r="H48" s="1332"/>
      <c r="I48" s="253"/>
      <c r="J48" s="1332" t="s">
        <v>103</v>
      </c>
      <c r="K48" s="253"/>
      <c r="L48" s="1332"/>
      <c r="M48" s="253"/>
      <c r="N48" s="1332"/>
      <c r="O48" s="253"/>
      <c r="P48" s="1332"/>
      <c r="Q48" s="253"/>
      <c r="R48" s="1332"/>
      <c r="S48" s="253"/>
      <c r="T48" s="2009"/>
      <c r="U48" s="2009"/>
      <c r="V48" s="1332"/>
      <c r="W48" s="253"/>
      <c r="X48" s="1332" t="s">
        <v>103</v>
      </c>
      <c r="Y48" s="253"/>
      <c r="Z48" s="1844"/>
      <c r="AA48" s="253"/>
      <c r="AB48" s="1332"/>
      <c r="AC48" s="253"/>
      <c r="AD48" s="1332"/>
      <c r="AE48" s="253"/>
      <c r="AF48" s="1912"/>
      <c r="AG48" s="253"/>
      <c r="AH48" s="253"/>
      <c r="AI48" s="1299"/>
      <c r="AJ48" s="1860"/>
      <c r="AK48" s="1855"/>
      <c r="AL48" s="1818"/>
      <c r="AM48" s="1841"/>
    </row>
    <row r="49" spans="1:39" ht="18" customHeight="1">
      <c r="A49" s="1321" t="s">
        <v>319</v>
      </c>
      <c r="B49" s="1318"/>
      <c r="C49" s="1318"/>
      <c r="D49" s="253"/>
      <c r="E49" s="253"/>
      <c r="F49" s="253"/>
      <c r="G49" s="253"/>
      <c r="H49" s="253" t="s">
        <v>103</v>
      </c>
      <c r="I49" s="253"/>
      <c r="J49" s="253"/>
      <c r="K49" s="253"/>
      <c r="L49" s="253"/>
      <c r="M49" s="253"/>
      <c r="N49" s="253"/>
      <c r="O49" s="253"/>
      <c r="P49" s="253"/>
      <c r="Q49" s="253"/>
      <c r="R49" s="253"/>
      <c r="S49" s="253"/>
      <c r="T49" s="2009"/>
      <c r="U49" s="2009"/>
      <c r="V49" s="253"/>
      <c r="W49" s="253"/>
      <c r="X49" s="253"/>
      <c r="Y49" s="253"/>
      <c r="Z49" s="1844"/>
      <c r="AA49" s="253"/>
      <c r="AB49" s="253"/>
      <c r="AC49" s="253"/>
      <c r="AD49" s="253"/>
      <c r="AE49" s="253"/>
      <c r="AF49" s="1912"/>
      <c r="AG49" s="253"/>
      <c r="AH49" s="253"/>
      <c r="AI49" s="1299"/>
      <c r="AJ49" s="1840"/>
      <c r="AK49" s="1855"/>
      <c r="AL49" s="1818"/>
      <c r="AM49" s="1841"/>
    </row>
    <row r="50" spans="1:39" ht="18" customHeight="1">
      <c r="A50" s="1318" t="s">
        <v>320</v>
      </c>
      <c r="B50" s="1318"/>
      <c r="C50" s="1318"/>
      <c r="D50" s="255">
        <f>'Exhibit F'!J48</f>
        <v>0</v>
      </c>
      <c r="E50" s="253"/>
      <c r="F50" s="253">
        <f>'Exhibit F'!AC48</f>
        <v>0</v>
      </c>
      <c r="G50" s="253"/>
      <c r="H50" s="255">
        <v>0</v>
      </c>
      <c r="I50" s="1842"/>
      <c r="J50" s="255">
        <v>0</v>
      </c>
      <c r="K50" s="253"/>
      <c r="L50" s="255">
        <v>0</v>
      </c>
      <c r="M50" s="255"/>
      <c r="N50" s="255">
        <v>0</v>
      </c>
      <c r="O50" s="253"/>
      <c r="P50" s="255">
        <v>0</v>
      </c>
      <c r="Q50" s="1842"/>
      <c r="R50" s="255">
        <v>0</v>
      </c>
      <c r="S50" s="253"/>
      <c r="T50" s="2009"/>
      <c r="U50" s="2009"/>
      <c r="V50" s="255">
        <f t="shared" ref="V50:V54" si="15">SUM(D50)+SUM(H50)+SUM(L50)+SUM(P50)</f>
        <v>0</v>
      </c>
      <c r="W50" s="253"/>
      <c r="X50" s="1842">
        <f t="shared" ref="X50:X54" si="16">SUM(F50)+SUM(J50)+SUM(N50)+SUM(R50)</f>
        <v>0</v>
      </c>
      <c r="Y50" s="1843"/>
      <c r="Z50" s="1844"/>
      <c r="AA50" s="253"/>
      <c r="AB50" s="512">
        <v>0</v>
      </c>
      <c r="AC50" s="253"/>
      <c r="AD50" s="512">
        <f>'Cashflow Governmental'!AE52</f>
        <v>0</v>
      </c>
      <c r="AE50" s="1842"/>
      <c r="AF50" s="1912"/>
      <c r="AG50" s="1843"/>
      <c r="AH50" s="1842">
        <f t="shared" ref="AH50:AH56" si="17">ROUND(SUM(X50)-SUM(AD50),1)</f>
        <v>0</v>
      </c>
      <c r="AI50" s="1304"/>
      <c r="AJ50" s="266">
        <f>ROUND(IF(AD50=0,0,-AH50/(AD50)),3)</f>
        <v>0</v>
      </c>
      <c r="AK50" s="1840"/>
      <c r="AL50" s="1818"/>
      <c r="AM50" s="1841"/>
    </row>
    <row r="51" spans="1:39" ht="18" customHeight="1">
      <c r="A51" s="1318" t="s">
        <v>321</v>
      </c>
      <c r="B51" s="1318"/>
      <c r="C51" s="1318"/>
      <c r="D51" s="255">
        <f>'Exhibit F'!J49</f>
        <v>271.00000000000006</v>
      </c>
      <c r="E51" s="253"/>
      <c r="F51" s="253">
        <f>'Exhibit F'!AC49</f>
        <v>644.5</v>
      </c>
      <c r="G51" s="253"/>
      <c r="H51" s="255">
        <v>0</v>
      </c>
      <c r="I51" s="1842"/>
      <c r="J51" s="255">
        <v>0</v>
      </c>
      <c r="K51" s="253"/>
      <c r="L51" s="255">
        <v>0</v>
      </c>
      <c r="M51" s="255"/>
      <c r="N51" s="255">
        <v>0</v>
      </c>
      <c r="O51" s="253"/>
      <c r="P51" s="255">
        <v>0</v>
      </c>
      <c r="Q51" s="1842"/>
      <c r="R51" s="255">
        <v>0</v>
      </c>
      <c r="S51" s="253"/>
      <c r="T51" s="2009"/>
      <c r="U51" s="2009"/>
      <c r="V51" s="1842">
        <f t="shared" si="15"/>
        <v>271.00000000000006</v>
      </c>
      <c r="W51" s="253"/>
      <c r="X51" s="1842">
        <f t="shared" si="16"/>
        <v>644.5</v>
      </c>
      <c r="Y51" s="1843"/>
      <c r="Z51" s="1844"/>
      <c r="AA51" s="253"/>
      <c r="AB51" s="512">
        <v>111.10000000000001</v>
      </c>
      <c r="AC51" s="253"/>
      <c r="AD51" s="512">
        <f>'Cashflow Governmental'!AE53</f>
        <v>506.4</v>
      </c>
      <c r="AE51" s="512"/>
      <c r="AF51" s="1912"/>
      <c r="AG51" s="1843"/>
      <c r="AH51" s="1842">
        <f t="shared" si="17"/>
        <v>138.1</v>
      </c>
      <c r="AI51" s="1304"/>
      <c r="AJ51" s="1840">
        <f>ROUND(AH51/AD51,3)</f>
        <v>0.27300000000000002</v>
      </c>
      <c r="AK51" s="1840"/>
      <c r="AL51" s="1818"/>
      <c r="AM51" s="1841"/>
    </row>
    <row r="52" spans="1:39" ht="18" customHeight="1">
      <c r="A52" s="1318" t="s">
        <v>322</v>
      </c>
      <c r="B52" s="1318"/>
      <c r="C52" s="1318"/>
      <c r="D52" s="255">
        <f>'Exhibit F'!J50</f>
        <v>1.4000000000000004</v>
      </c>
      <c r="E52" s="253"/>
      <c r="F52" s="253">
        <f>'Exhibit F'!AC50</f>
        <v>4.4000000000000004</v>
      </c>
      <c r="G52" s="253"/>
      <c r="H52" s="255">
        <v>0</v>
      </c>
      <c r="I52" s="1842"/>
      <c r="J52" s="255">
        <v>0</v>
      </c>
      <c r="K52" s="253"/>
      <c r="L52" s="255">
        <v>0</v>
      </c>
      <c r="M52" s="255"/>
      <c r="N52" s="255">
        <v>0</v>
      </c>
      <c r="O52" s="253"/>
      <c r="P52" s="255">
        <v>0</v>
      </c>
      <c r="Q52" s="1842"/>
      <c r="R52" s="255">
        <v>0</v>
      </c>
      <c r="S52" s="253"/>
      <c r="T52" s="2009"/>
      <c r="U52" s="2009"/>
      <c r="V52" s="1842">
        <f t="shared" si="15"/>
        <v>1.4000000000000004</v>
      </c>
      <c r="W52" s="253"/>
      <c r="X52" s="1842">
        <f t="shared" si="16"/>
        <v>4.4000000000000004</v>
      </c>
      <c r="Y52" s="1843"/>
      <c r="Z52" s="1844"/>
      <c r="AA52" s="253"/>
      <c r="AB52" s="512">
        <v>1.3</v>
      </c>
      <c r="AC52" s="253"/>
      <c r="AD52" s="512">
        <f>'Cashflow Governmental'!AE54</f>
        <v>4.9000000000000004</v>
      </c>
      <c r="AE52" s="512"/>
      <c r="AF52" s="1912"/>
      <c r="AG52" s="1843"/>
      <c r="AH52" s="1842">
        <f t="shared" si="17"/>
        <v>-0.5</v>
      </c>
      <c r="AI52" s="1304"/>
      <c r="AJ52" s="1840">
        <f>ROUND(AH52/AD52,3)</f>
        <v>-0.10199999999999999</v>
      </c>
      <c r="AK52" s="1840"/>
      <c r="AL52" s="1818"/>
      <c r="AM52" s="1841"/>
    </row>
    <row r="53" spans="1:39" ht="18" customHeight="1">
      <c r="A53" s="1318" t="s">
        <v>323</v>
      </c>
      <c r="B53" s="1318"/>
      <c r="C53" s="1318"/>
      <c r="D53" s="255">
        <f>'Exhibit F'!J51</f>
        <v>0</v>
      </c>
      <c r="E53" s="1842"/>
      <c r="F53" s="253">
        <f>'Exhibit F'!AC51</f>
        <v>0</v>
      </c>
      <c r="G53" s="253"/>
      <c r="H53" s="255">
        <v>0</v>
      </c>
      <c r="I53" s="1842"/>
      <c r="J53" s="255">
        <v>0</v>
      </c>
      <c r="K53" s="253"/>
      <c r="L53" s="1842">
        <f>'Exhibit H'!H26</f>
        <v>114.19999999999999</v>
      </c>
      <c r="M53" s="1842"/>
      <c r="N53" s="1842">
        <f>'Exhibit H'!AA26</f>
        <v>435.59999999999997</v>
      </c>
      <c r="O53" s="253"/>
      <c r="P53" s="512">
        <f>'Exhibit I'!K28</f>
        <v>25.8</v>
      </c>
      <c r="Q53" s="1842"/>
      <c r="R53" s="512">
        <f>'Exhibit I'!AD28</f>
        <v>51.5</v>
      </c>
      <c r="S53" s="253"/>
      <c r="T53" s="2009"/>
      <c r="U53" s="2009"/>
      <c r="V53" s="1842">
        <f t="shared" si="15"/>
        <v>140</v>
      </c>
      <c r="W53" s="253"/>
      <c r="X53" s="1842">
        <f t="shared" si="16"/>
        <v>487.09999999999997</v>
      </c>
      <c r="Y53" s="1843"/>
      <c r="Z53" s="1844"/>
      <c r="AA53" s="253"/>
      <c r="AB53" s="512">
        <v>112.4</v>
      </c>
      <c r="AC53" s="253"/>
      <c r="AD53" s="512">
        <f>'Cashflow Governmental'!AE55</f>
        <v>428.9</v>
      </c>
      <c r="AE53" s="1842"/>
      <c r="AF53" s="1912"/>
      <c r="AG53" s="1843"/>
      <c r="AH53" s="1842">
        <f t="shared" si="17"/>
        <v>58.2</v>
      </c>
      <c r="AI53" s="1864"/>
      <c r="AJ53" s="1840">
        <f>ROUND(AH53/AD53,3)</f>
        <v>0.13600000000000001</v>
      </c>
      <c r="AK53" s="1840"/>
      <c r="AL53" s="1818"/>
      <c r="AM53" s="1841"/>
    </row>
    <row r="54" spans="1:39" ht="18" customHeight="1">
      <c r="A54" s="1318" t="s">
        <v>324</v>
      </c>
      <c r="B54" s="1318"/>
      <c r="C54" s="1318"/>
      <c r="D54" s="255">
        <f>'Exhibit F'!J52</f>
        <v>0</v>
      </c>
      <c r="E54" s="253"/>
      <c r="F54" s="253">
        <f>'Exhibit F'!AC52</f>
        <v>0.1</v>
      </c>
      <c r="G54" s="253"/>
      <c r="H54" s="255">
        <v>0</v>
      </c>
      <c r="I54" s="1842"/>
      <c r="J54" s="255">
        <v>0</v>
      </c>
      <c r="K54" s="253"/>
      <c r="L54" s="255">
        <v>0</v>
      </c>
      <c r="M54" s="255"/>
      <c r="N54" s="255">
        <v>0</v>
      </c>
      <c r="O54" s="253"/>
      <c r="P54" s="255">
        <v>0</v>
      </c>
      <c r="Q54" s="1842"/>
      <c r="R54" s="255">
        <v>0</v>
      </c>
      <c r="S54" s="253"/>
      <c r="T54" s="2009"/>
      <c r="U54" s="2009"/>
      <c r="V54" s="1842">
        <f t="shared" si="15"/>
        <v>0</v>
      </c>
      <c r="W54" s="253"/>
      <c r="X54" s="1842">
        <f t="shared" si="16"/>
        <v>0.1</v>
      </c>
      <c r="Y54" s="1843"/>
      <c r="Z54" s="1844"/>
      <c r="AA54" s="253"/>
      <c r="AB54" s="512">
        <v>0</v>
      </c>
      <c r="AC54" s="253"/>
      <c r="AD54" s="512">
        <f>'Cashflow Governmental'!AE56</f>
        <v>0.1</v>
      </c>
      <c r="AE54" s="1842"/>
      <c r="AF54" s="1912"/>
      <c r="AG54" s="1843"/>
      <c r="AH54" s="1842">
        <f t="shared" si="17"/>
        <v>0</v>
      </c>
      <c r="AI54" s="1864"/>
      <c r="AJ54" s="266">
        <f>ROUND(IF(AD54=0,1,AH54/(AD54)),3)</f>
        <v>0</v>
      </c>
      <c r="AK54" s="1840"/>
      <c r="AL54" s="1818"/>
      <c r="AM54" s="1841"/>
    </row>
    <row r="55" spans="1:39" ht="18" customHeight="1">
      <c r="A55" s="420" t="s">
        <v>325</v>
      </c>
      <c r="B55" s="1318"/>
      <c r="C55" s="1318"/>
      <c r="D55" s="255">
        <f>'Exhibit F'!J53</f>
        <v>0.29999999999999993</v>
      </c>
      <c r="E55" s="253"/>
      <c r="F55" s="253">
        <f>'Exhibit F'!AC53</f>
        <v>0.6</v>
      </c>
      <c r="G55" s="253"/>
      <c r="H55" s="253">
        <v>0</v>
      </c>
      <c r="I55" s="1842"/>
      <c r="J55" s="1842">
        <v>0</v>
      </c>
      <c r="K55" s="253"/>
      <c r="L55" s="255">
        <f>'Exhibit H'!H27</f>
        <v>0.19999999999999993</v>
      </c>
      <c r="M55" s="1842"/>
      <c r="N55" s="255">
        <f>'Exhibit H'!AA27</f>
        <v>0.6</v>
      </c>
      <c r="O55" s="253"/>
      <c r="P55" s="255">
        <v>0</v>
      </c>
      <c r="Q55" s="1842"/>
      <c r="R55" s="255">
        <v>0</v>
      </c>
      <c r="S55" s="253"/>
      <c r="T55" s="2009"/>
      <c r="U55" s="2009"/>
      <c r="V55" s="1842">
        <f t="shared" ref="V55" si="18">SUM(D55)+SUM(H55)+SUM(L55)+SUM(P55)</f>
        <v>0.49999999999999989</v>
      </c>
      <c r="W55" s="253"/>
      <c r="X55" s="1842">
        <f t="shared" ref="X55" si="19">SUM(F55)+SUM(J55)+SUM(N55)+SUM(R55)</f>
        <v>1.2</v>
      </c>
      <c r="Y55" s="1843"/>
      <c r="Z55" s="1844"/>
      <c r="AA55" s="253"/>
      <c r="AB55" s="512">
        <v>0.5</v>
      </c>
      <c r="AC55" s="253"/>
      <c r="AD55" s="512">
        <f>'Cashflow Governmental'!AE57</f>
        <v>1.5</v>
      </c>
      <c r="AE55" s="1842"/>
      <c r="AF55" s="1912"/>
      <c r="AG55" s="1843"/>
      <c r="AH55" s="255">
        <f t="shared" ref="AH55" si="20">ROUND(SUM(X55)-SUM(AD55),1)</f>
        <v>-0.3</v>
      </c>
      <c r="AI55" s="1864"/>
      <c r="AJ55" s="266">
        <f>ROUND(IF(AD55=0,1,AH55/(AD55)),3)</f>
        <v>-0.2</v>
      </c>
      <c r="AK55" s="1840"/>
      <c r="AL55" s="1818"/>
      <c r="AM55" s="1841"/>
    </row>
    <row r="56" spans="1:39" ht="18" customHeight="1">
      <c r="A56" s="1317" t="s">
        <v>311</v>
      </c>
      <c r="B56" s="1318"/>
      <c r="C56" s="1318"/>
      <c r="D56" s="1006">
        <f>ROUND(SUM(D50:D55),1)</f>
        <v>272.7</v>
      </c>
      <c r="E56" s="1"/>
      <c r="F56" s="1006">
        <f>ROUND(SUM(F50:F55),1)</f>
        <v>649.6</v>
      </c>
      <c r="G56" s="1"/>
      <c r="H56" s="1847">
        <f>ROUND(SUM(H50:H55),1)</f>
        <v>0</v>
      </c>
      <c r="I56" s="1846"/>
      <c r="J56" s="1847">
        <f>ROUND(SUM(J50:J55),1)</f>
        <v>0</v>
      </c>
      <c r="K56" s="1"/>
      <c r="L56" s="1006">
        <f>ROUND(SUM(L50:L55),1)</f>
        <v>114.4</v>
      </c>
      <c r="M56" s="1"/>
      <c r="N56" s="1006">
        <f>ROUND(SUM(N50:N55),1)</f>
        <v>436.2</v>
      </c>
      <c r="O56" s="1" t="s">
        <v>103</v>
      </c>
      <c r="P56" s="1006">
        <f>ROUND(SUM(P50:P55),1)</f>
        <v>25.8</v>
      </c>
      <c r="Q56" s="1"/>
      <c r="R56" s="1006">
        <f>ROUND(SUM(R50:R55),1)</f>
        <v>51.5</v>
      </c>
      <c r="S56" s="1"/>
      <c r="T56" s="2011"/>
      <c r="U56" s="2011"/>
      <c r="V56" s="1847">
        <f>ROUND(SUM(V50:V55),1)</f>
        <v>412.9</v>
      </c>
      <c r="W56" s="1"/>
      <c r="X56" s="1847">
        <f>ROUND(SUM(X50:X55),1)</f>
        <v>1137.3</v>
      </c>
      <c r="Y56" s="1857"/>
      <c r="Z56" s="1849"/>
      <c r="AA56" s="1"/>
      <c r="AB56" s="1847">
        <f>ROUND(SUM(AB50:AB55),1)</f>
        <v>225.3</v>
      </c>
      <c r="AC56" s="1"/>
      <c r="AD56" s="1847">
        <f>ROUND(SUM(AD50:AD55),1)</f>
        <v>941.8</v>
      </c>
      <c r="AE56" s="1846"/>
      <c r="AF56" s="1913"/>
      <c r="AG56" s="1848"/>
      <c r="AH56" s="1858">
        <f t="shared" si="17"/>
        <v>195.5</v>
      </c>
      <c r="AI56" s="1300"/>
      <c r="AJ56" s="1859">
        <f>ROUND(AH56/AD56,3)</f>
        <v>0.20799999999999999</v>
      </c>
      <c r="AK56" s="1852"/>
      <c r="AL56" s="1853"/>
      <c r="AM56" s="1841"/>
    </row>
    <row r="57" spans="1:39" ht="18" customHeight="1">
      <c r="A57" s="1318"/>
      <c r="B57" s="1318"/>
      <c r="C57" s="1318"/>
      <c r="D57" s="1333"/>
      <c r="E57" s="1300"/>
      <c r="F57" s="1333"/>
      <c r="G57" s="285"/>
      <c r="H57" s="1333"/>
      <c r="I57" s="1300"/>
      <c r="J57" s="1333"/>
      <c r="K57" s="285"/>
      <c r="L57" s="1333"/>
      <c r="M57" s="1300"/>
      <c r="N57" s="1333"/>
      <c r="O57" s="285"/>
      <c r="P57" s="1333"/>
      <c r="Q57" s="1300"/>
      <c r="R57" s="1333"/>
      <c r="S57" s="285"/>
      <c r="T57" s="2028"/>
      <c r="U57" s="2028"/>
      <c r="V57" s="1333"/>
      <c r="W57" s="285"/>
      <c r="X57" s="1333"/>
      <c r="Y57" s="1300"/>
      <c r="Z57" s="1865"/>
      <c r="AA57" s="285"/>
      <c r="AB57" s="1333"/>
      <c r="AC57" s="285"/>
      <c r="AD57" s="1333"/>
      <c r="AE57" s="1300"/>
      <c r="AF57" s="1914"/>
      <c r="AG57" s="1300"/>
      <c r="AH57" s="1866"/>
      <c r="AI57" s="1300"/>
      <c r="AJ57" s="1867"/>
      <c r="AK57" s="1853"/>
      <c r="AL57" s="1853"/>
      <c r="AM57" s="1841"/>
    </row>
    <row r="58" spans="1:39" ht="18" customHeight="1" thickBot="1">
      <c r="A58" s="1317" t="s">
        <v>326</v>
      </c>
      <c r="B58" s="1318"/>
      <c r="C58" s="1318"/>
      <c r="D58" s="1302">
        <f>ROUND(SUM(D25)+SUM(D38)+SUM(D47)+SUM(D56),1)</f>
        <v>3744.2</v>
      </c>
      <c r="E58" s="1306"/>
      <c r="F58" s="1302">
        <f>ROUND(SUM(F25)+SUM(F38)+SUM(F47)+SUM(F56),1)</f>
        <v>23122.6</v>
      </c>
      <c r="G58" s="2029"/>
      <c r="H58" s="1302">
        <f>ROUND(SUM(H25)+SUM(H38)+SUM(H47)+SUM(H56),1)</f>
        <v>280</v>
      </c>
      <c r="I58" s="1306"/>
      <c r="J58" s="1302">
        <f>ROUND(SUM(J25)+SUM(J38)+SUM(J47)+SUM(J56),1)</f>
        <v>1983.6</v>
      </c>
      <c r="K58" s="1306"/>
      <c r="L58" s="1302">
        <f>ROUND(SUM(L25)+SUM(L38)+SUM(L47)+SUM(L56),1)</f>
        <v>3412.4</v>
      </c>
      <c r="M58" s="1306"/>
      <c r="N58" s="1302">
        <f>ROUND(SUM(N25)+SUM(N38)+SUM(N47)+SUM(N56),1)</f>
        <v>19244.8</v>
      </c>
      <c r="O58" s="1306"/>
      <c r="P58" s="1302">
        <f>ROUND(SUM(P25)+SUM(P38)+SUM(P47)+SUM(P56),1)</f>
        <v>128.1</v>
      </c>
      <c r="Q58" s="1306"/>
      <c r="R58" s="1302">
        <f>ROUND(SUM(R25)+SUM(R38)+SUM(R47)+SUM(R56),1)</f>
        <v>443</v>
      </c>
      <c r="S58" s="1306"/>
      <c r="T58" s="2030"/>
      <c r="U58" s="1306"/>
      <c r="V58" s="1868">
        <f>ROUND(SUM(V25)+SUM(V38)+SUM(V47)+SUM(V56),1)</f>
        <v>7564.7</v>
      </c>
      <c r="W58" s="1306"/>
      <c r="X58" s="1868">
        <f>ROUND(SUM(X25)+SUM(X38)+SUM(X47)+SUM(X56),1)</f>
        <v>44794</v>
      </c>
      <c r="Y58" s="1869"/>
      <c r="Z58" s="1870"/>
      <c r="AA58" s="1306"/>
      <c r="AB58" s="1868">
        <f>ROUND(SUM(AB25)+SUM(AB38)+SUM(AB47)+SUM(AB56),1)</f>
        <v>6812.6</v>
      </c>
      <c r="AC58" s="1306"/>
      <c r="AD58" s="1868">
        <f>ROUND(SUM(AD25)+SUM(AD38)+SUM(AD47)+SUM(AD56),1)</f>
        <v>40021.1</v>
      </c>
      <c r="AE58" s="1306"/>
      <c r="AF58" s="1915"/>
      <c r="AG58" s="1306"/>
      <c r="AH58" s="1302">
        <f>ROUND(SUM(X58)-SUM(AD58),1)</f>
        <v>4772.8999999999996</v>
      </c>
      <c r="AI58" s="1300"/>
      <c r="AJ58" s="1871">
        <f>ROUND(AH58/AD58,3)</f>
        <v>0.11899999999999999</v>
      </c>
      <c r="AK58" s="1852"/>
      <c r="AL58" s="1853"/>
      <c r="AM58" s="1841"/>
    </row>
    <row r="59" spans="1:39" ht="15" customHeight="1" thickTop="1">
      <c r="F59" s="1313" t="s">
        <v>103</v>
      </c>
      <c r="J59" s="1313" t="s">
        <v>103</v>
      </c>
      <c r="M59" s="1313" t="s">
        <v>103</v>
      </c>
      <c r="N59" s="1313" t="s">
        <v>103</v>
      </c>
      <c r="R59" s="1313" t="s">
        <v>103</v>
      </c>
      <c r="X59" s="1313" t="s">
        <v>103</v>
      </c>
    </row>
    <row r="60" spans="1:39" ht="15" customHeight="1">
      <c r="F60" s="1313" t="s">
        <v>103</v>
      </c>
    </row>
    <row r="61" spans="1:39">
      <c r="H61" s="1313" t="s">
        <v>103</v>
      </c>
      <c r="N61" s="1313" t="s">
        <v>103</v>
      </c>
      <c r="V61" s="1313" t="s">
        <v>103</v>
      </c>
    </row>
    <row r="62" spans="1:39">
      <c r="H62" s="1313" t="s">
        <v>103</v>
      </c>
      <c r="N62" s="1313" t="s">
        <v>103</v>
      </c>
    </row>
    <row r="63" spans="1:39">
      <c r="H63" s="1313" t="s">
        <v>103</v>
      </c>
      <c r="N63" s="1313" t="s">
        <v>103</v>
      </c>
    </row>
    <row r="64" spans="1:39">
      <c r="N64" s="1313" t="s">
        <v>103</v>
      </c>
    </row>
    <row r="66" ht="15" customHeight="1"/>
  </sheetData>
  <printOptions horizontalCentered="1"/>
  <pageMargins left="0.4" right="0.25" top="0.5" bottom="0.40277777777777801" header="0" footer="0.25"/>
  <pageSetup scale="43" firstPageNumber="15" orientation="landscape" useFirstPageNumber="1" r:id="rId1"/>
  <headerFooter scaleWithDoc="0" alignWithMargins="0">
    <oddFooter>&amp;C&amp;8&amp;P</oddFooter>
  </headerFooter>
  <customProperties>
    <customPr name="SheetOptions" r:id="rId2"/>
  </customProperties>
  <ignoredErrors>
    <ignoredError sqref="F38 R38 F47 AJ50 AJ22 AJ31:AJ33" unlockedFormula="1"/>
    <ignoredError sqref="AH24 AJ19 AH19 V31 V21:X22 AJ21 V23 V44 AJ55"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autoPageBreaks="0"/>
  </sheetPr>
  <dimension ref="A1:AK162"/>
  <sheetViews>
    <sheetView showGridLines="0" zoomScale="80" workbookViewId="0"/>
  </sheetViews>
  <sheetFormatPr defaultColWidth="8.84375" defaultRowHeight="16.5" customHeight="1"/>
  <cols>
    <col min="1" max="1" width="43.84375" style="58" customWidth="1"/>
    <col min="2" max="2" width="1.84375" style="58" customWidth="1"/>
    <col min="3" max="3" width="13.4609375" style="58" customWidth="1"/>
    <col min="4" max="4" width="1.84375" style="58" customWidth="1"/>
    <col min="5" max="5" width="13.07421875" style="58" customWidth="1"/>
    <col min="6" max="6" width="1.84375" style="58" customWidth="1"/>
    <col min="7" max="7" width="15.07421875" style="58" customWidth="1"/>
    <col min="8" max="8" width="1.84375" style="58" customWidth="1"/>
    <col min="9" max="9" width="14.84375" style="58" customWidth="1"/>
    <col min="10" max="10" width="1.84375" style="58" customWidth="1"/>
    <col min="11" max="11" width="13.07421875" style="58" customWidth="1"/>
    <col min="12" max="12" width="1.84375" style="58" customWidth="1"/>
    <col min="13" max="13" width="13.07421875" style="58" customWidth="1"/>
    <col min="14" max="14" width="1.84375" style="58" customWidth="1"/>
    <col min="15" max="15" width="13.07421875" style="58" customWidth="1"/>
    <col min="16" max="16" width="1.84375" style="58" customWidth="1"/>
    <col min="17" max="17" width="13.4609375" style="58" customWidth="1"/>
    <col min="18" max="18" width="1.84375" style="58" customWidth="1"/>
    <col min="19" max="19" width="13.07421875" style="58" customWidth="1"/>
    <col min="20" max="20" width="1.84375" style="58" customWidth="1"/>
    <col min="21" max="21" width="13" style="58" customWidth="1"/>
    <col min="22" max="22" width="1.84375" style="58" customWidth="1"/>
    <col min="23" max="23" width="13.84375" style="58" customWidth="1"/>
    <col min="24" max="24" width="1.84375" style="58" customWidth="1"/>
    <col min="25" max="25" width="12.84375" style="58" customWidth="1"/>
    <col min="26" max="27" width="0.84375" style="58" customWidth="1"/>
    <col min="28" max="28" width="15.07421875" style="58" customWidth="1"/>
    <col min="29" max="30" width="0.84375" style="58" customWidth="1"/>
    <col min="31" max="31" width="15.07421875" style="58" customWidth="1"/>
    <col min="32" max="33" width="0.84375" style="58" customWidth="1"/>
    <col min="34" max="34" width="12.84375" style="58" bestFit="1" customWidth="1"/>
    <col min="35" max="35" width="1.07421875" style="58" customWidth="1"/>
    <col min="36" max="36" width="12.4609375" style="58" customWidth="1"/>
    <col min="37" max="16384" width="8.84375" style="58"/>
  </cols>
  <sheetData>
    <row r="1" spans="1:37" ht="16.5" customHeight="1">
      <c r="A1" s="265" t="s">
        <v>97</v>
      </c>
    </row>
    <row r="2" spans="1:37" ht="16.5" customHeight="1">
      <c r="A2" s="354"/>
    </row>
    <row r="3" spans="1:37" ht="23.15" customHeight="1">
      <c r="A3" s="60" t="s">
        <v>98</v>
      </c>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I3" s="62"/>
    </row>
    <row r="4" spans="1:37" ht="23.25" customHeight="1">
      <c r="A4" s="60" t="s">
        <v>327</v>
      </c>
      <c r="B4" s="62"/>
      <c r="C4" s="62"/>
      <c r="D4" s="62"/>
      <c r="E4" s="62"/>
      <c r="F4" s="62"/>
      <c r="G4" s="62"/>
      <c r="H4" s="62"/>
      <c r="I4" s="62" t="s">
        <v>103</v>
      </c>
      <c r="J4" s="62"/>
      <c r="K4" s="62"/>
      <c r="L4" s="62"/>
      <c r="M4" s="62"/>
      <c r="N4" s="62"/>
      <c r="O4" s="62"/>
      <c r="P4" s="62"/>
      <c r="Q4" s="62"/>
      <c r="R4" s="62"/>
      <c r="S4" s="62"/>
      <c r="T4" s="62"/>
      <c r="U4" s="62"/>
      <c r="V4" s="62"/>
      <c r="W4" s="62"/>
      <c r="X4" s="62"/>
      <c r="Y4" s="62" t="s">
        <v>103</v>
      </c>
      <c r="Z4" s="62"/>
      <c r="AA4" s="62"/>
      <c r="AB4" s="62"/>
      <c r="AC4" s="62"/>
      <c r="AD4" s="62"/>
      <c r="AE4" s="62"/>
      <c r="AF4" s="62"/>
      <c r="AG4" s="62"/>
      <c r="AI4" s="62"/>
    </row>
    <row r="5" spans="1:37" ht="23.25" customHeight="1">
      <c r="A5" s="61" t="s">
        <v>328</v>
      </c>
      <c r="B5" s="62"/>
      <c r="C5" s="62"/>
      <c r="D5" s="62"/>
      <c r="E5" s="62"/>
      <c r="F5" s="62"/>
      <c r="G5" s="62"/>
      <c r="H5" s="62"/>
      <c r="I5" s="62"/>
      <c r="J5" s="62"/>
      <c r="K5" s="62"/>
      <c r="L5" s="62"/>
      <c r="M5" s="62"/>
      <c r="N5" s="62"/>
      <c r="O5" s="62"/>
      <c r="P5" s="62"/>
      <c r="Q5" s="62"/>
      <c r="R5" s="62"/>
      <c r="S5" s="62"/>
      <c r="T5" s="62"/>
      <c r="U5" s="62"/>
      <c r="V5" s="62"/>
      <c r="W5" s="62"/>
      <c r="X5" s="62"/>
      <c r="Y5" s="62"/>
      <c r="Z5" s="62"/>
      <c r="AA5" s="62"/>
      <c r="AC5" s="2061"/>
      <c r="AD5" s="2062"/>
      <c r="AE5" s="2062"/>
      <c r="AF5" s="2062"/>
      <c r="AG5" s="2062"/>
      <c r="AH5" s="2062"/>
      <c r="AI5" s="2062"/>
      <c r="AJ5" s="2062"/>
    </row>
    <row r="6" spans="1:37" ht="23.25" customHeight="1">
      <c r="A6" s="61" t="str">
        <f>'Exh D Governmental  '!A5</f>
        <v>FISCAL YEAR 2026-2027</v>
      </c>
      <c r="B6" s="62"/>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I6" s="62"/>
    </row>
    <row r="7" spans="1:37" ht="23.25" customHeight="1">
      <c r="A7" s="60" t="s">
        <v>102</v>
      </c>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I7" s="62"/>
    </row>
    <row r="8" spans="1:37" ht="16.5" customHeight="1">
      <c r="A8" s="62"/>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I8" s="62"/>
    </row>
    <row r="9" spans="1:37" ht="16.5" customHeight="1">
      <c r="A9" s="62"/>
      <c r="B9" s="62"/>
      <c r="C9" s="62"/>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I9" s="62"/>
    </row>
    <row r="10" spans="1:37" ht="16.5" customHeight="1">
      <c r="A10" s="62"/>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I10" s="62"/>
    </row>
    <row r="11" spans="1:37" ht="16.5" customHeight="1">
      <c r="A11" s="62"/>
      <c r="B11" s="62"/>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C11" s="62"/>
      <c r="AD11" s="62"/>
      <c r="AE11" s="62"/>
      <c r="AF11" s="62"/>
      <c r="AG11" s="62"/>
      <c r="AI11" s="62"/>
    </row>
    <row r="12" spans="1:37" ht="16.5" customHeight="1">
      <c r="A12" s="62"/>
      <c r="B12" s="62"/>
      <c r="C12" s="62" t="s">
        <v>103</v>
      </c>
      <c r="D12" s="62" t="s">
        <v>103</v>
      </c>
      <c r="E12" s="62"/>
      <c r="F12" s="62"/>
      <c r="G12" s="62"/>
      <c r="H12" s="62"/>
      <c r="I12" s="62"/>
      <c r="J12" s="62"/>
      <c r="K12" s="62"/>
      <c r="L12" s="62"/>
      <c r="M12" s="62"/>
      <c r="N12" s="62"/>
      <c r="O12" s="62"/>
      <c r="P12" s="62"/>
      <c r="Q12" s="62"/>
      <c r="R12" s="62"/>
      <c r="S12" s="62"/>
      <c r="T12" s="62"/>
      <c r="U12" s="62"/>
      <c r="V12" s="62"/>
      <c r="W12" s="62"/>
      <c r="X12" s="62"/>
      <c r="Z12" s="62"/>
      <c r="AA12" s="189"/>
      <c r="AB12" s="2063" t="str">
        <f>_xlfn.CONCAT(_xlfn.TEXTBEFORE('Exhibit A'!F11," ")," Months Ended ",PROPER(LEFT(_xlfn.TEXTAFTER('Exh D Governmental  '!A6," ",4),FIND(",",_xlfn.TEXTAFTER('Exh D Governmental  '!A6," ",4))-1)))</f>
        <v>4 Months Ended July 31</v>
      </c>
      <c r="AC12" s="2059"/>
      <c r="AD12" s="2059"/>
      <c r="AE12" s="2059"/>
      <c r="AF12" s="2059"/>
      <c r="AG12" s="2059"/>
      <c r="AH12" s="2059"/>
      <c r="AI12" s="2059"/>
      <c r="AJ12" s="2059"/>
    </row>
    <row r="13" spans="1:37" ht="16.5" customHeight="1">
      <c r="A13" s="62"/>
      <c r="B13" s="62"/>
      <c r="C13" s="558" t="str">
        <f>RIGHT(_xlfn.TEXTBEFORE(A6,"-"),4)</f>
        <v>2026</v>
      </c>
      <c r="D13" s="187"/>
      <c r="E13" s="187"/>
      <c r="F13" s="187"/>
      <c r="G13" s="187"/>
      <c r="H13" s="187"/>
      <c r="I13" s="187"/>
      <c r="J13" s="187"/>
      <c r="K13" s="187"/>
      <c r="L13" s="187"/>
      <c r="M13" s="187"/>
      <c r="N13" s="187"/>
      <c r="O13" s="187"/>
      <c r="P13" s="187"/>
      <c r="Q13" s="187"/>
      <c r="R13" s="187"/>
      <c r="S13" s="187"/>
      <c r="T13" s="187"/>
      <c r="U13" s="558">
        <f>C13+1</f>
        <v>2027</v>
      </c>
      <c r="V13" s="187"/>
      <c r="W13" s="187"/>
      <c r="X13" s="187"/>
      <c r="Y13" s="187"/>
      <c r="Z13" s="187"/>
      <c r="AA13" s="187"/>
      <c r="AB13" s="187"/>
      <c r="AC13" s="187"/>
      <c r="AD13" s="187"/>
      <c r="AE13" s="187"/>
      <c r="AF13" s="187"/>
      <c r="AG13" s="187"/>
      <c r="AH13" s="317" t="s">
        <v>110</v>
      </c>
      <c r="AI13" s="855"/>
      <c r="AJ13" s="317" t="s">
        <v>111</v>
      </c>
    </row>
    <row r="14" spans="1:37" ht="16.5" customHeight="1">
      <c r="A14" s="62"/>
      <c r="B14" s="62"/>
      <c r="C14" s="317" t="s">
        <v>329</v>
      </c>
      <c r="D14" s="187"/>
      <c r="E14" s="317" t="s">
        <v>330</v>
      </c>
      <c r="F14" s="187"/>
      <c r="G14" s="317" t="s">
        <v>331</v>
      </c>
      <c r="H14" s="187"/>
      <c r="I14" s="317" t="s">
        <v>332</v>
      </c>
      <c r="J14" s="187"/>
      <c r="K14" s="317" t="s">
        <v>333</v>
      </c>
      <c r="L14" s="187"/>
      <c r="M14" s="317" t="s">
        <v>334</v>
      </c>
      <c r="N14" s="187"/>
      <c r="O14" s="317" t="s">
        <v>335</v>
      </c>
      <c r="P14" s="187"/>
      <c r="Q14" s="317" t="s">
        <v>336</v>
      </c>
      <c r="R14" s="187"/>
      <c r="S14" s="317" t="s">
        <v>337</v>
      </c>
      <c r="T14" s="187"/>
      <c r="U14" s="317" t="s">
        <v>338</v>
      </c>
      <c r="V14" s="187"/>
      <c r="W14" s="317" t="s">
        <v>339</v>
      </c>
      <c r="X14" s="187"/>
      <c r="Y14" s="317" t="s">
        <v>340</v>
      </c>
      <c r="Z14" s="187"/>
      <c r="AA14" s="187"/>
      <c r="AB14" s="851" t="str">
        <f>RIGHT('Exhibit A'!D12,4)</f>
        <v>2026</v>
      </c>
      <c r="AC14" s="187"/>
      <c r="AD14" s="187"/>
      <c r="AE14" s="851" t="str">
        <f>RIGHT('Exhibit A'!AB12,4)</f>
        <v>2025</v>
      </c>
      <c r="AF14" s="187"/>
      <c r="AG14" s="187"/>
      <c r="AH14" s="867" t="s">
        <v>112</v>
      </c>
      <c r="AI14" s="855"/>
      <c r="AJ14" s="867" t="s">
        <v>113</v>
      </c>
    </row>
    <row r="15" spans="1:37" ht="6" customHeight="1">
      <c r="A15" s="62"/>
      <c r="B15" s="62"/>
      <c r="C15" s="1007"/>
      <c r="D15" s="62"/>
      <c r="E15" s="1007"/>
      <c r="F15" s="62"/>
      <c r="G15" s="1007"/>
      <c r="H15" s="62"/>
      <c r="I15" s="1007"/>
      <c r="J15" s="62"/>
      <c r="K15" s="1007"/>
      <c r="L15" s="62"/>
      <c r="M15" s="1007"/>
      <c r="N15" s="62"/>
      <c r="O15" s="1007" t="s">
        <v>103</v>
      </c>
      <c r="P15" s="62"/>
      <c r="Q15" s="1007"/>
      <c r="R15" s="62"/>
      <c r="S15" s="1007"/>
      <c r="T15" s="62"/>
      <c r="U15" s="1007" t="s">
        <v>103</v>
      </c>
      <c r="V15" s="62"/>
      <c r="W15" s="1007"/>
      <c r="X15" s="62"/>
      <c r="Y15" s="1007"/>
      <c r="Z15" s="62"/>
      <c r="AA15" s="62"/>
      <c r="AB15" s="1007"/>
      <c r="AC15" s="62"/>
      <c r="AD15" s="62"/>
      <c r="AE15" s="1007"/>
      <c r="AF15" s="62"/>
      <c r="AG15" s="190"/>
      <c r="AI15" s="62"/>
    </row>
    <row r="16" spans="1:37" ht="16.5" customHeight="1">
      <c r="A16" s="188" t="s">
        <v>341</v>
      </c>
      <c r="B16" s="62"/>
      <c r="C16" s="190">
        <f>'Exhibit F'!D13+'Exhibit G'!D13+'Exhibit H'!B13+'Exhibit I'!E13</f>
        <v>75007.799999999988</v>
      </c>
      <c r="D16" s="190"/>
      <c r="E16" s="190">
        <f>C148</f>
        <v>81217.2</v>
      </c>
      <c r="F16" s="190"/>
      <c r="G16" s="190">
        <f>E148</f>
        <v>75589.7</v>
      </c>
      <c r="H16" s="190"/>
      <c r="I16" s="190">
        <f>G148</f>
        <v>88799.6</v>
      </c>
      <c r="J16" s="190"/>
      <c r="K16" s="190"/>
      <c r="L16" s="190"/>
      <c r="M16" s="190"/>
      <c r="N16" s="190"/>
      <c r="O16" s="190"/>
      <c r="P16" s="190"/>
      <c r="Q16" s="190"/>
      <c r="R16" s="190"/>
      <c r="S16" s="190"/>
      <c r="T16" s="190"/>
      <c r="U16" s="190"/>
      <c r="V16" s="190"/>
      <c r="W16" s="190"/>
      <c r="X16" s="190"/>
      <c r="Y16" s="190"/>
      <c r="Z16" s="190"/>
      <c r="AA16" s="191"/>
      <c r="AB16" s="190">
        <f>C16</f>
        <v>75007.799999999988</v>
      </c>
      <c r="AC16" s="190"/>
      <c r="AD16" s="856"/>
      <c r="AE16" s="190">
        <f>'Exhibit F'!AF13+'Exhibit G'!AH13+'Exhibit H'!AD13+'Exhibit I'!AG13</f>
        <v>73696.399999999994</v>
      </c>
      <c r="AF16" s="1538"/>
      <c r="AH16" s="190">
        <f>ROUND(SUM(AB16-AE16),1)</f>
        <v>1311.4</v>
      </c>
      <c r="AI16" s="187"/>
      <c r="AJ16" s="74">
        <f>ROUND(SUM(AH16/AE16),3)</f>
        <v>1.7999999999999999E-2</v>
      </c>
      <c r="AK16" s="129"/>
    </row>
    <row r="17" spans="1:37" ht="16.5" customHeight="1">
      <c r="A17" s="62"/>
      <c r="B17" s="62"/>
      <c r="C17" s="62" t="s">
        <v>103</v>
      </c>
      <c r="D17" s="62"/>
      <c r="E17" s="192"/>
      <c r="F17" s="192"/>
      <c r="G17" s="192"/>
      <c r="H17" s="62"/>
      <c r="I17" s="192"/>
      <c r="J17" s="62"/>
      <c r="K17" s="192"/>
      <c r="L17" s="62"/>
      <c r="M17" s="192"/>
      <c r="N17" s="62"/>
      <c r="O17" s="192"/>
      <c r="P17" s="62"/>
      <c r="Q17" s="192"/>
      <c r="R17" s="62"/>
      <c r="S17" s="192"/>
      <c r="T17" s="62"/>
      <c r="U17" s="192"/>
      <c r="V17" s="62"/>
      <c r="W17" s="192"/>
      <c r="X17" s="62"/>
      <c r="Y17" s="192"/>
      <c r="Z17" s="62"/>
      <c r="AA17" s="193"/>
      <c r="AB17" s="62" t="s">
        <v>103</v>
      </c>
      <c r="AC17" s="62"/>
      <c r="AD17" s="857"/>
      <c r="AE17" s="62" t="s">
        <v>103</v>
      </c>
      <c r="AF17" s="1537"/>
      <c r="AG17" s="62"/>
      <c r="AH17" s="268"/>
      <c r="AI17" s="62"/>
      <c r="AJ17" s="268"/>
    </row>
    <row r="18" spans="1:37" ht="16.5" customHeight="1">
      <c r="A18" s="40" t="s">
        <v>114</v>
      </c>
      <c r="B18" s="62"/>
      <c r="C18" s="62"/>
      <c r="D18" s="62"/>
      <c r="E18" s="192"/>
      <c r="F18" s="192"/>
      <c r="G18" s="192"/>
      <c r="H18" s="62"/>
      <c r="I18" s="192"/>
      <c r="J18" s="62"/>
      <c r="K18" s="192"/>
      <c r="L18" s="62"/>
      <c r="M18" s="192"/>
      <c r="N18" s="62"/>
      <c r="O18" s="192"/>
      <c r="P18" s="62"/>
      <c r="Q18" s="192"/>
      <c r="R18" s="62"/>
      <c r="S18" s="192"/>
      <c r="T18" s="62"/>
      <c r="U18" s="192"/>
      <c r="V18" s="62"/>
      <c r="W18" s="192"/>
      <c r="X18" s="62"/>
      <c r="Y18" s="192"/>
      <c r="Z18" s="62"/>
      <c r="AA18" s="193"/>
      <c r="AB18" s="62"/>
      <c r="AC18" s="62"/>
      <c r="AD18" s="857"/>
      <c r="AE18" s="62"/>
      <c r="AF18" s="1537"/>
      <c r="AG18" s="62"/>
      <c r="AH18" s="268"/>
      <c r="AI18" s="62"/>
      <c r="AJ18" s="268"/>
    </row>
    <row r="19" spans="1:37" ht="16.5" customHeight="1">
      <c r="A19" s="1211" t="s">
        <v>342</v>
      </c>
      <c r="B19" s="62"/>
      <c r="C19" s="62"/>
      <c r="D19" s="62"/>
      <c r="E19" s="192"/>
      <c r="F19" s="192"/>
      <c r="G19" s="192"/>
      <c r="H19" s="62"/>
      <c r="I19" s="192"/>
      <c r="J19" s="62"/>
      <c r="K19" s="192"/>
      <c r="L19" s="62"/>
      <c r="M19" s="192"/>
      <c r="N19" s="62"/>
      <c r="O19" s="192"/>
      <c r="P19" s="62"/>
      <c r="Q19" s="192"/>
      <c r="R19" s="62"/>
      <c r="S19" s="192"/>
      <c r="T19" s="62"/>
      <c r="U19" s="192"/>
      <c r="V19" s="62"/>
      <c r="W19" s="192"/>
      <c r="X19" s="62"/>
      <c r="Y19" s="192"/>
      <c r="Z19" s="62"/>
      <c r="AA19" s="193"/>
      <c r="AB19" s="62"/>
      <c r="AC19" s="62"/>
      <c r="AD19" s="857"/>
      <c r="AE19" s="62"/>
      <c r="AF19" s="1537"/>
      <c r="AG19" s="62"/>
      <c r="AH19" s="268"/>
      <c r="AI19" s="62"/>
      <c r="AJ19" s="268"/>
    </row>
    <row r="20" spans="1:37" ht="16.5" customHeight="1">
      <c r="A20" s="412" t="s">
        <v>343</v>
      </c>
      <c r="B20" s="284"/>
      <c r="C20" s="254"/>
      <c r="D20" s="254"/>
      <c r="E20" s="254"/>
      <c r="F20" s="254"/>
      <c r="G20" s="254"/>
      <c r="H20" s="62"/>
      <c r="I20" s="254"/>
      <c r="J20" s="62"/>
      <c r="K20" s="192"/>
      <c r="L20" s="62"/>
      <c r="M20" s="192"/>
      <c r="N20" s="62"/>
      <c r="O20" s="192"/>
      <c r="P20" s="62"/>
      <c r="Q20" s="192"/>
      <c r="R20" s="62"/>
      <c r="S20" s="192"/>
      <c r="T20" s="62"/>
      <c r="U20" s="192"/>
      <c r="V20" s="62"/>
      <c r="W20" s="192"/>
      <c r="X20" s="62"/>
      <c r="Y20" s="192"/>
      <c r="Z20" s="62"/>
      <c r="AA20" s="390"/>
      <c r="AB20" s="62"/>
      <c r="AC20" s="62"/>
      <c r="AD20" s="857"/>
      <c r="AE20" s="62"/>
      <c r="AF20" s="1537"/>
      <c r="AG20" s="62"/>
      <c r="AH20" s="268"/>
      <c r="AI20" s="62"/>
      <c r="AJ20" s="268"/>
    </row>
    <row r="21" spans="1:37" ht="16.5" customHeight="1">
      <c r="A21" s="284" t="s">
        <v>344</v>
      </c>
      <c r="B21" s="284"/>
      <c r="C21" s="105">
        <f>+'Exhibit F'!D18</f>
        <v>5407.3</v>
      </c>
      <c r="D21" s="105"/>
      <c r="E21" s="105">
        <f>+'Exhibit F'!F18</f>
        <v>4600.9999999999991</v>
      </c>
      <c r="F21" s="105"/>
      <c r="G21" s="105">
        <f>+'Exhibit F'!H18</f>
        <v>4759.4999999999991</v>
      </c>
      <c r="H21" s="194"/>
      <c r="I21" s="105">
        <f>+'Exhibit F'!J18</f>
        <v>4880.7999999999984</v>
      </c>
      <c r="J21" s="194"/>
      <c r="K21" s="105"/>
      <c r="L21" s="62"/>
      <c r="M21" s="105"/>
      <c r="N21" s="62"/>
      <c r="O21" s="105"/>
      <c r="P21" s="62"/>
      <c r="Q21" s="105"/>
      <c r="R21" s="105"/>
      <c r="S21" s="105"/>
      <c r="T21" s="105"/>
      <c r="U21" s="105"/>
      <c r="V21" s="105"/>
      <c r="W21" s="105"/>
      <c r="X21" s="105"/>
      <c r="Y21" s="105"/>
      <c r="Z21" s="62"/>
      <c r="AA21" s="390"/>
      <c r="AB21" s="194">
        <f>ROUND(SUM(C21:Y21),1)</f>
        <v>19648.599999999999</v>
      </c>
      <c r="AC21" s="62"/>
      <c r="AD21" s="857"/>
      <c r="AE21" s="105">
        <f>+'Exhibit F'!AF18</f>
        <v>18151.099999999999</v>
      </c>
      <c r="AF21" s="1537"/>
      <c r="AG21" s="62"/>
      <c r="AH21" s="264">
        <f>ROUND(SUM(+AB21-AE21),1)</f>
        <v>1497.5</v>
      </c>
      <c r="AI21" s="63"/>
      <c r="AJ21" s="374">
        <f>ROUND(IF(AE21=0,0,AH21/ABS(AE21)),3)</f>
        <v>8.3000000000000004E-2</v>
      </c>
    </row>
    <row r="22" spans="1:37" ht="16.5" customHeight="1">
      <c r="A22" s="284" t="s">
        <v>345</v>
      </c>
      <c r="B22" s="286"/>
      <c r="C22" s="105">
        <f>+'Exhibit F'!D19</f>
        <v>7071.9</v>
      </c>
      <c r="D22" s="105"/>
      <c r="E22" s="105">
        <f>+'Exhibit F'!F19</f>
        <v>102.80000000000018</v>
      </c>
      <c r="F22" s="105"/>
      <c r="G22" s="105">
        <f>+'Exhibit F'!H19</f>
        <v>2120.6999999999989</v>
      </c>
      <c r="H22" s="194"/>
      <c r="I22" s="105">
        <f>+'Exhibit F'!J19</f>
        <v>121.60000000000127</v>
      </c>
      <c r="J22" s="194"/>
      <c r="K22" s="105"/>
      <c r="L22" s="62"/>
      <c r="M22" s="105"/>
      <c r="N22" s="62"/>
      <c r="O22" s="105"/>
      <c r="P22" s="62"/>
      <c r="Q22" s="105"/>
      <c r="R22" s="62"/>
      <c r="S22" s="105"/>
      <c r="T22" s="62"/>
      <c r="U22" s="105"/>
      <c r="V22" s="105"/>
      <c r="W22" s="105"/>
      <c r="X22" s="105"/>
      <c r="Y22" s="105"/>
      <c r="Z22" s="62"/>
      <c r="AA22" s="390"/>
      <c r="AB22" s="194">
        <f>ROUND(SUM(C22:Y22),1)</f>
        <v>9417</v>
      </c>
      <c r="AC22" s="62"/>
      <c r="AD22" s="857"/>
      <c r="AE22" s="105">
        <f>+'Exhibit F'!AF19</f>
        <v>8526.1</v>
      </c>
      <c r="AF22" s="1537"/>
      <c r="AG22" s="62"/>
      <c r="AH22" s="264">
        <f>ROUND(SUM(+AB22-AE22),1)</f>
        <v>890.9</v>
      </c>
      <c r="AI22" s="63"/>
      <c r="AJ22" s="858">
        <f>ROUND(IF(AE22=0,0,AH22/ABS(AE22)),3)</f>
        <v>0.104</v>
      </c>
    </row>
    <row r="23" spans="1:37" ht="16.5" customHeight="1">
      <c r="A23" s="284" t="s">
        <v>346</v>
      </c>
      <c r="B23" s="284"/>
      <c r="C23" s="105">
        <f>+'Exhibit F'!D20</f>
        <v>3100.3</v>
      </c>
      <c r="D23" s="105"/>
      <c r="E23" s="105">
        <f>+'Exhibit F'!F20</f>
        <v>129.69999999999982</v>
      </c>
      <c r="F23" s="105"/>
      <c r="G23" s="105">
        <f>+'Exhibit F'!H20</f>
        <v>113.59999999999991</v>
      </c>
      <c r="H23" s="194"/>
      <c r="I23" s="105">
        <f>+'Exhibit F'!J20</f>
        <v>71.700000000000273</v>
      </c>
      <c r="J23" s="194"/>
      <c r="K23" s="105"/>
      <c r="L23" s="62"/>
      <c r="M23" s="105"/>
      <c r="N23" s="62"/>
      <c r="O23" s="105"/>
      <c r="P23" s="62"/>
      <c r="Q23" s="105"/>
      <c r="R23" s="62"/>
      <c r="S23" s="105"/>
      <c r="T23" s="62"/>
      <c r="U23" s="105"/>
      <c r="V23" s="105"/>
      <c r="W23" s="105"/>
      <c r="X23" s="105"/>
      <c r="Y23" s="105"/>
      <c r="Z23" s="62"/>
      <c r="AA23" s="390"/>
      <c r="AB23" s="194">
        <f>ROUND(SUM(C23:Y23),1)</f>
        <v>3415.3</v>
      </c>
      <c r="AC23" s="62"/>
      <c r="AD23" s="857"/>
      <c r="AE23" s="105">
        <f>+'Exhibit F'!AF20</f>
        <v>3156.4</v>
      </c>
      <c r="AF23" s="1537"/>
      <c r="AG23" s="62"/>
      <c r="AH23" s="264">
        <f>ROUND(SUM(+AB23-AE23),1)</f>
        <v>258.89999999999998</v>
      </c>
      <c r="AI23" s="63"/>
      <c r="AJ23" s="374">
        <f>ROUND(IF(AE23=0,0,AH23/ABS(AE23)),3)</f>
        <v>8.2000000000000003E-2</v>
      </c>
    </row>
    <row r="24" spans="1:37" ht="16.5" customHeight="1">
      <c r="A24" s="420" t="s">
        <v>347</v>
      </c>
      <c r="B24" s="284"/>
      <c r="C24" s="105">
        <f>+'Exhibit F'!D21</f>
        <v>-553.5</v>
      </c>
      <c r="D24" s="105"/>
      <c r="E24" s="105">
        <f>+'Exhibit F'!F21</f>
        <v>-69.600000000000023</v>
      </c>
      <c r="F24" s="105"/>
      <c r="G24" s="105">
        <f>+'Exhibit F'!H21</f>
        <v>-60.399999999999977</v>
      </c>
      <c r="H24" s="194"/>
      <c r="I24" s="105">
        <f>+'Exhibit F'!J21</f>
        <v>-53.5</v>
      </c>
      <c r="J24" s="194"/>
      <c r="K24" s="105"/>
      <c r="L24" s="62"/>
      <c r="M24" s="105"/>
      <c r="N24" s="62"/>
      <c r="O24" s="105"/>
      <c r="P24" s="62"/>
      <c r="Q24" s="105"/>
      <c r="R24" s="62"/>
      <c r="S24" s="105"/>
      <c r="T24" s="62"/>
      <c r="U24" s="105"/>
      <c r="V24" s="105"/>
      <c r="W24" s="105"/>
      <c r="X24" s="105"/>
      <c r="Y24" s="105"/>
      <c r="Z24" s="62"/>
      <c r="AA24" s="390"/>
      <c r="AB24" s="194">
        <f t="shared" ref="AB24:AB29" si="0">ROUND(SUM(C24:Y24),1)</f>
        <v>-737</v>
      </c>
      <c r="AC24" s="62"/>
      <c r="AD24" s="857"/>
      <c r="AE24" s="105">
        <f>+'Exhibit F'!AF21</f>
        <v>-691.7</v>
      </c>
      <c r="AF24" s="1537"/>
      <c r="AG24" s="62"/>
      <c r="AH24" s="264">
        <f>-ROUND(SUM(+AB24-AE24),1)</f>
        <v>45.3</v>
      </c>
      <c r="AI24" s="63"/>
      <c r="AJ24" s="266">
        <f>ROUND(IF(AE24=0,0,AH24/ABS(AE24)),3)</f>
        <v>6.5000000000000002E-2</v>
      </c>
    </row>
    <row r="25" spans="1:37" ht="16.5" customHeight="1">
      <c r="A25" s="420" t="s">
        <v>348</v>
      </c>
      <c r="B25" s="284"/>
      <c r="C25" s="105">
        <f>+'Exhibit F'!D22</f>
        <v>253.6</v>
      </c>
      <c r="D25" s="105"/>
      <c r="E25" s="105">
        <f>+'Exhibit F'!F22</f>
        <v>148.29999999999998</v>
      </c>
      <c r="F25" s="105"/>
      <c r="G25" s="105">
        <f>+'Exhibit F'!H22</f>
        <v>163.00000000000003</v>
      </c>
      <c r="H25" s="194"/>
      <c r="I25" s="105">
        <f>+'Exhibit F'!J22</f>
        <v>266.10000000000002</v>
      </c>
      <c r="J25" s="194"/>
      <c r="K25" s="105"/>
      <c r="L25" s="62"/>
      <c r="M25" s="105"/>
      <c r="N25" s="62"/>
      <c r="O25" s="105"/>
      <c r="P25" s="62"/>
      <c r="Q25" s="105"/>
      <c r="R25" s="62"/>
      <c r="S25" s="105"/>
      <c r="T25" s="62"/>
      <c r="U25" s="105"/>
      <c r="V25" s="105"/>
      <c r="W25" s="105"/>
      <c r="X25" s="105"/>
      <c r="Y25" s="105"/>
      <c r="Z25" s="62"/>
      <c r="AA25" s="390"/>
      <c r="AB25" s="194">
        <f t="shared" si="0"/>
        <v>831</v>
      </c>
      <c r="AC25" s="62"/>
      <c r="AD25" s="857"/>
      <c r="AE25" s="105">
        <f>+'Exhibit F'!AF22</f>
        <v>701.7</v>
      </c>
      <c r="AF25" s="1537"/>
      <c r="AG25" s="62"/>
      <c r="AH25" s="264">
        <f>ROUND(SUM(+AB25-AE25),1)</f>
        <v>129.30000000000001</v>
      </c>
      <c r="AI25" s="63"/>
      <c r="AJ25" s="266">
        <f t="shared" ref="AJ25:AJ30" si="1">ROUND(IF(AE25=0,0,AH25/ABS(AE25)),3)</f>
        <v>0.184</v>
      </c>
    </row>
    <row r="26" spans="1:37" ht="16.5" customHeight="1">
      <c r="A26" s="285" t="s">
        <v>349</v>
      </c>
      <c r="B26" s="285"/>
      <c r="C26" s="1006">
        <f>ROUND(SUM(C21:C25),1)</f>
        <v>15279.6</v>
      </c>
      <c r="D26" s="1"/>
      <c r="E26" s="1006">
        <f>ROUND(SUM(E21:E25),1)</f>
        <v>4912.2</v>
      </c>
      <c r="F26" s="1"/>
      <c r="G26" s="1006">
        <f>ROUND(SUM(G21:G25),1)</f>
        <v>7096.4</v>
      </c>
      <c r="H26" s="62"/>
      <c r="I26" s="1008">
        <f>ROUND(SUM(I21:I25),1)</f>
        <v>5286.7</v>
      </c>
      <c r="J26" s="62"/>
      <c r="K26" s="1008">
        <f>ROUND(SUM(K21:K25),1)</f>
        <v>0</v>
      </c>
      <c r="L26" s="62"/>
      <c r="M26" s="1008">
        <f>ROUND(SUM(M21:M25),1)</f>
        <v>0</v>
      </c>
      <c r="N26" s="62"/>
      <c r="O26" s="1008">
        <f>ROUND(SUM(O21:O25),1)</f>
        <v>0</v>
      </c>
      <c r="P26" s="62"/>
      <c r="Q26" s="1008">
        <f>ROUND(SUM(Q21:Q25),1)</f>
        <v>0</v>
      </c>
      <c r="R26" s="62"/>
      <c r="S26" s="1008">
        <f>ROUND(SUM(S21:S25),1)</f>
        <v>0</v>
      </c>
      <c r="T26" s="62"/>
      <c r="U26" s="1008">
        <f>ROUND(SUM(U21:U25),1)</f>
        <v>0</v>
      </c>
      <c r="V26" s="62"/>
      <c r="W26" s="1008">
        <f>ROUND(SUM(W21:W25),1)</f>
        <v>0</v>
      </c>
      <c r="X26" s="62"/>
      <c r="Y26" s="1008">
        <f>ROUND(SUM(Y21:Y25),1)</f>
        <v>0</v>
      </c>
      <c r="Z26" s="62"/>
      <c r="AA26" s="390"/>
      <c r="AB26" s="1009">
        <f>ROUND(SUM(C26:Y26),1)</f>
        <v>32574.9</v>
      </c>
      <c r="AC26" s="62"/>
      <c r="AD26" s="857"/>
      <c r="AE26" s="1008">
        <f>ROUND(SUM(AE21:AE25),1)</f>
        <v>29843.599999999999</v>
      </c>
      <c r="AF26" s="1537"/>
      <c r="AG26" s="62"/>
      <c r="AH26" s="672">
        <f>ROUND(SUM(AB26-AE26),1)</f>
        <v>2731.3</v>
      </c>
      <c r="AI26" s="63"/>
      <c r="AJ26" s="978">
        <f t="shared" si="1"/>
        <v>9.1999999999999998E-2</v>
      </c>
      <c r="AK26" s="58" t="s">
        <v>103</v>
      </c>
    </row>
    <row r="27" spans="1:37" ht="16.5" customHeight="1">
      <c r="A27" s="420" t="s">
        <v>350</v>
      </c>
      <c r="B27" s="284"/>
      <c r="C27" s="1005">
        <v>0</v>
      </c>
      <c r="D27" s="1005"/>
      <c r="E27" s="1005">
        <v>0</v>
      </c>
      <c r="F27" s="1005"/>
      <c r="G27" s="1005">
        <v>0</v>
      </c>
      <c r="H27" s="194"/>
      <c r="I27" s="1005">
        <v>0</v>
      </c>
      <c r="J27" s="194"/>
      <c r="K27" s="1005"/>
      <c r="L27" s="62"/>
      <c r="M27" s="1005"/>
      <c r="N27" s="62"/>
      <c r="O27" s="1005"/>
      <c r="P27" s="62"/>
      <c r="Q27" s="1005"/>
      <c r="R27" s="255"/>
      <c r="S27" s="1005"/>
      <c r="T27" s="255"/>
      <c r="U27" s="1005"/>
      <c r="V27" s="255"/>
      <c r="W27" s="1005"/>
      <c r="X27" s="255"/>
      <c r="Y27" s="1005"/>
      <c r="Z27" s="62"/>
      <c r="AA27" s="390"/>
      <c r="AB27" s="194">
        <f t="shared" si="0"/>
        <v>0</v>
      </c>
      <c r="AC27" s="62"/>
      <c r="AD27" s="857"/>
      <c r="AE27" s="1005">
        <f>+'Exhibit F'!AF24+'Exhibit G'!AH17</f>
        <v>0</v>
      </c>
      <c r="AF27" s="1537"/>
      <c r="AG27" s="62"/>
      <c r="AH27" s="264">
        <f>ROUND(SUM(+AB27-AE27),1)</f>
        <v>0</v>
      </c>
      <c r="AI27" s="63"/>
      <c r="AJ27" s="266">
        <f t="shared" si="1"/>
        <v>0</v>
      </c>
    </row>
    <row r="28" spans="1:37" ht="16.5" customHeight="1">
      <c r="A28" s="420" t="s">
        <v>351</v>
      </c>
      <c r="B28" s="284"/>
      <c r="C28" s="255">
        <f>'Exhibit F'!D25+'Exhibit H'!B17</f>
        <v>0</v>
      </c>
      <c r="D28" s="255"/>
      <c r="E28" s="255">
        <f>'Exhibit F'!F25+'Exhibit H'!D17</f>
        <v>0</v>
      </c>
      <c r="F28" s="255"/>
      <c r="G28" s="255">
        <f>'Exhibit F'!H25+'Exhibit H'!F17</f>
        <v>0</v>
      </c>
      <c r="H28" s="194"/>
      <c r="I28" s="255">
        <f>'Exhibit F'!J25+'Exhibit H'!H17</f>
        <v>0</v>
      </c>
      <c r="J28" s="194"/>
      <c r="K28" s="255"/>
      <c r="L28" s="62"/>
      <c r="M28" s="255"/>
      <c r="N28" s="62"/>
      <c r="O28" s="255"/>
      <c r="P28" s="62"/>
      <c r="Q28" s="255"/>
      <c r="R28" s="255"/>
      <c r="S28" s="255"/>
      <c r="T28" s="255"/>
      <c r="U28" s="255"/>
      <c r="V28" s="255"/>
      <c r="W28" s="255"/>
      <c r="X28" s="255"/>
      <c r="Y28" s="255"/>
      <c r="Z28" s="62"/>
      <c r="AA28" s="390"/>
      <c r="AB28" s="194">
        <f>ROUND(SUM(C28:Y28),1)</f>
        <v>0</v>
      </c>
      <c r="AC28" s="62"/>
      <c r="AD28" s="857"/>
      <c r="AE28" s="255">
        <f>+'Exhibit F'!AF25+'Exhibit H'!AD17</f>
        <v>0</v>
      </c>
      <c r="AF28" s="1537"/>
      <c r="AG28" s="62"/>
      <c r="AH28" s="264">
        <f>ROUND(SUM(+AB28-AE28),1)</f>
        <v>0</v>
      </c>
      <c r="AI28" s="63"/>
      <c r="AJ28" s="266">
        <f>ROUND(IF(AE28=0,0,AH28/ABS(AE28)),3)</f>
        <v>0</v>
      </c>
    </row>
    <row r="29" spans="1:37" ht="16.5" customHeight="1">
      <c r="A29" s="284" t="s">
        <v>352</v>
      </c>
      <c r="B29" s="284"/>
      <c r="C29" s="105">
        <f>+'Exhibit F'!D26</f>
        <v>-4825.2</v>
      </c>
      <c r="D29" s="105"/>
      <c r="E29" s="105">
        <f>+'Exhibit F'!F26</f>
        <v>-863.19999999999982</v>
      </c>
      <c r="F29" s="105"/>
      <c r="G29" s="105">
        <f>+'Exhibit F'!H26</f>
        <v>-713.60000000000036</v>
      </c>
      <c r="H29" s="194"/>
      <c r="I29" s="105">
        <f>+'Exhibit F'!J26</f>
        <v>-503.89999999999964</v>
      </c>
      <c r="J29" s="194"/>
      <c r="K29" s="105"/>
      <c r="L29" s="62"/>
      <c r="M29" s="105"/>
      <c r="N29" s="62"/>
      <c r="O29" s="105"/>
      <c r="P29" s="62"/>
      <c r="Q29" s="105"/>
      <c r="R29" s="105"/>
      <c r="S29" s="105"/>
      <c r="T29" s="105"/>
      <c r="U29" s="105"/>
      <c r="V29" s="62"/>
      <c r="W29" s="105"/>
      <c r="X29" s="105"/>
      <c r="Y29" s="105"/>
      <c r="Z29" s="62"/>
      <c r="AA29" s="390"/>
      <c r="AB29" s="194">
        <f t="shared" si="0"/>
        <v>-6905.9</v>
      </c>
      <c r="AC29" s="62"/>
      <c r="AD29" s="857"/>
      <c r="AE29" s="105">
        <f>+'Exhibit F'!AF26</f>
        <v>-6137.8</v>
      </c>
      <c r="AF29" s="1537"/>
      <c r="AG29" s="62"/>
      <c r="AH29" s="264">
        <f>-ROUND(SUM(+AB29-AE29),1)</f>
        <v>768.1</v>
      </c>
      <c r="AI29" s="63"/>
      <c r="AJ29" s="266">
        <f t="shared" si="1"/>
        <v>0.125</v>
      </c>
    </row>
    <row r="30" spans="1:37" ht="16.5" customHeight="1">
      <c r="A30" s="83" t="s">
        <v>353</v>
      </c>
      <c r="B30" s="284"/>
      <c r="C30" s="1008">
        <f>ROUND(SUM(C26)+SUM(C27)+SUM(C28)+SUM(C29),1)</f>
        <v>10454.4</v>
      </c>
      <c r="D30" s="1"/>
      <c r="E30" s="1008">
        <f>ROUND(SUM(E26)+SUM(E27)+SUM(E28)+SUM(E29),1)</f>
        <v>4049</v>
      </c>
      <c r="F30" s="1"/>
      <c r="G30" s="1008">
        <f>ROUND(SUM(G26)+SUM(G27)+SUM(G28)+SUM(G29),1)</f>
        <v>6382.8</v>
      </c>
      <c r="H30" s="62"/>
      <c r="I30" s="1008">
        <f>ROUND(SUM(I26)+SUM(I27)+SUM(I28)+SUM(I29),1)</f>
        <v>4782.8</v>
      </c>
      <c r="J30" s="62"/>
      <c r="K30" s="1008">
        <f>ROUND(SUM(K26)+SUM(K27)+SUM(K28)+SUM(K29),1)</f>
        <v>0</v>
      </c>
      <c r="L30" s="62"/>
      <c r="M30" s="1008">
        <f>ROUND(SUM(M26)+SUM(M27)+SUM(M28)+SUM(M29),1)</f>
        <v>0</v>
      </c>
      <c r="N30" s="62"/>
      <c r="O30" s="1008">
        <f>ROUND(SUM(O26)+SUM(O27)+SUM(O28)+SUM(O29),1)</f>
        <v>0</v>
      </c>
      <c r="P30" s="62"/>
      <c r="Q30" s="1008">
        <f>ROUND(SUM(Q26)+SUM(Q27)+SUM(Q28)+SUM(Q29),1)</f>
        <v>0</v>
      </c>
      <c r="R30" s="62"/>
      <c r="S30" s="1008">
        <f>ROUND(SUM(S26)+SUM(S27)+SUM(S28)+SUM(S29),1)</f>
        <v>0</v>
      </c>
      <c r="T30" s="62"/>
      <c r="U30" s="1008">
        <f>ROUND(SUM(U26)+SUM(U27)+SUM(U28)+SUM(U29),1)</f>
        <v>0</v>
      </c>
      <c r="V30" s="62"/>
      <c r="W30" s="1008">
        <f>ROUND(SUM(W26)+SUM(W27)+SUM(W28)+SUM(W29),1)</f>
        <v>0</v>
      </c>
      <c r="X30" s="62"/>
      <c r="Y30" s="1008">
        <f>ROUND(SUM(Y26)+SUM(Y27)+SUM(Y28)+SUM(Y29),1)</f>
        <v>0</v>
      </c>
      <c r="Z30" s="62"/>
      <c r="AA30" s="390"/>
      <c r="AB30" s="1009">
        <f>ROUND(SUM(C30:Y30),1)</f>
        <v>25669</v>
      </c>
      <c r="AC30" s="62"/>
      <c r="AD30" s="857"/>
      <c r="AE30" s="1008">
        <f>ROUND(SUM(AE26)+SUM(AE27)+SUM(AE28)+SUM(AE29),1)</f>
        <v>23705.8</v>
      </c>
      <c r="AF30" s="1537"/>
      <c r="AG30" s="62"/>
      <c r="AH30" s="672">
        <f>ROUND(SUM(AH26+AH27+AH28-AH29),1)</f>
        <v>1963.2</v>
      </c>
      <c r="AI30" s="264"/>
      <c r="AJ30" s="978">
        <f t="shared" si="1"/>
        <v>8.3000000000000004E-2</v>
      </c>
      <c r="AK30" s="58" t="s">
        <v>103</v>
      </c>
    </row>
    <row r="31" spans="1:37" ht="16.5" customHeight="1">
      <c r="A31" s="412" t="s">
        <v>354</v>
      </c>
      <c r="B31" s="286"/>
      <c r="C31" s="253"/>
      <c r="D31" s="253"/>
      <c r="E31" s="253"/>
      <c r="F31" s="253"/>
      <c r="G31" s="253"/>
      <c r="H31" s="62"/>
      <c r="I31" s="253"/>
      <c r="J31" s="62"/>
      <c r="K31" s="253"/>
      <c r="L31" s="62"/>
      <c r="M31" s="253"/>
      <c r="N31" s="62"/>
      <c r="O31" s="253"/>
      <c r="P31" s="62"/>
      <c r="Q31" s="253"/>
      <c r="R31" s="62"/>
      <c r="S31" s="253"/>
      <c r="T31" s="62"/>
      <c r="U31" s="253"/>
      <c r="V31" s="62"/>
      <c r="W31" s="253"/>
      <c r="X31" s="62"/>
      <c r="Y31" s="253"/>
      <c r="Z31" s="62"/>
      <c r="AA31" s="390"/>
      <c r="AB31" s="62"/>
      <c r="AC31" s="62"/>
      <c r="AD31" s="857"/>
      <c r="AE31" s="192"/>
      <c r="AF31" s="1537"/>
      <c r="AG31" s="62"/>
      <c r="AH31" s="13"/>
      <c r="AI31" s="264"/>
      <c r="AJ31" s="74"/>
    </row>
    <row r="32" spans="1:37" ht="16.5" customHeight="1">
      <c r="A32" s="284" t="s">
        <v>355</v>
      </c>
      <c r="B32" s="286"/>
      <c r="C32" s="105">
        <f>+'Exhibit F'!D29+'Exhibit G'!D20+'Exhibit H'!B20</f>
        <v>1761.1</v>
      </c>
      <c r="D32" s="105"/>
      <c r="E32" s="105">
        <f>+'Exhibit F'!F29+'Exhibit G'!F20+'Exhibit H'!D20</f>
        <v>1735.8000000000002</v>
      </c>
      <c r="F32" s="105"/>
      <c r="G32" s="105">
        <f>+'Exhibit F'!H29+'Exhibit G'!H20+'Exhibit H'!F20</f>
        <v>2178.3000000000002</v>
      </c>
      <c r="H32" s="194"/>
      <c r="I32" s="105">
        <f>+'Exhibit F'!J29+'Exhibit G'!J20+'Exhibit H'!H20</f>
        <v>1912.3000000000004</v>
      </c>
      <c r="J32" s="194"/>
      <c r="K32" s="105"/>
      <c r="L32" s="62"/>
      <c r="M32" s="105"/>
      <c r="N32" s="62"/>
      <c r="O32" s="105"/>
      <c r="P32" s="62"/>
      <c r="Q32" s="105"/>
      <c r="R32" s="105"/>
      <c r="S32" s="105"/>
      <c r="T32" s="105"/>
      <c r="U32" s="105"/>
      <c r="V32" s="105"/>
      <c r="W32" s="105"/>
      <c r="X32" s="105"/>
      <c r="Y32" s="105"/>
      <c r="Z32" s="62"/>
      <c r="AA32" s="390"/>
      <c r="AB32" s="194">
        <f t="shared" ref="AB32:AB41" si="2">ROUND(SUM(C32:Y32),1)</f>
        <v>7587.5</v>
      </c>
      <c r="AC32" s="62"/>
      <c r="AD32" s="857"/>
      <c r="AE32" s="105">
        <f>+'Exhibit F'!AF29+'Exhibit G'!AH20+'Exhibit H'!AD20</f>
        <v>6943.7999999999993</v>
      </c>
      <c r="AF32" s="1537"/>
      <c r="AG32" s="62"/>
      <c r="AH32" s="264">
        <f t="shared" ref="AH32:AH39" si="3">ROUND(SUM(+AB32-AE32),1)</f>
        <v>643.70000000000005</v>
      </c>
      <c r="AI32" s="264"/>
      <c r="AJ32" s="374">
        <f t="shared" ref="AJ32:AJ42" si="4">ROUND(IF(AE32=0,0,AH32/ABS(AE32)),3)</f>
        <v>9.2999999999999999E-2</v>
      </c>
    </row>
    <row r="33" spans="1:36" ht="16.5" customHeight="1">
      <c r="A33" s="284" t="s">
        <v>356</v>
      </c>
      <c r="B33" s="286"/>
      <c r="C33" s="105">
        <f>+'Exhibit F'!D30+'Exhibit G'!D21+'Exhibit I'!E18</f>
        <v>1.4</v>
      </c>
      <c r="D33" s="105"/>
      <c r="E33" s="105">
        <f>+'Exhibit F'!F30+'Exhibit G'!F21+'Exhibit I'!G18</f>
        <v>0</v>
      </c>
      <c r="F33" s="105"/>
      <c r="G33" s="105">
        <f>+'Exhibit F'!H30+'Exhibit G'!H21+'Exhibit I'!I18</f>
        <v>32.799999999999997</v>
      </c>
      <c r="H33" s="194"/>
      <c r="I33" s="105">
        <f>+'Exhibit F'!J30+'Exhibit G'!J21+'Exhibit I'!K18</f>
        <v>0.1000000000000007</v>
      </c>
      <c r="J33" s="194"/>
      <c r="K33" s="105"/>
      <c r="L33" s="62"/>
      <c r="M33" s="105"/>
      <c r="N33" s="62"/>
      <c r="O33" s="105"/>
      <c r="P33" s="62"/>
      <c r="Q33" s="105"/>
      <c r="R33" s="105"/>
      <c r="S33" s="105"/>
      <c r="T33" s="105"/>
      <c r="U33" s="105"/>
      <c r="V33" s="105"/>
      <c r="W33" s="105"/>
      <c r="X33" s="105"/>
      <c r="Y33" s="105"/>
      <c r="Z33" s="62"/>
      <c r="AA33" s="390"/>
      <c r="AB33" s="194">
        <f>ROUND(SUM(C33:Y33),1)</f>
        <v>34.299999999999997</v>
      </c>
      <c r="AC33" s="62"/>
      <c r="AD33" s="857"/>
      <c r="AE33" s="105">
        <f>+'Exhibit F'!AF30+'Exhibit G'!AH21+'Exhibit I'!AG18</f>
        <v>42.6</v>
      </c>
      <c r="AF33" s="1537"/>
      <c r="AG33" s="62"/>
      <c r="AH33" s="264">
        <f t="shared" si="3"/>
        <v>-8.3000000000000007</v>
      </c>
      <c r="AI33" s="264"/>
      <c r="AJ33" s="374">
        <f t="shared" si="4"/>
        <v>-0.19500000000000001</v>
      </c>
    </row>
    <row r="34" spans="1:36" ht="16.5" customHeight="1">
      <c r="A34" s="284" t="s">
        <v>357</v>
      </c>
      <c r="B34" s="284"/>
      <c r="C34" s="105">
        <f>+'Exhibit F'!D31+'Exhibit G'!D22</f>
        <v>75.89</v>
      </c>
      <c r="D34" s="105"/>
      <c r="E34" s="105">
        <f>+'Exhibit F'!F31+'Exhibit G'!F22</f>
        <v>55.31</v>
      </c>
      <c r="F34" s="105"/>
      <c r="G34" s="105">
        <f>+'Exhibit F'!H31+'Exhibit G'!H22</f>
        <v>70.2</v>
      </c>
      <c r="H34" s="194"/>
      <c r="I34" s="105">
        <f>+'Exhibit F'!J31+'Exhibit G'!J22</f>
        <v>64.600000000000023</v>
      </c>
      <c r="J34" s="194"/>
      <c r="K34" s="105"/>
      <c r="L34" s="62"/>
      <c r="M34" s="105"/>
      <c r="N34" s="62"/>
      <c r="O34" s="105"/>
      <c r="P34" s="62"/>
      <c r="Q34" s="105"/>
      <c r="R34" s="105"/>
      <c r="S34" s="105"/>
      <c r="T34" s="105"/>
      <c r="U34" s="105"/>
      <c r="V34" s="105"/>
      <c r="W34" s="105"/>
      <c r="X34" s="105"/>
      <c r="Y34" s="105"/>
      <c r="Z34" s="62"/>
      <c r="AA34" s="390"/>
      <c r="AB34" s="194">
        <f t="shared" si="2"/>
        <v>266</v>
      </c>
      <c r="AC34" s="62"/>
      <c r="AD34" s="857"/>
      <c r="AE34" s="105">
        <f>+'Exhibit F'!AF31+'Exhibit G'!AH22</f>
        <v>279.89999999999998</v>
      </c>
      <c r="AF34" s="1537"/>
      <c r="AG34" s="62"/>
      <c r="AH34" s="264">
        <f t="shared" si="3"/>
        <v>-13.9</v>
      </c>
      <c r="AI34" s="264"/>
      <c r="AJ34" s="374">
        <f t="shared" si="4"/>
        <v>-0.05</v>
      </c>
    </row>
    <row r="35" spans="1:36" ht="16.5" customHeight="1">
      <c r="A35" s="284" t="s">
        <v>358</v>
      </c>
      <c r="B35" s="284"/>
      <c r="C35" s="105">
        <f>+'Exhibit G'!D23</f>
        <v>4.4000000000000004</v>
      </c>
      <c r="D35" s="105"/>
      <c r="E35" s="105">
        <f>+'Exhibit G'!F23</f>
        <v>1.5999999999999996</v>
      </c>
      <c r="F35" s="105"/>
      <c r="G35" s="105">
        <f>+'Exhibit G'!H23</f>
        <v>53.1</v>
      </c>
      <c r="H35" s="194"/>
      <c r="I35" s="105">
        <f>+'Exhibit G'!J23</f>
        <v>4.1999999999999957</v>
      </c>
      <c r="J35" s="194"/>
      <c r="K35" s="105"/>
      <c r="L35" s="62"/>
      <c r="M35" s="105"/>
      <c r="N35" s="62"/>
      <c r="O35" s="105"/>
      <c r="P35" s="62"/>
      <c r="Q35" s="105"/>
      <c r="R35" s="105"/>
      <c r="S35" s="105"/>
      <c r="T35" s="105"/>
      <c r="U35" s="105"/>
      <c r="V35" s="105"/>
      <c r="W35" s="105"/>
      <c r="X35" s="105"/>
      <c r="Y35" s="105"/>
      <c r="Z35" s="62"/>
      <c r="AA35" s="390"/>
      <c r="AB35" s="194">
        <f>ROUND(SUM(C35:Y35),1)</f>
        <v>63.3</v>
      </c>
      <c r="AC35" s="62"/>
      <c r="AD35" s="857"/>
      <c r="AE35" s="105">
        <f>'Exhibit G'!AH23</f>
        <v>38.9</v>
      </c>
      <c r="AF35" s="1537"/>
      <c r="AG35" s="62"/>
      <c r="AH35" s="264">
        <f>ROUND(SUM(+AB35-AE35),1)</f>
        <v>24.4</v>
      </c>
      <c r="AI35" s="264"/>
      <c r="AJ35" s="374">
        <f>ROUND(IF(AE35=0,0,AH35/ABS(AE35)),3)</f>
        <v>0.627</v>
      </c>
    </row>
    <row r="36" spans="1:36" ht="16.5" customHeight="1">
      <c r="A36" s="284" t="s">
        <v>359</v>
      </c>
      <c r="B36" s="284"/>
      <c r="C36" s="105">
        <f>+'Exhibit F'!D32+'Exhibit G'!D24+'Exhibit I'!E19</f>
        <v>36.9</v>
      </c>
      <c r="D36" s="105"/>
      <c r="E36" s="105">
        <f>+'Exhibit F'!F32+'Exhibit G'!F24+'Exhibit I'!G19</f>
        <v>40.700000000000003</v>
      </c>
      <c r="F36" s="105"/>
      <c r="G36" s="105">
        <f>+'Exhibit F'!H32+'Exhibit G'!H24+'Exhibit I'!I19</f>
        <v>43.800000000000004</v>
      </c>
      <c r="H36" s="194"/>
      <c r="I36" s="105">
        <f>+'Exhibit F'!J32+'Exhibit G'!J24+'Exhibit I'!K19</f>
        <v>42.099999999999987</v>
      </c>
      <c r="J36" s="194"/>
      <c r="K36" s="105"/>
      <c r="L36" s="62"/>
      <c r="M36" s="105"/>
      <c r="N36" s="62"/>
      <c r="O36" s="105"/>
      <c r="P36" s="62"/>
      <c r="Q36" s="105"/>
      <c r="R36" s="105"/>
      <c r="S36" s="105"/>
      <c r="T36" s="105"/>
      <c r="U36" s="105"/>
      <c r="V36" s="105"/>
      <c r="W36" s="105"/>
      <c r="X36" s="105"/>
      <c r="Y36" s="105"/>
      <c r="Z36" s="62"/>
      <c r="AA36" s="390"/>
      <c r="AB36" s="194">
        <f t="shared" si="2"/>
        <v>163.5</v>
      </c>
      <c r="AC36" s="62"/>
      <c r="AD36" s="857"/>
      <c r="AE36" s="105">
        <f>+'Exhibit F'!AF32+'Exhibit G'!AH24+'Exhibit I'!AG19</f>
        <v>162.19999999999999</v>
      </c>
      <c r="AF36" s="1537"/>
      <c r="AG36" s="62"/>
      <c r="AH36" s="264">
        <f t="shared" si="3"/>
        <v>1.3</v>
      </c>
      <c r="AI36" s="264"/>
      <c r="AJ36" s="374">
        <f t="shared" si="4"/>
        <v>8.0000000000000002E-3</v>
      </c>
    </row>
    <row r="37" spans="1:36" ht="16.5" customHeight="1">
      <c r="A37" s="421" t="s">
        <v>360</v>
      </c>
      <c r="B37" s="284"/>
      <c r="C37" s="105">
        <f>+'Exhibit F'!D33+'Exhibit G'!D25</f>
        <v>-0.4</v>
      </c>
      <c r="D37" s="105"/>
      <c r="E37" s="105">
        <f>+'Exhibit F'!F33+'Exhibit G'!F25</f>
        <v>0</v>
      </c>
      <c r="F37" s="105"/>
      <c r="G37" s="105">
        <f>+'Exhibit F'!H33+'Exhibit G'!H25</f>
        <v>0.10000000000000003</v>
      </c>
      <c r="H37" s="194"/>
      <c r="I37" s="105">
        <f>+'Exhibit F'!J33+'Exhibit G'!J25</f>
        <v>0</v>
      </c>
      <c r="J37" s="194"/>
      <c r="K37" s="105"/>
      <c r="L37" s="62"/>
      <c r="M37" s="105"/>
      <c r="N37" s="62"/>
      <c r="O37" s="105"/>
      <c r="P37" s="62"/>
      <c r="Q37" s="105"/>
      <c r="R37" s="105"/>
      <c r="S37" s="105"/>
      <c r="T37" s="105"/>
      <c r="U37" s="105"/>
      <c r="V37" s="105"/>
      <c r="W37" s="105"/>
      <c r="X37" s="105"/>
      <c r="Y37" s="105"/>
      <c r="Z37" s="62"/>
      <c r="AA37" s="390"/>
      <c r="AB37" s="194">
        <f t="shared" ref="AB37" si="5">ROUND(SUM(C37:Y37),1)</f>
        <v>-0.3</v>
      </c>
      <c r="AC37" s="62"/>
      <c r="AD37" s="857"/>
      <c r="AE37" s="105">
        <f>+'Exhibit F'!AF33+'Exhibit G'!AH25</f>
        <v>0.30000000000000004</v>
      </c>
      <c r="AF37" s="1537"/>
      <c r="AG37" s="62"/>
      <c r="AH37" s="264">
        <f t="shared" si="3"/>
        <v>-0.6</v>
      </c>
      <c r="AI37" s="264"/>
      <c r="AJ37" s="374">
        <f>ROUND(IF(AE37=0,1,AH37/ABS(AE37)),3)</f>
        <v>-2</v>
      </c>
    </row>
    <row r="38" spans="1:36" ht="16.5" customHeight="1">
      <c r="A38" s="284" t="s">
        <v>361</v>
      </c>
      <c r="B38" s="284"/>
      <c r="C38" s="105">
        <f>+'Exhibit F'!D34+'Exhibit G'!D26</f>
        <v>22.1</v>
      </c>
      <c r="D38" s="105"/>
      <c r="E38" s="105">
        <f>+'Exhibit F'!F34+'Exhibit G'!F26</f>
        <v>22.1</v>
      </c>
      <c r="F38" s="105"/>
      <c r="G38" s="105">
        <f>+'Exhibit F'!H34+'Exhibit G'!H26</f>
        <v>23.700000000000003</v>
      </c>
      <c r="H38" s="194"/>
      <c r="I38" s="105">
        <f>+'Exhibit F'!J34+'Exhibit G'!J26</f>
        <v>30.199999999999989</v>
      </c>
      <c r="J38" s="194"/>
      <c r="K38" s="105"/>
      <c r="L38" s="62"/>
      <c r="M38" s="105"/>
      <c r="N38" s="62"/>
      <c r="O38" s="105"/>
      <c r="P38" s="62"/>
      <c r="Q38" s="105"/>
      <c r="R38" s="105"/>
      <c r="S38" s="105"/>
      <c r="T38" s="105"/>
      <c r="U38" s="105"/>
      <c r="V38" s="105"/>
      <c r="W38" s="105"/>
      <c r="X38" s="105"/>
      <c r="Y38" s="105"/>
      <c r="Z38" s="62"/>
      <c r="AA38" s="390"/>
      <c r="AB38" s="194">
        <f t="shared" si="2"/>
        <v>98.1</v>
      </c>
      <c r="AC38" s="62"/>
      <c r="AD38" s="857"/>
      <c r="AE38" s="105">
        <f>+'Exhibit F'!AF34+'Exhibit G'!AH26</f>
        <v>91.8</v>
      </c>
      <c r="AF38" s="1537"/>
      <c r="AG38" s="62"/>
      <c r="AH38" s="264">
        <f t="shared" si="3"/>
        <v>6.3</v>
      </c>
      <c r="AI38" s="264"/>
      <c r="AJ38" s="374">
        <f t="shared" si="4"/>
        <v>6.9000000000000006E-2</v>
      </c>
    </row>
    <row r="39" spans="1:36" ht="16.5" customHeight="1">
      <c r="A39" s="284" t="s">
        <v>362</v>
      </c>
      <c r="B39" s="284"/>
      <c r="C39" s="105">
        <f>+'Exhibit F'!D35+'Exhibit G'!D27+'Exhibit I'!E20</f>
        <v>13.4</v>
      </c>
      <c r="D39" s="105"/>
      <c r="E39" s="105">
        <f>+'Exhibit F'!F35+'Exhibit G'!F27+'Exhibit I'!G20</f>
        <v>9</v>
      </c>
      <c r="F39" s="105"/>
      <c r="G39" s="105">
        <f>+'Exhibit F'!H35+'Exhibit G'!H27+'Exhibit I'!I20</f>
        <v>9.1</v>
      </c>
      <c r="H39" s="194"/>
      <c r="I39" s="105">
        <f>+'Exhibit F'!J35+'Exhibit G'!J27+'Exhibit I'!K20</f>
        <v>13.3</v>
      </c>
      <c r="J39" s="194"/>
      <c r="K39" s="105"/>
      <c r="L39" s="62"/>
      <c r="M39" s="105"/>
      <c r="N39" s="62"/>
      <c r="O39" s="105"/>
      <c r="P39" s="62"/>
      <c r="Q39" s="105"/>
      <c r="R39" s="105"/>
      <c r="S39" s="105"/>
      <c r="T39" s="105"/>
      <c r="U39" s="105"/>
      <c r="V39" s="105"/>
      <c r="W39" s="105"/>
      <c r="X39" s="105"/>
      <c r="Y39" s="105"/>
      <c r="Z39" s="62"/>
      <c r="AA39" s="390"/>
      <c r="AB39" s="194">
        <f t="shared" si="2"/>
        <v>44.8</v>
      </c>
      <c r="AC39" s="62"/>
      <c r="AD39" s="857"/>
      <c r="AE39" s="105">
        <f>+'Exhibit F'!AF35+'Exhibit G'!AH27+'Exhibit I'!AG20</f>
        <v>45.2</v>
      </c>
      <c r="AF39" s="1537"/>
      <c r="AG39" s="62"/>
      <c r="AH39" s="264">
        <f t="shared" si="3"/>
        <v>-0.4</v>
      </c>
      <c r="AI39" s="264"/>
      <c r="AJ39" s="858">
        <f t="shared" si="4"/>
        <v>-8.9999999999999993E-3</v>
      </c>
    </row>
    <row r="40" spans="1:36" ht="16.5" customHeight="1">
      <c r="A40" s="284" t="s">
        <v>363</v>
      </c>
      <c r="B40" s="284"/>
      <c r="C40" s="105">
        <f>'Exhibit F'!D36+'Exhibit G'!D28</f>
        <v>0.3</v>
      </c>
      <c r="D40" s="105"/>
      <c r="E40" s="105">
        <f>'Exhibit F'!F36+'Exhibit G'!F28</f>
        <v>0</v>
      </c>
      <c r="F40" s="105"/>
      <c r="G40" s="105">
        <f>'Exhibit F'!H36+'Exhibit G'!H28</f>
        <v>4.6000000000000005</v>
      </c>
      <c r="H40" s="194"/>
      <c r="I40" s="105">
        <f>'Exhibit F'!J36+'Exhibit G'!J28</f>
        <v>9.9999999999999478E-2</v>
      </c>
      <c r="J40" s="194"/>
      <c r="K40" s="105"/>
      <c r="L40" s="62"/>
      <c r="M40" s="105"/>
      <c r="N40" s="62"/>
      <c r="O40" s="105"/>
      <c r="P40" s="62"/>
      <c r="Q40" s="105"/>
      <c r="R40" s="105"/>
      <c r="S40" s="105"/>
      <c r="T40" s="105"/>
      <c r="U40" s="105"/>
      <c r="V40" s="105"/>
      <c r="W40" s="105"/>
      <c r="X40" s="105"/>
      <c r="Y40" s="105"/>
      <c r="Z40" s="62"/>
      <c r="AA40" s="390"/>
      <c r="AB40" s="194">
        <f>ROUND(SUM(C40:Y40),1)</f>
        <v>5</v>
      </c>
      <c r="AC40" s="62"/>
      <c r="AD40" s="857"/>
      <c r="AE40" s="105">
        <f>+'Exhibit F'!AF36+'Exhibit G'!AH28</f>
        <v>5</v>
      </c>
      <c r="AF40" s="1537"/>
      <c r="AG40" s="62"/>
      <c r="AH40" s="264">
        <f>ROUND(SUM(+AB40-AE40),1)</f>
        <v>0</v>
      </c>
      <c r="AI40" s="264"/>
      <c r="AJ40" s="858">
        <f>ROUND(IF(AE40=0,1,AH40/ABS(AE40)),3)</f>
        <v>0</v>
      </c>
    </row>
    <row r="41" spans="1:36" ht="16.5" customHeight="1">
      <c r="A41" s="284" t="s">
        <v>364</v>
      </c>
      <c r="B41" s="284"/>
      <c r="C41" s="105">
        <f>'Exhibit F'!D37</f>
        <v>4.5999999999999996</v>
      </c>
      <c r="D41" s="105"/>
      <c r="E41" s="105">
        <f>'Exhibit F'!F37</f>
        <v>0</v>
      </c>
      <c r="F41" s="105"/>
      <c r="G41" s="105">
        <f>'Exhibit F'!H37</f>
        <v>0</v>
      </c>
      <c r="H41" s="194"/>
      <c r="I41" s="105">
        <f>'Exhibit F'!J37</f>
        <v>4.7000000000000011</v>
      </c>
      <c r="J41" s="194"/>
      <c r="K41" s="105"/>
      <c r="L41" s="62"/>
      <c r="M41" s="105"/>
      <c r="N41" s="62"/>
      <c r="O41" s="105"/>
      <c r="P41" s="62"/>
      <c r="Q41" s="105"/>
      <c r="R41" s="105"/>
      <c r="S41" s="105"/>
      <c r="T41" s="105"/>
      <c r="U41" s="105"/>
      <c r="V41" s="105"/>
      <c r="W41" s="105"/>
      <c r="X41" s="105"/>
      <c r="Y41" s="105"/>
      <c r="Z41" s="62"/>
      <c r="AA41" s="193"/>
      <c r="AB41" s="194">
        <f t="shared" si="2"/>
        <v>9.3000000000000007</v>
      </c>
      <c r="AC41" s="62"/>
      <c r="AD41" s="857"/>
      <c r="AE41" s="105">
        <f>+'Exhibit F'!AF37</f>
        <v>12.1</v>
      </c>
      <c r="AF41" s="1537"/>
      <c r="AG41" s="62"/>
      <c r="AH41" s="264">
        <f t="shared" ref="AH41" si="6">ROUND(SUM(+AB41-AE41),1)</f>
        <v>-2.8</v>
      </c>
      <c r="AI41" s="264"/>
      <c r="AJ41" s="858">
        <f>ROUND(IF(AE41=0,1,AH41/ABS(AE41)),3)</f>
        <v>-0.23100000000000001</v>
      </c>
    </row>
    <row r="42" spans="1:36" ht="16.5" customHeight="1">
      <c r="A42" s="83" t="s">
        <v>365</v>
      </c>
      <c r="B42" s="284"/>
      <c r="C42" s="1008">
        <f>ROUND(SUM(C32:C41),1)</f>
        <v>1919.7</v>
      </c>
      <c r="D42" s="1"/>
      <c r="E42" s="1008">
        <f>ROUND(SUM(E32:E41),1)</f>
        <v>1864.5</v>
      </c>
      <c r="F42" s="1"/>
      <c r="G42" s="1008">
        <f>ROUND(SUM(G32:G41),1)</f>
        <v>2415.6999999999998</v>
      </c>
      <c r="H42" s="62"/>
      <c r="I42" s="1008">
        <f>ROUND(SUM(I32:I41),1)</f>
        <v>2071.6</v>
      </c>
      <c r="J42" s="62"/>
      <c r="K42" s="1008">
        <f>ROUND(SUM(K32:K41),1)</f>
        <v>0</v>
      </c>
      <c r="L42" s="62"/>
      <c r="M42" s="1008">
        <f>ROUND(SUM(M32:M41),1)</f>
        <v>0</v>
      </c>
      <c r="N42" s="62"/>
      <c r="O42" s="1008">
        <f>ROUND(SUM(O32:O41),1)</f>
        <v>0</v>
      </c>
      <c r="P42" s="62"/>
      <c r="Q42" s="1008">
        <f>ROUND(SUM(Q32:Q41),1)</f>
        <v>0</v>
      </c>
      <c r="R42" s="62"/>
      <c r="S42" s="1008">
        <f>ROUND(SUM(S32:S41),1)</f>
        <v>0</v>
      </c>
      <c r="T42" s="62"/>
      <c r="U42" s="1008">
        <f>ROUND(SUM(U32:U41),1)</f>
        <v>0</v>
      </c>
      <c r="V42" s="62"/>
      <c r="W42" s="1008">
        <f>ROUND(SUM(W32:W41),1)</f>
        <v>0</v>
      </c>
      <c r="X42" s="62"/>
      <c r="Y42" s="1008">
        <f>ROUND(SUM(Y32:Y41),1)</f>
        <v>0</v>
      </c>
      <c r="Z42" s="62"/>
      <c r="AA42" s="390"/>
      <c r="AB42" s="1008">
        <f>ROUND(SUM(AB32:AB41),1)</f>
        <v>8271.5</v>
      </c>
      <c r="AC42" s="62"/>
      <c r="AD42" s="857"/>
      <c r="AE42" s="1008">
        <f>ROUND(SUM(AE32:AE41),1)</f>
        <v>7621.8</v>
      </c>
      <c r="AF42" s="1537"/>
      <c r="AG42" s="62"/>
      <c r="AH42" s="672">
        <f>ROUND(SUM(AH32:AH41),1)</f>
        <v>649.70000000000005</v>
      </c>
      <c r="AI42" s="13"/>
      <c r="AJ42" s="1010">
        <f t="shared" si="4"/>
        <v>8.5000000000000006E-2</v>
      </c>
    </row>
    <row r="43" spans="1:36" ht="16.5" customHeight="1">
      <c r="A43" s="412" t="s">
        <v>366</v>
      </c>
      <c r="B43" s="284"/>
      <c r="C43" s="253"/>
      <c r="D43" s="253"/>
      <c r="E43" s="253"/>
      <c r="F43" s="253"/>
      <c r="G43" s="253"/>
      <c r="H43" s="62"/>
      <c r="I43" s="253"/>
      <c r="J43" s="62"/>
      <c r="K43" s="253"/>
      <c r="L43" s="62"/>
      <c r="M43" s="253"/>
      <c r="N43" s="62"/>
      <c r="O43" s="253"/>
      <c r="P43" s="62"/>
      <c r="Q43" s="253"/>
      <c r="R43" s="62"/>
      <c r="S43" s="253"/>
      <c r="T43" s="62"/>
      <c r="U43" s="253"/>
      <c r="V43" s="62"/>
      <c r="W43" s="253"/>
      <c r="X43" s="62"/>
      <c r="Y43" s="253"/>
      <c r="Z43" s="62"/>
      <c r="AA43" s="390"/>
      <c r="AB43" s="62"/>
      <c r="AC43" s="62"/>
      <c r="AD43" s="857"/>
      <c r="AE43" s="192"/>
      <c r="AF43" s="1537"/>
      <c r="AG43" s="62"/>
      <c r="AH43" s="13"/>
      <c r="AI43" s="13"/>
      <c r="AJ43" s="74"/>
    </row>
    <row r="44" spans="1:36" ht="16.5" customHeight="1">
      <c r="A44" s="284" t="s">
        <v>367</v>
      </c>
      <c r="B44" s="284"/>
      <c r="C44" s="105">
        <f>+'Exhibit F'!D40+'Exhibit G'!D31+'Exhibit I'!E23</f>
        <v>1054.3</v>
      </c>
      <c r="D44" s="105"/>
      <c r="E44" s="105">
        <f>+'Exhibit F'!F40+'Exhibit G'!F31+'Exhibit I'!G23</f>
        <v>170.40000000000003</v>
      </c>
      <c r="F44" s="105"/>
      <c r="G44" s="105">
        <f>+'Exhibit F'!H40+'Exhibit G'!H31+'Exhibit I'!I23</f>
        <v>2301.7000000000003</v>
      </c>
      <c r="H44" s="194"/>
      <c r="I44" s="105">
        <f>+'Exhibit F'!J40+'Exhibit G'!J31+'Exhibit I'!K23</f>
        <v>174.09999999999951</v>
      </c>
      <c r="J44" s="194"/>
      <c r="K44" s="105"/>
      <c r="L44" s="62"/>
      <c r="M44" s="105"/>
      <c r="N44" s="62"/>
      <c r="O44" s="105"/>
      <c r="P44" s="62"/>
      <c r="Q44" s="105"/>
      <c r="R44" s="105"/>
      <c r="S44" s="105"/>
      <c r="T44" s="105"/>
      <c r="U44" s="105"/>
      <c r="V44" s="105"/>
      <c r="W44" s="105"/>
      <c r="X44" s="105"/>
      <c r="Y44" s="105"/>
      <c r="Z44" s="62"/>
      <c r="AA44" s="390"/>
      <c r="AB44" s="194">
        <f t="shared" ref="AB44:AB49" si="7">ROUND(SUM(C44:Y44),1)</f>
        <v>3700.5</v>
      </c>
      <c r="AC44" s="62"/>
      <c r="AD44" s="857"/>
      <c r="AE44" s="105">
        <f>+'Exhibit F'!AF40+'Exhibit G'!AH31+'Exhibit I'!AG23</f>
        <v>2813.8</v>
      </c>
      <c r="AF44" s="1537"/>
      <c r="AG44" s="62"/>
      <c r="AH44" s="264">
        <f t="shared" ref="AH44:AH49" si="8">ROUND(SUM(+AB44-AE44),1)</f>
        <v>886.7</v>
      </c>
      <c r="AI44" s="13"/>
      <c r="AJ44" s="374">
        <f t="shared" ref="AJ44:AJ50" si="9">ROUND(IF(AE44=0,0,AH44/ABS(AE44)),3)</f>
        <v>0.315</v>
      </c>
    </row>
    <row r="45" spans="1:36" ht="16.5" customHeight="1">
      <c r="A45" s="284" t="s">
        <v>368</v>
      </c>
      <c r="B45" s="284"/>
      <c r="C45" s="105">
        <f>+'Exhibit F'!D41+'Exhibit G'!D32+'Exhibit I'!E24</f>
        <v>45.2</v>
      </c>
      <c r="D45" s="105"/>
      <c r="E45" s="105">
        <f>+'Exhibit F'!F41+'Exhibit G'!F32+'Exhibit I'!G24</f>
        <v>0.49999999999999956</v>
      </c>
      <c r="F45" s="105"/>
      <c r="G45" s="105">
        <f>+'Exhibit F'!H41+'Exhibit G'!H32+'Exhibit I'!I24</f>
        <v>125.30000000000003</v>
      </c>
      <c r="H45" s="194"/>
      <c r="I45" s="105">
        <f>+'Exhibit F'!J41+'Exhibit G'!J32+'Exhibit I'!K24</f>
        <v>3.1999999999999953</v>
      </c>
      <c r="J45" s="194"/>
      <c r="K45" s="105"/>
      <c r="L45" s="62"/>
      <c r="M45" s="105"/>
      <c r="N45" s="62"/>
      <c r="O45" s="105"/>
      <c r="P45" s="62"/>
      <c r="Q45" s="105"/>
      <c r="R45" s="105"/>
      <c r="S45" s="105"/>
      <c r="T45" s="105"/>
      <c r="U45" s="105"/>
      <c r="V45" s="105"/>
      <c r="W45" s="105"/>
      <c r="X45" s="105"/>
      <c r="Y45" s="105"/>
      <c r="Z45" s="62"/>
      <c r="AA45" s="390"/>
      <c r="AB45" s="194">
        <f t="shared" si="7"/>
        <v>174.2</v>
      </c>
      <c r="AC45" s="62"/>
      <c r="AD45" s="857"/>
      <c r="AE45" s="105">
        <f>+'Exhibit F'!AF41+'Exhibit G'!AH32+'Exhibit I'!AG24</f>
        <v>134.5</v>
      </c>
      <c r="AF45" s="1537"/>
      <c r="AG45" s="62"/>
      <c r="AH45" s="264">
        <f t="shared" si="8"/>
        <v>39.700000000000003</v>
      </c>
      <c r="AI45" s="13"/>
      <c r="AJ45" s="858">
        <f t="shared" si="9"/>
        <v>0.29499999999999998</v>
      </c>
    </row>
    <row r="46" spans="1:36" ht="16.5" customHeight="1">
      <c r="A46" s="284" t="s">
        <v>369</v>
      </c>
      <c r="B46" s="284"/>
      <c r="C46" s="105">
        <f>+'Exhibit F'!D42+'Exhibit G'!D33</f>
        <v>85.7</v>
      </c>
      <c r="D46" s="105"/>
      <c r="E46" s="105">
        <f>+'Exhibit F'!F42+'Exhibit G'!F33</f>
        <v>38</v>
      </c>
      <c r="F46" s="105"/>
      <c r="G46" s="105">
        <f>+'Exhibit F'!H42+'Exhibit G'!H33</f>
        <v>462.6</v>
      </c>
      <c r="H46" s="194"/>
      <c r="I46" s="105">
        <f>+'Exhibit F'!J42+'Exhibit G'!J33</f>
        <v>-0.49999999999996625</v>
      </c>
      <c r="J46" s="194"/>
      <c r="K46" s="105"/>
      <c r="L46" s="62"/>
      <c r="M46" s="105"/>
      <c r="N46" s="62"/>
      <c r="O46" s="105"/>
      <c r="P46" s="62"/>
      <c r="Q46" s="105"/>
      <c r="R46" s="105"/>
      <c r="S46" s="105"/>
      <c r="T46" s="105"/>
      <c r="U46" s="105"/>
      <c r="V46" s="105"/>
      <c r="W46" s="105"/>
      <c r="X46" s="105"/>
      <c r="Y46" s="105"/>
      <c r="Z46" s="62"/>
      <c r="AA46" s="390"/>
      <c r="AB46" s="194">
        <f t="shared" si="7"/>
        <v>585.79999999999995</v>
      </c>
      <c r="AC46" s="62"/>
      <c r="AD46" s="857"/>
      <c r="AE46" s="105">
        <f>+'Exhibit F'!AF42+'Exhibit G'!AH33</f>
        <v>564.1</v>
      </c>
      <c r="AF46" s="1537"/>
      <c r="AG46" s="62"/>
      <c r="AH46" s="264">
        <f t="shared" si="8"/>
        <v>21.7</v>
      </c>
      <c r="AI46" s="13"/>
      <c r="AJ46" s="374">
        <f t="shared" si="9"/>
        <v>3.7999999999999999E-2</v>
      </c>
    </row>
    <row r="47" spans="1:36" ht="16.5" customHeight="1">
      <c r="A47" s="284" t="s">
        <v>370</v>
      </c>
      <c r="B47" s="284"/>
      <c r="C47" s="105">
        <f>+'Exhibit F'!D43+'Exhibit G'!D34</f>
        <v>21.9</v>
      </c>
      <c r="D47" s="105"/>
      <c r="E47" s="105">
        <f>+'Exhibit F'!F43+'Exhibit G'!F34</f>
        <v>0</v>
      </c>
      <c r="F47" s="105"/>
      <c r="G47" s="105">
        <f>+'Exhibit F'!H43+'Exhibit G'!H34</f>
        <v>0</v>
      </c>
      <c r="H47" s="194"/>
      <c r="I47" s="105">
        <f>+'Exhibit F'!J43+'Exhibit G'!J34</f>
        <v>0</v>
      </c>
      <c r="J47" s="194"/>
      <c r="K47" s="105"/>
      <c r="L47" s="62"/>
      <c r="M47" s="105"/>
      <c r="N47" s="62"/>
      <c r="O47" s="105"/>
      <c r="P47" s="62"/>
      <c r="Q47" s="105"/>
      <c r="R47" s="105"/>
      <c r="S47" s="105"/>
      <c r="T47" s="105"/>
      <c r="U47" s="105"/>
      <c r="V47" s="105"/>
      <c r="W47" s="105"/>
      <c r="X47" s="105"/>
      <c r="Y47" s="105"/>
      <c r="Z47" s="62"/>
      <c r="AA47" s="390"/>
      <c r="AB47" s="194">
        <f t="shared" si="7"/>
        <v>21.9</v>
      </c>
      <c r="AC47" s="62"/>
      <c r="AD47" s="857"/>
      <c r="AE47" s="105">
        <f>+'Exhibit F'!AF43+'Exhibit G'!AH34</f>
        <v>-15.200000000000001</v>
      </c>
      <c r="AF47" s="1537"/>
      <c r="AG47" s="62"/>
      <c r="AH47" s="264">
        <f t="shared" si="8"/>
        <v>37.1</v>
      </c>
      <c r="AI47" s="13"/>
      <c r="AJ47" s="542">
        <f>ROUND(IF(AE47=0,1,AH47/ABS(AE47)),3)</f>
        <v>2.4409999999999998</v>
      </c>
    </row>
    <row r="48" spans="1:36" ht="16.5" customHeight="1">
      <c r="A48" s="284" t="s">
        <v>371</v>
      </c>
      <c r="B48" s="284"/>
      <c r="C48" s="105">
        <f>+'Exhibit F'!D44+'Exhibit H'!B23</f>
        <v>48.8</v>
      </c>
      <c r="D48" s="105"/>
      <c r="E48" s="105">
        <f>+'Exhibit F'!F44+'Exhibit H'!D23</f>
        <v>236.2</v>
      </c>
      <c r="F48" s="105"/>
      <c r="G48" s="105">
        <f>+'Exhibit F'!H44+'Exhibit H'!F23</f>
        <v>4585.8999999999996</v>
      </c>
      <c r="H48" s="194"/>
      <c r="I48" s="105">
        <f>+'Exhibit F'!J44+'Exhibit H'!H23</f>
        <v>21.499999999999552</v>
      </c>
      <c r="J48" s="194"/>
      <c r="K48" s="105"/>
      <c r="L48" s="62"/>
      <c r="M48" s="105"/>
      <c r="N48" s="62"/>
      <c r="O48" s="105"/>
      <c r="P48" s="62"/>
      <c r="Q48" s="105"/>
      <c r="R48" s="105"/>
      <c r="S48" s="105"/>
      <c r="T48" s="105"/>
      <c r="U48" s="105"/>
      <c r="V48" s="105"/>
      <c r="W48" s="105"/>
      <c r="X48" s="105"/>
      <c r="Y48" s="105"/>
      <c r="Z48" s="62"/>
      <c r="AA48" s="390"/>
      <c r="AB48" s="194">
        <f t="shared" si="7"/>
        <v>4892.3999999999996</v>
      </c>
      <c r="AC48" s="62"/>
      <c r="AD48" s="857"/>
      <c r="AE48" s="105">
        <f>+'Exhibit F'!AF44+'Exhibit H'!AD23</f>
        <v>3913.4</v>
      </c>
      <c r="AF48" s="1537"/>
      <c r="AG48" s="62"/>
      <c r="AH48" s="264">
        <f t="shared" si="8"/>
        <v>979</v>
      </c>
      <c r="AI48" s="13"/>
      <c r="AJ48" s="542">
        <f>ROUND(IF(AE48=0,1,AH48/ABS(AE48)),3)</f>
        <v>0.25</v>
      </c>
    </row>
    <row r="49" spans="1:36" ht="16.5" customHeight="1">
      <c r="A49" s="284" t="s">
        <v>372</v>
      </c>
      <c r="B49" s="284"/>
      <c r="C49" s="105">
        <f>+'Exhibit F'!D45+'Exhibit G'!D35+'Exhibit I'!E25</f>
        <v>74.599999999999994</v>
      </c>
      <c r="D49" s="105"/>
      <c r="E49" s="105">
        <f>+'Exhibit F'!F45+'Exhibit G'!F35+'Exhibit I'!G25</f>
        <v>78.400000000000006</v>
      </c>
      <c r="F49" s="105"/>
      <c r="G49" s="105">
        <f>+'Exhibit F'!H45+'Exhibit G'!H35+'Exhibit I'!I25</f>
        <v>89.300000000000011</v>
      </c>
      <c r="H49" s="194"/>
      <c r="I49" s="105">
        <f>+'Exhibit F'!J45+'Exhibit G'!J35+'Exhibit I'!K25</f>
        <v>99.100000000000023</v>
      </c>
      <c r="J49" s="194"/>
      <c r="K49" s="105"/>
      <c r="L49" s="62"/>
      <c r="M49" s="105"/>
      <c r="N49" s="62"/>
      <c r="O49" s="105"/>
      <c r="P49" s="62"/>
      <c r="Q49" s="105"/>
      <c r="R49" s="105"/>
      <c r="S49" s="105"/>
      <c r="T49" s="105"/>
      <c r="U49" s="105"/>
      <c r="V49" s="105"/>
      <c r="W49" s="105"/>
      <c r="X49" s="105"/>
      <c r="Y49" s="105"/>
      <c r="Z49" s="62"/>
      <c r="AA49" s="390"/>
      <c r="AB49" s="194">
        <f t="shared" si="7"/>
        <v>341.4</v>
      </c>
      <c r="AC49" s="62"/>
      <c r="AD49" s="857"/>
      <c r="AE49" s="105">
        <f>+'Exhibit F'!AF45+'Exhibit G'!AH35+'Exhibit I'!AG25</f>
        <v>341.1</v>
      </c>
      <c r="AF49" s="1537"/>
      <c r="AG49" s="62"/>
      <c r="AH49" s="264">
        <f t="shared" si="8"/>
        <v>0.3</v>
      </c>
      <c r="AI49" s="13"/>
      <c r="AJ49" s="374">
        <f t="shared" si="9"/>
        <v>1E-3</v>
      </c>
    </row>
    <row r="50" spans="1:36" ht="16.5" customHeight="1">
      <c r="A50" s="83" t="s">
        <v>373</v>
      </c>
      <c r="B50" s="284"/>
      <c r="C50" s="1008">
        <f>ROUND(SUM(C44:C49),1)</f>
        <v>1330.5</v>
      </c>
      <c r="D50" s="1"/>
      <c r="E50" s="1008">
        <f>ROUND(SUM(E44:E49),1)</f>
        <v>523.5</v>
      </c>
      <c r="F50" s="1"/>
      <c r="G50" s="1008">
        <f>ROUND(SUM(G44:G49),1)</f>
        <v>7564.8</v>
      </c>
      <c r="H50" s="62"/>
      <c r="I50" s="1008">
        <f>ROUND(SUM(I44:I49),1)</f>
        <v>297.39999999999998</v>
      </c>
      <c r="J50" s="62"/>
      <c r="K50" s="1008">
        <f>ROUND(SUM(K44:K49),1)</f>
        <v>0</v>
      </c>
      <c r="L50" s="62"/>
      <c r="M50" s="1008">
        <f>ROUND(SUM(M44:M49),1)</f>
        <v>0</v>
      </c>
      <c r="N50" s="62"/>
      <c r="O50" s="1008">
        <f>ROUND(SUM(O44:O49),1)</f>
        <v>0</v>
      </c>
      <c r="P50" s="62"/>
      <c r="Q50" s="1008">
        <f>ROUND(SUM(Q44:Q49),1)</f>
        <v>0</v>
      </c>
      <c r="R50" s="62"/>
      <c r="S50" s="1008">
        <f>ROUND(SUM(S44:S49),1)</f>
        <v>0</v>
      </c>
      <c r="T50" s="62"/>
      <c r="U50" s="1008">
        <f>ROUND(SUM(U44:U49),1)</f>
        <v>0</v>
      </c>
      <c r="V50" s="62"/>
      <c r="W50" s="1008">
        <f>ROUND(SUM(W44:W49),1)</f>
        <v>0</v>
      </c>
      <c r="X50" s="62"/>
      <c r="Y50" s="1008">
        <f>ROUND(SUM(Y44:Y49),1)</f>
        <v>0</v>
      </c>
      <c r="Z50" s="62"/>
      <c r="AA50" s="390"/>
      <c r="AB50" s="1008">
        <f>ROUND(SUM(AB44:AB49),1)</f>
        <v>9716.2000000000007</v>
      </c>
      <c r="AC50" s="62"/>
      <c r="AD50" s="857"/>
      <c r="AE50" s="1008">
        <f>ROUND(SUM(AE44:AE49),1)</f>
        <v>7751.7</v>
      </c>
      <c r="AF50" s="1537"/>
      <c r="AG50" s="62"/>
      <c r="AH50" s="1008">
        <f>ROUND(SUM(AH44:AH49),1)</f>
        <v>1964.5</v>
      </c>
      <c r="AI50" s="13"/>
      <c r="AJ50" s="1010">
        <f t="shared" si="9"/>
        <v>0.253</v>
      </c>
    </row>
    <row r="51" spans="1:36" ht="16.5" customHeight="1">
      <c r="A51" s="412" t="s">
        <v>374</v>
      </c>
      <c r="B51" s="284"/>
      <c r="C51" s="253"/>
      <c r="D51" s="253"/>
      <c r="E51" s="253"/>
      <c r="F51" s="253"/>
      <c r="G51" s="253"/>
      <c r="H51" s="62"/>
      <c r="I51" s="253"/>
      <c r="J51" s="62"/>
      <c r="K51" s="253"/>
      <c r="L51" s="62"/>
      <c r="M51" s="253"/>
      <c r="N51" s="62"/>
      <c r="O51" s="253"/>
      <c r="P51" s="62"/>
      <c r="Q51" s="253"/>
      <c r="R51" s="62"/>
      <c r="S51" s="253"/>
      <c r="T51" s="62"/>
      <c r="U51" s="253"/>
      <c r="V51" s="62"/>
      <c r="W51" s="253"/>
      <c r="X51" s="62"/>
      <c r="Y51" s="253"/>
      <c r="Z51" s="62"/>
      <c r="AA51" s="390"/>
      <c r="AB51" s="62"/>
      <c r="AC51" s="62"/>
      <c r="AD51" s="857"/>
      <c r="AE51" s="192"/>
      <c r="AF51" s="1537"/>
      <c r="AG51" s="62"/>
      <c r="AH51" s="13"/>
      <c r="AI51" s="13"/>
      <c r="AJ51" s="74"/>
    </row>
    <row r="52" spans="1:36" ht="16.5" customHeight="1">
      <c r="A52" s="284" t="s">
        <v>375</v>
      </c>
      <c r="B52" s="284"/>
      <c r="C52" s="512">
        <f>+'Exhibit F'!D48</f>
        <v>0</v>
      </c>
      <c r="D52" s="512"/>
      <c r="E52" s="512">
        <f>+'Exhibit F'!F48</f>
        <v>0</v>
      </c>
      <c r="F52" s="512"/>
      <c r="G52" s="512">
        <f>+'Exhibit F'!H48</f>
        <v>0</v>
      </c>
      <c r="H52" s="194"/>
      <c r="I52" s="512">
        <f>+'Exhibit F'!J48</f>
        <v>0</v>
      </c>
      <c r="J52" s="194"/>
      <c r="K52" s="512"/>
      <c r="L52" s="62"/>
      <c r="M52" s="512"/>
      <c r="N52" s="62"/>
      <c r="O52" s="512"/>
      <c r="P52" s="62"/>
      <c r="Q52" s="512"/>
      <c r="R52" s="512"/>
      <c r="S52" s="512"/>
      <c r="T52" s="512"/>
      <c r="U52" s="512"/>
      <c r="V52" s="512"/>
      <c r="W52" s="512"/>
      <c r="X52" s="512"/>
      <c r="Y52" s="512"/>
      <c r="Z52" s="62"/>
      <c r="AA52" s="390"/>
      <c r="AB52" s="194">
        <f t="shared" ref="AB52:AB56" si="10">ROUND(SUM(C52:Y52),1)</f>
        <v>0</v>
      </c>
      <c r="AC52" s="62"/>
      <c r="AD52" s="857"/>
      <c r="AE52" s="512">
        <f>+'Exhibit F'!AF48</f>
        <v>0</v>
      </c>
      <c r="AF52" s="1537"/>
      <c r="AG52" s="62"/>
      <c r="AH52" s="264">
        <f t="shared" ref="AH52:AH56" si="11">ROUND(SUM(+AB52-AE52),1)</f>
        <v>0</v>
      </c>
      <c r="AI52" s="13"/>
      <c r="AJ52" s="266">
        <f>-ROUND(IF(AE52=0,0,AH52/ABS(AE52)),3)</f>
        <v>0</v>
      </c>
    </row>
    <row r="53" spans="1:36" ht="16.5" customHeight="1">
      <c r="A53" s="284" t="s">
        <v>376</v>
      </c>
      <c r="B53" s="284"/>
      <c r="C53" s="105">
        <f>+'Exhibit F'!D49</f>
        <v>165.8</v>
      </c>
      <c r="D53" s="105"/>
      <c r="E53" s="105">
        <f>+'Exhibit F'!F49</f>
        <v>113.10000000000002</v>
      </c>
      <c r="F53" s="105"/>
      <c r="G53" s="105">
        <f>+'Exhibit F'!H49</f>
        <v>94.599999999999966</v>
      </c>
      <c r="H53" s="194"/>
      <c r="I53" s="105">
        <f>+'Exhibit F'!J49</f>
        <v>271.00000000000006</v>
      </c>
      <c r="J53" s="194"/>
      <c r="K53" s="105"/>
      <c r="L53" s="194"/>
      <c r="M53" s="105"/>
      <c r="N53" s="62"/>
      <c r="O53" s="105"/>
      <c r="P53" s="62"/>
      <c r="Q53" s="105"/>
      <c r="R53" s="105"/>
      <c r="S53" s="105"/>
      <c r="T53" s="105"/>
      <c r="U53" s="105"/>
      <c r="V53" s="105"/>
      <c r="W53" s="105"/>
      <c r="X53" s="105"/>
      <c r="Y53" s="105"/>
      <c r="Z53" s="62"/>
      <c r="AA53" s="390"/>
      <c r="AB53" s="194">
        <f t="shared" si="10"/>
        <v>644.5</v>
      </c>
      <c r="AC53" s="62"/>
      <c r="AD53" s="857"/>
      <c r="AE53" s="105">
        <f>+'Exhibit F'!AF49</f>
        <v>506.4</v>
      </c>
      <c r="AF53" s="1537"/>
      <c r="AG53" s="62"/>
      <c r="AH53" s="264">
        <f t="shared" si="11"/>
        <v>138.1</v>
      </c>
      <c r="AI53" s="13"/>
      <c r="AJ53" s="374">
        <f t="shared" ref="AJ53:AJ58" si="12">ROUND(IF(AE53=0,0,AH53/ABS(AE53)),3)</f>
        <v>0.27300000000000002</v>
      </c>
    </row>
    <row r="54" spans="1:36" ht="16.5" customHeight="1">
      <c r="A54" s="284" t="s">
        <v>377</v>
      </c>
      <c r="B54" s="284"/>
      <c r="C54" s="105">
        <f>+'Exhibit F'!D50</f>
        <v>1</v>
      </c>
      <c r="D54" s="105"/>
      <c r="E54" s="105">
        <f>+'Exhibit F'!F50</f>
        <v>0.8</v>
      </c>
      <c r="F54" s="105"/>
      <c r="G54" s="105">
        <f>+'Exhibit F'!H50</f>
        <v>1.2000000000000002</v>
      </c>
      <c r="H54" s="194"/>
      <c r="I54" s="105">
        <f>+'Exhibit F'!J50</f>
        <v>1.4000000000000004</v>
      </c>
      <c r="J54" s="194"/>
      <c r="K54" s="105"/>
      <c r="L54" s="194"/>
      <c r="M54" s="105"/>
      <c r="N54" s="62"/>
      <c r="O54" s="105"/>
      <c r="P54" s="62"/>
      <c r="Q54" s="105"/>
      <c r="R54" s="105"/>
      <c r="S54" s="105"/>
      <c r="T54" s="105"/>
      <c r="U54" s="105"/>
      <c r="V54" s="105"/>
      <c r="W54" s="105"/>
      <c r="X54" s="105"/>
      <c r="Y54" s="105"/>
      <c r="Z54" s="62"/>
      <c r="AA54" s="390"/>
      <c r="AB54" s="194">
        <f t="shared" si="10"/>
        <v>4.4000000000000004</v>
      </c>
      <c r="AC54" s="62"/>
      <c r="AD54" s="857"/>
      <c r="AE54" s="105">
        <f>+'Exhibit F'!AF50</f>
        <v>4.9000000000000004</v>
      </c>
      <c r="AF54" s="1537"/>
      <c r="AG54" s="62"/>
      <c r="AH54" s="264">
        <f t="shared" si="11"/>
        <v>-0.5</v>
      </c>
      <c r="AI54" s="13"/>
      <c r="AJ54" s="374">
        <f t="shared" si="12"/>
        <v>-0.10199999999999999</v>
      </c>
    </row>
    <row r="55" spans="1:36" ht="16.5" customHeight="1">
      <c r="A55" s="284" t="s">
        <v>378</v>
      </c>
      <c r="B55" s="284"/>
      <c r="C55" s="105">
        <f>+'Exhibit F'!D51+'Exhibit H'!B26+'Exhibit I'!E28</f>
        <v>118.6</v>
      </c>
      <c r="D55" s="105"/>
      <c r="E55" s="105">
        <f>+'Exhibit F'!F51+'Exhibit H'!D26+'Exhibit I'!G28</f>
        <v>104.70000000000002</v>
      </c>
      <c r="F55" s="105"/>
      <c r="G55" s="105">
        <f>+'Exhibit F'!H51+'Exhibit H'!F26+'Exhibit I'!I28</f>
        <v>123.79999999999997</v>
      </c>
      <c r="H55" s="194"/>
      <c r="I55" s="105">
        <f>+'Exhibit F'!J51+'Exhibit H'!H26+'Exhibit I'!K28</f>
        <v>140</v>
      </c>
      <c r="J55" s="194"/>
      <c r="K55" s="105"/>
      <c r="L55" s="194"/>
      <c r="M55" s="105"/>
      <c r="N55" s="62"/>
      <c r="O55" s="105"/>
      <c r="P55" s="62"/>
      <c r="Q55" s="105"/>
      <c r="R55" s="105"/>
      <c r="S55" s="105"/>
      <c r="T55" s="105"/>
      <c r="U55" s="105"/>
      <c r="V55" s="105"/>
      <c r="W55" s="105"/>
      <c r="X55" s="105"/>
      <c r="Y55" s="105"/>
      <c r="Z55" s="62"/>
      <c r="AA55" s="390"/>
      <c r="AB55" s="194">
        <f t="shared" si="10"/>
        <v>487.1</v>
      </c>
      <c r="AC55" s="62"/>
      <c r="AD55" s="857"/>
      <c r="AE55" s="105">
        <f>+'Exhibit F'!AF51+'Exhibit H'!AD26+'Exhibit I'!AG28</f>
        <v>428.9</v>
      </c>
      <c r="AF55" s="1537"/>
      <c r="AG55" s="62"/>
      <c r="AH55" s="264">
        <f t="shared" si="11"/>
        <v>58.2</v>
      </c>
      <c r="AI55" s="13"/>
      <c r="AJ55" s="374">
        <f t="shared" si="12"/>
        <v>0.13600000000000001</v>
      </c>
    </row>
    <row r="56" spans="1:36" ht="16.5" customHeight="1">
      <c r="A56" s="284" t="s">
        <v>379</v>
      </c>
      <c r="B56" s="284"/>
      <c r="C56" s="105">
        <f>+'Exhibit F'!D52</f>
        <v>0.1</v>
      </c>
      <c r="D56" s="105"/>
      <c r="E56" s="105">
        <f>+'Exhibit F'!F52</f>
        <v>0</v>
      </c>
      <c r="F56" s="105"/>
      <c r="G56" s="105">
        <f>+'Exhibit F'!H52</f>
        <v>0</v>
      </c>
      <c r="H56" s="194"/>
      <c r="I56" s="105">
        <f>+'Exhibit F'!J52</f>
        <v>0</v>
      </c>
      <c r="J56" s="194"/>
      <c r="K56" s="105"/>
      <c r="L56" s="194"/>
      <c r="M56" s="105"/>
      <c r="N56" s="62"/>
      <c r="O56" s="105"/>
      <c r="P56" s="62"/>
      <c r="Q56" s="105"/>
      <c r="R56" s="105"/>
      <c r="S56" s="105"/>
      <c r="T56" s="105"/>
      <c r="U56" s="105"/>
      <c r="V56" s="105"/>
      <c r="W56" s="105"/>
      <c r="X56" s="105"/>
      <c r="Y56" s="105"/>
      <c r="Z56" s="62"/>
      <c r="AA56" s="390"/>
      <c r="AB56" s="194">
        <f t="shared" si="10"/>
        <v>0.1</v>
      </c>
      <c r="AC56" s="62"/>
      <c r="AD56" s="857"/>
      <c r="AE56" s="105">
        <f>+'Exhibit F'!AF52</f>
        <v>0.1</v>
      </c>
      <c r="AF56" s="1537"/>
      <c r="AG56" s="62"/>
      <c r="AH56" s="264">
        <f t="shared" si="11"/>
        <v>0</v>
      </c>
      <c r="AI56" s="13"/>
      <c r="AJ56" s="266">
        <f>ROUND(IF(AE56=0,1,AH56/ABS(AE56)),3)</f>
        <v>0</v>
      </c>
    </row>
    <row r="57" spans="1:36" ht="16.5" customHeight="1">
      <c r="A57" s="420" t="s">
        <v>380</v>
      </c>
      <c r="B57" s="284"/>
      <c r="C57" s="105">
        <f>+'Exhibit F'!D53+'Exhibit H'!B27</f>
        <v>0.2</v>
      </c>
      <c r="D57" s="105"/>
      <c r="E57" s="105">
        <f>+'Exhibit F'!F53+'Exhibit H'!D27</f>
        <v>0.2</v>
      </c>
      <c r="F57" s="105"/>
      <c r="G57" s="105">
        <f>+'Exhibit F'!H53+'Exhibit H'!F27</f>
        <v>0.30000000000000004</v>
      </c>
      <c r="H57" s="194"/>
      <c r="I57" s="105">
        <f>+'Exhibit F'!J53+'Exhibit H'!H27</f>
        <v>0.49999999999999989</v>
      </c>
      <c r="J57" s="194"/>
      <c r="K57" s="105"/>
      <c r="L57" s="62"/>
      <c r="M57" s="105"/>
      <c r="N57" s="62"/>
      <c r="O57" s="105"/>
      <c r="P57" s="62"/>
      <c r="Q57" s="105"/>
      <c r="R57" s="105"/>
      <c r="S57" s="105"/>
      <c r="T57" s="105"/>
      <c r="U57" s="105"/>
      <c r="V57" s="105"/>
      <c r="W57" s="105"/>
      <c r="X57" s="105"/>
      <c r="Y57" s="105"/>
      <c r="Z57" s="62"/>
      <c r="AA57" s="390"/>
      <c r="AB57" s="194">
        <f t="shared" ref="AB57" si="13">ROUND(SUM(C57:Y57),1)</f>
        <v>1.2</v>
      </c>
      <c r="AC57" s="62"/>
      <c r="AD57" s="857"/>
      <c r="AE57" s="105">
        <f>+'Exhibit F'!AF53+'Exhibit H'!AD27</f>
        <v>1.5</v>
      </c>
      <c r="AF57" s="1537"/>
      <c r="AG57" s="62"/>
      <c r="AH57" s="264">
        <f>ROUND(SUM(+AB57-AE57),1)</f>
        <v>-0.3</v>
      </c>
      <c r="AI57" s="63"/>
      <c r="AJ57" s="533">
        <f>ROUND(IF(AE57=0,1,AH57/ABS(AE57)),3)</f>
        <v>-0.2</v>
      </c>
    </row>
    <row r="58" spans="1:36" ht="16.5" customHeight="1">
      <c r="A58" s="83" t="s">
        <v>381</v>
      </c>
      <c r="B58" s="284"/>
      <c r="C58" s="1008">
        <f>ROUND(SUM(C52:C57),1)</f>
        <v>285.7</v>
      </c>
      <c r="D58" s="1"/>
      <c r="E58" s="1008">
        <f>ROUND(SUM(E52:E57),1)</f>
        <v>218.8</v>
      </c>
      <c r="F58" s="1"/>
      <c r="G58" s="1008">
        <f>ROUND(SUM(G52:G57),1)</f>
        <v>219.9</v>
      </c>
      <c r="H58" s="62"/>
      <c r="I58" s="1008">
        <f>ROUND(SUM(I52:I57),1)</f>
        <v>412.9</v>
      </c>
      <c r="J58" s="62"/>
      <c r="K58" s="1008">
        <f>ROUND(SUM(K52:K57),1)</f>
        <v>0</v>
      </c>
      <c r="L58" s="62"/>
      <c r="M58" s="1008">
        <f>ROUND(SUM(M52:M57),1)</f>
        <v>0</v>
      </c>
      <c r="N58" s="62"/>
      <c r="O58" s="1008">
        <f>ROUND(SUM(O52:O57),1)</f>
        <v>0</v>
      </c>
      <c r="P58" s="62"/>
      <c r="Q58" s="1008">
        <f>ROUND(SUM(Q52:Q57),1)</f>
        <v>0</v>
      </c>
      <c r="R58" s="62"/>
      <c r="S58" s="1008">
        <f>ROUND(SUM(S52:S57),1)</f>
        <v>0</v>
      </c>
      <c r="T58" s="62"/>
      <c r="U58" s="1008">
        <f>ROUND(SUM(U52:U57),1)</f>
        <v>0</v>
      </c>
      <c r="V58" s="62"/>
      <c r="W58" s="1008">
        <f>ROUND(SUM(W52:W57),1)</f>
        <v>0</v>
      </c>
      <c r="X58" s="62"/>
      <c r="Y58" s="1008">
        <f>ROUND(SUM(Y52:Y57),1)</f>
        <v>0</v>
      </c>
      <c r="Z58" s="62"/>
      <c r="AA58" s="390"/>
      <c r="AB58" s="1008">
        <f>ROUND(SUM(AB52:AB57),1)</f>
        <v>1137.3</v>
      </c>
      <c r="AC58" s="62"/>
      <c r="AD58" s="857"/>
      <c r="AE58" s="1008">
        <f>ROUND(SUM(AE52:AE57),1)</f>
        <v>941.8</v>
      </c>
      <c r="AF58" s="1537"/>
      <c r="AG58" s="62"/>
      <c r="AH58" s="1008">
        <f>ROUND(SUM(AH52:AH57),1)</f>
        <v>195.5</v>
      </c>
      <c r="AI58" s="13"/>
      <c r="AJ58" s="1010">
        <f t="shared" si="12"/>
        <v>0.20799999999999999</v>
      </c>
    </row>
    <row r="59" spans="1:36" ht="16.5" customHeight="1">
      <c r="A59" s="83"/>
      <c r="B59" s="284"/>
      <c r="C59" s="1"/>
      <c r="D59" s="1"/>
      <c r="E59" s="1"/>
      <c r="F59" s="1"/>
      <c r="G59" s="1"/>
      <c r="H59" s="62"/>
      <c r="I59" s="1"/>
      <c r="J59" s="62"/>
      <c r="K59" s="1"/>
      <c r="L59" s="62"/>
      <c r="M59" s="1"/>
      <c r="N59" s="62"/>
      <c r="O59" s="1"/>
      <c r="P59" s="62"/>
      <c r="Q59" s="1"/>
      <c r="R59" s="62"/>
      <c r="S59" s="1"/>
      <c r="T59" s="62"/>
      <c r="U59" s="1"/>
      <c r="V59" s="62"/>
      <c r="W59" s="1"/>
      <c r="X59" s="62"/>
      <c r="Y59" s="1"/>
      <c r="Z59" s="62"/>
      <c r="AA59" s="193"/>
      <c r="AB59" s="62"/>
      <c r="AC59" s="62"/>
      <c r="AD59" s="857"/>
      <c r="AE59" s="62"/>
      <c r="AF59" s="1537"/>
      <c r="AG59" s="62"/>
      <c r="AH59" s="268"/>
      <c r="AI59" s="62"/>
      <c r="AJ59" s="268"/>
    </row>
    <row r="60" spans="1:36" ht="16.5" customHeight="1">
      <c r="A60" s="83" t="s">
        <v>382</v>
      </c>
      <c r="B60" s="364"/>
      <c r="C60" s="979">
        <f>ROUND(SUM(C58+C50+C42+C30),1)</f>
        <v>13990.3</v>
      </c>
      <c r="D60" s="264"/>
      <c r="E60" s="979">
        <f>ROUND(SUM(E58+E50+E42+E30),1)</f>
        <v>6655.8</v>
      </c>
      <c r="F60" s="264"/>
      <c r="G60" s="979">
        <f>ROUND(SUM(G58+G50+G42+G30),1)</f>
        <v>16583.2</v>
      </c>
      <c r="H60" s="264"/>
      <c r="I60" s="979">
        <f>ROUND(SUM(I58+I50+I42+I30),1)</f>
        <v>7564.7</v>
      </c>
      <c r="J60" s="264"/>
      <c r="K60" s="979">
        <f>ROUND(SUM(K58+K50+K42+K30),1)</f>
        <v>0</v>
      </c>
      <c r="L60" s="264"/>
      <c r="M60" s="979">
        <f>ROUND(SUM(M58+M50+M42+M30),1)</f>
        <v>0</v>
      </c>
      <c r="N60" s="264"/>
      <c r="O60" s="979">
        <f>ROUND(SUM(O58+O50+O42+O30),1)</f>
        <v>0</v>
      </c>
      <c r="P60" s="264"/>
      <c r="Q60" s="979">
        <f>ROUND(SUM(Q58+Q50+Q42+Q30),1)</f>
        <v>0</v>
      </c>
      <c r="R60" s="264"/>
      <c r="S60" s="979">
        <f>ROUND(SUM(S58+S50+S42+S30),1)</f>
        <v>0</v>
      </c>
      <c r="T60" s="264"/>
      <c r="U60" s="979">
        <f>ROUND(SUM(U58+U50+U42+U30),1)</f>
        <v>0</v>
      </c>
      <c r="V60" s="264"/>
      <c r="W60" s="979">
        <f>ROUND(SUM(W58+W50+W42+W30),1)</f>
        <v>0</v>
      </c>
      <c r="X60" s="268"/>
      <c r="Y60" s="979">
        <f>ROUND(SUM(Y58+Y50+Y42+Y30),1)</f>
        <v>0</v>
      </c>
      <c r="Z60" s="268"/>
      <c r="AA60" s="853"/>
      <c r="AB60" s="1011">
        <f>ROUND(+AB58+AB50+AB42+AB30,1)</f>
        <v>44794</v>
      </c>
      <c r="AC60" s="264"/>
      <c r="AD60" s="523"/>
      <c r="AE60" s="1011">
        <f>ROUND(+AE58+AE50+AE42+AE30,1)</f>
        <v>40021.1</v>
      </c>
      <c r="AF60" s="519"/>
      <c r="AG60" s="697"/>
      <c r="AH60" s="1011">
        <f>ROUND(+AH58+AH50+AH42+AH30,1)</f>
        <v>4772.8999999999996</v>
      </c>
      <c r="AI60" s="264"/>
      <c r="AJ60" s="859">
        <f>ROUND(IF(AE60=0,0,AH60/ABS(AE60)),3)</f>
        <v>0.11899999999999999</v>
      </c>
    </row>
    <row r="61" spans="1:36" ht="16.5" customHeight="1">
      <c r="A61" s="62"/>
      <c r="B61" s="62"/>
      <c r="C61" s="194"/>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5"/>
      <c r="AB61" s="194"/>
      <c r="AC61" s="194"/>
      <c r="AD61" s="860"/>
      <c r="AE61" s="194"/>
      <c r="AF61" s="1539"/>
      <c r="AG61" s="194"/>
      <c r="AH61" s="194"/>
      <c r="AI61" s="62"/>
      <c r="AJ61" s="283"/>
    </row>
    <row r="62" spans="1:36" ht="16.5" customHeight="1">
      <c r="A62" s="1211" t="s">
        <v>383</v>
      </c>
      <c r="B62" s="366"/>
      <c r="C62" s="194"/>
      <c r="D62" s="194"/>
      <c r="E62" s="194"/>
      <c r="F62" s="194"/>
      <c r="G62" s="194"/>
      <c r="H62" s="194"/>
      <c r="I62" s="194" t="s">
        <v>103</v>
      </c>
      <c r="J62" s="194"/>
      <c r="K62" s="194" t="s">
        <v>103</v>
      </c>
      <c r="L62" s="194"/>
      <c r="M62" s="194" t="s">
        <v>103</v>
      </c>
      <c r="N62" s="194"/>
      <c r="O62" s="194" t="s">
        <v>103</v>
      </c>
      <c r="P62" s="194"/>
      <c r="Q62" s="194"/>
      <c r="R62" s="194"/>
      <c r="S62" s="194"/>
      <c r="T62" s="194"/>
      <c r="U62" s="194"/>
      <c r="V62" s="194"/>
      <c r="W62" s="194"/>
      <c r="X62" s="194"/>
      <c r="Y62" s="194"/>
      <c r="Z62" s="194"/>
      <c r="AA62" s="195"/>
      <c r="AB62" s="194"/>
      <c r="AC62" s="194"/>
      <c r="AD62" s="860"/>
      <c r="AE62" s="194"/>
      <c r="AF62" s="1539"/>
      <c r="AG62" s="194"/>
      <c r="AH62" s="194"/>
      <c r="AI62" s="62"/>
      <c r="AJ62" s="283"/>
    </row>
    <row r="63" spans="1:36" ht="16.5" customHeight="1">
      <c r="A63" s="350" t="s">
        <v>384</v>
      </c>
      <c r="B63" s="366"/>
      <c r="C63" s="194"/>
      <c r="D63" s="194"/>
      <c r="E63" s="194"/>
      <c r="F63" s="194"/>
      <c r="G63" s="194"/>
      <c r="H63" s="194"/>
      <c r="I63" s="194"/>
      <c r="J63" s="194"/>
      <c r="K63" s="194"/>
      <c r="L63" s="194"/>
      <c r="M63" s="194"/>
      <c r="N63" s="194"/>
      <c r="O63" s="194"/>
      <c r="P63" s="194"/>
      <c r="Q63" s="194"/>
      <c r="R63" s="194"/>
      <c r="S63" s="194"/>
      <c r="T63" s="194"/>
      <c r="U63" s="194"/>
      <c r="V63" s="194"/>
      <c r="W63" s="194"/>
      <c r="X63" s="194"/>
      <c r="Y63" s="194"/>
      <c r="Z63" s="194"/>
      <c r="AA63" s="195"/>
      <c r="AB63" s="194"/>
      <c r="AC63" s="194"/>
      <c r="AD63" s="860"/>
      <c r="AE63" s="194"/>
      <c r="AF63" s="1539"/>
      <c r="AG63" s="194"/>
      <c r="AH63" s="194"/>
      <c r="AI63" s="62"/>
      <c r="AJ63" s="283"/>
    </row>
    <row r="64" spans="1:36" ht="16.5" customHeight="1">
      <c r="A64" s="350" t="s">
        <v>385</v>
      </c>
      <c r="B64" s="350"/>
      <c r="C64" s="194">
        <f>+'Exhibit F'!D60+'Exhibit G'!D42+'Exhibit I'!E35</f>
        <v>2.2999999999999998</v>
      </c>
      <c r="D64" s="194"/>
      <c r="E64" s="194">
        <f>+'Exhibit F'!F60+'Exhibit G'!F42+'Exhibit I'!G35</f>
        <v>1.1000000000000001</v>
      </c>
      <c r="F64" s="194"/>
      <c r="G64" s="194">
        <f>+'Exhibit F'!H60+'Exhibit G'!H42+'Exhibit I'!I35</f>
        <v>2.2000000000000002</v>
      </c>
      <c r="H64" s="194"/>
      <c r="I64" s="194">
        <f>+'Exhibit F'!J60+'Exhibit G'!J42+'Exhibit I'!K35</f>
        <v>1.8999999999999995</v>
      </c>
      <c r="J64" s="194"/>
      <c r="K64" s="194"/>
      <c r="L64" s="194"/>
      <c r="M64" s="194"/>
      <c r="N64" s="194"/>
      <c r="O64" s="194"/>
      <c r="P64" s="194"/>
      <c r="Q64" s="194"/>
      <c r="R64" s="194"/>
      <c r="S64" s="194"/>
      <c r="T64" s="194"/>
      <c r="U64" s="194"/>
      <c r="V64" s="194"/>
      <c r="W64" s="194"/>
      <c r="X64" s="194"/>
      <c r="Y64" s="194"/>
      <c r="Z64" s="194"/>
      <c r="AA64" s="195"/>
      <c r="AB64" s="194">
        <f t="shared" ref="AB64:AB104" si="14">ROUND(SUM(C64:Y64),1)</f>
        <v>7.5</v>
      </c>
      <c r="AC64" s="194"/>
      <c r="AD64" s="860"/>
      <c r="AE64" s="194">
        <f>+'Exhibit F'!AF60+'Exhibit G'!AH42+'Exhibit I'!AG35</f>
        <v>6.5</v>
      </c>
      <c r="AF64" s="1539"/>
      <c r="AG64" s="194"/>
      <c r="AH64" s="194">
        <f t="shared" ref="AH64:AH104" si="15">ROUND(SUM(AB64-AE64),1)</f>
        <v>1</v>
      </c>
      <c r="AI64" s="62"/>
      <c r="AJ64" s="374">
        <f>ROUND(IF(AE64=0,0,AH64/ABS(AE64)),3)</f>
        <v>0.154</v>
      </c>
    </row>
    <row r="65" spans="1:36" ht="16.5" customHeight="1">
      <c r="A65" s="350" t="s">
        <v>386</v>
      </c>
      <c r="B65" s="350"/>
      <c r="C65" s="194">
        <f>+'Exhibit F'!D61+'Exhibit I'!E36</f>
        <v>2.8</v>
      </c>
      <c r="D65" s="194"/>
      <c r="E65" s="194">
        <f>+'Exhibit F'!F61+'Exhibit I'!G36</f>
        <v>-0.29999999999999982</v>
      </c>
      <c r="F65" s="194"/>
      <c r="G65" s="194">
        <f>+'Exhibit F'!H61+'Exhibit I'!I36</f>
        <v>33.4</v>
      </c>
      <c r="H65" s="194"/>
      <c r="I65" s="194">
        <f>+'Exhibit F'!J61+'Exhibit I'!K36</f>
        <v>1.7000000000000011</v>
      </c>
      <c r="J65" s="194"/>
      <c r="K65" s="194"/>
      <c r="L65" s="194"/>
      <c r="M65" s="194"/>
      <c r="N65" s="194"/>
      <c r="O65" s="194"/>
      <c r="P65" s="194"/>
      <c r="Q65" s="194"/>
      <c r="R65" s="194"/>
      <c r="S65" s="194"/>
      <c r="T65" s="194"/>
      <c r="U65" s="194"/>
      <c r="V65" s="194"/>
      <c r="W65" s="194"/>
      <c r="X65" s="194"/>
      <c r="Y65" s="194"/>
      <c r="Z65" s="194"/>
      <c r="AA65" s="195"/>
      <c r="AB65" s="194">
        <f t="shared" si="14"/>
        <v>37.6</v>
      </c>
      <c r="AC65" s="194"/>
      <c r="AD65" s="860"/>
      <c r="AE65" s="194">
        <f>+'Exhibit F'!AF61+'Exhibit I'!AG36</f>
        <v>36.799999999999997</v>
      </c>
      <c r="AF65" s="1539"/>
      <c r="AG65" s="194"/>
      <c r="AH65" s="194">
        <f t="shared" si="15"/>
        <v>0.8</v>
      </c>
      <c r="AI65" s="62"/>
      <c r="AJ65" s="858">
        <f>ROUND(IF(AE65=0,0,AH65/ABS(AE65)),3)</f>
        <v>2.1999999999999999E-2</v>
      </c>
    </row>
    <row r="66" spans="1:36" ht="16.5" customHeight="1">
      <c r="A66" s="350" t="s">
        <v>387</v>
      </c>
      <c r="B66" s="350"/>
      <c r="C66" s="194"/>
      <c r="D66" s="194"/>
      <c r="E66" s="194"/>
      <c r="F66" s="194"/>
      <c r="G66" s="194"/>
      <c r="H66" s="194"/>
      <c r="I66" s="194"/>
      <c r="J66" s="194"/>
      <c r="K66" s="194"/>
      <c r="L66" s="194"/>
      <c r="M66" s="194"/>
      <c r="N66" s="194"/>
      <c r="O66" s="194"/>
      <c r="P66" s="194"/>
      <c r="Q66" s="194"/>
      <c r="R66" s="194"/>
      <c r="S66" s="194"/>
      <c r="T66" s="194"/>
      <c r="U66" s="194"/>
      <c r="V66" s="194"/>
      <c r="W66" s="194"/>
      <c r="X66" s="194"/>
      <c r="Y66" s="194"/>
      <c r="Z66" s="194"/>
      <c r="AA66" s="195"/>
      <c r="AB66" s="194"/>
      <c r="AC66" s="194"/>
      <c r="AD66" s="860"/>
      <c r="AE66" s="194"/>
      <c r="AF66" s="1539"/>
      <c r="AG66" s="194"/>
      <c r="AH66" s="194"/>
      <c r="AI66" s="62"/>
      <c r="AJ66" s="374"/>
    </row>
    <row r="67" spans="1:36" ht="16.5" customHeight="1">
      <c r="A67" s="350" t="s">
        <v>388</v>
      </c>
      <c r="B67" s="350"/>
      <c r="C67" s="194">
        <f>+'Exhibit F'!D63+'Exhibit G'!D44+'Exhibit I'!E38</f>
        <v>133.5</v>
      </c>
      <c r="D67" s="194"/>
      <c r="E67" s="194">
        <f>+'Exhibit F'!F63+'Exhibit G'!F44+'Exhibit I'!G38</f>
        <v>103.5</v>
      </c>
      <c r="F67" s="194"/>
      <c r="G67" s="194">
        <f>+'Exhibit F'!H63+'Exhibit G'!H44+'Exhibit I'!I38</f>
        <v>94.2</v>
      </c>
      <c r="H67" s="194"/>
      <c r="I67" s="194">
        <f>+'Exhibit F'!J63+'Exhibit G'!J44+'Exhibit I'!K38</f>
        <v>128.39999999999998</v>
      </c>
      <c r="J67" s="194"/>
      <c r="K67" s="194"/>
      <c r="L67" s="194"/>
      <c r="M67" s="194"/>
      <c r="N67" s="194"/>
      <c r="O67" s="194"/>
      <c r="P67" s="194"/>
      <c r="Q67" s="194"/>
      <c r="R67" s="194"/>
      <c r="S67" s="194"/>
      <c r="T67" s="194"/>
      <c r="U67" s="194"/>
      <c r="V67" s="194"/>
      <c r="W67" s="194"/>
      <c r="X67" s="194"/>
      <c r="Y67" s="194"/>
      <c r="Z67" s="194"/>
      <c r="AA67" s="195"/>
      <c r="AB67" s="194">
        <f>ROUND(SUM(C67:Y67),1)</f>
        <v>459.6</v>
      </c>
      <c r="AC67" s="194"/>
      <c r="AD67" s="860"/>
      <c r="AE67" s="194">
        <f>+'Exhibit F'!AF63+'Exhibit G'!AH44+'Exhibit I'!AG38</f>
        <v>326</v>
      </c>
      <c r="AF67" s="1539"/>
      <c r="AG67" s="194"/>
      <c r="AH67" s="194">
        <f t="shared" si="15"/>
        <v>133.6</v>
      </c>
      <c r="AI67" s="62"/>
      <c r="AJ67" s="374">
        <f>ROUND(IF(AE67=0,0,AH67/ABS(AE67)),3)</f>
        <v>0.41</v>
      </c>
    </row>
    <row r="68" spans="1:36" ht="16.5" customHeight="1">
      <c r="A68" s="350" t="s">
        <v>389</v>
      </c>
      <c r="B68" s="350"/>
      <c r="C68" s="194">
        <f>+'Exhibit F'!D64+'Exhibit G'!D45</f>
        <v>656.1</v>
      </c>
      <c r="D68" s="194"/>
      <c r="E68" s="194">
        <f>+'Exhibit F'!F64+'Exhibit G'!F45</f>
        <v>795.40000000000009</v>
      </c>
      <c r="F68" s="194"/>
      <c r="G68" s="194">
        <f>+'Exhibit F'!H64+'Exhibit G'!H45</f>
        <v>886.5</v>
      </c>
      <c r="H68" s="194"/>
      <c r="I68" s="194">
        <f>+'Exhibit F'!J64+'Exhibit G'!J45</f>
        <v>772.19999999999993</v>
      </c>
      <c r="J68" s="194"/>
      <c r="K68" s="194"/>
      <c r="L68" s="194"/>
      <c r="M68" s="194"/>
      <c r="N68" s="194"/>
      <c r="O68" s="194"/>
      <c r="P68" s="194"/>
      <c r="Q68" s="194"/>
      <c r="R68" s="194"/>
      <c r="S68" s="194"/>
      <c r="T68" s="194"/>
      <c r="U68" s="194"/>
      <c r="V68" s="194"/>
      <c r="W68" s="194"/>
      <c r="X68" s="194"/>
      <c r="Y68" s="194"/>
      <c r="Z68" s="194"/>
      <c r="AA68" s="195"/>
      <c r="AB68" s="194">
        <f t="shared" si="14"/>
        <v>3110.2</v>
      </c>
      <c r="AC68" s="194"/>
      <c r="AD68" s="860"/>
      <c r="AE68" s="194">
        <f>+'Exhibit F'!AF64+'Exhibit G'!AH45+'Exhibit H'!AD34</f>
        <v>2738.6000000000004</v>
      </c>
      <c r="AF68" s="1539"/>
      <c r="AG68" s="194"/>
      <c r="AH68" s="194">
        <f t="shared" si="15"/>
        <v>371.6</v>
      </c>
      <c r="AI68" s="62"/>
      <c r="AJ68" s="374">
        <f>ROUND(IF(AE68=0,0,AH68/ABS(AE68)),3)</f>
        <v>0.13600000000000001</v>
      </c>
    </row>
    <row r="69" spans="1:36" ht="16.5" customHeight="1">
      <c r="A69" s="350" t="s">
        <v>390</v>
      </c>
      <c r="B69" s="350"/>
      <c r="C69" s="194">
        <f>+'Exhibit F'!D65+'Exhibit G'!D46</f>
        <v>2.9</v>
      </c>
      <c r="D69" s="194"/>
      <c r="E69" s="194">
        <f>+'Exhibit F'!F65+'Exhibit G'!F46</f>
        <v>0</v>
      </c>
      <c r="F69" s="194"/>
      <c r="G69" s="194">
        <f>+'Exhibit F'!H65+'Exhibit G'!H46</f>
        <v>0.70000000000000018</v>
      </c>
      <c r="H69" s="194"/>
      <c r="I69" s="194">
        <f>+'Exhibit F'!J65+'Exhibit G'!J46</f>
        <v>0.29999999999999982</v>
      </c>
      <c r="J69" s="194"/>
      <c r="K69" s="194"/>
      <c r="L69" s="194"/>
      <c r="M69" s="194"/>
      <c r="N69" s="194"/>
      <c r="O69" s="194"/>
      <c r="P69" s="194"/>
      <c r="Q69" s="194"/>
      <c r="R69" s="194"/>
      <c r="S69" s="194"/>
      <c r="T69" s="194"/>
      <c r="U69" s="194"/>
      <c r="V69" s="194"/>
      <c r="W69" s="194"/>
      <c r="X69" s="194"/>
      <c r="Y69" s="194"/>
      <c r="Z69" s="194"/>
      <c r="AA69" s="195"/>
      <c r="AB69" s="194">
        <f t="shared" si="14"/>
        <v>3.9</v>
      </c>
      <c r="AC69" s="194"/>
      <c r="AD69" s="860"/>
      <c r="AE69" s="194">
        <f>+'Exhibit F'!AF65+'Exhibit G'!AH46</f>
        <v>2.1</v>
      </c>
      <c r="AF69" s="1539"/>
      <c r="AG69" s="194"/>
      <c r="AH69" s="194">
        <f t="shared" si="15"/>
        <v>1.8</v>
      </c>
      <c r="AI69" s="62"/>
      <c r="AJ69" s="858">
        <f>ROUND(IF(AE69=0,0,AH69/ABS(AE69)),3)</f>
        <v>0.85699999999999998</v>
      </c>
    </row>
    <row r="70" spans="1:36" ht="16.5" customHeight="1">
      <c r="A70" s="350" t="s">
        <v>391</v>
      </c>
      <c r="B70" s="350"/>
      <c r="C70" s="194">
        <f>+'Exhibit F'!D66+'Exhibit G'!D47</f>
        <v>0</v>
      </c>
      <c r="D70" s="194"/>
      <c r="E70" s="194">
        <f>+'Exhibit F'!F66+'Exhibit G'!F47</f>
        <v>1005.1</v>
      </c>
      <c r="F70" s="194"/>
      <c r="G70" s="194">
        <f>+'Exhibit F'!H66+'Exhibit G'!H47</f>
        <v>0.10000000000002274</v>
      </c>
      <c r="H70" s="194"/>
      <c r="I70" s="194">
        <f>+'Exhibit F'!J66+'Exhibit G'!J47</f>
        <v>611.4</v>
      </c>
      <c r="J70" s="194"/>
      <c r="K70" s="194"/>
      <c r="L70" s="194"/>
      <c r="M70" s="194"/>
      <c r="N70" s="194"/>
      <c r="O70" s="194"/>
      <c r="P70" s="194"/>
      <c r="Q70" s="194"/>
      <c r="R70" s="194"/>
      <c r="S70" s="194"/>
      <c r="T70" s="194"/>
      <c r="U70" s="194"/>
      <c r="V70" s="194"/>
      <c r="W70" s="194"/>
      <c r="X70" s="194"/>
      <c r="Y70" s="194"/>
      <c r="Z70" s="194"/>
      <c r="AA70" s="195"/>
      <c r="AB70" s="194">
        <f t="shared" si="14"/>
        <v>1616.6</v>
      </c>
      <c r="AC70" s="194"/>
      <c r="AD70" s="860"/>
      <c r="AE70" s="194">
        <f>+'Exhibit F'!AF66+'Exhibit G'!AH47</f>
        <v>0.1</v>
      </c>
      <c r="AF70" s="1539"/>
      <c r="AG70" s="194"/>
      <c r="AH70" s="194">
        <f t="shared" si="15"/>
        <v>1616.5</v>
      </c>
      <c r="AI70" s="62"/>
      <c r="AJ70" s="542">
        <f>ROUND(IF(AE70=0,0,AH70/ABS(AE70)),3)</f>
        <v>16165</v>
      </c>
    </row>
    <row r="71" spans="1:36" ht="16.5" customHeight="1">
      <c r="A71" s="350" t="s">
        <v>392</v>
      </c>
      <c r="B71" s="350"/>
      <c r="C71" s="194"/>
      <c r="D71" s="194"/>
      <c r="E71" s="194"/>
      <c r="F71" s="194"/>
      <c r="G71" s="194"/>
      <c r="H71" s="194"/>
      <c r="I71" s="194"/>
      <c r="J71" s="194"/>
      <c r="K71" s="194"/>
      <c r="L71" s="194"/>
      <c r="M71" s="194"/>
      <c r="N71" s="194"/>
      <c r="O71" s="194"/>
      <c r="P71" s="194"/>
      <c r="Q71" s="194"/>
      <c r="R71" s="194"/>
      <c r="S71" s="194"/>
      <c r="T71" s="194"/>
      <c r="U71" s="194"/>
      <c r="V71" s="194"/>
      <c r="W71" s="194"/>
      <c r="X71" s="194"/>
      <c r="Y71" s="194"/>
      <c r="Z71" s="194"/>
      <c r="AA71" s="195"/>
      <c r="AB71" s="194"/>
      <c r="AC71" s="194"/>
      <c r="AD71" s="860"/>
      <c r="AE71" s="194"/>
      <c r="AF71" s="1539"/>
      <c r="AG71" s="194"/>
      <c r="AH71" s="194"/>
      <c r="AI71" s="62"/>
      <c r="AJ71" s="266"/>
    </row>
    <row r="72" spans="1:36" ht="16.5" customHeight="1">
      <c r="A72" s="350" t="s">
        <v>393</v>
      </c>
      <c r="B72" s="350"/>
      <c r="C72" s="194">
        <f>+'Exhibit F'!D68+'Exhibit H'!B36</f>
        <v>5.4</v>
      </c>
      <c r="D72" s="194"/>
      <c r="E72" s="194">
        <f>+'Exhibit F'!F68+'Exhibit H'!D36</f>
        <v>4.9000000000000004</v>
      </c>
      <c r="F72" s="194"/>
      <c r="G72" s="194">
        <f>+'Exhibit F'!H68+'Exhibit H'!F36</f>
        <v>5.8999999999999986</v>
      </c>
      <c r="H72" s="194"/>
      <c r="I72" s="194">
        <f>+'Exhibit F'!J68+'Exhibit H'!H36</f>
        <v>4.8000000000000007</v>
      </c>
      <c r="J72" s="194"/>
      <c r="K72" s="194"/>
      <c r="L72" s="194"/>
      <c r="M72" s="194"/>
      <c r="N72" s="194"/>
      <c r="O72" s="194"/>
      <c r="P72" s="194"/>
      <c r="Q72" s="194"/>
      <c r="R72" s="194"/>
      <c r="S72" s="194"/>
      <c r="T72" s="194"/>
      <c r="U72" s="194"/>
      <c r="V72" s="194"/>
      <c r="W72" s="194"/>
      <c r="X72" s="194"/>
      <c r="Y72" s="194"/>
      <c r="Z72" s="194"/>
      <c r="AA72" s="195"/>
      <c r="AB72" s="194">
        <f t="shared" si="14"/>
        <v>21</v>
      </c>
      <c r="AC72" s="194"/>
      <c r="AD72" s="860"/>
      <c r="AE72" s="194">
        <f>+'Exhibit F'!AF68+'Exhibit H'!AD36</f>
        <v>17.100000000000001</v>
      </c>
      <c r="AF72" s="1539"/>
      <c r="AG72" s="194"/>
      <c r="AH72" s="194">
        <f t="shared" si="15"/>
        <v>3.9</v>
      </c>
      <c r="AI72" s="62"/>
      <c r="AJ72" s="266">
        <f t="shared" ref="AJ72:AJ79" si="16">ROUND(IF(AE72=0,0,AH72/ABS(AE72)),3)</f>
        <v>0.22800000000000001</v>
      </c>
    </row>
    <row r="73" spans="1:36" ht="16.5" customHeight="1">
      <c r="A73" s="350" t="s">
        <v>394</v>
      </c>
      <c r="B73" s="350"/>
      <c r="C73" s="194">
        <f>'Exhibit G'!D49</f>
        <v>0</v>
      </c>
      <c r="D73" s="194"/>
      <c r="E73" s="194">
        <f>'Exhibit G'!F49</f>
        <v>0</v>
      </c>
      <c r="F73" s="194"/>
      <c r="G73" s="194">
        <f>'Exhibit G'!H49</f>
        <v>0.1</v>
      </c>
      <c r="H73" s="194"/>
      <c r="I73" s="194">
        <f>'Exhibit G'!J49</f>
        <v>2.4</v>
      </c>
      <c r="J73" s="194"/>
      <c r="K73" s="194"/>
      <c r="L73" s="194"/>
      <c r="M73" s="194"/>
      <c r="N73" s="194"/>
      <c r="O73" s="194"/>
      <c r="P73" s="194"/>
      <c r="Q73" s="194"/>
      <c r="R73" s="194"/>
      <c r="S73" s="194"/>
      <c r="T73" s="194"/>
      <c r="U73" s="194"/>
      <c r="V73" s="194"/>
      <c r="W73" s="194"/>
      <c r="X73" s="194"/>
      <c r="Y73" s="194"/>
      <c r="Z73" s="194"/>
      <c r="AA73" s="391"/>
      <c r="AB73" s="194">
        <f t="shared" si="14"/>
        <v>2.5</v>
      </c>
      <c r="AC73" s="194"/>
      <c r="AD73" s="860"/>
      <c r="AE73" s="194">
        <f>'Exhibit G'!AH49</f>
        <v>2.4</v>
      </c>
      <c r="AF73" s="1539"/>
      <c r="AG73" s="194"/>
      <c r="AH73" s="194">
        <f>ROUND(SUM(AB73-AE73),1)</f>
        <v>0.1</v>
      </c>
      <c r="AI73" s="62"/>
      <c r="AJ73" s="266">
        <f>ROUND(IF(AE73=0,0,AH73/ABS(AE73)),3)</f>
        <v>4.2000000000000003E-2</v>
      </c>
    </row>
    <row r="74" spans="1:36" ht="16.5" customHeight="1">
      <c r="A74" s="350" t="s">
        <v>395</v>
      </c>
      <c r="B74" s="350"/>
      <c r="C74" s="194">
        <f>+'Exhibit F'!D70+'Exhibit G'!D50+'Exhibit I'!E40+'Exhibit H'!B37</f>
        <v>86.9</v>
      </c>
      <c r="D74" s="194"/>
      <c r="E74" s="194">
        <f>+'Exhibit F'!F70+'Exhibit G'!F50+'Exhibit I'!G40+'Exhibit H'!D37</f>
        <v>59.999999999999993</v>
      </c>
      <c r="F74" s="194"/>
      <c r="G74" s="194">
        <f>+'Exhibit F'!H70+'Exhibit G'!H50+'Exhibit I'!I40+'Exhibit H'!F37</f>
        <v>132.70000000000002</v>
      </c>
      <c r="H74" s="194"/>
      <c r="I74" s="194">
        <f>+'Exhibit F'!J70+'Exhibit G'!J50+'Exhibit I'!K40+'Exhibit H'!H37</f>
        <v>78.799999999999983</v>
      </c>
      <c r="J74" s="194"/>
      <c r="K74" s="194"/>
      <c r="L74" s="194"/>
      <c r="M74" s="194"/>
      <c r="N74" s="194"/>
      <c r="O74" s="194"/>
      <c r="P74" s="194"/>
      <c r="Q74" s="194"/>
      <c r="R74" s="194"/>
      <c r="S74" s="194"/>
      <c r="T74" s="194"/>
      <c r="U74" s="194"/>
      <c r="V74" s="194"/>
      <c r="W74" s="194"/>
      <c r="X74" s="194"/>
      <c r="Y74" s="194"/>
      <c r="Z74" s="194"/>
      <c r="AA74" s="195"/>
      <c r="AB74" s="194">
        <f t="shared" si="14"/>
        <v>358.4</v>
      </c>
      <c r="AC74" s="194"/>
      <c r="AD74" s="860"/>
      <c r="AE74" s="264">
        <f>+'Exhibit F'!AF70+'Exhibit G'!AH50+'Exhibit I'!AG40+'Exhibit H'!AD37</f>
        <v>305.29999999999995</v>
      </c>
      <c r="AF74" s="1539"/>
      <c r="AG74" s="194"/>
      <c r="AH74" s="194">
        <f>ROUND(SUM(AB74-AE74),1)</f>
        <v>53.1</v>
      </c>
      <c r="AI74" s="62"/>
      <c r="AJ74" s="266">
        <f>ROUND(IF(AE74=0,1,AH74/ABS(AE74)),3)</f>
        <v>0.17399999999999999</v>
      </c>
    </row>
    <row r="75" spans="1:36" ht="16.5" customHeight="1">
      <c r="A75" s="350" t="s">
        <v>396</v>
      </c>
      <c r="B75" s="350"/>
      <c r="C75" s="194">
        <f>+'Exhibit F'!D71+'Exhibit G'!D51+'Exhibit H'!B38</f>
        <v>33.6</v>
      </c>
      <c r="D75" s="194"/>
      <c r="E75" s="194">
        <f>+'Exhibit F'!F71+'Exhibit G'!F51+'Exhibit H'!D38</f>
        <v>25.800000000000004</v>
      </c>
      <c r="F75" s="194"/>
      <c r="G75" s="194">
        <f>+'Exhibit F'!H71+'Exhibit G'!H51+'Exhibit H'!F38</f>
        <v>25.299999999999997</v>
      </c>
      <c r="H75" s="194"/>
      <c r="I75" s="194">
        <f>+'Exhibit F'!J71+'Exhibit G'!J51+'Exhibit H'!H38</f>
        <v>25.8</v>
      </c>
      <c r="J75" s="194"/>
      <c r="K75" s="194"/>
      <c r="L75" s="194"/>
      <c r="M75" s="194"/>
      <c r="N75" s="194"/>
      <c r="O75" s="194"/>
      <c r="P75" s="194"/>
      <c r="Q75" s="194"/>
      <c r="R75" s="194"/>
      <c r="S75" s="194"/>
      <c r="T75" s="194"/>
      <c r="U75" s="194"/>
      <c r="V75" s="194"/>
      <c r="W75" s="194"/>
      <c r="X75" s="194"/>
      <c r="Y75" s="194"/>
      <c r="Z75" s="194"/>
      <c r="AA75" s="195"/>
      <c r="AB75" s="194">
        <f t="shared" si="14"/>
        <v>110.5</v>
      </c>
      <c r="AC75" s="194"/>
      <c r="AD75" s="860"/>
      <c r="AE75" s="194">
        <f>+'Exhibit F'!AF71+'Exhibit G'!AH51+'Exhibit H'!AD38+'Exhibit I'!AG41</f>
        <v>92.8</v>
      </c>
      <c r="AF75" s="1539"/>
      <c r="AG75" s="194"/>
      <c r="AH75" s="194">
        <f t="shared" si="15"/>
        <v>17.7</v>
      </c>
      <c r="AI75" s="62"/>
      <c r="AJ75" s="266">
        <f t="shared" si="16"/>
        <v>0.191</v>
      </c>
    </row>
    <row r="76" spans="1:36" ht="16.5" customHeight="1">
      <c r="A76" s="350" t="s">
        <v>397</v>
      </c>
      <c r="B76" s="350"/>
      <c r="C76" s="194">
        <f>+'Exhibit F'!D72+'Exhibit G'!D52+'Exhibit H'!B39</f>
        <v>0.1</v>
      </c>
      <c r="D76" s="194"/>
      <c r="E76" s="194">
        <f>+'Exhibit F'!F72+'Exhibit G'!F52+'Exhibit H'!D39</f>
        <v>0.79999999999999993</v>
      </c>
      <c r="F76" s="194"/>
      <c r="G76" s="194">
        <f>+'Exhibit F'!H72+'Exhibit G'!H52+'Exhibit H'!F39</f>
        <v>9.9999999999999978E-2</v>
      </c>
      <c r="H76" s="194"/>
      <c r="I76" s="194">
        <f>+'Exhibit F'!J72+'Exhibit G'!J52+'Exhibit H'!H39</f>
        <v>2</v>
      </c>
      <c r="J76" s="194"/>
      <c r="K76" s="194"/>
      <c r="L76" s="194"/>
      <c r="M76" s="194"/>
      <c r="N76" s="194"/>
      <c r="O76" s="194"/>
      <c r="P76" s="194"/>
      <c r="Q76" s="194"/>
      <c r="R76" s="194"/>
      <c r="S76" s="194"/>
      <c r="T76" s="194"/>
      <c r="U76" s="194"/>
      <c r="V76" s="194"/>
      <c r="W76" s="194"/>
      <c r="X76" s="194"/>
      <c r="Y76" s="194"/>
      <c r="Z76" s="194"/>
      <c r="AA76" s="195"/>
      <c r="AB76" s="194">
        <f t="shared" si="14"/>
        <v>3</v>
      </c>
      <c r="AC76" s="194"/>
      <c r="AD76" s="860"/>
      <c r="AE76" s="194">
        <f>+'Exhibit F'!AF72+'Exhibit G'!AH52+'Exhibit H'!AD39</f>
        <v>1.5</v>
      </c>
      <c r="AF76" s="1539"/>
      <c r="AG76" s="194"/>
      <c r="AH76" s="194">
        <f t="shared" si="15"/>
        <v>1.5</v>
      </c>
      <c r="AI76" s="62"/>
      <c r="AJ76" s="266">
        <f>ROUND(IF(AE76=0,0,AH76/ABS(AE76)),3)</f>
        <v>1</v>
      </c>
    </row>
    <row r="77" spans="1:36" ht="16.5" customHeight="1">
      <c r="A77" s="350" t="s">
        <v>398</v>
      </c>
      <c r="B77" s="350"/>
      <c r="C77" s="194">
        <f>+'Exhibit F'!D73+'Exhibit G'!D53+'Exhibit I'!E42+'Exhibit H'!B40</f>
        <v>210.6</v>
      </c>
      <c r="D77" s="194"/>
      <c r="E77" s="194">
        <f>+'Exhibit F'!F73+'Exhibit G'!F53+'Exhibit I'!G42+'Exhibit H'!D40</f>
        <v>121.80000000000001</v>
      </c>
      <c r="F77" s="194"/>
      <c r="G77" s="194">
        <f>+'Exhibit F'!H73+'Exhibit G'!H53+'Exhibit I'!I42+'Exhibit H'!F40</f>
        <v>119.1</v>
      </c>
      <c r="H77" s="194"/>
      <c r="I77" s="194">
        <f>+'Exhibit F'!J73+'Exhibit G'!J53+'Exhibit I'!K42+'Exhibit H'!H40</f>
        <v>13.500000000000043</v>
      </c>
      <c r="J77" s="194"/>
      <c r="K77" s="194"/>
      <c r="L77" s="194"/>
      <c r="M77" s="194"/>
      <c r="N77" s="194"/>
      <c r="O77" s="194"/>
      <c r="P77" s="194"/>
      <c r="Q77" s="194"/>
      <c r="R77" s="194"/>
      <c r="S77" s="194"/>
      <c r="T77" s="194"/>
      <c r="U77" s="194"/>
      <c r="V77" s="194"/>
      <c r="W77" s="194"/>
      <c r="X77" s="194"/>
      <c r="Y77" s="194"/>
      <c r="Z77" s="194"/>
      <c r="AA77" s="195"/>
      <c r="AB77" s="194">
        <f t="shared" si="14"/>
        <v>465</v>
      </c>
      <c r="AC77" s="194"/>
      <c r="AD77" s="860"/>
      <c r="AE77" s="194">
        <f>+'Exhibit F'!AF73+'Exhibit G'!AH53+'Exhibit I'!AG42+'Exhibit H'!AD40</f>
        <v>484.69999999999993</v>
      </c>
      <c r="AF77" s="1539"/>
      <c r="AG77" s="194"/>
      <c r="AH77" s="194">
        <f t="shared" si="15"/>
        <v>-19.7</v>
      </c>
      <c r="AI77" s="62"/>
      <c r="AJ77" s="266">
        <f t="shared" si="16"/>
        <v>-4.1000000000000002E-2</v>
      </c>
    </row>
    <row r="78" spans="1:36" ht="16.5" customHeight="1">
      <c r="A78" s="350" t="s">
        <v>399</v>
      </c>
      <c r="B78" s="350"/>
      <c r="C78" s="194">
        <f>+'Exhibit F'!D74+'Exhibit G'!D54+'Exhibit I'!E43+'Exhibit H'!B41</f>
        <v>94</v>
      </c>
      <c r="D78" s="194"/>
      <c r="E78" s="194">
        <f>+'Exhibit F'!F74+'Exhibit G'!F54+'Exhibit I'!G43+'Exhibit H'!D41</f>
        <v>81.599999999999994</v>
      </c>
      <c r="F78" s="194"/>
      <c r="G78" s="194">
        <f>+'Exhibit F'!H74+'Exhibit G'!H54+'Exhibit I'!I43+'Exhibit H'!F41</f>
        <v>69.099999999999994</v>
      </c>
      <c r="H78" s="194"/>
      <c r="I78" s="194">
        <f>+'Exhibit F'!J74+'Exhibit G'!J54+'Exhibit I'!K43+'Exhibit H'!H41</f>
        <v>74.300000000000026</v>
      </c>
      <c r="J78" s="194"/>
      <c r="K78" s="194"/>
      <c r="L78" s="194"/>
      <c r="M78" s="194"/>
      <c r="N78" s="194"/>
      <c r="O78" s="194"/>
      <c r="P78" s="194"/>
      <c r="Q78" s="194"/>
      <c r="R78" s="194"/>
      <c r="S78" s="194"/>
      <c r="T78" s="194"/>
      <c r="U78" s="194"/>
      <c r="V78" s="194"/>
      <c r="W78" s="194"/>
      <c r="X78" s="194"/>
      <c r="Y78" s="194"/>
      <c r="Z78" s="194"/>
      <c r="AA78" s="195"/>
      <c r="AB78" s="194">
        <f t="shared" si="14"/>
        <v>319</v>
      </c>
      <c r="AC78" s="194"/>
      <c r="AD78" s="860"/>
      <c r="AE78" s="194">
        <f>+'Exhibit F'!AF74+'Exhibit G'!AH54+'Exhibit I'!AG43+'Exhibit H'!AD41</f>
        <v>292.99999999999994</v>
      </c>
      <c r="AF78" s="1539"/>
      <c r="AG78" s="194"/>
      <c r="AH78" s="194">
        <f t="shared" si="15"/>
        <v>26</v>
      </c>
      <c r="AI78" s="62"/>
      <c r="AJ78" s="266">
        <f t="shared" si="16"/>
        <v>8.8999999999999996E-2</v>
      </c>
    </row>
    <row r="79" spans="1:36" ht="16.5" customHeight="1">
      <c r="A79" s="350" t="s">
        <v>400</v>
      </c>
      <c r="B79" s="350"/>
      <c r="C79" s="194">
        <f>+'Exhibit F'!D75+'Exhibit G'!D55+'Exhibit I'!E44</f>
        <v>73.099999999999994</v>
      </c>
      <c r="D79" s="194"/>
      <c r="E79" s="194">
        <f>+'Exhibit F'!F75+'Exhibit G'!F55+'Exhibit I'!G44</f>
        <v>27.4</v>
      </c>
      <c r="F79" s="194"/>
      <c r="G79" s="194">
        <f>+'Exhibit F'!H75+'Exhibit G'!H55+'Exhibit I'!I44</f>
        <v>10.5</v>
      </c>
      <c r="H79" s="194"/>
      <c r="I79" s="194">
        <f>+'Exhibit F'!J75+'Exhibit G'!J55+'Exhibit I'!K44</f>
        <v>86.000000000000014</v>
      </c>
      <c r="J79" s="194"/>
      <c r="K79" s="194"/>
      <c r="L79" s="194"/>
      <c r="M79" s="194"/>
      <c r="N79" s="194"/>
      <c r="O79" s="194"/>
      <c r="P79" s="194"/>
      <c r="Q79" s="194"/>
      <c r="R79" s="194"/>
      <c r="S79" s="194"/>
      <c r="T79" s="194"/>
      <c r="U79" s="194"/>
      <c r="V79" s="194"/>
      <c r="W79" s="194"/>
      <c r="X79" s="194"/>
      <c r="Y79" s="194"/>
      <c r="Z79" s="194"/>
      <c r="AA79" s="195"/>
      <c r="AB79" s="194">
        <f t="shared" si="14"/>
        <v>197</v>
      </c>
      <c r="AC79" s="194"/>
      <c r="AD79" s="860"/>
      <c r="AE79" s="194">
        <f>+'Exhibit F'!AF75+'Exhibit G'!AH55+'Exhibit I'!AG44</f>
        <v>194.8</v>
      </c>
      <c r="AF79" s="1539"/>
      <c r="AG79" s="194"/>
      <c r="AH79" s="194">
        <f t="shared" si="15"/>
        <v>2.2000000000000002</v>
      </c>
      <c r="AI79" s="62"/>
      <c r="AJ79" s="266">
        <f t="shared" si="16"/>
        <v>1.0999999999999999E-2</v>
      </c>
    </row>
    <row r="80" spans="1:36" ht="16.5" customHeight="1">
      <c r="A80" s="350" t="s">
        <v>401</v>
      </c>
      <c r="B80" s="350"/>
      <c r="C80" s="194"/>
      <c r="D80" s="194"/>
      <c r="E80" s="194"/>
      <c r="F80" s="194"/>
      <c r="G80" s="194"/>
      <c r="H80" s="194"/>
      <c r="I80" s="194"/>
      <c r="J80" s="194"/>
      <c r="K80" s="194"/>
      <c r="L80" s="194"/>
      <c r="M80" s="194"/>
      <c r="N80" s="194"/>
      <c r="O80" s="194"/>
      <c r="P80" s="194"/>
      <c r="Q80" s="194"/>
      <c r="R80" s="194"/>
      <c r="S80" s="194"/>
      <c r="T80" s="194"/>
      <c r="U80" s="194"/>
      <c r="V80" s="194"/>
      <c r="W80" s="194"/>
      <c r="X80" s="194"/>
      <c r="Y80" s="194"/>
      <c r="Z80" s="194"/>
      <c r="AA80" s="195"/>
      <c r="AB80" s="194"/>
      <c r="AC80" s="194"/>
      <c r="AD80" s="860"/>
      <c r="AE80" s="194"/>
      <c r="AF80" s="1539"/>
      <c r="AG80" s="194"/>
      <c r="AH80" s="194"/>
      <c r="AI80" s="62"/>
      <c r="AJ80" s="266"/>
    </row>
    <row r="81" spans="1:37" ht="16.5" customHeight="1">
      <c r="A81" s="350" t="s">
        <v>402</v>
      </c>
      <c r="B81" s="350"/>
      <c r="C81" s="194">
        <f>+'Exhibit G'!D57</f>
        <v>57.6</v>
      </c>
      <c r="D81" s="194"/>
      <c r="E81" s="194">
        <f>+'Exhibit G'!F57</f>
        <v>56.999999999999993</v>
      </c>
      <c r="F81" s="194"/>
      <c r="G81" s="194">
        <f>+'Exhibit G'!H57</f>
        <v>25.999999999999993</v>
      </c>
      <c r="H81" s="194"/>
      <c r="I81" s="194">
        <f>+'Exhibit G'!J57</f>
        <v>45.800000000000004</v>
      </c>
      <c r="J81" s="194"/>
      <c r="K81" s="194"/>
      <c r="L81" s="194"/>
      <c r="M81" s="194"/>
      <c r="N81" s="194"/>
      <c r="O81" s="194"/>
      <c r="P81" s="194"/>
      <c r="Q81" s="194"/>
      <c r="R81" s="194"/>
      <c r="S81" s="194"/>
      <c r="T81" s="194"/>
      <c r="U81" s="194"/>
      <c r="V81" s="194"/>
      <c r="W81" s="194"/>
      <c r="X81" s="194"/>
      <c r="Y81" s="194"/>
      <c r="Z81" s="194"/>
      <c r="AA81" s="195"/>
      <c r="AB81" s="194">
        <f t="shared" ref="AB81:AB86" si="17">ROUND(SUM(C81:Y81),1)</f>
        <v>186.4</v>
      </c>
      <c r="AC81" s="194"/>
      <c r="AD81" s="860"/>
      <c r="AE81" s="194">
        <f>+'Exhibit G'!AH57</f>
        <v>119.2</v>
      </c>
      <c r="AF81" s="1539"/>
      <c r="AG81" s="194"/>
      <c r="AH81" s="194">
        <f t="shared" ref="AH81:AH86" si="18">ROUND(SUM(AB81-AE81),1)</f>
        <v>67.2</v>
      </c>
      <c r="AI81" s="62"/>
      <c r="AJ81" s="542">
        <f>ROUND(IF(AE81=0,1,AH81/ABS(AE81)),3)</f>
        <v>0.56399999999999995</v>
      </c>
    </row>
    <row r="82" spans="1:37" ht="16.5" customHeight="1">
      <c r="A82" s="350" t="s">
        <v>403</v>
      </c>
      <c r="B82" s="350"/>
      <c r="C82" s="194">
        <f>+'Exhibit G'!D58</f>
        <v>218.6</v>
      </c>
      <c r="D82" s="194"/>
      <c r="E82" s="194">
        <f>+'Exhibit G'!F58</f>
        <v>177.9</v>
      </c>
      <c r="F82" s="194"/>
      <c r="G82" s="194">
        <f>+'Exhibit G'!H58</f>
        <v>175.79999999999998</v>
      </c>
      <c r="H82" s="194"/>
      <c r="I82" s="194">
        <f>+'Exhibit G'!J58</f>
        <v>219.40000000000012</v>
      </c>
      <c r="J82" s="194"/>
      <c r="K82" s="194"/>
      <c r="L82" s="194"/>
      <c r="M82" s="194"/>
      <c r="N82" s="194"/>
      <c r="O82" s="194"/>
      <c r="P82" s="194"/>
      <c r="Q82" s="194"/>
      <c r="R82" s="194"/>
      <c r="S82" s="194"/>
      <c r="T82" s="194"/>
      <c r="U82" s="194"/>
      <c r="V82" s="194"/>
      <c r="W82" s="194"/>
      <c r="X82" s="194"/>
      <c r="Y82" s="194"/>
      <c r="Z82" s="194"/>
      <c r="AA82" s="195"/>
      <c r="AB82" s="194">
        <f t="shared" si="17"/>
        <v>791.7</v>
      </c>
      <c r="AC82" s="194"/>
      <c r="AD82" s="860"/>
      <c r="AE82" s="194">
        <f>+'Exhibit G'!AH58</f>
        <v>787.3</v>
      </c>
      <c r="AF82" s="1539"/>
      <c r="AG82" s="194"/>
      <c r="AH82" s="194">
        <f t="shared" si="18"/>
        <v>4.4000000000000004</v>
      </c>
      <c r="AI82" s="62"/>
      <c r="AJ82" s="542">
        <f>ROUND(IF(AE82=0,1,AH82/ABS(AE82)),3)</f>
        <v>6.0000000000000001E-3</v>
      </c>
      <c r="AK82" s="58" t="s">
        <v>103</v>
      </c>
    </row>
    <row r="83" spans="1:37" ht="16.5" customHeight="1">
      <c r="A83" s="350" t="s">
        <v>404</v>
      </c>
      <c r="B83" s="350"/>
      <c r="C83" s="194">
        <f>+'Exhibit G'!D59+'Exhibit F'!D77</f>
        <v>122.4</v>
      </c>
      <c r="D83" s="194"/>
      <c r="E83" s="194">
        <f>+'Exhibit G'!F59+'Exhibit F'!F77</f>
        <v>109.79999999999998</v>
      </c>
      <c r="F83" s="194"/>
      <c r="G83" s="194">
        <f>+'Exhibit G'!H59+'Exhibit F'!H77</f>
        <v>39</v>
      </c>
      <c r="H83" s="194"/>
      <c r="I83" s="194">
        <f>+'Exhibit G'!J59+'Exhibit F'!J77</f>
        <v>123.80000000000001</v>
      </c>
      <c r="J83" s="194"/>
      <c r="K83" s="194"/>
      <c r="L83" s="194"/>
      <c r="M83" s="194"/>
      <c r="N83" s="194"/>
      <c r="O83" s="194"/>
      <c r="P83" s="194"/>
      <c r="Q83" s="194"/>
      <c r="R83" s="194"/>
      <c r="S83" s="194"/>
      <c r="T83" s="194"/>
      <c r="U83" s="194"/>
      <c r="V83" s="194"/>
      <c r="W83" s="194"/>
      <c r="X83" s="194"/>
      <c r="Y83" s="194"/>
      <c r="Z83" s="194"/>
      <c r="AA83" s="195"/>
      <c r="AB83" s="194">
        <f t="shared" si="17"/>
        <v>395</v>
      </c>
      <c r="AC83" s="194"/>
      <c r="AD83" s="860"/>
      <c r="AE83" s="194">
        <f>+'Exhibit G'!AH59+'Exhibit F'!AF77</f>
        <v>398.2</v>
      </c>
      <c r="AF83" s="1539"/>
      <c r="AG83" s="194"/>
      <c r="AH83" s="194">
        <f t="shared" si="18"/>
        <v>-3.2</v>
      </c>
      <c r="AI83" s="62"/>
      <c r="AJ83" s="542">
        <f>ROUND(IF(AE83=0,1,AH83/ABS(AE83)),3)</f>
        <v>-8.0000000000000002E-3</v>
      </c>
    </row>
    <row r="84" spans="1:37" ht="16.5" customHeight="1">
      <c r="A84" s="350" t="s">
        <v>405</v>
      </c>
      <c r="B84" s="350"/>
      <c r="C84" s="194">
        <f>+'Exhibit G'!D60</f>
        <v>103</v>
      </c>
      <c r="D84" s="194"/>
      <c r="E84" s="194">
        <f>+'Exhibit G'!F60</f>
        <v>47.400000000000006</v>
      </c>
      <c r="F84" s="194"/>
      <c r="G84" s="194">
        <f>+'Exhibit G'!H60</f>
        <v>48.299999999999983</v>
      </c>
      <c r="H84" s="194"/>
      <c r="I84" s="194">
        <f>+'Exhibit G'!J60</f>
        <v>59.100000000000023</v>
      </c>
      <c r="J84" s="194"/>
      <c r="K84" s="194"/>
      <c r="L84" s="194"/>
      <c r="M84" s="194"/>
      <c r="N84" s="194"/>
      <c r="O84" s="194"/>
      <c r="P84" s="194"/>
      <c r="Q84" s="194"/>
      <c r="R84" s="194"/>
      <c r="S84" s="194"/>
      <c r="T84" s="194"/>
      <c r="U84" s="194"/>
      <c r="V84" s="194"/>
      <c r="W84" s="194"/>
      <c r="X84" s="194"/>
      <c r="Y84" s="194"/>
      <c r="Z84" s="194"/>
      <c r="AA84" s="195"/>
      <c r="AB84" s="194">
        <f t="shared" si="17"/>
        <v>257.8</v>
      </c>
      <c r="AC84" s="194"/>
      <c r="AD84" s="860"/>
      <c r="AE84" s="194">
        <f>+'Exhibit G'!AH60</f>
        <v>367.5</v>
      </c>
      <c r="AF84" s="1539"/>
      <c r="AG84" s="194"/>
      <c r="AH84" s="194">
        <f t="shared" si="18"/>
        <v>-109.7</v>
      </c>
      <c r="AI84" s="62"/>
      <c r="AJ84" s="542">
        <f>ROUND(IF(AE84=0,1,AH84/ABS(AE84)),3)</f>
        <v>-0.29899999999999999</v>
      </c>
    </row>
    <row r="85" spans="1:37" ht="16.5" customHeight="1">
      <c r="A85" s="350" t="s">
        <v>406</v>
      </c>
      <c r="B85" s="350"/>
      <c r="C85" s="194">
        <f>+'Exhibit F'!D78+'Exhibit G'!D61+'Exhibit H'!B42+'Exhibit I'!E45</f>
        <v>284.7</v>
      </c>
      <c r="D85" s="194"/>
      <c r="E85" s="194">
        <f>+'Exhibit F'!F78+'Exhibit G'!F61+'Exhibit H'!D42+'Exhibit I'!G45</f>
        <v>268.7</v>
      </c>
      <c r="F85" s="194"/>
      <c r="G85" s="194">
        <f>+'Exhibit F'!H78+'Exhibit G'!H61+'Exhibit H'!F42+'Exhibit I'!I45</f>
        <v>289.29999999999995</v>
      </c>
      <c r="H85" s="194"/>
      <c r="I85" s="194">
        <f>+'Exhibit F'!J78+'Exhibit G'!J61+'Exhibit H'!H42+'Exhibit I'!K45</f>
        <v>281</v>
      </c>
      <c r="J85" s="194"/>
      <c r="K85" s="194"/>
      <c r="L85" s="194"/>
      <c r="M85" s="194"/>
      <c r="N85" s="194"/>
      <c r="O85" s="194"/>
      <c r="P85" s="194"/>
      <c r="Q85" s="194"/>
      <c r="R85" s="194"/>
      <c r="S85" s="194"/>
      <c r="T85" s="194"/>
      <c r="U85" s="194"/>
      <c r="V85" s="194"/>
      <c r="W85" s="194"/>
      <c r="X85" s="194"/>
      <c r="Y85" s="194"/>
      <c r="Z85" s="194"/>
      <c r="AA85" s="195"/>
      <c r="AB85" s="194">
        <f t="shared" si="17"/>
        <v>1123.7</v>
      </c>
      <c r="AC85" s="194"/>
      <c r="AD85" s="860"/>
      <c r="AE85" s="194">
        <f>+'Exhibit F'!AF78+'Exhibit G'!AH61+'Exhibit H'!AD42+'Exhibit I'!AG45</f>
        <v>1264.7</v>
      </c>
      <c r="AF85" s="1539"/>
      <c r="AG85" s="194"/>
      <c r="AH85" s="194">
        <f t="shared" si="18"/>
        <v>-141</v>
      </c>
      <c r="AI85" s="62"/>
      <c r="AJ85" s="858">
        <f>ROUND(IF(AE85=0,0,AH85/ABS(AE85)),3)</f>
        <v>-0.111</v>
      </c>
    </row>
    <row r="86" spans="1:37" ht="16.5" customHeight="1">
      <c r="A86" s="350" t="s">
        <v>407</v>
      </c>
      <c r="B86" s="350"/>
      <c r="C86" s="194">
        <f>+'Exhibit F'!D79+'Exhibit G'!D62+'Exhibit H'!B43+'Exhibit I'!E46</f>
        <v>7.3</v>
      </c>
      <c r="D86" s="194"/>
      <c r="E86" s="194">
        <f>+'Exhibit F'!F79+'Exhibit G'!F62+'Exhibit H'!D43+'Exhibit I'!G46</f>
        <v>0.60000000000000053</v>
      </c>
      <c r="F86" s="194"/>
      <c r="G86" s="194">
        <f>+'Exhibit F'!H79+'Exhibit G'!H62+'Exhibit H'!F43+'Exhibit I'!I46</f>
        <v>8</v>
      </c>
      <c r="H86" s="194"/>
      <c r="I86" s="194">
        <f>+'Exhibit F'!J79+'Exhibit G'!J62+'Exhibit H'!H43+'Exhibit I'!K46</f>
        <v>2.9999999999999973</v>
      </c>
      <c r="J86" s="194"/>
      <c r="K86" s="194"/>
      <c r="L86" s="194"/>
      <c r="M86" s="194"/>
      <c r="N86" s="194"/>
      <c r="O86" s="194"/>
      <c r="P86" s="194"/>
      <c r="Q86" s="194"/>
      <c r="R86" s="194"/>
      <c r="S86" s="194"/>
      <c r="T86" s="194"/>
      <c r="U86" s="194"/>
      <c r="V86" s="194"/>
      <c r="W86" s="194"/>
      <c r="X86" s="194"/>
      <c r="Y86" s="194"/>
      <c r="Z86" s="194"/>
      <c r="AA86" s="195"/>
      <c r="AB86" s="194">
        <f t="shared" si="17"/>
        <v>18.899999999999999</v>
      </c>
      <c r="AC86" s="194"/>
      <c r="AD86" s="860"/>
      <c r="AE86" s="194">
        <f>+'Exhibit F'!AF79+'Exhibit G'!AH62+'Exhibit H'!AD43+'Exhibit I'!AG46</f>
        <v>16.400000000000002</v>
      </c>
      <c r="AF86" s="1539"/>
      <c r="AG86" s="194"/>
      <c r="AH86" s="194">
        <f t="shared" si="18"/>
        <v>2.5</v>
      </c>
      <c r="AI86" s="62"/>
      <c r="AJ86" s="266">
        <f>ROUND(IF(AE86=0,0,AH86/ABS(AE86)),3)</f>
        <v>0.152</v>
      </c>
    </row>
    <row r="87" spans="1:37" ht="16.5" customHeight="1">
      <c r="A87" s="350" t="s">
        <v>408</v>
      </c>
      <c r="B87" s="350"/>
      <c r="C87" s="194"/>
      <c r="D87" s="194"/>
      <c r="E87" s="194"/>
      <c r="F87" s="194"/>
      <c r="G87" s="194"/>
      <c r="H87" s="194"/>
      <c r="I87" s="194"/>
      <c r="J87" s="194"/>
      <c r="K87" s="194"/>
      <c r="L87" s="194"/>
      <c r="M87" s="194"/>
      <c r="N87" s="194"/>
      <c r="O87" s="194"/>
      <c r="P87" s="194"/>
      <c r="Q87" s="194"/>
      <c r="R87" s="194"/>
      <c r="S87" s="194"/>
      <c r="T87" s="194"/>
      <c r="U87" s="194"/>
      <c r="V87" s="194"/>
      <c r="W87" s="194"/>
      <c r="X87" s="194"/>
      <c r="Y87" s="194"/>
      <c r="Z87" s="194"/>
      <c r="AA87" s="195"/>
      <c r="AB87" s="194"/>
      <c r="AC87" s="194"/>
      <c r="AD87" s="860"/>
      <c r="AE87" s="194"/>
      <c r="AF87" s="1539"/>
      <c r="AG87" s="194"/>
      <c r="AH87" s="194"/>
      <c r="AI87" s="62"/>
      <c r="AJ87" s="374"/>
    </row>
    <row r="88" spans="1:37" ht="16.5" customHeight="1">
      <c r="A88" s="350" t="s">
        <v>409</v>
      </c>
      <c r="B88" s="350"/>
      <c r="C88" s="194">
        <f>+'Exhibit G'!D64+'Exhibit I'!E48</f>
        <v>3.8000000000000003</v>
      </c>
      <c r="D88" s="194"/>
      <c r="E88" s="194">
        <f>+'Exhibit G'!F64+'Exhibit I'!G48</f>
        <v>0.69999999999999973</v>
      </c>
      <c r="F88" s="194"/>
      <c r="G88" s="194">
        <f>+'Exhibit G'!H64+'Exhibit I'!I48</f>
        <v>2220.1</v>
      </c>
      <c r="H88" s="194"/>
      <c r="I88" s="194">
        <f>+'Exhibit G'!J64+'Exhibit I'!K48</f>
        <v>515.20000000000027</v>
      </c>
      <c r="J88" s="194"/>
      <c r="K88" s="194"/>
      <c r="L88" s="194"/>
      <c r="M88" s="194"/>
      <c r="N88" s="194"/>
      <c r="O88" s="194"/>
      <c r="P88" s="194"/>
      <c r="Q88" s="194"/>
      <c r="R88" s="194"/>
      <c r="S88" s="194"/>
      <c r="T88" s="194"/>
      <c r="U88" s="194"/>
      <c r="V88" s="194"/>
      <c r="W88" s="194"/>
      <c r="X88" s="194"/>
      <c r="Y88" s="194"/>
      <c r="Z88" s="194"/>
      <c r="AA88" s="195"/>
      <c r="AB88" s="194">
        <f t="shared" si="14"/>
        <v>2739.8</v>
      </c>
      <c r="AC88" s="194"/>
      <c r="AD88" s="860"/>
      <c r="AE88" s="194">
        <f>+'Exhibit G'!AH64+'Exhibit I'!AG48+'Exhibit H'!AD45+'Exhibit F'!AF81</f>
        <v>1172.9000000000001</v>
      </c>
      <c r="AF88" s="1539"/>
      <c r="AG88" s="194"/>
      <c r="AH88" s="194">
        <f t="shared" si="15"/>
        <v>1566.9</v>
      </c>
      <c r="AI88" s="62"/>
      <c r="AJ88" s="542">
        <f>ROUND(IF(AE88=0,1,AH88/ABS(AE88)),3)</f>
        <v>1.3360000000000001</v>
      </c>
    </row>
    <row r="89" spans="1:37" ht="16.5" customHeight="1">
      <c r="A89" s="350" t="s">
        <v>410</v>
      </c>
      <c r="B89" s="350"/>
      <c r="C89" s="194">
        <f>+'Exhibit F'!D82+'Exhibit G'!D65</f>
        <v>0.4</v>
      </c>
      <c r="D89" s="194"/>
      <c r="E89" s="194">
        <f>+'Exhibit F'!F82+'Exhibit G'!F65</f>
        <v>0</v>
      </c>
      <c r="F89" s="194"/>
      <c r="G89" s="194">
        <f>+'Exhibit F'!H82+'Exhibit G'!H65</f>
        <v>0</v>
      </c>
      <c r="H89" s="194"/>
      <c r="I89" s="194">
        <f>+'Exhibit F'!J82+'Exhibit G'!J65</f>
        <v>0</v>
      </c>
      <c r="J89" s="194"/>
      <c r="K89" s="194"/>
      <c r="L89" s="194"/>
      <c r="M89" s="194"/>
      <c r="N89" s="194"/>
      <c r="O89" s="194"/>
      <c r="P89" s="194"/>
      <c r="Q89" s="194"/>
      <c r="R89" s="194"/>
      <c r="S89" s="194"/>
      <c r="T89" s="194"/>
      <c r="U89" s="194"/>
      <c r="V89" s="194"/>
      <c r="W89" s="194"/>
      <c r="X89" s="194"/>
      <c r="Y89" s="194"/>
      <c r="Z89" s="194"/>
      <c r="AA89" s="195"/>
      <c r="AB89" s="194">
        <f t="shared" si="14"/>
        <v>0.4</v>
      </c>
      <c r="AC89" s="194"/>
      <c r="AD89" s="860"/>
      <c r="AE89" s="194">
        <f>+'Exhibit F'!AF82+'Exhibit G'!AH65</f>
        <v>13.1</v>
      </c>
      <c r="AF89" s="1539"/>
      <c r="AG89" s="194"/>
      <c r="AH89" s="194">
        <f t="shared" si="15"/>
        <v>-12.7</v>
      </c>
      <c r="AI89" s="62"/>
      <c r="AJ89" s="542">
        <f>ROUND(IF(AE89=0,1,AH89/ABS(AE89)),3)</f>
        <v>-0.96899999999999997</v>
      </c>
    </row>
    <row r="90" spans="1:37" ht="16.5" customHeight="1">
      <c r="A90" s="350" t="s">
        <v>411</v>
      </c>
      <c r="B90" s="350"/>
      <c r="C90" s="194">
        <f>+'Exhibit F'!D83+'Exhibit G'!D66</f>
        <v>0.8</v>
      </c>
      <c r="D90" s="194"/>
      <c r="E90" s="194">
        <f>+'Exhibit F'!F83+'Exhibit G'!F66</f>
        <v>0.39999999999999991</v>
      </c>
      <c r="F90" s="194"/>
      <c r="G90" s="194">
        <f>+'Exhibit F'!H83+'Exhibit G'!H66</f>
        <v>0.30000000000000004</v>
      </c>
      <c r="H90" s="194"/>
      <c r="I90" s="194">
        <f>+'Exhibit F'!J83+'Exhibit G'!J66</f>
        <v>10.199999999999999</v>
      </c>
      <c r="J90" s="194"/>
      <c r="K90" s="194"/>
      <c r="L90" s="194"/>
      <c r="M90" s="194"/>
      <c r="N90" s="194"/>
      <c r="O90" s="194"/>
      <c r="P90" s="194"/>
      <c r="Q90" s="194"/>
      <c r="R90" s="194"/>
      <c r="S90" s="194"/>
      <c r="T90" s="194"/>
      <c r="U90" s="194"/>
      <c r="V90" s="194"/>
      <c r="W90" s="194"/>
      <c r="X90" s="194"/>
      <c r="Y90" s="194"/>
      <c r="Z90" s="194"/>
      <c r="AA90" s="195"/>
      <c r="AB90" s="194">
        <f t="shared" si="14"/>
        <v>11.7</v>
      </c>
      <c r="AC90" s="194"/>
      <c r="AD90" s="860"/>
      <c r="AE90" s="194">
        <f>+'Exhibit F'!AF83+'Exhibit G'!AH66</f>
        <v>12.100000000000001</v>
      </c>
      <c r="AF90" s="1539"/>
      <c r="AG90" s="194"/>
      <c r="AH90" s="194">
        <f t="shared" si="15"/>
        <v>-0.4</v>
      </c>
      <c r="AI90" s="62"/>
      <c r="AJ90" s="542">
        <f t="shared" ref="AJ90:AJ92" si="19">ROUND(IF(AE90=0,0,AH90/ABS(AE90)),3)</f>
        <v>-3.3000000000000002E-2</v>
      </c>
    </row>
    <row r="91" spans="1:37" ht="16.5" customHeight="1">
      <c r="A91" s="350" t="s">
        <v>412</v>
      </c>
      <c r="B91" s="350"/>
      <c r="C91" s="194">
        <f>+'Exhibit F'!D84+'Exhibit G'!D67+'Exhibit I'!E50</f>
        <v>4.9000000000000004</v>
      </c>
      <c r="D91" s="194"/>
      <c r="E91" s="194">
        <f>+'Exhibit F'!F84+'Exhibit G'!F67+'Exhibit I'!G50</f>
        <v>4.4999999999999991</v>
      </c>
      <c r="F91" s="194"/>
      <c r="G91" s="194">
        <f>+'Exhibit F'!H84+'Exhibit G'!H67+'Exhibit I'!I50</f>
        <v>73.5</v>
      </c>
      <c r="H91" s="194"/>
      <c r="I91" s="194">
        <f>+'Exhibit F'!J84+'Exhibit G'!J67+'Exhibit I'!K50</f>
        <v>7.1000000000000068</v>
      </c>
      <c r="J91" s="194"/>
      <c r="K91" s="194"/>
      <c r="L91" s="194"/>
      <c r="M91" s="194"/>
      <c r="N91" s="194"/>
      <c r="O91" s="194"/>
      <c r="P91" s="194"/>
      <c r="Q91" s="194"/>
      <c r="R91" s="194"/>
      <c r="S91" s="194"/>
      <c r="T91" s="194"/>
      <c r="U91" s="194"/>
      <c r="V91" s="194"/>
      <c r="W91" s="194"/>
      <c r="X91" s="194"/>
      <c r="Y91" s="194"/>
      <c r="Z91" s="194"/>
      <c r="AA91" s="195"/>
      <c r="AB91" s="194">
        <f t="shared" si="14"/>
        <v>90</v>
      </c>
      <c r="AC91" s="194"/>
      <c r="AD91" s="860"/>
      <c r="AE91" s="194">
        <f>+'Exhibit F'!AF84+'Exhibit G'!AH67+'Exhibit I'!AG50</f>
        <v>165.2</v>
      </c>
      <c r="AF91" s="1539"/>
      <c r="AG91" s="194"/>
      <c r="AH91" s="194">
        <f t="shared" si="15"/>
        <v>-75.2</v>
      </c>
      <c r="AI91" s="62"/>
      <c r="AJ91" s="266">
        <f t="shared" si="19"/>
        <v>-0.45500000000000002</v>
      </c>
    </row>
    <row r="92" spans="1:37" ht="16.5" customHeight="1">
      <c r="A92" s="350" t="s">
        <v>413</v>
      </c>
      <c r="B92" s="350"/>
      <c r="C92" s="194">
        <f>+'Exhibit F'!D85+'Exhibit G'!D68+'Exhibit H'!B46+'Exhibit I'!E51</f>
        <v>60.6</v>
      </c>
      <c r="D92" s="194"/>
      <c r="E92" s="194">
        <f>+'Exhibit F'!F85+'Exhibit G'!F68+'Exhibit H'!D46+'Exhibit I'!G51</f>
        <v>26.099999999999998</v>
      </c>
      <c r="F92" s="194"/>
      <c r="G92" s="194">
        <f>+'Exhibit F'!H85+'Exhibit G'!H68+'Exhibit H'!F46+'Exhibit I'!I51</f>
        <v>1.3000000000000003</v>
      </c>
      <c r="H92" s="194"/>
      <c r="I92" s="194">
        <f>+'Exhibit F'!J85+'Exhibit G'!J68+'Exhibit H'!H46+'Exhibit I'!K51</f>
        <v>2.8000000000000056</v>
      </c>
      <c r="J92" s="194"/>
      <c r="K92" s="194"/>
      <c r="L92" s="194"/>
      <c r="M92" s="194"/>
      <c r="N92" s="194"/>
      <c r="O92" s="194"/>
      <c r="P92" s="194"/>
      <c r="Q92" s="194"/>
      <c r="R92" s="194"/>
      <c r="S92" s="194"/>
      <c r="T92" s="194"/>
      <c r="U92" s="194"/>
      <c r="V92" s="194"/>
      <c r="W92" s="194"/>
      <c r="X92" s="194"/>
      <c r="Y92" s="194"/>
      <c r="Z92" s="194"/>
      <c r="AA92" s="195"/>
      <c r="AB92" s="194">
        <f t="shared" si="14"/>
        <v>90.8</v>
      </c>
      <c r="AC92" s="194"/>
      <c r="AD92" s="860"/>
      <c r="AE92" s="194">
        <f>+'Exhibit F'!AF85+'Exhibit G'!AH68+'Exhibit H'!AD46+'Exhibit I'!AG51</f>
        <v>94.5</v>
      </c>
      <c r="AF92" s="1539"/>
      <c r="AG92" s="194"/>
      <c r="AH92" s="194">
        <f t="shared" si="15"/>
        <v>-3.7</v>
      </c>
      <c r="AI92" s="62"/>
      <c r="AJ92" s="542">
        <f t="shared" si="19"/>
        <v>-3.9E-2</v>
      </c>
    </row>
    <row r="93" spans="1:37" ht="16.5" customHeight="1">
      <c r="A93" s="350" t="s">
        <v>414</v>
      </c>
      <c r="B93" s="350"/>
      <c r="C93" s="194"/>
      <c r="D93" s="194"/>
      <c r="E93" s="194"/>
      <c r="F93" s="194"/>
      <c r="G93" s="194"/>
      <c r="H93" s="194"/>
      <c r="I93" s="194"/>
      <c r="J93" s="194"/>
      <c r="K93" s="194"/>
      <c r="L93" s="194"/>
      <c r="M93" s="194"/>
      <c r="N93" s="194"/>
      <c r="O93" s="194"/>
      <c r="P93" s="194"/>
      <c r="Q93" s="194"/>
      <c r="R93" s="194"/>
      <c r="S93" s="194"/>
      <c r="T93" s="194"/>
      <c r="U93" s="194"/>
      <c r="V93" s="194"/>
      <c r="W93" s="194"/>
      <c r="X93" s="194"/>
      <c r="Y93" s="194"/>
      <c r="Z93" s="194"/>
      <c r="AA93" s="195"/>
      <c r="AB93" s="194"/>
      <c r="AC93" s="194"/>
      <c r="AD93" s="860"/>
      <c r="AE93" s="194"/>
      <c r="AF93" s="1539"/>
      <c r="AG93" s="194"/>
      <c r="AH93" s="194"/>
      <c r="AI93" s="62"/>
      <c r="AJ93" s="266"/>
    </row>
    <row r="94" spans="1:37" ht="16.5" customHeight="1">
      <c r="A94" s="350" t="s">
        <v>415</v>
      </c>
      <c r="B94" s="350"/>
      <c r="C94" s="194">
        <f>+'Exhibit F'!D87+'Exhibit G'!D70+'Exhibit I'!E53</f>
        <v>0.4</v>
      </c>
      <c r="D94" s="194"/>
      <c r="E94" s="194">
        <f>+'Exhibit F'!F87+'Exhibit G'!F70+'Exhibit I'!G53</f>
        <v>18.499999999999996</v>
      </c>
      <c r="F94" s="194"/>
      <c r="G94" s="194">
        <f>+'Exhibit F'!H87+'Exhibit G'!H70+'Exhibit I'!I53</f>
        <v>43.6</v>
      </c>
      <c r="H94" s="194"/>
      <c r="I94" s="194">
        <f>+'Exhibit F'!J87+'Exhibit G'!J70+'Exhibit I'!K53</f>
        <v>9.6000000000000014</v>
      </c>
      <c r="J94" s="194"/>
      <c r="K94" s="194"/>
      <c r="L94" s="194"/>
      <c r="M94" s="194"/>
      <c r="N94" s="194"/>
      <c r="O94" s="194"/>
      <c r="P94" s="194"/>
      <c r="Q94" s="194"/>
      <c r="R94" s="194"/>
      <c r="S94" s="194"/>
      <c r="T94" s="194"/>
      <c r="U94" s="194"/>
      <c r="V94" s="194"/>
      <c r="W94" s="194"/>
      <c r="X94" s="194"/>
      <c r="Y94" s="194"/>
      <c r="Z94" s="194"/>
      <c r="AA94" s="195"/>
      <c r="AB94" s="194">
        <f t="shared" si="14"/>
        <v>72.099999999999994</v>
      </c>
      <c r="AC94" s="194"/>
      <c r="AD94" s="860"/>
      <c r="AE94" s="194">
        <f>+'Exhibit F'!AF87+'Exhibit G'!AH70+'Exhibit I'!AG53</f>
        <v>78.5</v>
      </c>
      <c r="AF94" s="1539"/>
      <c r="AG94" s="194"/>
      <c r="AH94" s="194">
        <f t="shared" si="15"/>
        <v>-6.4</v>
      </c>
      <c r="AI94" s="62"/>
      <c r="AJ94" s="542">
        <f>ROUND(IF(AE94=0,0,AH94/ABS(AE94)),3)</f>
        <v>-8.2000000000000003E-2</v>
      </c>
    </row>
    <row r="95" spans="1:37" ht="16.5" customHeight="1">
      <c r="A95" s="350" t="s">
        <v>416</v>
      </c>
      <c r="B95" s="350"/>
      <c r="C95" s="194">
        <f>+'Exhibit G'!D71+'Exhibit F'!D88</f>
        <v>1.1000000000000001</v>
      </c>
      <c r="D95" s="194"/>
      <c r="E95" s="194">
        <f>+'Exhibit G'!F71+'Exhibit F'!F88</f>
        <v>1.2</v>
      </c>
      <c r="F95" s="194"/>
      <c r="G95" s="194">
        <f>+'Exhibit G'!H71+'Exhibit F'!H88</f>
        <v>0.69999999999999973</v>
      </c>
      <c r="H95" s="194"/>
      <c r="I95" s="194">
        <f>+'Exhibit G'!J71+'Exhibit F'!J88</f>
        <v>0.50000000000000044</v>
      </c>
      <c r="J95" s="194"/>
      <c r="K95" s="194"/>
      <c r="L95" s="194"/>
      <c r="M95" s="194"/>
      <c r="N95" s="194"/>
      <c r="O95" s="194"/>
      <c r="P95" s="194"/>
      <c r="Q95" s="194"/>
      <c r="R95" s="194"/>
      <c r="S95" s="194"/>
      <c r="T95" s="194"/>
      <c r="U95" s="194"/>
      <c r="V95" s="194"/>
      <c r="W95" s="194"/>
      <c r="X95" s="194"/>
      <c r="Y95" s="194"/>
      <c r="Z95" s="194"/>
      <c r="AA95" s="195"/>
      <c r="AB95" s="194">
        <f t="shared" si="14"/>
        <v>3.5</v>
      </c>
      <c r="AC95" s="194"/>
      <c r="AD95" s="860"/>
      <c r="AE95" s="194">
        <f>+'Exhibit G'!AH71+'Exhibit F'!AF88</f>
        <v>1.8</v>
      </c>
      <c r="AF95" s="1539"/>
      <c r="AG95" s="194"/>
      <c r="AH95" s="194">
        <f t="shared" si="15"/>
        <v>1.7</v>
      </c>
      <c r="AI95" s="62"/>
      <c r="AJ95" s="542">
        <f>ROUND(IF(AE95=0,0,AH95/ABS(AE95)),3)</f>
        <v>0.94399999999999995</v>
      </c>
    </row>
    <row r="96" spans="1:37" ht="16.5" customHeight="1">
      <c r="A96" s="350" t="s">
        <v>417</v>
      </c>
      <c r="B96" s="350"/>
      <c r="C96" s="194">
        <f>+'Exhibit F'!D89+'Exhibit G'!D72+'Exhibit I'!E54</f>
        <v>6.6</v>
      </c>
      <c r="D96" s="194"/>
      <c r="E96" s="194">
        <f>+'Exhibit F'!F89+'Exhibit G'!F72+'Exhibit I'!G54</f>
        <v>11.999999999999998</v>
      </c>
      <c r="F96" s="194"/>
      <c r="G96" s="194">
        <f>+'Exhibit F'!H89+'Exhibit G'!H72+'Exhibit I'!I54</f>
        <v>2.6999999999999984</v>
      </c>
      <c r="H96" s="194"/>
      <c r="I96" s="194">
        <f>+'Exhibit F'!J89+'Exhibit G'!J72+'Exhibit I'!K54</f>
        <v>0.60000000000000209</v>
      </c>
      <c r="J96" s="194"/>
      <c r="K96" s="194"/>
      <c r="L96" s="194"/>
      <c r="M96" s="194"/>
      <c r="N96" s="194"/>
      <c r="O96" s="194"/>
      <c r="P96" s="194"/>
      <c r="Q96" s="194"/>
      <c r="R96" s="194"/>
      <c r="S96" s="194"/>
      <c r="T96" s="194"/>
      <c r="U96" s="194"/>
      <c r="V96" s="194"/>
      <c r="W96" s="194"/>
      <c r="X96" s="194"/>
      <c r="Y96" s="194"/>
      <c r="Z96" s="194"/>
      <c r="AA96" s="195"/>
      <c r="AB96" s="194">
        <f t="shared" si="14"/>
        <v>21.9</v>
      </c>
      <c r="AC96" s="194"/>
      <c r="AD96" s="860"/>
      <c r="AE96" s="194">
        <f>+'Exhibit F'!AF89+'Exhibit G'!AH72+'Exhibit I'!AG54</f>
        <v>22.3</v>
      </c>
      <c r="AF96" s="1539"/>
      <c r="AG96" s="194"/>
      <c r="AH96" s="194">
        <f t="shared" si="15"/>
        <v>-0.4</v>
      </c>
      <c r="AI96" s="62"/>
      <c r="AJ96" s="374">
        <f t="shared" ref="AJ96:AJ103" si="20">ROUND(IF(AE96=0,0,AH96/ABS(AE96)),3)</f>
        <v>-1.7999999999999999E-2</v>
      </c>
    </row>
    <row r="97" spans="1:37" ht="16.5" customHeight="1">
      <c r="A97" s="350" t="s">
        <v>418</v>
      </c>
      <c r="B97" s="350"/>
      <c r="C97" s="194">
        <f>+'Exhibit F'!D90+'Exhibit G'!D73+'Exhibit I'!E55</f>
        <v>9.3000000000000007</v>
      </c>
      <c r="D97" s="194"/>
      <c r="E97" s="194">
        <f>+'Exhibit F'!F90+'Exhibit G'!F73+'Exhibit I'!G55</f>
        <v>2.0999999999999992</v>
      </c>
      <c r="F97" s="194"/>
      <c r="G97" s="194">
        <f>+'Exhibit F'!H90+'Exhibit G'!H73+'Exhibit I'!I55</f>
        <v>65.5</v>
      </c>
      <c r="H97" s="194"/>
      <c r="I97" s="194">
        <f>+'Exhibit F'!J90+'Exhibit G'!J73+'Exhibit I'!K55</f>
        <v>3.3999999999999959</v>
      </c>
      <c r="J97" s="194"/>
      <c r="K97" s="194"/>
      <c r="L97" s="194"/>
      <c r="M97" s="194"/>
      <c r="N97" s="194"/>
      <c r="O97" s="194"/>
      <c r="P97" s="194"/>
      <c r="Q97" s="194"/>
      <c r="R97" s="194"/>
      <c r="S97" s="194"/>
      <c r="T97" s="194"/>
      <c r="U97" s="194"/>
      <c r="V97" s="194"/>
      <c r="W97" s="194"/>
      <c r="X97" s="194"/>
      <c r="Y97" s="194"/>
      <c r="Z97" s="194"/>
      <c r="AA97" s="195"/>
      <c r="AB97" s="194">
        <f>ROUND(SUM(C97:Y97),1)</f>
        <v>80.3</v>
      </c>
      <c r="AC97" s="194"/>
      <c r="AD97" s="860"/>
      <c r="AE97" s="194">
        <f>+'Exhibit F'!AF90+'Exhibit G'!AH73+'Exhibit I'!AG55</f>
        <v>61.2</v>
      </c>
      <c r="AF97" s="1539"/>
      <c r="AG97" s="194"/>
      <c r="AH97" s="194">
        <f t="shared" si="15"/>
        <v>19.100000000000001</v>
      </c>
      <c r="AI97" s="62"/>
      <c r="AJ97" s="374">
        <f t="shared" si="20"/>
        <v>0.312</v>
      </c>
    </row>
    <row r="98" spans="1:37" ht="16.5" customHeight="1">
      <c r="A98" s="350" t="s">
        <v>419</v>
      </c>
      <c r="B98" s="350"/>
      <c r="C98" s="194">
        <f>+'Exhibit F'!D91+'Exhibit G'!D74+'Exhibit H'!B48</f>
        <v>438.3</v>
      </c>
      <c r="D98" s="194"/>
      <c r="E98" s="194">
        <f>+'Exhibit F'!F91+'Exhibit G'!F74+'Exhibit H'!D48</f>
        <v>324</v>
      </c>
      <c r="F98" s="194"/>
      <c r="G98" s="194">
        <f>+'Exhibit F'!H91+'Exhibit G'!H74+'Exhibit H'!F48</f>
        <v>357.1</v>
      </c>
      <c r="H98" s="194"/>
      <c r="I98" s="194">
        <f>+'Exhibit F'!J91+'Exhibit G'!J74+'Exhibit H'!H48</f>
        <v>437.89999999999992</v>
      </c>
      <c r="J98" s="194"/>
      <c r="K98" s="194"/>
      <c r="L98" s="194"/>
      <c r="M98" s="194"/>
      <c r="N98" s="194"/>
      <c r="O98" s="194"/>
      <c r="P98" s="194"/>
      <c r="Q98" s="194"/>
      <c r="R98" s="194"/>
      <c r="S98" s="194"/>
      <c r="T98" s="194"/>
      <c r="U98" s="194"/>
      <c r="V98" s="194"/>
      <c r="W98" s="194"/>
      <c r="X98" s="194"/>
      <c r="Y98" s="194"/>
      <c r="Z98" s="194"/>
      <c r="AA98" s="195"/>
      <c r="AB98" s="194">
        <f t="shared" si="14"/>
        <v>1557.3</v>
      </c>
      <c r="AC98" s="194"/>
      <c r="AD98" s="860"/>
      <c r="AE98" s="194">
        <f>+'Exhibit F'!AF91+'Exhibit G'!AH74+'Exhibit H'!AD48</f>
        <v>1494.1</v>
      </c>
      <c r="AF98" s="1539"/>
      <c r="AG98" s="194"/>
      <c r="AH98" s="194">
        <f t="shared" si="15"/>
        <v>63.2</v>
      </c>
      <c r="AI98" s="62"/>
      <c r="AJ98" s="858">
        <f t="shared" si="20"/>
        <v>4.2000000000000003E-2</v>
      </c>
    </row>
    <row r="99" spans="1:37" ht="16.5" customHeight="1">
      <c r="A99" s="350" t="s">
        <v>420</v>
      </c>
      <c r="B99" s="350"/>
      <c r="C99" s="194">
        <f>+'Exhibit G'!D75+'Exhibit F'!D92+'Exhibit I'!E56</f>
        <v>13</v>
      </c>
      <c r="D99" s="194"/>
      <c r="E99" s="194">
        <f>+'Exhibit G'!F75+'Exhibit F'!F92+'Exhibit I'!G56</f>
        <v>10.3</v>
      </c>
      <c r="F99" s="194"/>
      <c r="G99" s="194">
        <f>+'Exhibit G'!H75+'Exhibit F'!H92+'Exhibit I'!I56</f>
        <v>11.699999999999996</v>
      </c>
      <c r="H99" s="194"/>
      <c r="I99" s="194">
        <f>+'Exhibit G'!J75+'Exhibit F'!J92+'Exhibit I'!K56</f>
        <v>16</v>
      </c>
      <c r="J99" s="194"/>
      <c r="K99" s="194"/>
      <c r="L99" s="194"/>
      <c r="M99" s="194"/>
      <c r="N99" s="194"/>
      <c r="O99" s="194"/>
      <c r="P99" s="194"/>
      <c r="Q99" s="194"/>
      <c r="R99" s="194"/>
      <c r="S99" s="194"/>
      <c r="T99" s="194"/>
      <c r="U99" s="194"/>
      <c r="V99" s="194"/>
      <c r="W99" s="194"/>
      <c r="X99" s="194"/>
      <c r="Y99" s="194"/>
      <c r="Z99" s="194"/>
      <c r="AA99" s="195"/>
      <c r="AB99" s="194">
        <f t="shared" si="14"/>
        <v>51</v>
      </c>
      <c r="AC99" s="194"/>
      <c r="AD99" s="860"/>
      <c r="AE99" s="194">
        <f>+'Exhibit G'!AH75+'Exhibit F'!AF92+'Exhibit I'!AG56</f>
        <v>52.2</v>
      </c>
      <c r="AF99" s="1539"/>
      <c r="AG99" s="194"/>
      <c r="AH99" s="194">
        <f t="shared" si="15"/>
        <v>-1.2</v>
      </c>
      <c r="AI99" s="62"/>
      <c r="AJ99" s="374">
        <f t="shared" si="20"/>
        <v>-2.3E-2</v>
      </c>
    </row>
    <row r="100" spans="1:37" ht="16.5" customHeight="1">
      <c r="A100" s="350" t="s">
        <v>421</v>
      </c>
      <c r="B100" s="350"/>
      <c r="C100" s="194">
        <f>+'Exhibit F'!D93+'Exhibit G'!D76+'Exhibit I'!E57</f>
        <v>22.6</v>
      </c>
      <c r="D100" s="194"/>
      <c r="E100" s="194">
        <f>+'Exhibit F'!F93+'Exhibit G'!F76+'Exhibit I'!G57</f>
        <v>1.8000000000000007</v>
      </c>
      <c r="F100" s="194"/>
      <c r="G100" s="194">
        <f>+'Exhibit F'!H93+'Exhibit G'!H76+'Exhibit I'!I57</f>
        <v>2.9999999999999991</v>
      </c>
      <c r="H100" s="194"/>
      <c r="I100" s="194">
        <f>+'Exhibit F'!J93+'Exhibit G'!J76+'Exhibit I'!K57</f>
        <v>68.399999999999991</v>
      </c>
      <c r="J100" s="194"/>
      <c r="K100" s="194"/>
      <c r="L100" s="194"/>
      <c r="M100" s="194"/>
      <c r="N100" s="194"/>
      <c r="O100" s="194"/>
      <c r="P100" s="194"/>
      <c r="Q100" s="194"/>
      <c r="R100" s="194"/>
      <c r="S100" s="194"/>
      <c r="T100" s="194"/>
      <c r="U100" s="194"/>
      <c r="V100" s="194"/>
      <c r="W100" s="194"/>
      <c r="X100" s="194"/>
      <c r="Y100" s="194"/>
      <c r="Z100" s="194"/>
      <c r="AA100" s="195"/>
      <c r="AB100" s="194">
        <f t="shared" si="14"/>
        <v>95.8</v>
      </c>
      <c r="AC100" s="194"/>
      <c r="AD100" s="860"/>
      <c r="AE100" s="194">
        <f>+'Exhibit F'!AF93+'Exhibit G'!AH76+'Exhibit I'!AG57</f>
        <v>23.1</v>
      </c>
      <c r="AF100" s="1539"/>
      <c r="AG100" s="194"/>
      <c r="AH100" s="194">
        <f t="shared" si="15"/>
        <v>72.7</v>
      </c>
      <c r="AI100" s="62"/>
      <c r="AJ100" s="858">
        <f t="shared" si="20"/>
        <v>3.1469999999999998</v>
      </c>
    </row>
    <row r="101" spans="1:37" ht="16.5" customHeight="1">
      <c r="A101" s="350" t="s">
        <v>422</v>
      </c>
      <c r="B101" s="350"/>
      <c r="C101" s="194">
        <f>+'Exhibit F'!D94+'Exhibit G'!D77</f>
        <v>1</v>
      </c>
      <c r="D101" s="194"/>
      <c r="E101" s="194">
        <f>+'Exhibit F'!F94+'Exhibit G'!F77</f>
        <v>1.1000000000000001</v>
      </c>
      <c r="F101" s="194"/>
      <c r="G101" s="194">
        <f>+'Exhibit F'!H94+'Exhibit G'!H77</f>
        <v>1</v>
      </c>
      <c r="H101" s="194"/>
      <c r="I101" s="194">
        <f>+'Exhibit F'!J94+'Exhibit G'!J77</f>
        <v>0.99999999999999956</v>
      </c>
      <c r="J101" s="194"/>
      <c r="K101" s="194"/>
      <c r="L101" s="194"/>
      <c r="M101" s="194"/>
      <c r="N101" s="194"/>
      <c r="O101" s="194"/>
      <c r="P101" s="194"/>
      <c r="Q101" s="194"/>
      <c r="R101" s="194"/>
      <c r="S101" s="194"/>
      <c r="T101" s="194"/>
      <c r="U101" s="194"/>
      <c r="V101" s="194"/>
      <c r="W101" s="194"/>
      <c r="X101" s="194"/>
      <c r="Y101" s="194"/>
      <c r="Z101" s="194"/>
      <c r="AA101" s="195"/>
      <c r="AB101" s="194">
        <f t="shared" si="14"/>
        <v>4.0999999999999996</v>
      </c>
      <c r="AC101" s="194"/>
      <c r="AD101" s="860"/>
      <c r="AE101" s="194">
        <f>+'Exhibit F'!AF94+'Exhibit G'!AH77</f>
        <v>4.9000000000000004</v>
      </c>
      <c r="AF101" s="1539"/>
      <c r="AG101" s="194"/>
      <c r="AH101" s="194">
        <f t="shared" si="15"/>
        <v>-0.8</v>
      </c>
      <c r="AI101" s="62"/>
      <c r="AJ101" s="374">
        <f t="shared" si="20"/>
        <v>-0.16300000000000001</v>
      </c>
    </row>
    <row r="102" spans="1:37" ht="16.5" customHeight="1">
      <c r="A102" s="350" t="s">
        <v>423</v>
      </c>
      <c r="B102" s="350"/>
      <c r="C102" s="194">
        <f>+'Exhibit F'!D95+'Exhibit G'!D78+'Exhibit I'!E58+'Exhibit H'!B49</f>
        <v>21.7</v>
      </c>
      <c r="D102" s="194"/>
      <c r="E102" s="194">
        <f>+'Exhibit F'!F95+'Exhibit G'!F78+'Exhibit I'!G58+'Exhibit H'!D49</f>
        <v>62.7</v>
      </c>
      <c r="F102" s="194"/>
      <c r="G102" s="194">
        <f>+'Exhibit F'!H95+'Exhibit G'!H78+'Exhibit I'!I58+'Exhibit H'!F49</f>
        <v>101.89999999999999</v>
      </c>
      <c r="H102" s="194"/>
      <c r="I102" s="194">
        <f>+'Exhibit F'!J95+'Exhibit G'!J78+'Exhibit I'!K58+'Exhibit H'!H49</f>
        <v>54.20000000000001</v>
      </c>
      <c r="J102" s="194"/>
      <c r="K102" s="194"/>
      <c r="L102" s="194"/>
      <c r="M102" s="194"/>
      <c r="N102" s="194"/>
      <c r="O102" s="194"/>
      <c r="P102" s="194"/>
      <c r="Q102" s="194"/>
      <c r="R102" s="194"/>
      <c r="S102" s="194"/>
      <c r="T102" s="194"/>
      <c r="U102" s="194"/>
      <c r="V102" s="194"/>
      <c r="W102" s="194"/>
      <c r="X102" s="194"/>
      <c r="Y102" s="194"/>
      <c r="Z102" s="194"/>
      <c r="AA102" s="195"/>
      <c r="AB102" s="194">
        <f t="shared" si="14"/>
        <v>240.5</v>
      </c>
      <c r="AC102" s="194"/>
      <c r="AD102" s="860"/>
      <c r="AE102" s="194">
        <f>+'Exhibit F'!AF95+'Exhibit G'!AH78+'Exhibit I'!AG58+'Exhibit H'!AD49</f>
        <v>316.8</v>
      </c>
      <c r="AF102" s="1539"/>
      <c r="AG102" s="194"/>
      <c r="AH102" s="194">
        <f t="shared" si="15"/>
        <v>-76.3</v>
      </c>
      <c r="AI102" s="62"/>
      <c r="AJ102" s="858">
        <f t="shared" si="20"/>
        <v>-0.24099999999999999</v>
      </c>
    </row>
    <row r="103" spans="1:37" ht="16.5" customHeight="1">
      <c r="A103" s="350" t="s">
        <v>424</v>
      </c>
      <c r="B103" s="350"/>
      <c r="C103" s="194">
        <f>+'Exhibit F'!D96+'Exhibit G'!D79+'Exhibit I'!E59+'Exhibit H'!B50</f>
        <v>1.4000000000000001</v>
      </c>
      <c r="D103" s="194"/>
      <c r="E103" s="194">
        <f>+'Exhibit F'!F96+'Exhibit G'!F79+'Exhibit I'!G59+'Exhibit H'!D50</f>
        <v>1.6</v>
      </c>
      <c r="F103" s="194"/>
      <c r="G103" s="194">
        <f>+'Exhibit F'!H96+'Exhibit G'!H79+'Exhibit I'!I59+'Exhibit H'!F50</f>
        <v>3.8999999999999995</v>
      </c>
      <c r="H103" s="194"/>
      <c r="I103" s="194">
        <f>+'Exhibit F'!J96+'Exhibit G'!J79+'Exhibit I'!K59+'Exhibit H'!H50</f>
        <v>6.7</v>
      </c>
      <c r="J103" s="194"/>
      <c r="K103" s="194"/>
      <c r="L103" s="194"/>
      <c r="M103" s="194"/>
      <c r="N103" s="194"/>
      <c r="O103" s="194"/>
      <c r="P103" s="194"/>
      <c r="Q103" s="194"/>
      <c r="R103" s="194"/>
      <c r="S103" s="194"/>
      <c r="T103" s="194"/>
      <c r="U103" s="194"/>
      <c r="V103" s="194"/>
      <c r="W103" s="194"/>
      <c r="X103" s="194"/>
      <c r="Y103" s="194"/>
      <c r="Z103" s="194"/>
      <c r="AA103" s="195"/>
      <c r="AB103" s="194">
        <f t="shared" si="14"/>
        <v>13.6</v>
      </c>
      <c r="AC103" s="194"/>
      <c r="AD103" s="860"/>
      <c r="AE103" s="194">
        <f>+'Exhibit F'!AF96+'Exhibit G'!AH79+'Exhibit I'!AG59+'Exhibit H'!AD50</f>
        <v>6.7</v>
      </c>
      <c r="AF103" s="1539"/>
      <c r="AG103" s="194"/>
      <c r="AH103" s="194">
        <f t="shared" si="15"/>
        <v>6.9</v>
      </c>
      <c r="AI103" s="62"/>
      <c r="AJ103" s="374">
        <f t="shared" si="20"/>
        <v>1.03</v>
      </c>
    </row>
    <row r="104" spans="1:37" ht="16.5" customHeight="1">
      <c r="A104" s="350" t="s">
        <v>425</v>
      </c>
      <c r="B104" s="350"/>
      <c r="C104" s="194">
        <f>+'Exhibit G'!D80</f>
        <v>36.4</v>
      </c>
      <c r="D104" s="194"/>
      <c r="E104" s="194">
        <f>+'Exhibit G'!F80</f>
        <v>41.000000000000007</v>
      </c>
      <c r="F104" s="194"/>
      <c r="G104" s="194">
        <f>+'Exhibit G'!H80</f>
        <v>26.700000000000003</v>
      </c>
      <c r="H104" s="194"/>
      <c r="I104" s="194">
        <f>+'Exhibit G'!J80</f>
        <v>49.899999999999984</v>
      </c>
      <c r="J104" s="194"/>
      <c r="K104" s="194"/>
      <c r="L104" s="194"/>
      <c r="M104" s="194"/>
      <c r="N104" s="194"/>
      <c r="O104" s="194"/>
      <c r="P104" s="194"/>
      <c r="Q104" s="194"/>
      <c r="R104" s="194"/>
      <c r="S104" s="194"/>
      <c r="T104" s="194"/>
      <c r="U104" s="194"/>
      <c r="V104" s="194"/>
      <c r="W104" s="194"/>
      <c r="X104" s="194"/>
      <c r="Y104" s="194"/>
      <c r="Z104" s="194"/>
      <c r="AA104" s="195"/>
      <c r="AB104" s="194">
        <f t="shared" si="14"/>
        <v>154</v>
      </c>
      <c r="AC104" s="194"/>
      <c r="AD104" s="860"/>
      <c r="AE104" s="194">
        <f>+'Exhibit G'!AH80</f>
        <v>155.4</v>
      </c>
      <c r="AF104" s="1539"/>
      <c r="AG104" s="194"/>
      <c r="AH104" s="194">
        <f t="shared" si="15"/>
        <v>-1.4</v>
      </c>
      <c r="AI104" s="62"/>
      <c r="AJ104" s="374">
        <f>ROUND(IF(AE104=0,0,AH104/ABS(AE104)),3)</f>
        <v>-8.9999999999999993E-3</v>
      </c>
    </row>
    <row r="105" spans="1:37" s="129" customFormat="1" ht="16.5" customHeight="1">
      <c r="A105" s="83" t="s">
        <v>426</v>
      </c>
      <c r="B105" s="57"/>
      <c r="C105" s="672">
        <f>ROUND(SUM(C64:C104),1)</f>
        <v>2717.2</v>
      </c>
      <c r="D105" s="418"/>
      <c r="E105" s="672">
        <f>ROUND(SUM(E64:E104),1)</f>
        <v>3396.5</v>
      </c>
      <c r="F105" s="418"/>
      <c r="G105" s="672">
        <f>ROUND(SUM(G64:G104),1)</f>
        <v>4879.3</v>
      </c>
      <c r="H105" s="13"/>
      <c r="I105" s="672">
        <f>ROUND(SUM(I64:I104),1)</f>
        <v>3719.1</v>
      </c>
      <c r="J105" s="13"/>
      <c r="K105" s="672">
        <f>ROUND(SUM(K64:K104),1)</f>
        <v>0</v>
      </c>
      <c r="L105" s="13"/>
      <c r="M105" s="672">
        <f>ROUND(SUM(M64:M104),1)</f>
        <v>0</v>
      </c>
      <c r="N105" s="13"/>
      <c r="O105" s="672">
        <f>ROUND(SUM(O64:O104),1)</f>
        <v>0</v>
      </c>
      <c r="P105" s="13"/>
      <c r="Q105" s="672">
        <f>ROUND(SUM(Q64:Q104),1)</f>
        <v>0</v>
      </c>
      <c r="R105" s="13"/>
      <c r="S105" s="672">
        <f>ROUND(SUM(S64:S104),1)</f>
        <v>0</v>
      </c>
      <c r="T105" s="13"/>
      <c r="U105" s="672">
        <f>ROUND(SUM(U64:U104),1)</f>
        <v>0</v>
      </c>
      <c r="V105" s="13"/>
      <c r="W105" s="672">
        <f>ROUND(SUM(W64:W104),1)</f>
        <v>0</v>
      </c>
      <c r="X105" s="40"/>
      <c r="Y105" s="672">
        <f>ROUND(SUM(Y64:Y104),1)</f>
        <v>0</v>
      </c>
      <c r="Z105" s="40"/>
      <c r="AA105" s="69"/>
      <c r="AB105" s="672">
        <f>ROUND(SUM(AB64:AB104),1)</f>
        <v>14712.1</v>
      </c>
      <c r="AC105" s="13"/>
      <c r="AD105" s="14"/>
      <c r="AE105" s="672">
        <f>ROUND(SUM(AE64:AE104),1)</f>
        <v>11129.8</v>
      </c>
      <c r="AF105" s="75"/>
      <c r="AG105" s="861"/>
      <c r="AH105" s="672">
        <f>ROUND(SUM(AH64:AH104),1)</f>
        <v>3582.3</v>
      </c>
      <c r="AI105" s="13"/>
      <c r="AJ105" s="1010">
        <f>ROUND(IF(AE105=0,0,AH105/ABS(AE105)),3)</f>
        <v>0.32200000000000001</v>
      </c>
    </row>
    <row r="106" spans="1:37" s="129" customFormat="1" ht="16.5" customHeight="1">
      <c r="A106" s="187"/>
      <c r="B106" s="187"/>
      <c r="C106" s="197"/>
      <c r="D106" s="197"/>
      <c r="E106" s="197"/>
      <c r="F106" s="197"/>
      <c r="G106" s="197"/>
      <c r="H106" s="197"/>
      <c r="I106" s="197"/>
      <c r="J106" s="197"/>
      <c r="K106" s="197"/>
      <c r="L106" s="197"/>
      <c r="M106" s="197"/>
      <c r="N106" s="197"/>
      <c r="O106" s="197"/>
      <c r="P106" s="197"/>
      <c r="Q106" s="197"/>
      <c r="R106" s="197"/>
      <c r="S106" s="197"/>
      <c r="T106" s="197"/>
      <c r="U106" s="197"/>
      <c r="V106" s="197"/>
      <c r="W106" s="197"/>
      <c r="X106" s="197"/>
      <c r="Y106" s="197" t="s">
        <v>103</v>
      </c>
      <c r="Z106" s="197"/>
      <c r="AA106" s="198"/>
      <c r="AB106" s="197" t="s">
        <v>103</v>
      </c>
      <c r="AC106" s="197"/>
      <c r="AD106" s="198"/>
      <c r="AE106" s="197"/>
      <c r="AF106" s="1540"/>
      <c r="AG106" s="197"/>
      <c r="AH106" s="197"/>
      <c r="AI106" s="187"/>
      <c r="AJ106" s="74"/>
    </row>
    <row r="107" spans="1:37" ht="16.5" customHeight="1">
      <c r="A107" s="62" t="s">
        <v>120</v>
      </c>
      <c r="B107" s="62"/>
      <c r="C107" s="196">
        <f>+'Exhibit F'!D99+'Exhibit G'!D83+'Exhibit H'!B53+'Exhibit I'!E62</f>
        <v>9110.0000000000018</v>
      </c>
      <c r="D107" s="194"/>
      <c r="E107" s="196">
        <f>+'Exhibit F'!F99+'Exhibit G'!F83+'Exhibit H'!D53+'Exhibit I'!G62</f>
        <v>7137.7999999999993</v>
      </c>
      <c r="F107" s="194"/>
      <c r="G107" s="196">
        <f>+'Exhibit F'!H99+'Exhibit G'!H83+'Exhibit H'!F53+'Exhibit I'!I62</f>
        <v>13684.9</v>
      </c>
      <c r="H107" s="194"/>
      <c r="I107" s="196">
        <f>+'Exhibit F'!J99+'Exhibit G'!J83+'Exhibit H'!H53+'Exhibit I'!K62</f>
        <v>8941.7999999999993</v>
      </c>
      <c r="J107" s="194"/>
      <c r="K107" s="196"/>
      <c r="L107" s="194"/>
      <c r="M107" s="196"/>
      <c r="N107" s="194"/>
      <c r="O107" s="196"/>
      <c r="P107" s="194"/>
      <c r="Q107" s="196"/>
      <c r="R107" s="194"/>
      <c r="S107" s="196"/>
      <c r="T107" s="194"/>
      <c r="U107" s="196"/>
      <c r="V107" s="194"/>
      <c r="W107" s="196"/>
      <c r="X107" s="194"/>
      <c r="Y107" s="196"/>
      <c r="Z107" s="194"/>
      <c r="AA107" s="195"/>
      <c r="AB107" s="196">
        <f>ROUND(SUM(C107:Y107),1)</f>
        <v>38874.5</v>
      </c>
      <c r="AC107" s="194"/>
      <c r="AD107" s="860"/>
      <c r="AE107" s="196">
        <f>+'Exhibit F'!AF99+'Exhibit G'!AH83+'Exhibit H'!AD53+'Exhibit I'!AG62</f>
        <v>33963.899999999994</v>
      </c>
      <c r="AF107" s="1539"/>
      <c r="AG107" s="194"/>
      <c r="AH107" s="196">
        <f>ROUND(SUM(AB107-AE107),1)</f>
        <v>4910.6000000000004</v>
      </c>
      <c r="AI107" s="62"/>
      <c r="AJ107" s="862">
        <f>ROUND(IF(AE107=0,0,AH107/ABS(AE107)),3)</f>
        <v>0.14499999999999999</v>
      </c>
    </row>
    <row r="108" spans="1:37" ht="16.5" customHeight="1">
      <c r="A108" s="62"/>
      <c r="B108" s="62"/>
      <c r="C108" s="194"/>
      <c r="D108" s="194"/>
      <c r="E108" s="194"/>
      <c r="F108" s="194"/>
      <c r="G108" s="194"/>
      <c r="H108" s="194"/>
      <c r="I108" s="194"/>
      <c r="J108" s="194"/>
      <c r="K108" s="194"/>
      <c r="L108" s="194"/>
      <c r="M108" s="194"/>
      <c r="N108" s="194"/>
      <c r="O108" s="194"/>
      <c r="P108" s="194"/>
      <c r="Q108" s="194"/>
      <c r="R108" s="194"/>
      <c r="S108" s="194"/>
      <c r="T108" s="194"/>
      <c r="U108" s="194"/>
      <c r="V108" s="194"/>
      <c r="W108" s="194"/>
      <c r="X108" s="194"/>
      <c r="Y108" s="194"/>
      <c r="Z108" s="194"/>
      <c r="AA108" s="195"/>
      <c r="AB108" s="194"/>
      <c r="AC108" s="194"/>
      <c r="AD108" s="860"/>
      <c r="AE108" s="194"/>
      <c r="AF108" s="1539"/>
      <c r="AG108" s="194"/>
      <c r="AH108" s="194"/>
      <c r="AI108" s="62"/>
      <c r="AJ108" s="1012"/>
    </row>
    <row r="109" spans="1:37" ht="16.5" customHeight="1">
      <c r="A109" s="3" t="s">
        <v>427</v>
      </c>
      <c r="B109" s="364"/>
      <c r="C109" s="357">
        <f>ROUND(SUM(C107+C105+C60),1)</f>
        <v>25817.5</v>
      </c>
      <c r="D109" s="13"/>
      <c r="E109" s="357">
        <f>ROUND(SUM(E107+E105+E60),1)</f>
        <v>17190.099999999999</v>
      </c>
      <c r="F109" s="13"/>
      <c r="G109" s="357">
        <f>ROUND(SUM(G107+G105+G60),1)</f>
        <v>35147.4</v>
      </c>
      <c r="H109" s="13"/>
      <c r="I109" s="357">
        <f>ROUND(SUM(I107+I105+I60),1)</f>
        <v>20225.599999999999</v>
      </c>
      <c r="J109" s="13"/>
      <c r="K109" s="357">
        <f>ROUND(SUM(K107+K105+K60),1)</f>
        <v>0</v>
      </c>
      <c r="L109" s="13"/>
      <c r="M109" s="357">
        <f>ROUND(SUM(M107+M105+M60),1)</f>
        <v>0</v>
      </c>
      <c r="N109" s="13"/>
      <c r="O109" s="357">
        <f>ROUND(SUM(O107+O105+O60),1)</f>
        <v>0</v>
      </c>
      <c r="P109" s="13"/>
      <c r="Q109" s="357">
        <f>ROUND(SUM(Q107+Q105+Q60),1)</f>
        <v>0</v>
      </c>
      <c r="R109" s="13"/>
      <c r="S109" s="357">
        <f>ROUND(SUM(S107+S105+S60),1)</f>
        <v>0</v>
      </c>
      <c r="T109" s="13"/>
      <c r="U109" s="357">
        <f>ROUND(SUM(U107+U105+U60),1)</f>
        <v>0</v>
      </c>
      <c r="V109" s="13"/>
      <c r="W109" s="357">
        <f>ROUND(SUM(W107+W105+W60),1)</f>
        <v>0</v>
      </c>
      <c r="X109" s="40"/>
      <c r="Y109" s="357">
        <f>ROUND(SUM(Y107+Y105+Y60),1)</f>
        <v>0</v>
      </c>
      <c r="Z109" s="1207"/>
      <c r="AA109" s="3"/>
      <c r="AB109" s="357">
        <f>ROUND(SUM(AB107+AB105+AB60),1)</f>
        <v>98380.6</v>
      </c>
      <c r="AC109" s="13"/>
      <c r="AD109" s="14"/>
      <c r="AE109" s="357">
        <f>ROUND(SUM(AE107+AE105+AE60),1)</f>
        <v>85114.8</v>
      </c>
      <c r="AF109" s="75"/>
      <c r="AG109" s="861"/>
      <c r="AH109" s="357">
        <f>ROUND(SUM(AH107+AH105+AH60),1)</f>
        <v>13265.8</v>
      </c>
      <c r="AI109" s="13"/>
      <c r="AJ109" s="859">
        <f>ROUND(IF(AE109=0,0,AH109/ABS(AE109)),3)</f>
        <v>0.156</v>
      </c>
      <c r="AK109" s="129"/>
    </row>
    <row r="110" spans="1:37" ht="16.5" customHeight="1">
      <c r="A110" s="40"/>
      <c r="B110" s="62"/>
      <c r="C110" s="11"/>
      <c r="D110" s="194"/>
      <c r="E110" s="11"/>
      <c r="F110" s="194"/>
      <c r="G110" s="11"/>
      <c r="H110" s="194"/>
      <c r="I110" s="11"/>
      <c r="J110" s="194"/>
      <c r="K110" s="11"/>
      <c r="L110" s="194"/>
      <c r="M110" s="11"/>
      <c r="N110" s="194"/>
      <c r="O110" s="11"/>
      <c r="P110" s="194"/>
      <c r="Q110" s="11"/>
      <c r="R110" s="194"/>
      <c r="S110" s="11"/>
      <c r="T110" s="194"/>
      <c r="U110" s="11"/>
      <c r="V110" s="194"/>
      <c r="W110" s="11"/>
      <c r="X110" s="194"/>
      <c r="Y110" s="11"/>
      <c r="Z110" s="194"/>
      <c r="AA110" s="195"/>
      <c r="AB110" s="11"/>
      <c r="AC110" s="194"/>
      <c r="AD110" s="860"/>
      <c r="AE110" s="11"/>
      <c r="AF110" s="1539"/>
      <c r="AG110" s="194"/>
      <c r="AH110" s="264"/>
      <c r="AI110" s="62"/>
      <c r="AJ110" s="268"/>
    </row>
    <row r="111" spans="1:37" ht="16.5" customHeight="1">
      <c r="A111" s="40" t="s">
        <v>122</v>
      </c>
      <c r="B111" s="62"/>
      <c r="C111" s="194"/>
      <c r="D111" s="194"/>
      <c r="E111" s="194"/>
      <c r="F111" s="194"/>
      <c r="G111" s="194"/>
      <c r="H111" s="194"/>
      <c r="I111" s="194"/>
      <c r="J111" s="194"/>
      <c r="K111" s="194"/>
      <c r="L111" s="194"/>
      <c r="M111" s="194"/>
      <c r="N111" s="194"/>
      <c r="O111" s="194"/>
      <c r="P111" s="194"/>
      <c r="Q111" s="194"/>
      <c r="R111" s="194"/>
      <c r="S111" s="194"/>
      <c r="T111" s="194"/>
      <c r="U111" s="194"/>
      <c r="V111" s="194"/>
      <c r="W111" s="194"/>
      <c r="X111" s="194"/>
      <c r="Y111" s="194"/>
      <c r="Z111" s="194"/>
      <c r="AA111" s="195"/>
      <c r="AB111" s="194"/>
      <c r="AC111" s="194"/>
      <c r="AD111" s="860"/>
      <c r="AE111" s="194"/>
      <c r="AF111" s="1539"/>
      <c r="AG111" s="194"/>
      <c r="AH111" s="264"/>
      <c r="AI111" s="62"/>
      <c r="AJ111" s="268"/>
    </row>
    <row r="112" spans="1:37" ht="16.5" customHeight="1">
      <c r="A112" s="62" t="s">
        <v>428</v>
      </c>
      <c r="B112" s="62"/>
      <c r="C112" s="194"/>
      <c r="D112" s="194"/>
      <c r="E112" s="194"/>
      <c r="F112" s="194"/>
      <c r="G112" s="194"/>
      <c r="H112" s="194"/>
      <c r="I112" s="194"/>
      <c r="J112" s="194"/>
      <c r="K112" s="194"/>
      <c r="L112" s="194"/>
      <c r="M112" s="194"/>
      <c r="N112" s="194"/>
      <c r="O112" s="194"/>
      <c r="P112" s="194"/>
      <c r="Q112" s="194"/>
      <c r="R112" s="194"/>
      <c r="S112" s="194"/>
      <c r="T112" s="194"/>
      <c r="U112" s="194"/>
      <c r="V112" s="194"/>
      <c r="W112" s="194"/>
      <c r="X112" s="194"/>
      <c r="Y112" s="194"/>
      <c r="Z112" s="194"/>
      <c r="AA112" s="195"/>
      <c r="AB112" s="194"/>
      <c r="AC112" s="194"/>
      <c r="AD112" s="860"/>
      <c r="AE112" s="264"/>
      <c r="AF112" s="1539"/>
      <c r="AG112" s="194"/>
      <c r="AH112" s="194"/>
      <c r="AI112" s="62"/>
      <c r="AJ112" s="283"/>
    </row>
    <row r="113" spans="1:37" ht="16.5" customHeight="1">
      <c r="A113" s="751" t="s">
        <v>124</v>
      </c>
      <c r="B113" s="62"/>
      <c r="C113" s="194">
        <f>+'Exhibit F'!D105+'Exhibit G'!D89+'Exhibit I'!E68</f>
        <v>3053.5</v>
      </c>
      <c r="D113" s="194"/>
      <c r="E113" s="194">
        <f>+'Exhibit F'!F105+'Exhibit G'!F89+'Exhibit I'!G68</f>
        <v>6238.0999999999985</v>
      </c>
      <c r="F113" s="194"/>
      <c r="G113" s="194">
        <f>+'Exhibit F'!H105+'Exhibit G'!H89+'Exhibit I'!I68</f>
        <v>3809.5</v>
      </c>
      <c r="H113" s="194"/>
      <c r="I113" s="194">
        <f>+'Exhibit F'!J105+'Exhibit G'!J89+'Exhibit I'!K68</f>
        <v>955.30000000000143</v>
      </c>
      <c r="J113" s="194"/>
      <c r="K113" s="194"/>
      <c r="L113" s="194"/>
      <c r="M113" s="194"/>
      <c r="N113" s="194"/>
      <c r="O113" s="194"/>
      <c r="P113" s="194"/>
      <c r="Q113" s="194"/>
      <c r="R113" s="194"/>
      <c r="S113" s="194"/>
      <c r="T113" s="194"/>
      <c r="U113" s="194"/>
      <c r="V113" s="194"/>
      <c r="W113" s="194"/>
      <c r="X113" s="194"/>
      <c r="Y113" s="194"/>
      <c r="Z113" s="194"/>
      <c r="AA113" s="195"/>
      <c r="AB113" s="264">
        <f>ROUND(SUM(C113:Y113),1)</f>
        <v>14056.4</v>
      </c>
      <c r="AC113" s="194"/>
      <c r="AD113" s="860"/>
      <c r="AE113" s="264">
        <f>+'Exhibit F'!AF105+'Exhibit G'!AH89+'Exhibit I'!AG68</f>
        <v>13702.5</v>
      </c>
      <c r="AF113" s="1539"/>
      <c r="AG113" s="194"/>
      <c r="AH113" s="194">
        <f>ROUND(SUM(AB113-AE113),1)</f>
        <v>353.9</v>
      </c>
      <c r="AI113" s="62"/>
      <c r="AJ113" s="374">
        <f>ROUND(IF(AE113=0,0,AH113/ABS(AE113)),3)</f>
        <v>2.5999999999999999E-2</v>
      </c>
    </row>
    <row r="114" spans="1:37" ht="16.5" customHeight="1">
      <c r="A114" s="751" t="s">
        <v>125</v>
      </c>
      <c r="B114" s="62"/>
      <c r="C114" s="194">
        <f>+'Exhibit F'!D106+'Exhibit G'!D90+'Exhibit I'!E69</f>
        <v>12</v>
      </c>
      <c r="D114" s="194"/>
      <c r="E114" s="194">
        <f>+'Exhibit F'!F106+'Exhibit G'!F90+'Exhibit I'!G69</f>
        <v>25.800000000000004</v>
      </c>
      <c r="F114" s="194"/>
      <c r="G114" s="194">
        <f>+'Exhibit F'!H106+'Exhibit G'!H90+'Exhibit I'!I69</f>
        <v>38.4</v>
      </c>
      <c r="H114" s="194"/>
      <c r="I114" s="194">
        <f>+'Exhibit F'!J106+'Exhibit G'!J90+'Exhibit I'!K69</f>
        <v>38.100000000000009</v>
      </c>
      <c r="J114" s="194"/>
      <c r="K114" s="194"/>
      <c r="L114" s="194"/>
      <c r="M114" s="194"/>
      <c r="N114" s="194"/>
      <c r="O114" s="194"/>
      <c r="P114" s="194"/>
      <c r="Q114" s="194"/>
      <c r="R114" s="194"/>
      <c r="S114" s="194"/>
      <c r="T114" s="194"/>
      <c r="U114" s="194"/>
      <c r="V114" s="194"/>
      <c r="W114" s="194"/>
      <c r="X114" s="194"/>
      <c r="Y114" s="194"/>
      <c r="Z114" s="194"/>
      <c r="AA114" s="195"/>
      <c r="AB114" s="264">
        <f t="shared" ref="AB114:AB121" si="21">ROUND(SUM(C114:Y114),1)</f>
        <v>114.3</v>
      </c>
      <c r="AC114" s="194"/>
      <c r="AD114" s="860"/>
      <c r="AE114" s="264">
        <f>+'Exhibit F'!AF106+'Exhibit G'!AH90+'Exhibit I'!AG69</f>
        <v>69.199999999999989</v>
      </c>
      <c r="AF114" s="1539"/>
      <c r="AG114" s="194"/>
      <c r="AH114" s="194">
        <f t="shared" ref="AH114:AH121" si="22">ROUND(SUM(AB114-AE114),1)</f>
        <v>45.1</v>
      </c>
      <c r="AI114" s="62"/>
      <c r="AJ114" s="858">
        <f>ROUND(IF(AE114=0,0,AH114/ABS(AE114)),3)</f>
        <v>0.65200000000000002</v>
      </c>
    </row>
    <row r="115" spans="1:37" ht="16.5" customHeight="1">
      <c r="A115" s="751" t="s">
        <v>126</v>
      </c>
      <c r="B115" s="62"/>
      <c r="C115" s="194">
        <f>+'Exhibit F'!D107+'Exhibit G'!D91+'Exhibit I'!E70</f>
        <v>84.3</v>
      </c>
      <c r="D115" s="194"/>
      <c r="E115" s="194">
        <f>+'Exhibit F'!F107+'Exhibit G'!F91+'Exhibit I'!G70</f>
        <v>120.9</v>
      </c>
      <c r="F115" s="194"/>
      <c r="G115" s="194">
        <f>+'Exhibit F'!H107+'Exhibit G'!H91+'Exhibit I'!I70</f>
        <v>850.3</v>
      </c>
      <c r="H115" s="194"/>
      <c r="I115" s="194">
        <f>+'Exhibit F'!J107+'Exhibit G'!J91+'Exhibit I'!K70</f>
        <v>170.39999999999995</v>
      </c>
      <c r="J115" s="194"/>
      <c r="K115" s="194"/>
      <c r="L115" s="194"/>
      <c r="M115" s="194"/>
      <c r="N115" s="194"/>
      <c r="O115" s="194"/>
      <c r="P115" s="194"/>
      <c r="Q115" s="194"/>
      <c r="R115" s="194"/>
      <c r="S115" s="194"/>
      <c r="T115" s="194"/>
      <c r="U115" s="194"/>
      <c r="V115" s="194"/>
      <c r="W115" s="194"/>
      <c r="X115" s="194"/>
      <c r="Y115" s="194"/>
      <c r="Z115" s="194"/>
      <c r="AA115" s="195"/>
      <c r="AB115" s="264">
        <f t="shared" si="21"/>
        <v>1225.9000000000001</v>
      </c>
      <c r="AC115" s="194"/>
      <c r="AD115" s="860"/>
      <c r="AE115" s="264">
        <f>+'Exhibit F'!AF107+'Exhibit G'!AH91+'Exhibit I'!AG70</f>
        <v>802.09999999999991</v>
      </c>
      <c r="AF115" s="1539"/>
      <c r="AG115" s="194"/>
      <c r="AH115" s="194">
        <f t="shared" si="22"/>
        <v>423.8</v>
      </c>
      <c r="AI115" s="62"/>
      <c r="AJ115" s="374">
        <f>ROUND(IF(AE115=0,0,AH115/ABS(AE115)),3)</f>
        <v>0.52800000000000002</v>
      </c>
    </row>
    <row r="116" spans="1:37" ht="16.5" customHeight="1">
      <c r="A116" s="751" t="s">
        <v>127</v>
      </c>
      <c r="B116" s="62"/>
      <c r="C116" s="194"/>
      <c r="D116" s="194"/>
      <c r="E116" s="194"/>
      <c r="F116" s="194"/>
      <c r="G116" s="194"/>
      <c r="H116" s="194"/>
      <c r="I116" s="194"/>
      <c r="J116" s="194"/>
      <c r="K116" s="194"/>
      <c r="L116" s="194"/>
      <c r="M116" s="194"/>
      <c r="N116" s="194"/>
      <c r="O116" s="194"/>
      <c r="P116" s="194"/>
      <c r="Q116" s="194"/>
      <c r="R116" s="194"/>
      <c r="S116" s="194"/>
      <c r="T116" s="194"/>
      <c r="U116" s="194"/>
      <c r="V116" s="194"/>
      <c r="W116" s="194"/>
      <c r="X116" s="194"/>
      <c r="Y116" s="194"/>
      <c r="Z116" s="194"/>
      <c r="AA116" s="195"/>
      <c r="AB116" s="264"/>
      <c r="AC116" s="194"/>
      <c r="AD116" s="860"/>
      <c r="AE116" s="275"/>
      <c r="AF116" s="1539"/>
      <c r="AG116" s="194"/>
      <c r="AH116" s="194" t="s">
        <v>103</v>
      </c>
      <c r="AI116" s="62"/>
      <c r="AJ116" s="283"/>
    </row>
    <row r="117" spans="1:37" ht="16.5" customHeight="1">
      <c r="A117" s="752" t="s">
        <v>128</v>
      </c>
      <c r="B117" s="62"/>
      <c r="C117" s="194">
        <f>+'Exhibit F'!D109+'Exhibit G'!D93</f>
        <v>9847.2999999999993</v>
      </c>
      <c r="D117" s="194"/>
      <c r="E117" s="194">
        <f>+'Exhibit F'!F109+'Exhibit G'!F93</f>
        <v>8847.5999999999985</v>
      </c>
      <c r="F117" s="194"/>
      <c r="G117" s="194">
        <f>+'Exhibit F'!H109+'Exhibit G'!H93</f>
        <v>6850.1000000000031</v>
      </c>
      <c r="H117" s="194"/>
      <c r="I117" s="194">
        <f>+'Exhibit F'!J109+'Exhibit G'!J93</f>
        <v>9741.4</v>
      </c>
      <c r="J117" s="194"/>
      <c r="K117" s="194"/>
      <c r="L117" s="194"/>
      <c r="M117" s="194"/>
      <c r="N117" s="194"/>
      <c r="O117" s="194"/>
      <c r="P117" s="194"/>
      <c r="Q117" s="194"/>
      <c r="R117" s="194"/>
      <c r="S117" s="194"/>
      <c r="T117" s="194"/>
      <c r="U117" s="194"/>
      <c r="V117" s="194"/>
      <c r="W117" s="194"/>
      <c r="X117" s="194"/>
      <c r="Y117" s="194"/>
      <c r="Z117" s="194"/>
      <c r="AA117" s="195"/>
      <c r="AB117" s="264">
        <f t="shared" si="21"/>
        <v>35286.400000000001</v>
      </c>
      <c r="AC117" s="194"/>
      <c r="AD117" s="860"/>
      <c r="AE117" s="264">
        <f>+'Exhibit F'!AF109+'Exhibit G'!AH93</f>
        <v>33002.199999999997</v>
      </c>
      <c r="AF117" s="1539"/>
      <c r="AG117" s="194"/>
      <c r="AH117" s="194">
        <f t="shared" si="22"/>
        <v>2284.1999999999998</v>
      </c>
      <c r="AI117" s="62"/>
      <c r="AJ117" s="374">
        <f t="shared" ref="AJ117:AJ123" si="23">ROUND(IF(AE117=0,0,AH117/ABS(AE117)),3)</f>
        <v>6.9000000000000006E-2</v>
      </c>
    </row>
    <row r="118" spans="1:37" ht="16.5" customHeight="1">
      <c r="A118" s="751" t="s">
        <v>129</v>
      </c>
      <c r="B118" s="62"/>
      <c r="C118" s="194">
        <f>+'Exhibit F'!D110+'Exhibit G'!D94+'Exhibit I'!E72</f>
        <v>1521.6000000000001</v>
      </c>
      <c r="D118" s="194"/>
      <c r="E118" s="194">
        <f>+'Exhibit F'!F110+'Exhibit G'!F94+'Exhibit I'!G72</f>
        <v>1588.8999999999996</v>
      </c>
      <c r="F118" s="194"/>
      <c r="G118" s="194">
        <f>+'Exhibit F'!H110+'Exhibit G'!H94+'Exhibit I'!I72</f>
        <v>2512.3000000000002</v>
      </c>
      <c r="H118" s="194"/>
      <c r="I118" s="194">
        <f>+'Exhibit F'!J110+'Exhibit G'!J94+'Exhibit I'!K72</f>
        <v>1569.3999999999994</v>
      </c>
      <c r="J118" s="194"/>
      <c r="K118" s="194"/>
      <c r="L118" s="194"/>
      <c r="M118" s="194"/>
      <c r="N118" s="194"/>
      <c r="O118" s="194"/>
      <c r="P118" s="194"/>
      <c r="Q118" s="194"/>
      <c r="R118" s="194"/>
      <c r="S118" s="194"/>
      <c r="T118" s="194"/>
      <c r="U118" s="194"/>
      <c r="V118" s="194"/>
      <c r="W118" s="194"/>
      <c r="X118" s="194"/>
      <c r="Y118" s="194"/>
      <c r="Z118" s="194"/>
      <c r="AA118" s="195"/>
      <c r="AB118" s="264">
        <f t="shared" si="21"/>
        <v>7192.2</v>
      </c>
      <c r="AC118" s="1208"/>
      <c r="AD118" s="194"/>
      <c r="AE118" s="264">
        <f>+'Exhibit F'!AF110+'Exhibit G'!AH94+'Exhibit I'!AG72</f>
        <v>7861.5999999999995</v>
      </c>
      <c r="AF118" s="1539"/>
      <c r="AG118" s="194"/>
      <c r="AH118" s="194">
        <f t="shared" si="22"/>
        <v>-669.4</v>
      </c>
      <c r="AI118" s="62"/>
      <c r="AJ118" s="374">
        <f t="shared" si="23"/>
        <v>-8.5000000000000006E-2</v>
      </c>
    </row>
    <row r="119" spans="1:37" ht="16.5" customHeight="1">
      <c r="A119" s="751" t="s">
        <v>130</v>
      </c>
      <c r="B119" s="62"/>
      <c r="C119" s="194">
        <f>+'Exhibit F'!D111+'Exhibit G'!D95+'Exhibit I'!E73</f>
        <v>443.9</v>
      </c>
      <c r="D119" s="194"/>
      <c r="E119" s="194">
        <f>+'Exhibit F'!F111+'Exhibit G'!F95+'Exhibit I'!G73</f>
        <v>1038.5</v>
      </c>
      <c r="F119" s="194"/>
      <c r="G119" s="194">
        <f>+'Exhibit F'!H111+'Exhibit G'!H95+'Exhibit I'!I73</f>
        <v>563.19999999999993</v>
      </c>
      <c r="H119" s="194"/>
      <c r="I119" s="194">
        <f>+'Exhibit F'!J111+'Exhibit G'!J95+'Exhibit I'!K73</f>
        <v>460.4</v>
      </c>
      <c r="J119" s="194"/>
      <c r="K119" s="194"/>
      <c r="L119" s="194"/>
      <c r="M119" s="194"/>
      <c r="N119" s="194"/>
      <c r="O119" s="194"/>
      <c r="P119" s="194"/>
      <c r="Q119" s="194"/>
      <c r="R119" s="194"/>
      <c r="S119" s="194"/>
      <c r="T119" s="194"/>
      <c r="U119" s="194"/>
      <c r="V119" s="194"/>
      <c r="W119" s="194"/>
      <c r="X119" s="194"/>
      <c r="Y119" s="194"/>
      <c r="Z119" s="194"/>
      <c r="AA119" s="195"/>
      <c r="AB119" s="264">
        <f t="shared" si="21"/>
        <v>2506</v>
      </c>
      <c r="AC119" s="1224"/>
      <c r="AD119" s="860"/>
      <c r="AE119" s="264">
        <f>+'Exhibit F'!AF111+'Exhibit G'!AH95+'Exhibit I'!AG73</f>
        <v>1863.7</v>
      </c>
      <c r="AF119" s="1539"/>
      <c r="AG119" s="194"/>
      <c r="AH119" s="194">
        <f t="shared" si="22"/>
        <v>642.29999999999995</v>
      </c>
      <c r="AI119" s="62"/>
      <c r="AJ119" s="858">
        <f t="shared" si="23"/>
        <v>0.34499999999999997</v>
      </c>
    </row>
    <row r="120" spans="1:37" ht="16.5" customHeight="1">
      <c r="A120" s="751" t="s">
        <v>131</v>
      </c>
      <c r="B120" s="62"/>
      <c r="C120" s="194">
        <f>+'Exhibit F'!D112+'Exhibit G'!D96+'Exhibit I'!E74</f>
        <v>700.30000000000007</v>
      </c>
      <c r="D120" s="194"/>
      <c r="E120" s="194">
        <f>+'Exhibit F'!F112+'Exhibit G'!F96+'Exhibit I'!G74</f>
        <v>753.99999999999989</v>
      </c>
      <c r="F120" s="194"/>
      <c r="G120" s="194">
        <f>+'Exhibit F'!H112+'Exhibit G'!H96+'Exhibit I'!I74</f>
        <v>1555.2</v>
      </c>
      <c r="H120" s="194"/>
      <c r="I120" s="194">
        <f>+'Exhibit F'!J112+'Exhibit G'!J96+'Exhibit I'!K74</f>
        <v>859.80000000000007</v>
      </c>
      <c r="J120" s="194"/>
      <c r="K120" s="194"/>
      <c r="L120" s="194"/>
      <c r="M120" s="194"/>
      <c r="N120" s="194"/>
      <c r="O120" s="194"/>
      <c r="P120" s="194"/>
      <c r="Q120" s="194"/>
      <c r="R120" s="194"/>
      <c r="S120" s="194"/>
      <c r="T120" s="194"/>
      <c r="U120" s="194"/>
      <c r="V120" s="194"/>
      <c r="W120" s="194"/>
      <c r="X120" s="194"/>
      <c r="Y120" s="194"/>
      <c r="Z120" s="194"/>
      <c r="AA120" s="195"/>
      <c r="AB120" s="264">
        <f t="shared" si="21"/>
        <v>3869.3</v>
      </c>
      <c r="AC120" s="1224"/>
      <c r="AD120" s="860"/>
      <c r="AE120" s="264">
        <f>+'Exhibit F'!AF112+'Exhibit G'!AH96+'Exhibit I'!AG74</f>
        <v>3841.1000000000004</v>
      </c>
      <c r="AF120" s="1539"/>
      <c r="AG120" s="194"/>
      <c r="AH120" s="194">
        <f t="shared" si="22"/>
        <v>28.2</v>
      </c>
      <c r="AI120" s="62"/>
      <c r="AJ120" s="374">
        <f t="shared" si="23"/>
        <v>7.0000000000000001E-3</v>
      </c>
    </row>
    <row r="121" spans="1:37" ht="16.5" customHeight="1">
      <c r="A121" s="751" t="s">
        <v>132</v>
      </c>
      <c r="B121" s="62"/>
      <c r="C121" s="194">
        <f>+'Exhibit F'!D113+'Exhibit G'!D97+'Exhibit I'!E75</f>
        <v>119.9</v>
      </c>
      <c r="D121" s="194"/>
      <c r="E121" s="194">
        <f>+'Exhibit F'!F113+'Exhibit G'!F97+'Exhibit I'!G75</f>
        <v>39.299999999999997</v>
      </c>
      <c r="F121" s="194"/>
      <c r="G121" s="194">
        <f>+'Exhibit F'!H113+'Exhibit G'!H97+'Exhibit I'!I75</f>
        <v>204.39999999999998</v>
      </c>
      <c r="H121" s="194"/>
      <c r="I121" s="194">
        <f>+'Exhibit F'!J113+'Exhibit G'!J97+'Exhibit I'!K75</f>
        <v>319.29999999999995</v>
      </c>
      <c r="J121" s="194"/>
      <c r="K121" s="194"/>
      <c r="L121" s="194"/>
      <c r="M121" s="194"/>
      <c r="N121" s="194"/>
      <c r="O121" s="194"/>
      <c r="P121" s="194"/>
      <c r="Q121" s="194"/>
      <c r="R121" s="194"/>
      <c r="S121" s="194"/>
      <c r="T121" s="194"/>
      <c r="U121" s="194"/>
      <c r="V121" s="194"/>
      <c r="W121" s="194"/>
      <c r="X121" s="194"/>
      <c r="Y121" s="194"/>
      <c r="Z121" s="194"/>
      <c r="AA121" s="195"/>
      <c r="AB121" s="264">
        <f t="shared" si="21"/>
        <v>682.9</v>
      </c>
      <c r="AC121" s="1224"/>
      <c r="AD121" s="860"/>
      <c r="AE121" s="264">
        <f>+'Exhibit F'!AF113+'Exhibit G'!AH97+'Exhibit I'!AG75</f>
        <v>514.70000000000005</v>
      </c>
      <c r="AF121" s="1539"/>
      <c r="AG121" s="194"/>
      <c r="AH121" s="194">
        <f t="shared" si="22"/>
        <v>168.2</v>
      </c>
      <c r="AI121" s="62"/>
      <c r="AJ121" s="374">
        <f t="shared" si="23"/>
        <v>0.32700000000000001</v>
      </c>
    </row>
    <row r="122" spans="1:37" ht="16.5" customHeight="1">
      <c r="A122" s="751" t="s">
        <v>133</v>
      </c>
      <c r="B122" s="62"/>
      <c r="C122" s="194">
        <f>+'Exhibit F'!D114+'Exhibit G'!D98+'Exhibit I'!E76</f>
        <v>150.80000000000001</v>
      </c>
      <c r="D122" s="194"/>
      <c r="E122" s="194">
        <f>+'Exhibit F'!F114+'Exhibit G'!F98+'Exhibit I'!G76</f>
        <v>746.8</v>
      </c>
      <c r="F122" s="194"/>
      <c r="G122" s="194">
        <f>+'Exhibit F'!H114+'Exhibit G'!H98+'Exhibit I'!I76</f>
        <v>631.6</v>
      </c>
      <c r="H122" s="194"/>
      <c r="I122" s="194">
        <f>+'Exhibit F'!J114+'Exhibit G'!J98+'Exhibit I'!K76</f>
        <v>916.80000000000018</v>
      </c>
      <c r="J122" s="194"/>
      <c r="K122" s="194"/>
      <c r="L122" s="194"/>
      <c r="M122" s="194"/>
      <c r="N122" s="194"/>
      <c r="O122" s="194"/>
      <c r="P122" s="194"/>
      <c r="Q122" s="194"/>
      <c r="R122" s="194"/>
      <c r="S122" s="194"/>
      <c r="T122" s="194"/>
      <c r="U122" s="194"/>
      <c r="V122" s="194"/>
      <c r="W122" s="194"/>
      <c r="X122" s="194"/>
      <c r="Y122" s="194"/>
      <c r="Z122" s="194"/>
      <c r="AA122" s="195"/>
      <c r="AB122" s="194">
        <f>ROUND(SUM(C122:Y122),1)</f>
        <v>2446</v>
      </c>
      <c r="AC122" s="1224"/>
      <c r="AD122" s="860"/>
      <c r="AE122" s="264">
        <f>+'Exhibit F'!AF114+'Exhibit G'!AH98+'Exhibit I'!AG76</f>
        <v>2086.2000000000003</v>
      </c>
      <c r="AF122" s="1539"/>
      <c r="AG122" s="194"/>
      <c r="AH122" s="194">
        <f>ROUND(SUM(AB122-AE122),1)</f>
        <v>359.8</v>
      </c>
      <c r="AI122" s="62"/>
      <c r="AJ122" s="374">
        <f t="shared" si="23"/>
        <v>0.17199999999999999</v>
      </c>
    </row>
    <row r="123" spans="1:37" ht="16.5" customHeight="1">
      <c r="A123" s="62" t="s">
        <v>134</v>
      </c>
      <c r="B123" s="62"/>
      <c r="C123" s="1009">
        <f>ROUND(SUM(C113:C122),1)</f>
        <v>15933.6</v>
      </c>
      <c r="D123" s="197"/>
      <c r="E123" s="1009">
        <f>ROUND(SUM(E113:E122),1)</f>
        <v>19399.900000000001</v>
      </c>
      <c r="F123" s="197"/>
      <c r="G123" s="1009">
        <f>ROUND(SUM(G113:G122),1)</f>
        <v>17015</v>
      </c>
      <c r="H123" s="197"/>
      <c r="I123" s="1009">
        <f>ROUND(SUM(I113:I122),1)</f>
        <v>15030.9</v>
      </c>
      <c r="J123" s="197"/>
      <c r="K123" s="1009">
        <f>ROUND(SUM(K113:K122),1)</f>
        <v>0</v>
      </c>
      <c r="L123" s="197"/>
      <c r="M123" s="1009">
        <f>ROUND(SUM(M113:M122),1)</f>
        <v>0</v>
      </c>
      <c r="N123" s="197"/>
      <c r="O123" s="1009">
        <f>ROUND(SUM(O113:O122),1)</f>
        <v>0</v>
      </c>
      <c r="P123" s="197"/>
      <c r="Q123" s="1009">
        <f>ROUND(SUM(Q113:Q122),1)</f>
        <v>0</v>
      </c>
      <c r="R123" s="197"/>
      <c r="S123" s="1009">
        <f>ROUND(SUM(S113:S122),1)</f>
        <v>0</v>
      </c>
      <c r="T123" s="197"/>
      <c r="U123" s="1009">
        <f>ROUND(SUM(U113:U122),1)</f>
        <v>0</v>
      </c>
      <c r="V123" s="197"/>
      <c r="W123" s="1009">
        <f>ROUND(SUM(W113:W122),1)</f>
        <v>0</v>
      </c>
      <c r="X123" s="197"/>
      <c r="Y123" s="1009">
        <f>ROUND(SUM(Y113:Y122),1)</f>
        <v>0</v>
      </c>
      <c r="Z123" s="197"/>
      <c r="AA123" s="198"/>
      <c r="AB123" s="1009">
        <f>ROUND(SUM(AB113:AB122),1)</f>
        <v>67379.399999999994</v>
      </c>
      <c r="AC123" s="1225"/>
      <c r="AD123" s="863"/>
      <c r="AE123" s="1009">
        <f>ROUND(SUM(AE113:AE122),1)</f>
        <v>63743.3</v>
      </c>
      <c r="AF123" s="1540"/>
      <c r="AG123" s="197"/>
      <c r="AH123" s="1009">
        <f>ROUND(SUM(AH113:AH122),1)</f>
        <v>3636.1</v>
      </c>
      <c r="AI123" s="187"/>
      <c r="AJ123" s="1010">
        <f t="shared" si="23"/>
        <v>5.7000000000000002E-2</v>
      </c>
      <c r="AK123" s="129"/>
    </row>
    <row r="124" spans="1:37" ht="16.5" customHeight="1">
      <c r="A124" s="62" t="s">
        <v>135</v>
      </c>
      <c r="B124" s="62"/>
      <c r="C124" s="194"/>
      <c r="D124" s="194"/>
      <c r="E124" s="194"/>
      <c r="F124" s="194"/>
      <c r="G124" s="194"/>
      <c r="H124" s="194"/>
      <c r="I124" s="194"/>
      <c r="J124" s="194"/>
      <c r="K124" s="194"/>
      <c r="L124" s="194"/>
      <c r="M124" s="194"/>
      <c r="N124" s="194"/>
      <c r="O124" s="194"/>
      <c r="P124" s="194"/>
      <c r="Q124" s="194"/>
      <c r="R124" s="194"/>
      <c r="S124" s="194"/>
      <c r="T124" s="194"/>
      <c r="U124" s="194"/>
      <c r="V124" s="194"/>
      <c r="W124" s="194"/>
      <c r="X124" s="194"/>
      <c r="Y124" s="194"/>
      <c r="Z124" s="194"/>
      <c r="AA124" s="195"/>
      <c r="AB124" s="194"/>
      <c r="AC124" s="194"/>
      <c r="AD124" s="860"/>
      <c r="AE124" s="264"/>
      <c r="AF124" s="1539"/>
      <c r="AG124" s="194"/>
      <c r="AH124" s="264"/>
      <c r="AI124" s="62"/>
      <c r="AJ124" s="268"/>
    </row>
    <row r="125" spans="1:37" ht="16.5" customHeight="1">
      <c r="A125" s="62" t="s">
        <v>429</v>
      </c>
      <c r="B125" s="62"/>
      <c r="C125" s="194">
        <f>+'Exhibit F'!D117+'Exhibit G'!D101+'Exhibit I'!E79</f>
        <v>1835.5</v>
      </c>
      <c r="D125" s="194"/>
      <c r="E125" s="194">
        <f>+'Exhibit F'!F117+'Exhibit G'!F101+'Exhibit I'!G79</f>
        <v>1485.4</v>
      </c>
      <c r="F125" s="194"/>
      <c r="G125" s="194">
        <f>+'Exhibit F'!H117+'Exhibit G'!H101+'Exhibit I'!I79</f>
        <v>1449.3000000000002</v>
      </c>
      <c r="H125" s="194"/>
      <c r="I125" s="194">
        <f>+'Exhibit F'!J117+'Exhibit G'!J101+'Exhibit I'!K79</f>
        <v>1992.8000000000006</v>
      </c>
      <c r="J125" s="194"/>
      <c r="K125" s="194"/>
      <c r="L125" s="194"/>
      <c r="M125" s="194"/>
      <c r="N125" s="194"/>
      <c r="O125" s="194"/>
      <c r="P125" s="194"/>
      <c r="Q125" s="194"/>
      <c r="R125" s="194"/>
      <c r="S125" s="194"/>
      <c r="T125" s="194"/>
      <c r="U125" s="194"/>
      <c r="V125" s="194"/>
      <c r="W125" s="194"/>
      <c r="X125" s="194"/>
      <c r="Y125" s="194"/>
      <c r="Z125" s="194"/>
      <c r="AA125" s="195"/>
      <c r="AB125" s="194">
        <f>ROUND(SUM(C125:Y125),1)</f>
        <v>6763</v>
      </c>
      <c r="AC125" s="194"/>
      <c r="AD125" s="860"/>
      <c r="AE125" s="264">
        <f>+'Exhibit F'!AF117+'Exhibit G'!AH101+'Exhibit I'!AG79</f>
        <v>6737</v>
      </c>
      <c r="AF125" s="1539"/>
      <c r="AG125" s="194"/>
      <c r="AH125" s="194">
        <f>ROUND(SUM(AB125-AE125),1)</f>
        <v>26</v>
      </c>
      <c r="AI125" s="62"/>
      <c r="AJ125" s="374">
        <f>ROUND(IF(AE125=0,0,AH125/ABS(AE125)),3)</f>
        <v>4.0000000000000001E-3</v>
      </c>
    </row>
    <row r="126" spans="1:37" ht="16.5" customHeight="1">
      <c r="A126" s="62" t="s">
        <v>430</v>
      </c>
      <c r="B126" s="62"/>
      <c r="C126" s="194">
        <f>+'Exhibit F'!D118+'Exhibit G'!D102+'Exhibit H'!B59+'Exhibit I'!E80</f>
        <v>612.1</v>
      </c>
      <c r="D126" s="194"/>
      <c r="E126" s="194">
        <f>+'Exhibit F'!F118+'Exhibit G'!F102+'Exhibit H'!D59+'Exhibit I'!G80</f>
        <v>542.99999999999989</v>
      </c>
      <c r="F126" s="194"/>
      <c r="G126" s="194">
        <f>+'Exhibit F'!H118+'Exhibit G'!H102+'Exhibit H'!F59+'Exhibit I'!I80</f>
        <v>978</v>
      </c>
      <c r="H126" s="194"/>
      <c r="I126" s="194">
        <f>+'Exhibit F'!J118+'Exhibit G'!J102+'Exhibit H'!H59+'Exhibit I'!K80</f>
        <v>826.09999999999991</v>
      </c>
      <c r="J126" s="194"/>
      <c r="K126" s="194"/>
      <c r="L126" s="194"/>
      <c r="M126" s="194"/>
      <c r="N126" s="194"/>
      <c r="O126" s="194"/>
      <c r="P126" s="194"/>
      <c r="Q126" s="194"/>
      <c r="R126" s="194"/>
      <c r="S126" s="194"/>
      <c r="T126" s="194"/>
      <c r="U126" s="194"/>
      <c r="V126" s="194"/>
      <c r="W126" s="194"/>
      <c r="X126" s="194"/>
      <c r="Y126" s="194"/>
      <c r="Z126" s="194"/>
      <c r="AA126" s="195"/>
      <c r="AB126" s="194">
        <f>ROUND(SUM(C126:Y126),1)</f>
        <v>2959.2</v>
      </c>
      <c r="AC126" s="194"/>
      <c r="AD126" s="860"/>
      <c r="AE126" s="264">
        <f>+'Exhibit F'!AF118+'Exhibit G'!AH102+'Exhibit H'!AD59+'Exhibit I'!AG80</f>
        <v>2710.7999999999997</v>
      </c>
      <c r="AF126" s="1539"/>
      <c r="AG126" s="194"/>
      <c r="AH126" s="194">
        <f>ROUND(SUM(AB126-AE126),1)</f>
        <v>248.4</v>
      </c>
      <c r="AI126" s="62"/>
      <c r="AJ126" s="374">
        <f>ROUND(IF(AE126=0,0,AH126/ABS(AE126)),3)</f>
        <v>9.1999999999999998E-2</v>
      </c>
    </row>
    <row r="127" spans="1:37" ht="16.5" customHeight="1">
      <c r="A127" s="62" t="s">
        <v>138</v>
      </c>
      <c r="B127" s="62"/>
      <c r="C127" s="194">
        <f>+'Exhibit F'!D119+'Exhibit G'!D103+'Exhibit I'!E81</f>
        <v>817.8</v>
      </c>
      <c r="D127" s="194"/>
      <c r="E127" s="194">
        <f>+'Exhibit F'!F119+'Exhibit G'!F103+'Exhibit I'!G81</f>
        <v>737.50000000000011</v>
      </c>
      <c r="F127" s="194"/>
      <c r="G127" s="194">
        <f>+'Exhibit F'!H119+'Exhibit G'!H103+'Exhibit I'!I81</f>
        <v>1207.9000000000001</v>
      </c>
      <c r="H127" s="194"/>
      <c r="I127" s="194">
        <f>+'Exhibit F'!J119+'Exhibit G'!J103+'Exhibit I'!K81</f>
        <v>959.2</v>
      </c>
      <c r="J127" s="194"/>
      <c r="K127" s="194"/>
      <c r="L127" s="194"/>
      <c r="M127" s="194"/>
      <c r="N127" s="194"/>
      <c r="O127" s="194"/>
      <c r="P127" s="194"/>
      <c r="Q127" s="194"/>
      <c r="R127" s="194"/>
      <c r="S127" s="194"/>
      <c r="T127" s="194"/>
      <c r="U127" s="194"/>
      <c r="V127" s="194"/>
      <c r="W127" s="194"/>
      <c r="X127" s="194"/>
      <c r="Y127" s="194"/>
      <c r="Z127" s="194"/>
      <c r="AA127" s="195"/>
      <c r="AB127" s="194">
        <f>ROUND(SUM(C127:Y127),1)</f>
        <v>3722.4</v>
      </c>
      <c r="AC127" s="194"/>
      <c r="AD127" s="860"/>
      <c r="AE127" s="264">
        <f>+'Exhibit F'!AF119+'Exhibit G'!AH103+'Exhibit I'!AG81</f>
        <v>3284.5</v>
      </c>
      <c r="AF127" s="1539"/>
      <c r="AG127" s="194"/>
      <c r="AH127" s="194">
        <f>ROUND(SUM(AB127-AE127),1)</f>
        <v>437.9</v>
      </c>
      <c r="AI127" s="62"/>
      <c r="AJ127" s="374">
        <f>ROUND(IF(AE127=0,0,AH127/ABS(AE127)),3)</f>
        <v>0.13300000000000001</v>
      </c>
    </row>
    <row r="128" spans="1:37" ht="16.5" customHeight="1">
      <c r="A128" s="62" t="s">
        <v>431</v>
      </c>
      <c r="B128" s="62"/>
      <c r="C128" s="194"/>
      <c r="D128" s="194"/>
      <c r="E128" s="194"/>
      <c r="F128" s="194"/>
      <c r="G128" s="194"/>
      <c r="H128" s="194"/>
      <c r="I128" s="194"/>
      <c r="J128" s="194"/>
      <c r="K128" s="194"/>
      <c r="L128" s="194"/>
      <c r="M128" s="194"/>
      <c r="N128" s="194"/>
      <c r="O128" s="194"/>
      <c r="P128" s="194"/>
      <c r="Q128" s="194"/>
      <c r="R128" s="194"/>
      <c r="S128" s="194"/>
      <c r="T128" s="194"/>
      <c r="U128" s="194"/>
      <c r="V128" s="194"/>
      <c r="W128" s="194"/>
      <c r="X128" s="194"/>
      <c r="Y128" s="194"/>
      <c r="Z128" s="194"/>
      <c r="AA128" s="195"/>
      <c r="AB128" s="194"/>
      <c r="AC128" s="194"/>
      <c r="AD128" s="860"/>
      <c r="AE128" s="194"/>
      <c r="AF128" s="1539"/>
      <c r="AG128" s="194"/>
      <c r="AH128" s="194"/>
      <c r="AI128" s="62"/>
      <c r="AJ128" s="283"/>
    </row>
    <row r="129" spans="1:37" ht="16.5" customHeight="1">
      <c r="A129" s="62" t="s">
        <v>1424</v>
      </c>
      <c r="B129" s="62"/>
      <c r="C129" s="194">
        <f>+'Exhibit H'!B61</f>
        <v>1.5</v>
      </c>
      <c r="D129" s="194"/>
      <c r="E129" s="194">
        <f>+'Exhibit H'!D61</f>
        <v>6</v>
      </c>
      <c r="F129" s="194"/>
      <c r="G129" s="194">
        <f>+'Exhibit H'!F61</f>
        <v>7.5</v>
      </c>
      <c r="H129" s="194"/>
      <c r="I129" s="194">
        <f>+'Exhibit H'!H61</f>
        <v>0</v>
      </c>
      <c r="J129" s="194"/>
      <c r="K129" s="194"/>
      <c r="L129" s="194"/>
      <c r="M129" s="194"/>
      <c r="N129" s="194"/>
      <c r="O129" s="194"/>
      <c r="P129" s="194"/>
      <c r="Q129" s="194"/>
      <c r="R129" s="194"/>
      <c r="S129" s="194"/>
      <c r="T129" s="194"/>
      <c r="U129" s="194"/>
      <c r="V129" s="194"/>
      <c r="W129" s="194"/>
      <c r="X129" s="194"/>
      <c r="Y129" s="194"/>
      <c r="Z129" s="194"/>
      <c r="AA129" s="195"/>
      <c r="AB129" s="194">
        <f>ROUND(SUM(C129:Y129),1)</f>
        <v>15</v>
      </c>
      <c r="AC129" s="194"/>
      <c r="AD129" s="860"/>
      <c r="AE129" s="264">
        <f>+'Exhibit H'!AD61+'Exhibit G'!AH105</f>
        <v>27.7</v>
      </c>
      <c r="AF129" s="1539"/>
      <c r="AG129" s="194"/>
      <c r="AH129" s="194">
        <f>ROUND(SUM(AB129-AE129),1)</f>
        <v>-12.7</v>
      </c>
      <c r="AI129" s="62"/>
      <c r="AJ129" s="374">
        <f>ROUND(IF(AE129=0,0,AH129/ABS(AE129)),3)</f>
        <v>-0.45800000000000002</v>
      </c>
    </row>
    <row r="130" spans="1:37" ht="16.5" customHeight="1">
      <c r="A130" s="199" t="s">
        <v>432</v>
      </c>
      <c r="B130" s="62"/>
      <c r="C130" s="196">
        <f>+'Exhibit G'!D106+'Exhibit I'!E82</f>
        <v>406</v>
      </c>
      <c r="D130" s="194"/>
      <c r="E130" s="196">
        <f>+'Exhibit G'!F106+'Exhibit I'!G82</f>
        <v>642.80000000000007</v>
      </c>
      <c r="F130" s="196"/>
      <c r="G130" s="196">
        <f>+'Exhibit G'!H106+'Exhibit I'!I82</f>
        <v>1242.9999999999998</v>
      </c>
      <c r="H130" s="194"/>
      <c r="I130" s="196">
        <f>+'Exhibit G'!J106+'Exhibit I'!K82</f>
        <v>930.80000000000007</v>
      </c>
      <c r="J130" s="194"/>
      <c r="K130" s="196"/>
      <c r="L130" s="194"/>
      <c r="M130" s="196"/>
      <c r="N130" s="194"/>
      <c r="O130" s="196"/>
      <c r="P130" s="194"/>
      <c r="Q130" s="196"/>
      <c r="R130" s="194"/>
      <c r="S130" s="196"/>
      <c r="T130" s="194"/>
      <c r="U130" s="196"/>
      <c r="V130" s="194"/>
      <c r="W130" s="196"/>
      <c r="X130" s="194"/>
      <c r="Y130" s="196"/>
      <c r="Z130" s="194"/>
      <c r="AA130" s="195"/>
      <c r="AB130" s="196">
        <f>ROUND(SUM(C130:Y130),1)</f>
        <v>3222.6</v>
      </c>
      <c r="AC130" s="194"/>
      <c r="AD130" s="860"/>
      <c r="AE130" s="382">
        <f>+'Exhibit G'!AH106+'Exhibit I'!AG82</f>
        <v>3257.1</v>
      </c>
      <c r="AF130" s="1539"/>
      <c r="AG130" s="194"/>
      <c r="AH130" s="196">
        <f>ROUND(SUM(AB130-AE130),1)</f>
        <v>-34.5</v>
      </c>
      <c r="AI130" s="62"/>
      <c r="AJ130" s="862">
        <f>ROUND(IF(AE130=0,0,AH130/ABS(AE130)),3)</f>
        <v>-1.0999999999999999E-2</v>
      </c>
    </row>
    <row r="131" spans="1:37" ht="16.5" customHeight="1">
      <c r="A131" s="62"/>
      <c r="B131" s="62"/>
      <c r="C131" s="194"/>
      <c r="D131" s="194"/>
      <c r="E131" s="194"/>
      <c r="F131" s="194"/>
      <c r="G131" s="194"/>
      <c r="H131" s="194"/>
      <c r="I131" s="194"/>
      <c r="J131" s="194"/>
      <c r="K131" s="194"/>
      <c r="L131" s="194"/>
      <c r="M131" s="194"/>
      <c r="N131" s="194"/>
      <c r="O131" s="194"/>
      <c r="P131" s="194"/>
      <c r="Q131" s="194"/>
      <c r="R131" s="194"/>
      <c r="S131" s="194"/>
      <c r="T131" s="194"/>
      <c r="U131" s="194"/>
      <c r="V131" s="194"/>
      <c r="W131" s="194"/>
      <c r="X131" s="194"/>
      <c r="Y131" s="194"/>
      <c r="Z131" s="194"/>
      <c r="AA131" s="195"/>
      <c r="AB131" s="194"/>
      <c r="AC131" s="194"/>
      <c r="AD131" s="860"/>
      <c r="AE131" s="194"/>
      <c r="AF131" s="1539"/>
      <c r="AG131" s="194"/>
      <c r="AH131" s="194"/>
      <c r="AI131" s="62"/>
      <c r="AJ131" s="283"/>
    </row>
    <row r="132" spans="1:37" ht="16.5" customHeight="1">
      <c r="A132" s="40" t="s">
        <v>162</v>
      </c>
      <c r="B132" s="62"/>
      <c r="C132" s="753">
        <f>ROUND(SUM(C123:C130),1)</f>
        <v>19606.5</v>
      </c>
      <c r="D132" s="197"/>
      <c r="E132" s="753">
        <f>ROUND(SUM(E123:E130),1)</f>
        <v>22814.6</v>
      </c>
      <c r="F132" s="197"/>
      <c r="G132" s="753">
        <f>ROUND(SUM(G123:G130),1)</f>
        <v>21900.7</v>
      </c>
      <c r="H132" s="197"/>
      <c r="I132" s="753">
        <f>ROUND(SUM(I123:I130),1)</f>
        <v>19739.8</v>
      </c>
      <c r="J132" s="197"/>
      <c r="K132" s="753">
        <f>ROUND(SUM(K123:K130),1)</f>
        <v>0</v>
      </c>
      <c r="L132" s="197"/>
      <c r="M132" s="753">
        <f>ROUND(SUM(M123:M130),1)</f>
        <v>0</v>
      </c>
      <c r="N132" s="197"/>
      <c r="O132" s="753">
        <f>ROUND(SUM(O123:O130),1)</f>
        <v>0</v>
      </c>
      <c r="P132" s="197"/>
      <c r="Q132" s="753">
        <f>ROUND(SUM(Q123:Q130),1)</f>
        <v>0</v>
      </c>
      <c r="R132" s="197"/>
      <c r="S132" s="753">
        <f>ROUND(SUM(S123:S130),1)</f>
        <v>0</v>
      </c>
      <c r="T132" s="197"/>
      <c r="U132" s="753">
        <f>ROUND(SUM(U123:U130),1)</f>
        <v>0</v>
      </c>
      <c r="V132" s="197"/>
      <c r="W132" s="753">
        <f>ROUND(SUM(W123:W130),1)</f>
        <v>0</v>
      </c>
      <c r="X132" s="197"/>
      <c r="Y132" s="753">
        <f>ROUND(SUM(Y123:Y130),1)</f>
        <v>0</v>
      </c>
      <c r="Z132" s="197"/>
      <c r="AA132" s="198"/>
      <c r="AB132" s="753">
        <f>ROUND(SUM(AB123:AB130),1)</f>
        <v>84061.6</v>
      </c>
      <c r="AC132" s="197"/>
      <c r="AD132" s="863"/>
      <c r="AE132" s="753">
        <f>ROUND(SUM(AE123:AE130),1)</f>
        <v>79760.399999999994</v>
      </c>
      <c r="AF132" s="1540"/>
      <c r="AG132" s="197"/>
      <c r="AH132" s="753">
        <f>ROUND(SUM(AB132-AE132),1)</f>
        <v>4301.2</v>
      </c>
      <c r="AI132" s="187"/>
      <c r="AJ132" s="859">
        <f>ROUND(IF(AE132=0,0,AH132/ABS(AE132)),3)</f>
        <v>5.3999999999999999E-2</v>
      </c>
      <c r="AK132" s="129"/>
    </row>
    <row r="133" spans="1:37" ht="16.5" customHeight="1">
      <c r="A133" s="40"/>
      <c r="B133" s="62"/>
      <c r="C133" s="194"/>
      <c r="D133" s="194"/>
      <c r="E133" s="194"/>
      <c r="F133" s="194"/>
      <c r="G133" s="194"/>
      <c r="H133" s="194"/>
      <c r="I133" s="194"/>
      <c r="J133" s="194"/>
      <c r="K133" s="194"/>
      <c r="L133" s="194"/>
      <c r="M133" s="194"/>
      <c r="N133" s="194"/>
      <c r="O133" s="194"/>
      <c r="P133" s="194"/>
      <c r="Q133" s="194"/>
      <c r="R133" s="194"/>
      <c r="S133" s="194"/>
      <c r="T133" s="194"/>
      <c r="U133" s="194"/>
      <c r="V133" s="194"/>
      <c r="W133" s="194"/>
      <c r="X133" s="194"/>
      <c r="Y133" s="194"/>
      <c r="Z133" s="194"/>
      <c r="AA133" s="195"/>
      <c r="AB133" s="194"/>
      <c r="AC133" s="194"/>
      <c r="AD133" s="860"/>
      <c r="AE133" s="194"/>
      <c r="AF133" s="1539"/>
      <c r="AG133" s="194"/>
      <c r="AH133" s="264"/>
      <c r="AI133" s="62"/>
      <c r="AJ133" s="268"/>
    </row>
    <row r="134" spans="1:37" ht="16.5" customHeight="1">
      <c r="A134" s="40" t="s">
        <v>143</v>
      </c>
      <c r="B134" s="62"/>
      <c r="C134" s="194"/>
      <c r="D134" s="194"/>
      <c r="E134" s="194"/>
      <c r="F134" s="194"/>
      <c r="G134" s="194"/>
      <c r="H134" s="194"/>
      <c r="I134" s="194"/>
      <c r="J134" s="194"/>
      <c r="K134" s="194"/>
      <c r="L134" s="194"/>
      <c r="M134" s="194"/>
      <c r="N134" s="194"/>
      <c r="O134" s="194"/>
      <c r="P134" s="194"/>
      <c r="Q134" s="194"/>
      <c r="R134" s="194"/>
      <c r="S134" s="194"/>
      <c r="T134" s="194"/>
      <c r="U134" s="194"/>
      <c r="V134" s="194"/>
      <c r="W134" s="194"/>
      <c r="X134" s="194"/>
      <c r="Y134" s="194"/>
      <c r="Z134" s="194"/>
      <c r="AA134" s="195"/>
      <c r="AB134" s="194"/>
      <c r="AC134" s="194"/>
      <c r="AD134" s="860"/>
      <c r="AE134" s="194"/>
      <c r="AF134" s="1539"/>
      <c r="AG134" s="194"/>
      <c r="AH134" s="264"/>
      <c r="AI134" s="62"/>
      <c r="AJ134" s="268"/>
    </row>
    <row r="135" spans="1:37" ht="16.5" customHeight="1">
      <c r="A135" s="40" t="s">
        <v>144</v>
      </c>
      <c r="B135" s="62"/>
      <c r="C135" s="753">
        <f>ROUND(SUM(C109-C132),1)</f>
        <v>6211</v>
      </c>
      <c r="D135" s="197"/>
      <c r="E135" s="753">
        <f>ROUND(SUM(E109-E132),1)</f>
        <v>-5624.5</v>
      </c>
      <c r="F135" s="197"/>
      <c r="G135" s="753">
        <f>ROUND(SUM(G109-G132),1)</f>
        <v>13246.7</v>
      </c>
      <c r="H135" s="197"/>
      <c r="I135" s="753">
        <f>ROUND(SUM(I109-I132),1)</f>
        <v>485.8</v>
      </c>
      <c r="J135" s="197"/>
      <c r="K135" s="753">
        <f>ROUND(SUM(K109-K132),1)</f>
        <v>0</v>
      </c>
      <c r="L135" s="197"/>
      <c r="M135" s="753">
        <f>ROUND(SUM(M109-M132),1)</f>
        <v>0</v>
      </c>
      <c r="N135" s="197"/>
      <c r="O135" s="753">
        <f>ROUND(SUM(O109-O132),1)</f>
        <v>0</v>
      </c>
      <c r="P135" s="197"/>
      <c r="Q135" s="753">
        <f>ROUND(SUM(Q109-Q132),1)</f>
        <v>0</v>
      </c>
      <c r="R135" s="197"/>
      <c r="S135" s="753">
        <f>ROUND(SUM(S109-S132),1)</f>
        <v>0</v>
      </c>
      <c r="T135" s="197"/>
      <c r="U135" s="753">
        <f>ROUND(SUM(U109-U132),1)</f>
        <v>0</v>
      </c>
      <c r="V135" s="197"/>
      <c r="W135" s="753">
        <f>ROUND(SUM(W109-W132),1)</f>
        <v>0</v>
      </c>
      <c r="X135" s="197"/>
      <c r="Y135" s="753">
        <f>ROUND(SUM(Y109-Y132),1)</f>
        <v>0</v>
      </c>
      <c r="Z135" s="197"/>
      <c r="AA135" s="198"/>
      <c r="AB135" s="753">
        <f>ROUND(SUM(AB109-AB132),1)</f>
        <v>14319</v>
      </c>
      <c r="AC135" s="197"/>
      <c r="AD135" s="863"/>
      <c r="AE135" s="753">
        <f>ROUND(SUM(AE109-AE132),1)</f>
        <v>5354.4</v>
      </c>
      <c r="AF135" s="1540"/>
      <c r="AG135" s="197"/>
      <c r="AH135" s="868">
        <f>ROUND(SUM(AB135-AE135),1)</f>
        <v>8964.6</v>
      </c>
      <c r="AI135" s="187"/>
      <c r="AJ135" s="864">
        <f>ROUND(IF(AE135=0,0,AH135/ABS(AE135)),3)</f>
        <v>1.6739999999999999</v>
      </c>
      <c r="AK135" s="129"/>
    </row>
    <row r="136" spans="1:37" ht="16.5" customHeight="1">
      <c r="A136" s="268"/>
      <c r="B136" s="62"/>
      <c r="C136" s="11"/>
      <c r="D136" s="194"/>
      <c r="E136" s="11"/>
      <c r="F136" s="194"/>
      <c r="G136" s="11"/>
      <c r="H136" s="194"/>
      <c r="I136" s="11"/>
      <c r="J136" s="194"/>
      <c r="K136" s="11"/>
      <c r="L136" s="194"/>
      <c r="M136" s="11"/>
      <c r="N136" s="194"/>
      <c r="O136" s="11"/>
      <c r="P136" s="194"/>
      <c r="Q136" s="11"/>
      <c r="R136" s="194"/>
      <c r="S136" s="11"/>
      <c r="T136" s="194"/>
      <c r="U136" s="11"/>
      <c r="V136" s="194"/>
      <c r="W136" s="11"/>
      <c r="X136" s="194"/>
      <c r="Y136" s="11"/>
      <c r="Z136" s="105"/>
      <c r="AA136" s="195"/>
      <c r="AB136" s="11"/>
      <c r="AC136" s="194"/>
      <c r="AD136" s="860"/>
      <c r="AE136" s="11"/>
      <c r="AF136" s="1539"/>
      <c r="AG136" s="194"/>
      <c r="AH136" s="264"/>
      <c r="AI136" s="62"/>
      <c r="AJ136" s="268"/>
    </row>
    <row r="137" spans="1:37" ht="16.5" customHeight="1">
      <c r="A137" s="40" t="s">
        <v>145</v>
      </c>
      <c r="B137" s="62"/>
      <c r="C137" s="194"/>
      <c r="D137" s="194"/>
      <c r="E137" s="194"/>
      <c r="F137" s="200"/>
      <c r="G137" s="194"/>
      <c r="H137" s="200"/>
      <c r="I137" s="200"/>
      <c r="J137" s="200"/>
      <c r="K137" s="200"/>
      <c r="L137" s="200"/>
      <c r="M137" s="200"/>
      <c r="N137" s="200"/>
      <c r="O137" s="200"/>
      <c r="P137" s="200"/>
      <c r="Q137" s="200"/>
      <c r="R137" s="200"/>
      <c r="S137" s="200"/>
      <c r="T137" s="200"/>
      <c r="U137" s="200"/>
      <c r="V137" s="194"/>
      <c r="W137" s="200"/>
      <c r="X137" s="194"/>
      <c r="Y137" s="200"/>
      <c r="Z137" s="1208"/>
      <c r="AA137" s="195"/>
      <c r="AB137" s="194"/>
      <c r="AC137" s="1208"/>
      <c r="AD137" s="194"/>
      <c r="AE137" s="194"/>
      <c r="AF137" s="1539"/>
      <c r="AG137" s="194"/>
      <c r="AH137" s="264"/>
      <c r="AI137" s="62"/>
      <c r="AJ137" s="268"/>
    </row>
    <row r="138" spans="1:37" ht="16.5" customHeight="1">
      <c r="A138" s="62" t="s">
        <v>146</v>
      </c>
      <c r="B138" s="62"/>
      <c r="C138" s="681">
        <v>0</v>
      </c>
      <c r="D138" s="681"/>
      <c r="E138" s="681">
        <v>0</v>
      </c>
      <c r="F138" s="681"/>
      <c r="G138" s="681">
        <v>0</v>
      </c>
      <c r="H138" s="200"/>
      <c r="I138" s="681">
        <v>0</v>
      </c>
      <c r="J138" s="200"/>
      <c r="K138" s="681"/>
      <c r="L138" s="200"/>
      <c r="M138" s="681"/>
      <c r="N138" s="200"/>
      <c r="O138" s="681"/>
      <c r="P138" s="200"/>
      <c r="Q138" s="681"/>
      <c r="R138" s="681"/>
      <c r="S138" s="681"/>
      <c r="T138" s="681"/>
      <c r="U138" s="681"/>
      <c r="V138" s="681"/>
      <c r="W138" s="681"/>
      <c r="X138" s="681"/>
      <c r="Y138" s="681"/>
      <c r="Z138" s="194"/>
      <c r="AA138" s="195"/>
      <c r="AB138" s="194">
        <f>ROUND(SUM(C138:Y138),1)</f>
        <v>0</v>
      </c>
      <c r="AC138" s="194"/>
      <c r="AD138" s="860"/>
      <c r="AE138" s="194">
        <f>+'Exhibit A'!AD48</f>
        <v>0</v>
      </c>
      <c r="AF138" s="1539"/>
      <c r="AG138" s="194"/>
      <c r="AH138" s="194">
        <f>ROUND(SUM(AB138-AE138),1)</f>
        <v>0</v>
      </c>
      <c r="AI138" s="189"/>
      <c r="AJ138" s="266">
        <f>ROUND(IF(AE138=0,0,AH138/ABS(AE138)),3)</f>
        <v>0</v>
      </c>
    </row>
    <row r="139" spans="1:37" ht="16.5" customHeight="1">
      <c r="A139" s="62" t="s">
        <v>147</v>
      </c>
      <c r="B139" s="62"/>
      <c r="C139" s="367">
        <v>7291.5</v>
      </c>
      <c r="D139" s="1955"/>
      <c r="E139" s="681">
        <v>3975.4</v>
      </c>
      <c r="F139" s="681"/>
      <c r="G139" s="681">
        <v>6608.7</v>
      </c>
      <c r="H139" s="194"/>
      <c r="I139" s="681">
        <f>'Exhibit A'!$V$49</f>
        <v>6108.6</v>
      </c>
      <c r="J139" s="194"/>
      <c r="K139" s="681"/>
      <c r="L139" s="194"/>
      <c r="M139" s="681"/>
      <c r="N139" s="194"/>
      <c r="O139" s="681"/>
      <c r="P139" s="194"/>
      <c r="Q139" s="681"/>
      <c r="R139" s="681"/>
      <c r="S139" s="681"/>
      <c r="T139" s="681"/>
      <c r="U139" s="681"/>
      <c r="V139" s="681"/>
      <c r="W139" s="681"/>
      <c r="X139" s="681"/>
      <c r="Y139" s="681"/>
      <c r="Z139" s="194"/>
      <c r="AA139" s="195"/>
      <c r="AB139" s="194">
        <f>ROUND(SUM(C139:Y139),1)</f>
        <v>23984.2</v>
      </c>
      <c r="AC139" s="194"/>
      <c r="AD139" s="195"/>
      <c r="AE139" s="194">
        <f>+'Exhibit A'!AD49</f>
        <v>22346.5</v>
      </c>
      <c r="AF139" s="1539"/>
      <c r="AG139" s="194"/>
      <c r="AH139" s="194">
        <f>ROUND(SUM(AB139-AE139),1)</f>
        <v>1637.7</v>
      </c>
      <c r="AI139" s="62"/>
      <c r="AJ139" s="266">
        <f>ROUND(IF(AE139=0,0,AH139/ABS(AE139)),3)</f>
        <v>7.2999999999999995E-2</v>
      </c>
    </row>
    <row r="140" spans="1:37" ht="16.5" customHeight="1">
      <c r="A140" s="62" t="s">
        <v>149</v>
      </c>
      <c r="C140" s="367">
        <v>-7293.1</v>
      </c>
      <c r="D140" s="1955"/>
      <c r="E140" s="754">
        <v>-3978.4</v>
      </c>
      <c r="F140" s="754"/>
      <c r="G140" s="754">
        <v>-6645.5</v>
      </c>
      <c r="H140" s="11"/>
      <c r="I140" s="754">
        <f>'Exhibit A'!$V$50</f>
        <v>-6106.2</v>
      </c>
      <c r="J140" s="11"/>
      <c r="K140" s="754"/>
      <c r="L140" s="11"/>
      <c r="M140" s="754"/>
      <c r="N140" s="11"/>
      <c r="O140" s="754"/>
      <c r="P140" s="11"/>
      <c r="Q140" s="754"/>
      <c r="R140" s="681"/>
      <c r="S140" s="754"/>
      <c r="T140" s="681"/>
      <c r="U140" s="754"/>
      <c r="V140" s="754"/>
      <c r="W140" s="754"/>
      <c r="X140" s="754"/>
      <c r="Y140" s="754"/>
      <c r="Z140" s="11"/>
      <c r="AA140" s="201"/>
      <c r="AB140" s="196">
        <f>ROUND(SUM(C140:Y140),1)</f>
        <v>-24023.200000000001</v>
      </c>
      <c r="AC140" s="11"/>
      <c r="AD140" s="201"/>
      <c r="AE140" s="196">
        <f>+'Exhibit A'!AD50</f>
        <v>-28382.899999999998</v>
      </c>
      <c r="AF140" s="1541"/>
      <c r="AG140" s="11"/>
      <c r="AH140" s="196">
        <f>ROUND(SUM(-AB140+AE140),1)</f>
        <v>-4359.7</v>
      </c>
      <c r="AI140" s="268"/>
      <c r="AJ140" s="533">
        <f>ROUND(IF(AE140=0,0,AH140/ABS(AE140)),3)</f>
        <v>-0.154</v>
      </c>
      <c r="AK140" s="865"/>
    </row>
    <row r="141" spans="1:37" ht="16.5" customHeight="1">
      <c r="A141" s="62"/>
      <c r="C141" s="1032"/>
      <c r="D141" s="1121"/>
      <c r="E141" s="194"/>
      <c r="F141" s="11"/>
      <c r="G141" s="194"/>
      <c r="H141" s="11"/>
      <c r="I141" s="194"/>
      <c r="J141" s="11"/>
      <c r="K141" s="194"/>
      <c r="L141" s="11"/>
      <c r="M141" s="194"/>
      <c r="N141" s="11"/>
      <c r="O141" s="194"/>
      <c r="P141" s="11"/>
      <c r="Q141" s="194"/>
      <c r="R141" s="11"/>
      <c r="S141" s="194"/>
      <c r="T141" s="11"/>
      <c r="U141" s="194"/>
      <c r="V141" s="11"/>
      <c r="W141" s="194"/>
      <c r="X141" s="11"/>
      <c r="Y141" s="194"/>
      <c r="Z141" s="11"/>
      <c r="AA141" s="201"/>
      <c r="AB141" s="194"/>
      <c r="AC141" s="11"/>
      <c r="AD141" s="201"/>
      <c r="AE141" s="194"/>
      <c r="AF141" s="1541"/>
      <c r="AG141" s="11"/>
      <c r="AH141" s="194"/>
      <c r="AI141" s="268"/>
      <c r="AJ141" s="283"/>
    </row>
    <row r="142" spans="1:37" ht="16.5" customHeight="1">
      <c r="A142" s="40" t="s">
        <v>150</v>
      </c>
      <c r="C142" s="980">
        <f>ROUND(SUM(C138:C140),1)</f>
        <v>-1.6</v>
      </c>
      <c r="D142" s="1956"/>
      <c r="E142" s="753">
        <f>ROUND(SUM(E138:E140),1)</f>
        <v>-3</v>
      </c>
      <c r="F142" s="202"/>
      <c r="G142" s="753">
        <f>ROUND(SUM(G138:G140),1)</f>
        <v>-36.799999999999997</v>
      </c>
      <c r="H142" s="202"/>
      <c r="I142" s="753">
        <f>ROUND(SUM(I138:I140),1)</f>
        <v>2.4</v>
      </c>
      <c r="J142" s="202"/>
      <c r="K142" s="753">
        <f>ROUND(SUM(K138:K140),1)</f>
        <v>0</v>
      </c>
      <c r="L142" s="202"/>
      <c r="M142" s="753">
        <f>ROUND(SUM(M138:M140),1)</f>
        <v>0</v>
      </c>
      <c r="N142" s="202"/>
      <c r="O142" s="753">
        <f>ROUND(SUM(O138:O140),1)</f>
        <v>0</v>
      </c>
      <c r="P142" s="202"/>
      <c r="Q142" s="753">
        <f>ROUND(SUM(Q138:Q140),1)</f>
        <v>0</v>
      </c>
      <c r="R142" s="202"/>
      <c r="S142" s="753">
        <f>ROUND(SUM(S138:S140),1)</f>
        <v>0</v>
      </c>
      <c r="T142" s="202"/>
      <c r="U142" s="753">
        <f>ROUND(SUM(U138:U140),1)</f>
        <v>0</v>
      </c>
      <c r="V142" s="202"/>
      <c r="W142" s="753">
        <f>ROUND(SUM(W138:W140),1)</f>
        <v>0</v>
      </c>
      <c r="X142" s="202"/>
      <c r="Y142" s="753">
        <f>ROUND(SUM(Y138:Y140),1)</f>
        <v>0</v>
      </c>
      <c r="Z142" s="202"/>
      <c r="AA142" s="203"/>
      <c r="AB142" s="753">
        <f>ROUND(SUM(AB138:AB141),1)</f>
        <v>-39</v>
      </c>
      <c r="AC142" s="202"/>
      <c r="AD142" s="203"/>
      <c r="AE142" s="753">
        <f>SUM(AE138:AE141)</f>
        <v>-6036.3999999999978</v>
      </c>
      <c r="AF142" s="1542"/>
      <c r="AG142" s="202"/>
      <c r="AH142" s="753">
        <f>ROUND(SUM(+AH139-AH140+AH138),1)</f>
        <v>5997.4</v>
      </c>
      <c r="AI142" s="40"/>
      <c r="AJ142" s="864">
        <f>ROUND(IF(AE142=0,0,AH142/ABS(AE142)),3)</f>
        <v>0.99399999999999999</v>
      </c>
      <c r="AK142" s="129"/>
    </row>
    <row r="143" spans="1:37" ht="5.15" customHeight="1">
      <c r="A143" s="268"/>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201"/>
      <c r="AB143" s="11"/>
      <c r="AC143" s="11"/>
      <c r="AD143" s="201"/>
      <c r="AE143" s="11"/>
      <c r="AF143" s="1541"/>
      <c r="AG143" s="11"/>
      <c r="AH143" s="264"/>
      <c r="AI143" s="268"/>
      <c r="AJ143" s="268"/>
    </row>
    <row r="144" spans="1:37" ht="16.5" customHeight="1">
      <c r="A144" s="40" t="s">
        <v>143</v>
      </c>
      <c r="C144" s="194"/>
      <c r="D144" s="11"/>
      <c r="E144" s="194"/>
      <c r="F144" s="11"/>
      <c r="G144" s="194"/>
      <c r="H144" s="11"/>
      <c r="I144" s="194"/>
      <c r="J144" s="11"/>
      <c r="K144" s="194"/>
      <c r="L144" s="11"/>
      <c r="M144" s="194"/>
      <c r="N144" s="11"/>
      <c r="O144" s="194"/>
      <c r="P144" s="11"/>
      <c r="Q144" s="194"/>
      <c r="R144" s="11"/>
      <c r="S144" s="194"/>
      <c r="T144" s="11"/>
      <c r="U144" s="194"/>
      <c r="V144" s="11"/>
      <c r="W144" s="194"/>
      <c r="X144" s="11"/>
      <c r="Y144" s="194"/>
      <c r="Z144" s="11"/>
      <c r="AA144" s="201"/>
      <c r="AB144" s="194"/>
      <c r="AC144" s="11"/>
      <c r="AD144" s="201"/>
      <c r="AE144" s="194"/>
      <c r="AF144" s="1541"/>
      <c r="AG144" s="11"/>
      <c r="AH144" s="264"/>
      <c r="AI144" s="268"/>
      <c r="AJ144" s="268"/>
    </row>
    <row r="145" spans="1:37" ht="16.5" customHeight="1">
      <c r="A145" s="40" t="s">
        <v>151</v>
      </c>
      <c r="C145" s="197"/>
      <c r="D145" s="202"/>
      <c r="E145" s="197"/>
      <c r="F145" s="202"/>
      <c r="G145" s="197"/>
      <c r="H145" s="202"/>
      <c r="I145" s="197"/>
      <c r="J145" s="202"/>
      <c r="K145" s="197"/>
      <c r="L145" s="202"/>
      <c r="M145" s="197"/>
      <c r="N145" s="202"/>
      <c r="O145" s="197"/>
      <c r="P145" s="202"/>
      <c r="Q145" s="197"/>
      <c r="R145" s="202"/>
      <c r="S145" s="197"/>
      <c r="T145" s="202"/>
      <c r="U145" s="197"/>
      <c r="V145" s="202"/>
      <c r="W145" s="197"/>
      <c r="X145" s="202"/>
      <c r="Y145" s="197"/>
      <c r="Z145" s="202"/>
      <c r="AA145" s="203"/>
      <c r="AB145" s="197"/>
      <c r="AC145" s="202"/>
      <c r="AD145" s="203"/>
      <c r="AE145" s="197"/>
      <c r="AF145" s="1541"/>
      <c r="AG145" s="11"/>
      <c r="AH145" s="13"/>
      <c r="AI145" s="40"/>
      <c r="AJ145" s="40"/>
      <c r="AK145" s="129"/>
    </row>
    <row r="146" spans="1:37" ht="16.5" customHeight="1">
      <c r="A146" s="40" t="s">
        <v>152</v>
      </c>
      <c r="C146" s="204">
        <f>ROUND(SUM(C135+C142),1)</f>
        <v>6209.4</v>
      </c>
      <c r="D146" s="202"/>
      <c r="E146" s="204">
        <f>ROUND(SUM(E135+E142),1)</f>
        <v>-5627.5</v>
      </c>
      <c r="F146" s="202"/>
      <c r="G146" s="204">
        <f>ROUND(SUM(G135+G142),1)</f>
        <v>13209.9</v>
      </c>
      <c r="H146" s="202"/>
      <c r="I146" s="204">
        <f>ROUND(SUM(I135+I142),1)</f>
        <v>488.2</v>
      </c>
      <c r="J146" s="202"/>
      <c r="K146" s="204">
        <f>ROUND(SUM(K135+K142),1)</f>
        <v>0</v>
      </c>
      <c r="L146" s="202"/>
      <c r="M146" s="204">
        <f>ROUND(SUM(M135+M142),1)</f>
        <v>0</v>
      </c>
      <c r="N146" s="202"/>
      <c r="O146" s="204">
        <f>ROUND(SUM(O135+O142),1)</f>
        <v>0</v>
      </c>
      <c r="P146" s="202"/>
      <c r="Q146" s="204">
        <f>ROUND(SUM(Q135+Q142),1)</f>
        <v>0</v>
      </c>
      <c r="R146" s="202"/>
      <c r="S146" s="204">
        <f>ROUND(SUM(S135+S142),1)</f>
        <v>0</v>
      </c>
      <c r="T146" s="202"/>
      <c r="U146" s="204">
        <f>ROUND(SUM(U135+U142),1)</f>
        <v>0</v>
      </c>
      <c r="V146" s="202"/>
      <c r="W146" s="204">
        <f>ROUND(SUM(W135+W142),1)</f>
        <v>0</v>
      </c>
      <c r="X146" s="202"/>
      <c r="Y146" s="204">
        <f>ROUND(SUM(Y135+Y142),1)</f>
        <v>0</v>
      </c>
      <c r="Z146" s="202"/>
      <c r="AA146" s="203"/>
      <c r="AB146" s="204">
        <f>ROUND(SUM(AB135+AB142),1)</f>
        <v>14280</v>
      </c>
      <c r="AC146" s="202"/>
      <c r="AD146" s="203"/>
      <c r="AE146" s="204">
        <f>AE135+AE142</f>
        <v>-681.99999999999818</v>
      </c>
      <c r="AF146" s="1541"/>
      <c r="AG146" s="11"/>
      <c r="AH146" s="868">
        <f>ROUND(SUM(AB146-AE146),1)</f>
        <v>14962</v>
      </c>
      <c r="AI146" s="40"/>
      <c r="AJ146" s="864">
        <f>ROUND(IF(AE146=0,0,AH146/ABS(AE146)),3)</f>
        <v>21.937999999999999</v>
      </c>
      <c r="AK146" s="129"/>
    </row>
    <row r="147" spans="1:37" ht="16.5" customHeight="1">
      <c r="A147" s="40"/>
      <c r="C147" s="1007"/>
      <c r="E147" s="1007"/>
      <c r="G147" s="1007"/>
      <c r="I147" s="1007"/>
      <c r="K147" s="1007"/>
      <c r="M147" s="1007"/>
      <c r="O147" s="1007"/>
      <c r="Q147" s="1007"/>
      <c r="S147" s="1007"/>
      <c r="U147" s="1007"/>
      <c r="W147" s="1007"/>
      <c r="Y147" s="1007"/>
      <c r="AA147" s="205"/>
      <c r="AB147" s="1007"/>
      <c r="AD147" s="205"/>
      <c r="AE147" s="1007"/>
      <c r="AF147" s="1541"/>
      <c r="AG147" s="11"/>
      <c r="AH147" s="268"/>
      <c r="AI147" s="268"/>
      <c r="AJ147" s="268"/>
    </row>
    <row r="148" spans="1:37" ht="16.5" customHeight="1" thickBot="1">
      <c r="A148" s="206" t="s">
        <v>433</v>
      </c>
      <c r="C148" s="207">
        <f>ROUND(SUM(C16+C146),1)</f>
        <v>81217.2</v>
      </c>
      <c r="D148" s="67"/>
      <c r="E148" s="207">
        <f>ROUND(SUM(E16+E146),1)</f>
        <v>75589.7</v>
      </c>
      <c r="F148" s="67"/>
      <c r="G148" s="207">
        <f>ROUND(SUM(G16+G146),1)</f>
        <v>88799.6</v>
      </c>
      <c r="H148" s="67"/>
      <c r="I148" s="207">
        <f>ROUND(SUM(I16+I146),1)</f>
        <v>89287.8</v>
      </c>
      <c r="J148" s="208"/>
      <c r="K148" s="207">
        <f>ROUND(SUM(K16+K146),1)</f>
        <v>0</v>
      </c>
      <c r="L148" s="208"/>
      <c r="M148" s="207">
        <f>ROUND(SUM(M16+M146),1)</f>
        <v>0</v>
      </c>
      <c r="N148" s="208"/>
      <c r="O148" s="207">
        <f>ROUND(SUM(O16+O146),1)</f>
        <v>0</v>
      </c>
      <c r="P148" s="208"/>
      <c r="Q148" s="207">
        <f>ROUND(SUM(Q16+Q146),1)</f>
        <v>0</v>
      </c>
      <c r="R148" s="208"/>
      <c r="S148" s="207">
        <f>ROUND(SUM(S16+S146),1)</f>
        <v>0</v>
      </c>
      <c r="T148" s="208"/>
      <c r="U148" s="207">
        <f>ROUND(SUM(U16+U146),1)</f>
        <v>0</v>
      </c>
      <c r="V148" s="208"/>
      <c r="W148" s="207">
        <f>ROUND(SUM(W16+W146),1)</f>
        <v>0</v>
      </c>
      <c r="X148" s="208"/>
      <c r="Y148" s="207">
        <f>ROUND(SUM(Y16+Y146),1)</f>
        <v>0</v>
      </c>
      <c r="Z148" s="67"/>
      <c r="AA148" s="209"/>
      <c r="AB148" s="207">
        <f>ROUND(SUM(AB16+AB146),1)</f>
        <v>89287.8</v>
      </c>
      <c r="AC148" s="67"/>
      <c r="AD148" s="209"/>
      <c r="AE148" s="207">
        <f>AE16+AE146</f>
        <v>73014.399999999994</v>
      </c>
      <c r="AF148" s="1541"/>
      <c r="AG148" s="11"/>
      <c r="AH148" s="207">
        <f>ROUND(SUM(AB148-AE148),1)</f>
        <v>16273.4</v>
      </c>
      <c r="AI148" s="40"/>
      <c r="AJ148" s="866">
        <f>ROUND(IF(AE148=0,0,AH148/ABS(AE148)),3)</f>
        <v>0.223</v>
      </c>
      <c r="AK148" s="129"/>
    </row>
    <row r="149" spans="1:37" ht="16.5" customHeight="1" thickTop="1">
      <c r="A149" s="210"/>
      <c r="AH149" s="268"/>
      <c r="AI149" s="268"/>
      <c r="AJ149" s="268"/>
    </row>
    <row r="150" spans="1:37" ht="16.5" customHeight="1">
      <c r="A150" s="1013" t="s">
        <v>434</v>
      </c>
      <c r="AH150" s="268"/>
      <c r="AI150" s="268"/>
      <c r="AJ150" s="268"/>
    </row>
    <row r="151" spans="1:37" ht="16.5" customHeight="1">
      <c r="AH151" s="268"/>
      <c r="AI151" s="268"/>
      <c r="AJ151" s="268"/>
    </row>
    <row r="152" spans="1:37" ht="16.5" customHeight="1">
      <c r="A152" s="364"/>
      <c r="AH152" s="268"/>
      <c r="AI152" s="268"/>
      <c r="AJ152" s="268"/>
    </row>
    <row r="153" spans="1:37" ht="16.5" customHeight="1">
      <c r="A153" s="364"/>
      <c r="AH153" s="268"/>
      <c r="AI153" s="268"/>
      <c r="AJ153" s="268"/>
    </row>
    <row r="154" spans="1:37" ht="16.5" customHeight="1">
      <c r="AH154" s="268"/>
      <c r="AI154" s="268"/>
      <c r="AJ154" s="268"/>
    </row>
    <row r="155" spans="1:37" ht="16.5" customHeight="1">
      <c r="AH155" s="268"/>
      <c r="AI155" s="268"/>
      <c r="AJ155" s="268"/>
    </row>
    <row r="156" spans="1:37" ht="16.5" customHeight="1">
      <c r="AH156" s="268"/>
      <c r="AI156" s="268"/>
      <c r="AJ156" s="268"/>
    </row>
    <row r="157" spans="1:37" ht="16.5" customHeight="1">
      <c r="AH157" s="268"/>
      <c r="AI157" s="268"/>
      <c r="AJ157" s="268"/>
    </row>
    <row r="158" spans="1:37" ht="16.5" customHeight="1">
      <c r="AH158" s="268"/>
      <c r="AI158" s="268"/>
      <c r="AJ158" s="268"/>
    </row>
    <row r="159" spans="1:37" ht="16.5" customHeight="1">
      <c r="AH159" s="268"/>
      <c r="AI159" s="268"/>
      <c r="AJ159" s="268"/>
    </row>
    <row r="160" spans="1:37" ht="16.5" customHeight="1">
      <c r="AH160" s="268"/>
      <c r="AI160" s="268"/>
      <c r="AJ160" s="268"/>
    </row>
    <row r="161" spans="34:36" ht="16.5" customHeight="1">
      <c r="AH161" s="268"/>
      <c r="AI161" s="268"/>
      <c r="AJ161" s="268"/>
    </row>
    <row r="162" spans="34:36" ht="16.5" customHeight="1">
      <c r="AH162" s="268"/>
      <c r="AI162" s="268"/>
      <c r="AJ162" s="268"/>
    </row>
  </sheetData>
  <mergeCells count="2">
    <mergeCell ref="AC5:AJ5"/>
    <mergeCell ref="AB12:AJ12"/>
  </mergeCells>
  <printOptions horizontalCentered="1"/>
  <pageMargins left="0.25" right="0.25" top="0.5" bottom="0.4" header="0" footer="0.25"/>
  <pageSetup scale="38" firstPageNumber="16" fitToHeight="2" orientation="landscape" useFirstPageNumber="1" r:id="rId1"/>
  <headerFooter scaleWithDoc="0" alignWithMargins="0">
    <oddFooter>&amp;C&amp;8&amp;P</oddFooter>
  </headerFooter>
  <rowBreaks count="1" manualBreakCount="1">
    <brk id="89" max="35" man="1"/>
  </rowBreaks>
  <customProperties>
    <customPr name="SheetOptions" r:id="rId2"/>
  </customProperties>
  <ignoredErrors>
    <ignoredError sqref="AJ58:AJ69 AJ75 AJ139:AJ148 AJ96:AJ137 AJ29:AJ34 AJ21:AJ27 AJ87 AJ49:AJ55 AJ77:AJ80 AJ90:AJ94 AJ38:AJ46 AJ85 AJ36 AJ71:AJ72" unlockedFormula="1"/>
    <ignoredError sqref="AH35:AI35 AJ57 AH25 AH24 AH26 AJ74" formula="1"/>
    <ignoredError sqref="AJ35 AJ37" formula="1" unlockedFormula="1"/>
    <ignoredError sqref="AC14:AD1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3"/>
  <dimension ref="A1:AK165"/>
  <sheetViews>
    <sheetView showGridLines="0" zoomScale="90" zoomScaleNormal="85" workbookViewId="0"/>
  </sheetViews>
  <sheetFormatPr defaultColWidth="8.84375" defaultRowHeight="16.5" customHeight="1"/>
  <cols>
    <col min="1" max="1" width="43" style="58" customWidth="1"/>
    <col min="2" max="2" width="1.84375" style="58" customWidth="1"/>
    <col min="3" max="3" width="13.07421875" style="58" customWidth="1"/>
    <col min="4" max="4" width="1.84375" style="58" customWidth="1"/>
    <col min="5" max="5" width="13.07421875" style="58" customWidth="1"/>
    <col min="6" max="6" width="1.84375" style="58" customWidth="1"/>
    <col min="7" max="7" width="13.53515625" style="58" customWidth="1"/>
    <col min="8" max="8" width="1.84375" style="58" customWidth="1"/>
    <col min="9" max="9" width="13.84375" style="58" customWidth="1"/>
    <col min="10" max="10" width="1.84375" style="58" customWidth="1"/>
    <col min="11" max="11" width="14.53515625" style="58" customWidth="1"/>
    <col min="12" max="12" width="1.84375" style="58" customWidth="1"/>
    <col min="13" max="13" width="13.07421875" style="58" customWidth="1"/>
    <col min="14" max="14" width="1.84375" style="58" customWidth="1"/>
    <col min="15" max="15" width="14.07421875" style="58" customWidth="1"/>
    <col min="16" max="16" width="1.84375" style="58" customWidth="1"/>
    <col min="17" max="17" width="13.07421875" style="58" customWidth="1"/>
    <col min="18" max="18" width="1.84375" style="58" customWidth="1"/>
    <col min="19" max="19" width="13.84375" style="58" customWidth="1"/>
    <col min="20" max="20" width="1.84375" style="58" customWidth="1"/>
    <col min="21" max="21" width="13" style="58" customWidth="1"/>
    <col min="22" max="22" width="1.84375" style="58" customWidth="1"/>
    <col min="23" max="23" width="13.07421875" style="58" customWidth="1"/>
    <col min="24" max="24" width="1.84375" style="58" customWidth="1"/>
    <col min="25" max="25" width="13.07421875" style="58" customWidth="1"/>
    <col min="26" max="27" width="1.84375" style="58" customWidth="1"/>
    <col min="28" max="28" width="15" style="58" customWidth="1"/>
    <col min="29" max="30" width="1.84375" style="58" customWidth="1"/>
    <col min="31" max="31" width="13.84375" style="58" customWidth="1"/>
    <col min="32" max="33" width="1.84375" style="58" customWidth="1"/>
    <col min="34" max="34" width="12.84375" style="58" bestFit="1" customWidth="1"/>
    <col min="35" max="35" width="1" style="58" customWidth="1"/>
    <col min="36" max="36" width="12.07421875" style="58" bestFit="1" customWidth="1"/>
    <col min="37" max="16384" width="8.84375" style="58"/>
  </cols>
  <sheetData>
    <row r="1" spans="1:37" ht="15.5">
      <c r="A1" s="750" t="s">
        <v>97</v>
      </c>
    </row>
    <row r="2" spans="1:37" ht="15.5">
      <c r="A2" s="364"/>
    </row>
    <row r="3" spans="1:37" ht="23">
      <c r="A3" s="60" t="s">
        <v>98</v>
      </c>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I3" s="62"/>
    </row>
    <row r="4" spans="1:37" ht="23">
      <c r="A4" s="60" t="s">
        <v>156</v>
      </c>
      <c r="B4" s="62"/>
      <c r="C4" s="62"/>
      <c r="D4" s="62"/>
      <c r="E4" s="62"/>
      <c r="F4" s="62"/>
      <c r="G4" s="62"/>
      <c r="H4" s="62"/>
      <c r="I4" s="62" t="s">
        <v>103</v>
      </c>
      <c r="J4" s="62"/>
      <c r="K4" s="62"/>
      <c r="L4" s="62"/>
      <c r="M4" s="62"/>
      <c r="N4" s="62"/>
      <c r="O4" s="62"/>
      <c r="P4" s="62"/>
      <c r="Q4" s="62"/>
      <c r="R4" s="62"/>
      <c r="S4" s="62"/>
      <c r="T4" s="62"/>
      <c r="U4" s="62"/>
      <c r="V4" s="62"/>
      <c r="W4" s="62"/>
      <c r="X4" s="62"/>
      <c r="Y4" s="62" t="s">
        <v>103</v>
      </c>
      <c r="Z4" s="62"/>
      <c r="AA4" s="62"/>
      <c r="AB4" s="62"/>
      <c r="AC4" s="62"/>
      <c r="AD4" s="62"/>
      <c r="AE4" s="62"/>
      <c r="AF4" s="62"/>
      <c r="AG4" s="62"/>
      <c r="AI4" s="62"/>
    </row>
    <row r="5" spans="1:37" ht="23.25" customHeight="1">
      <c r="A5" s="61" t="s">
        <v>328</v>
      </c>
      <c r="B5" s="62"/>
      <c r="C5" s="62"/>
      <c r="D5" s="62"/>
      <c r="E5" s="62"/>
      <c r="F5" s="62"/>
      <c r="G5" s="62"/>
      <c r="H5" s="62"/>
      <c r="I5" s="62"/>
      <c r="J5" s="62"/>
      <c r="K5" s="62"/>
      <c r="L5" s="62"/>
      <c r="M5" s="62"/>
      <c r="N5" s="62"/>
      <c r="O5" s="62"/>
      <c r="P5" s="62"/>
      <c r="Q5" s="62"/>
      <c r="R5" s="62"/>
      <c r="S5" s="62"/>
      <c r="T5" s="62"/>
      <c r="U5" s="62"/>
      <c r="V5" s="62"/>
      <c r="W5" s="62"/>
      <c r="X5" s="62"/>
      <c r="Y5" s="62"/>
      <c r="Z5" s="62"/>
      <c r="AA5" s="62"/>
      <c r="AC5" s="2061"/>
      <c r="AD5" s="2062"/>
      <c r="AE5" s="2062"/>
      <c r="AF5" s="2062"/>
      <c r="AG5" s="2062"/>
      <c r="AH5" s="2062"/>
      <c r="AI5" s="2062"/>
      <c r="AJ5" s="2062"/>
    </row>
    <row r="6" spans="1:37" ht="23">
      <c r="A6" s="61" t="str">
        <f>'Cashflow Governmental'!A6</f>
        <v>FISCAL YEAR 2026-2027</v>
      </c>
      <c r="B6" s="62"/>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I6" s="62"/>
    </row>
    <row r="7" spans="1:37" ht="23.25" customHeight="1">
      <c r="A7" s="60" t="s">
        <v>102</v>
      </c>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I7" s="62"/>
    </row>
    <row r="8" spans="1:37" ht="15.5">
      <c r="A8" s="62"/>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I8" s="62"/>
    </row>
    <row r="9" spans="1:37" ht="15.5">
      <c r="A9" s="62"/>
      <c r="B9" s="62"/>
      <c r="C9" s="62"/>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I9" s="62"/>
    </row>
    <row r="10" spans="1:37" ht="15.5">
      <c r="A10" s="62"/>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I10" s="62"/>
    </row>
    <row r="11" spans="1:37" ht="15.5">
      <c r="A11" s="62"/>
      <c r="B11" s="62"/>
      <c r="C11" s="62" t="s">
        <v>103</v>
      </c>
      <c r="D11" s="62" t="s">
        <v>103</v>
      </c>
      <c r="E11" s="62"/>
      <c r="F11" s="62"/>
      <c r="G11" s="62"/>
      <c r="H11" s="62"/>
      <c r="I11" s="62"/>
      <c r="J11" s="62"/>
      <c r="K11" s="62"/>
      <c r="L11" s="62"/>
      <c r="M11" s="62"/>
      <c r="N11" s="62"/>
      <c r="O11" s="62"/>
      <c r="P11" s="62"/>
      <c r="Q11" s="62"/>
      <c r="R11" s="62"/>
      <c r="S11" s="62"/>
      <c r="T11" s="62"/>
      <c r="U11" s="62"/>
      <c r="V11" s="62"/>
      <c r="W11" s="62"/>
      <c r="X11" s="62"/>
      <c r="Y11" s="62"/>
      <c r="Z11" s="62"/>
      <c r="AA11" s="62"/>
      <c r="AC11" s="62"/>
      <c r="AD11" s="62"/>
      <c r="AE11" s="62"/>
      <c r="AF11" s="62"/>
      <c r="AG11" s="62"/>
      <c r="AI11" s="62"/>
    </row>
    <row r="12" spans="1:37" ht="15.5">
      <c r="A12" s="62"/>
      <c r="B12" s="62"/>
      <c r="C12" s="62"/>
      <c r="D12" s="62"/>
      <c r="E12" s="62"/>
      <c r="F12" s="62"/>
      <c r="G12" s="62"/>
      <c r="H12" s="62"/>
      <c r="I12" s="62"/>
      <c r="J12" s="62"/>
      <c r="K12" s="62"/>
      <c r="L12" s="62"/>
      <c r="M12" s="62"/>
      <c r="N12" s="62"/>
      <c r="O12" s="62"/>
      <c r="P12" s="62"/>
      <c r="Q12" s="62"/>
      <c r="R12" s="62"/>
      <c r="S12" s="62"/>
      <c r="T12" s="62"/>
      <c r="U12" s="62"/>
      <c r="V12" s="62"/>
      <c r="W12" s="62"/>
      <c r="X12" s="62"/>
      <c r="Z12" s="62"/>
      <c r="AA12" s="189"/>
      <c r="AB12" s="2064" t="str">
        <f>'Cashflow Governmental'!AB12</f>
        <v>4 Months Ended July 31</v>
      </c>
      <c r="AC12" s="2064"/>
      <c r="AD12" s="2064"/>
      <c r="AE12" s="2064"/>
      <c r="AF12" s="2064"/>
      <c r="AG12" s="2064"/>
      <c r="AH12" s="2064"/>
      <c r="AI12" s="2064"/>
      <c r="AJ12" s="2064"/>
    </row>
    <row r="13" spans="1:37" ht="15.5">
      <c r="A13" s="62"/>
      <c r="B13" s="62"/>
      <c r="C13" s="558" t="str">
        <f>'Cashflow Governmental'!C13</f>
        <v>2026</v>
      </c>
      <c r="D13" s="187"/>
      <c r="E13" s="187"/>
      <c r="F13" s="187"/>
      <c r="G13" s="187"/>
      <c r="H13" s="187"/>
      <c r="I13" s="187"/>
      <c r="J13" s="187"/>
      <c r="K13" s="187"/>
      <c r="L13" s="187"/>
      <c r="M13" s="187"/>
      <c r="N13" s="187"/>
      <c r="O13" s="187"/>
      <c r="P13" s="187"/>
      <c r="Q13" s="187"/>
      <c r="R13" s="187"/>
      <c r="S13" s="187"/>
      <c r="T13" s="187"/>
      <c r="U13" s="558">
        <f>'Cashflow Governmental'!U13</f>
        <v>2027</v>
      </c>
      <c r="V13" s="187"/>
      <c r="W13" s="187"/>
      <c r="X13" s="187"/>
      <c r="Y13" s="187"/>
      <c r="Z13" s="187"/>
      <c r="AA13" s="187"/>
      <c r="AB13" s="187"/>
      <c r="AC13" s="187"/>
      <c r="AD13" s="187"/>
      <c r="AE13" s="187"/>
      <c r="AF13" s="187"/>
      <c r="AG13" s="187"/>
      <c r="AH13" s="317" t="s">
        <v>110</v>
      </c>
      <c r="AI13" s="855"/>
      <c r="AJ13" s="317" t="s">
        <v>111</v>
      </c>
    </row>
    <row r="14" spans="1:37" ht="15.5">
      <c r="A14" s="62"/>
      <c r="B14" s="62"/>
      <c r="C14" s="317" t="s">
        <v>329</v>
      </c>
      <c r="D14" s="187"/>
      <c r="E14" s="317" t="s">
        <v>330</v>
      </c>
      <c r="F14" s="187"/>
      <c r="G14" s="317" t="s">
        <v>331</v>
      </c>
      <c r="H14" s="187"/>
      <c r="I14" s="317" t="s">
        <v>332</v>
      </c>
      <c r="J14" s="187"/>
      <c r="K14" s="317" t="s">
        <v>333</v>
      </c>
      <c r="L14" s="187"/>
      <c r="M14" s="317" t="s">
        <v>334</v>
      </c>
      <c r="N14" s="187"/>
      <c r="O14" s="317" t="s">
        <v>335</v>
      </c>
      <c r="P14" s="187"/>
      <c r="Q14" s="867" t="s">
        <v>336</v>
      </c>
      <c r="R14" s="187"/>
      <c r="S14" s="317" t="s">
        <v>337</v>
      </c>
      <c r="T14" s="187"/>
      <c r="U14" s="317" t="s">
        <v>338</v>
      </c>
      <c r="V14" s="187"/>
      <c r="W14" s="317" t="s">
        <v>339</v>
      </c>
      <c r="X14" s="187"/>
      <c r="Y14" s="317" t="s">
        <v>340</v>
      </c>
      <c r="Z14" s="187"/>
      <c r="AA14" s="187"/>
      <c r="AB14" s="851" t="str">
        <f>'Cashflow Governmental'!AB14</f>
        <v>2026</v>
      </c>
      <c r="AC14" s="187"/>
      <c r="AD14" s="187"/>
      <c r="AE14" s="851" t="str">
        <f>'Cashflow Governmental'!AE14</f>
        <v>2025</v>
      </c>
      <c r="AF14" s="187"/>
      <c r="AG14" s="187"/>
      <c r="AH14" s="867" t="s">
        <v>112</v>
      </c>
      <c r="AI14" s="855"/>
      <c r="AJ14" s="867" t="s">
        <v>113</v>
      </c>
    </row>
    <row r="15" spans="1:37" ht="5.25" customHeight="1">
      <c r="A15" s="62"/>
      <c r="B15" s="62"/>
      <c r="C15" s="1007"/>
      <c r="D15" s="62"/>
      <c r="E15" s="1007"/>
      <c r="F15" s="62"/>
      <c r="G15" s="1007"/>
      <c r="H15" s="62"/>
      <c r="I15" s="1007"/>
      <c r="J15" s="62"/>
      <c r="K15" s="1007"/>
      <c r="L15" s="62"/>
      <c r="M15" s="1007"/>
      <c r="N15" s="62"/>
      <c r="O15" s="1007" t="s">
        <v>103</v>
      </c>
      <c r="P15" s="62"/>
      <c r="Q15" s="190"/>
      <c r="R15" s="62"/>
      <c r="S15" s="1007"/>
      <c r="T15" s="62"/>
      <c r="U15" s="1007" t="s">
        <v>103</v>
      </c>
      <c r="V15" s="62"/>
      <c r="W15" s="1007"/>
      <c r="X15" s="62"/>
      <c r="Y15" s="1007"/>
      <c r="Z15" s="62"/>
      <c r="AA15" s="62"/>
      <c r="AB15" s="1007"/>
      <c r="AC15" s="62"/>
      <c r="AD15" s="62"/>
      <c r="AE15" s="1007"/>
      <c r="AF15" s="62"/>
      <c r="AG15" s="62"/>
      <c r="AI15" s="62"/>
    </row>
    <row r="16" spans="1:37" ht="15.5">
      <c r="A16" s="188" t="s">
        <v>341</v>
      </c>
      <c r="B16" s="62"/>
      <c r="C16" s="190">
        <f>'Exhibit F'!D13+'Exh D Special Revenue State Fed'!G41+'Exhibit H'!B13</f>
        <v>69014.2</v>
      </c>
      <c r="D16" s="190"/>
      <c r="E16" s="190">
        <f>C147</f>
        <v>74144.399999999994</v>
      </c>
      <c r="F16" s="190"/>
      <c r="G16" s="190">
        <f>E147</f>
        <v>69559.5</v>
      </c>
      <c r="H16" s="190"/>
      <c r="I16" s="190">
        <f>G147</f>
        <v>78766.7</v>
      </c>
      <c r="J16" s="190"/>
      <c r="K16" s="190"/>
      <c r="L16" s="190"/>
      <c r="M16" s="190"/>
      <c r="N16" s="190"/>
      <c r="O16" s="190"/>
      <c r="P16" s="190"/>
      <c r="Q16" s="190"/>
      <c r="R16" s="190"/>
      <c r="S16" s="190"/>
      <c r="T16" s="190"/>
      <c r="U16" s="190"/>
      <c r="V16" s="190"/>
      <c r="W16" s="190"/>
      <c r="X16" s="190"/>
      <c r="Y16" s="190"/>
      <c r="Z16" s="190"/>
      <c r="AA16" s="191"/>
      <c r="AB16" s="190">
        <f>C16</f>
        <v>69014.2</v>
      </c>
      <c r="AC16" s="190"/>
      <c r="AD16" s="856"/>
      <c r="AE16" s="190">
        <f>'Exhibit F'!AF13+'Exhibit G State'!AF13+'Exhibit H'!AD13</f>
        <v>67321.899999999994</v>
      </c>
      <c r="AF16" s="190"/>
      <c r="AG16" s="1531"/>
      <c r="AH16" s="190">
        <f>ROUND(SUM(AB16-AE16),1)</f>
        <v>1692.3</v>
      </c>
      <c r="AI16" s="187"/>
      <c r="AJ16" s="74">
        <f>ROUND(SUM(AH16/AE16),3)</f>
        <v>2.5000000000000001E-2</v>
      </c>
      <c r="AK16" s="129"/>
    </row>
    <row r="17" spans="1:36" ht="15.5">
      <c r="A17" s="62"/>
      <c r="B17" s="62"/>
      <c r="C17" s="62" t="s">
        <v>103</v>
      </c>
      <c r="D17" s="62"/>
      <c r="E17" s="192"/>
      <c r="F17" s="62"/>
      <c r="G17" s="192"/>
      <c r="H17" s="62"/>
      <c r="I17" s="192"/>
      <c r="J17" s="62"/>
      <c r="K17" s="192"/>
      <c r="L17" s="62"/>
      <c r="M17" s="192"/>
      <c r="N17" s="62"/>
      <c r="O17" s="192"/>
      <c r="P17" s="62"/>
      <c r="Q17" s="192"/>
      <c r="R17" s="62"/>
      <c r="S17" s="192"/>
      <c r="T17" s="62"/>
      <c r="U17" s="192"/>
      <c r="V17" s="62"/>
      <c r="W17" s="192"/>
      <c r="X17" s="62"/>
      <c r="Y17" s="192"/>
      <c r="Z17" s="62"/>
      <c r="AA17" s="390"/>
      <c r="AB17" s="62" t="s">
        <v>103</v>
      </c>
      <c r="AC17" s="62"/>
      <c r="AD17" s="857"/>
      <c r="AE17" s="62" t="s">
        <v>103</v>
      </c>
      <c r="AF17" s="62"/>
      <c r="AG17" s="1530"/>
      <c r="AH17" s="268"/>
      <c r="AI17" s="62"/>
      <c r="AJ17" s="268"/>
    </row>
    <row r="18" spans="1:36" ht="15.5">
      <c r="A18" s="40" t="s">
        <v>114</v>
      </c>
      <c r="B18" s="62"/>
      <c r="C18" s="62"/>
      <c r="D18" s="62"/>
      <c r="E18" s="192"/>
      <c r="F18" s="62"/>
      <c r="G18" s="192"/>
      <c r="H18" s="62"/>
      <c r="I18" s="192"/>
      <c r="J18" s="62"/>
      <c r="K18" s="192"/>
      <c r="L18" s="62"/>
      <c r="M18" s="192"/>
      <c r="N18" s="62"/>
      <c r="O18" s="192"/>
      <c r="P18" s="62"/>
      <c r="Q18" s="192"/>
      <c r="R18" s="62"/>
      <c r="S18" s="192"/>
      <c r="T18" s="62"/>
      <c r="U18" s="192"/>
      <c r="V18" s="62"/>
      <c r="W18" s="192"/>
      <c r="X18" s="62"/>
      <c r="Y18" s="192"/>
      <c r="Z18" s="62"/>
      <c r="AA18" s="390"/>
      <c r="AB18" s="62"/>
      <c r="AC18" s="62"/>
      <c r="AD18" s="857"/>
      <c r="AE18" s="62"/>
      <c r="AF18" s="62"/>
      <c r="AG18" s="1530"/>
      <c r="AH18" s="268"/>
      <c r="AI18" s="62"/>
      <c r="AJ18" s="268"/>
    </row>
    <row r="19" spans="1:36" ht="15.5">
      <c r="A19" s="1211" t="s">
        <v>342</v>
      </c>
      <c r="B19" s="62"/>
      <c r="C19" s="62"/>
      <c r="D19" s="62"/>
      <c r="E19" s="192"/>
      <c r="F19" s="62"/>
      <c r="G19" s="192"/>
      <c r="H19" s="62"/>
      <c r="I19" s="192"/>
      <c r="J19" s="62"/>
      <c r="K19" s="192"/>
      <c r="L19" s="62"/>
      <c r="M19" s="192"/>
      <c r="N19" s="62"/>
      <c r="O19" s="192"/>
      <c r="P19" s="62"/>
      <c r="Q19" s="192"/>
      <c r="R19" s="62"/>
      <c r="S19" s="192"/>
      <c r="T19" s="62"/>
      <c r="U19" s="192"/>
      <c r="V19" s="62"/>
      <c r="W19" s="192"/>
      <c r="X19" s="62"/>
      <c r="Y19" s="192"/>
      <c r="Z19" s="62"/>
      <c r="AA19" s="193"/>
      <c r="AB19" s="62"/>
      <c r="AC19" s="62"/>
      <c r="AD19" s="857"/>
      <c r="AE19" s="62"/>
      <c r="AF19" s="62"/>
      <c r="AG19" s="1530"/>
      <c r="AH19" s="268"/>
      <c r="AI19" s="62"/>
      <c r="AJ19" s="268"/>
    </row>
    <row r="20" spans="1:36" ht="15.5">
      <c r="A20" s="412" t="s">
        <v>435</v>
      </c>
      <c r="B20" s="62"/>
      <c r="C20" s="62"/>
      <c r="D20" s="62"/>
      <c r="E20" s="194"/>
      <c r="F20" s="62"/>
      <c r="G20" s="194"/>
      <c r="H20" s="62"/>
      <c r="I20" s="194"/>
      <c r="J20" s="62"/>
      <c r="K20" s="194"/>
      <c r="L20" s="62"/>
      <c r="M20" s="194"/>
      <c r="N20" s="62"/>
      <c r="O20" s="194"/>
      <c r="P20" s="62"/>
      <c r="Q20" s="192"/>
      <c r="R20" s="62"/>
      <c r="S20" s="192"/>
      <c r="T20" s="62"/>
      <c r="U20" s="192"/>
      <c r="V20" s="62"/>
      <c r="W20" s="192"/>
      <c r="X20" s="62"/>
      <c r="Y20" s="192"/>
      <c r="Z20" s="62"/>
      <c r="AA20" s="390"/>
      <c r="AB20" s="62"/>
      <c r="AC20" s="62"/>
      <c r="AD20" s="857"/>
      <c r="AE20" s="62"/>
      <c r="AF20" s="62"/>
      <c r="AG20" s="1530"/>
      <c r="AH20" s="268"/>
      <c r="AI20" s="62"/>
      <c r="AJ20" s="268"/>
    </row>
    <row r="21" spans="1:36" ht="15.5">
      <c r="A21" s="284" t="s">
        <v>344</v>
      </c>
      <c r="B21" s="62"/>
      <c r="C21" s="194">
        <f>+'Exhibit F'!D18</f>
        <v>5407.3</v>
      </c>
      <c r="D21" s="194"/>
      <c r="E21" s="194">
        <f>+'Exhibit F'!F18</f>
        <v>4600.9999999999991</v>
      </c>
      <c r="F21" s="194"/>
      <c r="G21" s="194">
        <f>+'Exhibit F'!H18</f>
        <v>4759.4999999999991</v>
      </c>
      <c r="H21" s="194"/>
      <c r="I21" s="194">
        <f>+'Exhibit F'!J18</f>
        <v>4880.7999999999984</v>
      </c>
      <c r="J21" s="194"/>
      <c r="K21" s="194"/>
      <c r="L21" s="194"/>
      <c r="M21" s="194"/>
      <c r="N21" s="194"/>
      <c r="O21" s="194"/>
      <c r="P21" s="62"/>
      <c r="Q21" s="194"/>
      <c r="R21" s="194"/>
      <c r="S21" s="194"/>
      <c r="T21" s="194"/>
      <c r="U21" s="194"/>
      <c r="V21" s="194"/>
      <c r="W21" s="194"/>
      <c r="X21" s="194"/>
      <c r="Y21" s="194"/>
      <c r="Z21" s="62"/>
      <c r="AA21" s="390"/>
      <c r="AB21" s="194">
        <f>ROUND(SUM(C21:Y21),1)</f>
        <v>19648.599999999999</v>
      </c>
      <c r="AC21" s="62"/>
      <c r="AD21" s="857"/>
      <c r="AE21" s="194">
        <f>+'Exhibit F'!AF18</f>
        <v>18151.099999999999</v>
      </c>
      <c r="AF21" s="62"/>
      <c r="AG21" s="1530"/>
      <c r="AH21" s="264">
        <f>ROUND(SUM(+AB21-AE21),1)</f>
        <v>1497.5</v>
      </c>
      <c r="AI21" s="63"/>
      <c r="AJ21" s="283">
        <f t="shared" ref="AJ21:AJ25" si="0">ROUND(SUM(+AH21/ABS(AE21)),3)</f>
        <v>8.3000000000000004E-2</v>
      </c>
    </row>
    <row r="22" spans="1:36" ht="15.5">
      <c r="A22" s="284" t="s">
        <v>345</v>
      </c>
      <c r="B22" s="62"/>
      <c r="C22" s="194">
        <f>+'Exhibit F'!D19</f>
        <v>7071.9</v>
      </c>
      <c r="D22" s="194"/>
      <c r="E22" s="194">
        <f>+'Exhibit F'!F19</f>
        <v>102.80000000000018</v>
      </c>
      <c r="F22" s="194"/>
      <c r="G22" s="194">
        <f>+'Exhibit F'!H19</f>
        <v>2120.6999999999989</v>
      </c>
      <c r="H22" s="194"/>
      <c r="I22" s="194">
        <f>+'Exhibit F'!J19</f>
        <v>121.60000000000127</v>
      </c>
      <c r="J22" s="194"/>
      <c r="K22" s="194"/>
      <c r="L22" s="194"/>
      <c r="M22" s="194"/>
      <c r="N22" s="194"/>
      <c r="O22" s="194"/>
      <c r="P22" s="62"/>
      <c r="Q22" s="194"/>
      <c r="R22" s="194"/>
      <c r="S22" s="194"/>
      <c r="T22" s="194"/>
      <c r="U22" s="194"/>
      <c r="V22" s="194"/>
      <c r="W22" s="194"/>
      <c r="X22" s="194"/>
      <c r="Y22" s="194"/>
      <c r="Z22" s="62"/>
      <c r="AA22" s="390"/>
      <c r="AB22" s="194">
        <f>ROUND(SUM(C22:Y22),1)</f>
        <v>9417</v>
      </c>
      <c r="AC22" s="62"/>
      <c r="AD22" s="857"/>
      <c r="AE22" s="194">
        <f>+'Exhibit F'!AF19</f>
        <v>8526.1</v>
      </c>
      <c r="AF22" s="62"/>
      <c r="AG22" s="1530"/>
      <c r="AH22" s="264">
        <f t="shared" ref="AH22:AH28" si="1">ROUND(SUM(+AB22-AE22),1)</f>
        <v>890.9</v>
      </c>
      <c r="AI22" s="63"/>
      <c r="AJ22" s="607">
        <f t="shared" si="0"/>
        <v>0.104</v>
      </c>
    </row>
    <row r="23" spans="1:36" ht="15.5">
      <c r="A23" s="284" t="s">
        <v>346</v>
      </c>
      <c r="B23" s="62"/>
      <c r="C23" s="194">
        <f>+'Exhibit F'!D20</f>
        <v>3100.3</v>
      </c>
      <c r="D23" s="194"/>
      <c r="E23" s="194">
        <f>+'Exhibit F'!F20</f>
        <v>129.69999999999982</v>
      </c>
      <c r="F23" s="194"/>
      <c r="G23" s="194">
        <f>+'Exhibit F'!H20</f>
        <v>113.59999999999991</v>
      </c>
      <c r="H23" s="194"/>
      <c r="I23" s="194">
        <f>+'Exhibit F'!J20</f>
        <v>71.700000000000273</v>
      </c>
      <c r="J23" s="194"/>
      <c r="K23" s="194"/>
      <c r="L23" s="194"/>
      <c r="M23" s="194"/>
      <c r="N23" s="194"/>
      <c r="O23" s="194"/>
      <c r="P23" s="62"/>
      <c r="Q23" s="194"/>
      <c r="R23" s="194"/>
      <c r="S23" s="194"/>
      <c r="T23" s="194"/>
      <c r="U23" s="194"/>
      <c r="V23" s="194"/>
      <c r="W23" s="194"/>
      <c r="X23" s="194"/>
      <c r="Y23" s="194"/>
      <c r="Z23" s="62"/>
      <c r="AA23" s="390"/>
      <c r="AB23" s="194">
        <f>ROUND(SUM(C23:Y23),1)</f>
        <v>3415.3</v>
      </c>
      <c r="AC23" s="62"/>
      <c r="AD23" s="857"/>
      <c r="AE23" s="194">
        <f>+'Exhibit F'!AF20</f>
        <v>3156.4</v>
      </c>
      <c r="AF23" s="62"/>
      <c r="AG23" s="1530"/>
      <c r="AH23" s="264">
        <f t="shared" si="1"/>
        <v>258.89999999999998</v>
      </c>
      <c r="AI23" s="63"/>
      <c r="AJ23" s="283">
        <f t="shared" si="0"/>
        <v>8.2000000000000003E-2</v>
      </c>
    </row>
    <row r="24" spans="1:36" ht="15.5">
      <c r="A24" s="420" t="s">
        <v>347</v>
      </c>
      <c r="B24" s="62"/>
      <c r="C24" s="194">
        <f>+'Exhibit F'!D21</f>
        <v>-553.5</v>
      </c>
      <c r="D24" s="194"/>
      <c r="E24" s="194">
        <f>+'Exhibit F'!F21</f>
        <v>-69.600000000000023</v>
      </c>
      <c r="F24" s="194"/>
      <c r="G24" s="194">
        <f>+'Exhibit F'!H21</f>
        <v>-60.399999999999977</v>
      </c>
      <c r="H24" s="194"/>
      <c r="I24" s="194">
        <f>+'Exhibit F'!J21</f>
        <v>-53.5</v>
      </c>
      <c r="J24" s="194"/>
      <c r="K24" s="194"/>
      <c r="L24" s="194"/>
      <c r="M24" s="194"/>
      <c r="N24" s="194"/>
      <c r="O24" s="194"/>
      <c r="P24" s="62"/>
      <c r="Q24" s="194"/>
      <c r="R24" s="194"/>
      <c r="S24" s="194"/>
      <c r="T24" s="194"/>
      <c r="U24" s="194"/>
      <c r="V24" s="194"/>
      <c r="W24" s="194"/>
      <c r="X24" s="194"/>
      <c r="Y24" s="194"/>
      <c r="Z24" s="62"/>
      <c r="AA24" s="390"/>
      <c r="AB24" s="194">
        <f>ROUND(SUM(C24:Y24),1)</f>
        <v>-737</v>
      </c>
      <c r="AC24" s="62"/>
      <c r="AD24" s="857"/>
      <c r="AE24" s="194">
        <f>+'Exhibit F'!AF21</f>
        <v>-691.7</v>
      </c>
      <c r="AF24" s="62"/>
      <c r="AG24" s="1530"/>
      <c r="AH24" s="264">
        <f>-ROUND(SUM(+AB24-AE24),1)</f>
        <v>45.3</v>
      </c>
      <c r="AI24" s="63"/>
      <c r="AJ24" s="283">
        <f t="shared" si="0"/>
        <v>6.5000000000000002E-2</v>
      </c>
    </row>
    <row r="25" spans="1:36" ht="15.5">
      <c r="A25" s="420" t="s">
        <v>348</v>
      </c>
      <c r="B25" s="62"/>
      <c r="C25" s="194">
        <f>+'Exhibit F'!D22</f>
        <v>253.6</v>
      </c>
      <c r="D25" s="194"/>
      <c r="E25" s="194">
        <f>+'Exhibit F'!F22</f>
        <v>148.29999999999998</v>
      </c>
      <c r="F25" s="194"/>
      <c r="G25" s="194">
        <f>+'Exhibit F'!H22</f>
        <v>163.00000000000003</v>
      </c>
      <c r="H25" s="194"/>
      <c r="I25" s="194">
        <f>+'Exhibit F'!J22</f>
        <v>266.10000000000002</v>
      </c>
      <c r="J25" s="194"/>
      <c r="K25" s="194"/>
      <c r="L25" s="194"/>
      <c r="M25" s="194"/>
      <c r="N25" s="194"/>
      <c r="O25" s="194"/>
      <c r="P25" s="62"/>
      <c r="Q25" s="194"/>
      <c r="R25" s="194"/>
      <c r="S25" s="194"/>
      <c r="T25" s="194"/>
      <c r="U25" s="194"/>
      <c r="V25" s="194"/>
      <c r="W25" s="194"/>
      <c r="X25" s="194"/>
      <c r="Y25" s="194"/>
      <c r="Z25" s="62"/>
      <c r="AA25" s="390"/>
      <c r="AB25" s="194">
        <f t="shared" ref="AB25:AB29" si="2">ROUND(SUM(C25:Y25),1)</f>
        <v>831</v>
      </c>
      <c r="AC25" s="62"/>
      <c r="AD25" s="857"/>
      <c r="AE25" s="194">
        <f>+'Exhibit F'!AF22</f>
        <v>701.7</v>
      </c>
      <c r="AF25" s="62"/>
      <c r="AG25" s="1530"/>
      <c r="AH25" s="264">
        <f t="shared" si="1"/>
        <v>129.30000000000001</v>
      </c>
      <c r="AI25" s="63"/>
      <c r="AJ25" s="283">
        <f t="shared" si="0"/>
        <v>0.184</v>
      </c>
    </row>
    <row r="26" spans="1:36" ht="15.5">
      <c r="A26" s="285" t="s">
        <v>349</v>
      </c>
      <c r="B26" s="62"/>
      <c r="C26" s="68">
        <f>ROUND(SUM(C21:C25),1)</f>
        <v>15279.6</v>
      </c>
      <c r="D26" s="62"/>
      <c r="E26" s="68">
        <f>ROUND(SUM(E21:E25),1)</f>
        <v>4912.2</v>
      </c>
      <c r="F26" s="62"/>
      <c r="G26" s="68">
        <f>ROUND(SUM(G21:G25),1)</f>
        <v>7096.4</v>
      </c>
      <c r="H26" s="62"/>
      <c r="I26" s="68">
        <f>ROUND(SUM(I21:I25),1)</f>
        <v>5286.7</v>
      </c>
      <c r="J26" s="62"/>
      <c r="K26" s="68">
        <f>ROUND(SUM(K21:K25),1)</f>
        <v>0</v>
      </c>
      <c r="L26" s="62"/>
      <c r="M26" s="68">
        <f>ROUND(SUM(M21:M25),1)</f>
        <v>0</v>
      </c>
      <c r="N26" s="62"/>
      <c r="O26" s="68">
        <f>ROUND(SUM(O21:O25),1)</f>
        <v>0</v>
      </c>
      <c r="P26" s="62"/>
      <c r="Q26" s="68">
        <f>ROUND(SUM(Q21:Q25),1)</f>
        <v>0</v>
      </c>
      <c r="R26" s="62"/>
      <c r="S26" s="68">
        <f>ROUND(SUM(S21:S25),1)</f>
        <v>0</v>
      </c>
      <c r="T26" s="62"/>
      <c r="U26" s="68">
        <f>ROUND(SUM(U21:U25),1)</f>
        <v>0</v>
      </c>
      <c r="V26" s="62"/>
      <c r="W26" s="68">
        <f>ROUND(SUM(W21:W25),1)</f>
        <v>0</v>
      </c>
      <c r="X26" s="62"/>
      <c r="Y26" s="68">
        <f>ROUND(SUM(Y21:Y25),1)</f>
        <v>0</v>
      </c>
      <c r="Z26" s="62"/>
      <c r="AA26" s="390"/>
      <c r="AB26" s="68">
        <f>ROUND(SUM(AB21:AB25),1)</f>
        <v>32574.9</v>
      </c>
      <c r="AC26" s="62"/>
      <c r="AD26" s="857"/>
      <c r="AE26" s="68">
        <f>ROUND(SUM(AE21:AE25),1)</f>
        <v>29843.599999999999</v>
      </c>
      <c r="AF26" s="62"/>
      <c r="AG26" s="1530"/>
      <c r="AH26" s="68">
        <f t="shared" si="1"/>
        <v>2731.3</v>
      </c>
      <c r="AI26" s="63"/>
      <c r="AJ26" s="416">
        <f>ROUND(SUM(+AH26/ABS(AE26)),3)</f>
        <v>9.1999999999999998E-2</v>
      </c>
    </row>
    <row r="27" spans="1:36" ht="15.5">
      <c r="A27" s="420" t="s">
        <v>350</v>
      </c>
      <c r="B27" s="62"/>
      <c r="C27" s="194">
        <f>+'Exhibit F'!D24+'Exhibit G State'!D17</f>
        <v>0</v>
      </c>
      <c r="D27" s="194"/>
      <c r="E27" s="194">
        <f>+'Exhibit F'!F24+'Exhibit G State'!F17</f>
        <v>0</v>
      </c>
      <c r="F27" s="194"/>
      <c r="G27" s="194">
        <f>+'Exhibit F'!H24+'Exhibit G State'!H17</f>
        <v>0</v>
      </c>
      <c r="H27" s="62"/>
      <c r="I27" s="194">
        <f>+'Exhibit F'!J24+'Exhibit G State'!J17</f>
        <v>0</v>
      </c>
      <c r="J27" s="62"/>
      <c r="K27" s="194"/>
      <c r="L27" s="62"/>
      <c r="M27" s="194"/>
      <c r="N27" s="62"/>
      <c r="O27" s="194"/>
      <c r="P27" s="62"/>
      <c r="Q27" s="194"/>
      <c r="R27" s="194"/>
      <c r="S27" s="194"/>
      <c r="T27" s="194"/>
      <c r="U27" s="194"/>
      <c r="V27" s="194"/>
      <c r="W27" s="194"/>
      <c r="X27" s="194"/>
      <c r="Y27" s="194"/>
      <c r="Z27" s="62"/>
      <c r="AA27" s="390"/>
      <c r="AB27" s="194">
        <f>ROUND(SUM(C27:Y27),1)</f>
        <v>0</v>
      </c>
      <c r="AC27" s="62"/>
      <c r="AD27" s="857"/>
      <c r="AE27" s="194">
        <f>+'Exhibit F'!AF24+'Exhibit G State'!AF17</f>
        <v>0</v>
      </c>
      <c r="AF27" s="62"/>
      <c r="AG27" s="1530"/>
      <c r="AH27" s="264">
        <f t="shared" si="1"/>
        <v>0</v>
      </c>
      <c r="AI27" s="63"/>
      <c r="AJ27" s="266">
        <f>ROUND(IF(AE27=0,0,AH27/ABS(AE27)),3)</f>
        <v>0</v>
      </c>
    </row>
    <row r="28" spans="1:36" ht="15.5">
      <c r="A28" s="420" t="s">
        <v>351</v>
      </c>
      <c r="B28" s="62"/>
      <c r="C28" s="194">
        <f>+'Exhibit F'!D25+'Exhibit H'!B17</f>
        <v>0</v>
      </c>
      <c r="D28" s="194"/>
      <c r="E28" s="194">
        <f>+'Exhibit F'!F25+'Exhibit H'!D17</f>
        <v>0</v>
      </c>
      <c r="F28" s="194"/>
      <c r="G28" s="194">
        <f>+'Exhibit F'!H25+'Exhibit H'!F17</f>
        <v>0</v>
      </c>
      <c r="H28" s="62"/>
      <c r="I28" s="194">
        <f>+'Exhibit F'!J25+'Exhibit H'!H17</f>
        <v>0</v>
      </c>
      <c r="J28" s="62"/>
      <c r="K28" s="194"/>
      <c r="L28" s="62"/>
      <c r="M28" s="194"/>
      <c r="N28" s="62"/>
      <c r="O28" s="194"/>
      <c r="P28" s="62"/>
      <c r="Q28" s="194"/>
      <c r="R28" s="194"/>
      <c r="S28" s="194"/>
      <c r="T28" s="194"/>
      <c r="U28" s="194"/>
      <c r="V28" s="194"/>
      <c r="W28" s="194"/>
      <c r="X28" s="194"/>
      <c r="Y28" s="194"/>
      <c r="Z28" s="62"/>
      <c r="AA28" s="390"/>
      <c r="AB28" s="194">
        <f t="shared" si="2"/>
        <v>0</v>
      </c>
      <c r="AC28" s="62"/>
      <c r="AD28" s="857"/>
      <c r="AE28" s="194">
        <f>+'Exhibit F'!AF25+'Exhibit H'!AD17</f>
        <v>0</v>
      </c>
      <c r="AF28" s="62"/>
      <c r="AG28" s="1530"/>
      <c r="AH28" s="264">
        <f t="shared" si="1"/>
        <v>0</v>
      </c>
      <c r="AI28" s="63"/>
      <c r="AJ28" s="266">
        <f>ROUND(IF(AE28=0,0,AH28/ABS(AE28)),3)</f>
        <v>0</v>
      </c>
    </row>
    <row r="29" spans="1:36" ht="15.5">
      <c r="A29" s="284" t="s">
        <v>352</v>
      </c>
      <c r="B29" s="194"/>
      <c r="C29" s="194">
        <f>+'Exhibit F'!D26</f>
        <v>-4825.2</v>
      </c>
      <c r="D29" s="194"/>
      <c r="E29" s="194">
        <f>+'Exhibit F'!F26</f>
        <v>-863.19999999999982</v>
      </c>
      <c r="F29" s="194"/>
      <c r="G29" s="194">
        <f>+'Exhibit F'!H26</f>
        <v>-713.60000000000036</v>
      </c>
      <c r="H29" s="194"/>
      <c r="I29" s="194">
        <f>+'Exhibit F'!J26</f>
        <v>-503.89999999999964</v>
      </c>
      <c r="J29" s="194"/>
      <c r="K29" s="194"/>
      <c r="L29" s="62"/>
      <c r="M29" s="194"/>
      <c r="N29" s="62"/>
      <c r="O29" s="194"/>
      <c r="P29" s="62"/>
      <c r="Q29" s="194"/>
      <c r="R29" s="194"/>
      <c r="S29" s="194"/>
      <c r="T29" s="194"/>
      <c r="U29" s="194"/>
      <c r="V29" s="194"/>
      <c r="W29" s="194"/>
      <c r="X29" s="194"/>
      <c r="Y29" s="194"/>
      <c r="Z29" s="62"/>
      <c r="AA29" s="390"/>
      <c r="AB29" s="194">
        <f t="shared" si="2"/>
        <v>-6905.9</v>
      </c>
      <c r="AC29" s="62"/>
      <c r="AD29" s="857"/>
      <c r="AE29" s="194">
        <f>+'Exhibit F'!AF26</f>
        <v>-6137.8</v>
      </c>
      <c r="AF29" s="62"/>
      <c r="AG29" s="1530"/>
      <c r="AH29" s="264">
        <f>-ROUND(SUM(+AB29-AE29),1)</f>
        <v>768.1</v>
      </c>
      <c r="AI29" s="63"/>
      <c r="AJ29" s="283">
        <f>ROUND(SUM(+AH29/ABS(AE29)),3)</f>
        <v>0.125</v>
      </c>
    </row>
    <row r="30" spans="1:36" ht="15.5">
      <c r="A30" s="83" t="s">
        <v>353</v>
      </c>
      <c r="B30" s="62"/>
      <c r="C30" s="68">
        <f>ROUND(SUM(C26+C27+C28+C29),1)</f>
        <v>10454.4</v>
      </c>
      <c r="D30" s="62"/>
      <c r="E30" s="68">
        <f>ROUND(SUM(E26+E27+E28+E29),1)</f>
        <v>4049</v>
      </c>
      <c r="F30" s="62"/>
      <c r="G30" s="68">
        <f>ROUND(SUM(G26+G27+G28+G29),1)</f>
        <v>6382.8</v>
      </c>
      <c r="H30" s="62"/>
      <c r="I30" s="68">
        <f>ROUND(SUM(I26+I27+I28+I29),1)</f>
        <v>4782.8</v>
      </c>
      <c r="J30" s="62"/>
      <c r="K30" s="68">
        <f>ROUND(SUM(K26+K27+K28+K29),1)</f>
        <v>0</v>
      </c>
      <c r="L30" s="62"/>
      <c r="M30" s="68">
        <f>ROUND(SUM(M26+M27+M28+M29),1)</f>
        <v>0</v>
      </c>
      <c r="N30" s="62"/>
      <c r="O30" s="68">
        <f>ROUND(SUM(O26+O27+O28+O29),1)</f>
        <v>0</v>
      </c>
      <c r="P30" s="62"/>
      <c r="Q30" s="68">
        <f>ROUND(SUM(Q26+Q27+Q28+Q29),1)</f>
        <v>0</v>
      </c>
      <c r="R30" s="62"/>
      <c r="S30" s="68">
        <f>ROUND(SUM(S26+S27+S28+S29),1)</f>
        <v>0</v>
      </c>
      <c r="T30" s="62"/>
      <c r="U30" s="68">
        <f>ROUND(SUM(U26+U27+U28+U29),1)</f>
        <v>0</v>
      </c>
      <c r="V30" s="62"/>
      <c r="W30" s="68">
        <f>ROUND(SUM(W26+W27+W28+W29),1)</f>
        <v>0</v>
      </c>
      <c r="X30" s="62"/>
      <c r="Y30" s="68">
        <f>ROUND(SUM(Y26+Y27+Y28+Y29),1)</f>
        <v>0</v>
      </c>
      <c r="Z30" s="62"/>
      <c r="AA30" s="390"/>
      <c r="AB30" s="68">
        <f>ROUND(SUM(AB26+AB27+AB28+AB29),1)</f>
        <v>25669</v>
      </c>
      <c r="AC30" s="62"/>
      <c r="AD30" s="857"/>
      <c r="AE30" s="68">
        <f>ROUND(SUM(AE26+AE27+AE28+AE29),1)</f>
        <v>23705.8</v>
      </c>
      <c r="AF30" s="62"/>
      <c r="AG30" s="1530"/>
      <c r="AH30" s="68">
        <f>ROUND(SUM(AH26+AH27+AH28-AH29),1)</f>
        <v>1963.2</v>
      </c>
      <c r="AI30" s="321"/>
      <c r="AJ30" s="416">
        <f>ROUND(SUM(+AH30/ABS(AE30)),3)</f>
        <v>8.3000000000000004E-2</v>
      </c>
    </row>
    <row r="31" spans="1:36" ht="15.5">
      <c r="A31" s="412" t="s">
        <v>354</v>
      </c>
      <c r="B31" s="62"/>
      <c r="C31" s="62"/>
      <c r="D31" s="62"/>
      <c r="E31" s="62"/>
      <c r="F31" s="62"/>
      <c r="G31" s="62"/>
      <c r="H31" s="62"/>
      <c r="I31" s="62"/>
      <c r="J31" s="62"/>
      <c r="K31" s="62"/>
      <c r="L31" s="62"/>
      <c r="M31" s="62"/>
      <c r="N31" s="62"/>
      <c r="O31" s="62"/>
      <c r="P31" s="62"/>
      <c r="Q31" s="62"/>
      <c r="R31" s="62"/>
      <c r="S31" s="62"/>
      <c r="T31" s="62"/>
      <c r="U31" s="62"/>
      <c r="V31" s="62"/>
      <c r="W31" s="62"/>
      <c r="X31" s="62"/>
      <c r="Y31" s="62"/>
      <c r="Z31" s="62"/>
      <c r="AA31" s="390"/>
      <c r="AB31" s="62"/>
      <c r="AC31" s="62"/>
      <c r="AD31" s="857"/>
      <c r="AE31" s="194"/>
      <c r="AF31" s="62"/>
      <c r="AG31" s="1530"/>
      <c r="AH31" s="268"/>
      <c r="AI31" s="62"/>
      <c r="AJ31" s="268"/>
    </row>
    <row r="32" spans="1:36" ht="15.5">
      <c r="A32" s="284" t="s">
        <v>355</v>
      </c>
      <c r="B32" s="62"/>
      <c r="C32" s="194">
        <f>+'Exhibit F'!D29+'Exhibit H'!B20+'Exhibit G State'!D20</f>
        <v>1761.1</v>
      </c>
      <c r="D32" s="194"/>
      <c r="E32" s="194">
        <f>+'Exhibit F'!F29+'Exhibit H'!D20+'Exhibit G State'!F20</f>
        <v>1735.8</v>
      </c>
      <c r="F32" s="194"/>
      <c r="G32" s="194">
        <f>+'Exhibit F'!H29+'Exhibit H'!F20+'Exhibit G State'!H20</f>
        <v>2178.2999999999997</v>
      </c>
      <c r="H32" s="194"/>
      <c r="I32" s="194">
        <f>+'Exhibit F'!J29+'Exhibit H'!H20+'Exhibit G State'!J20</f>
        <v>1912.3000000000004</v>
      </c>
      <c r="J32" s="194"/>
      <c r="K32" s="194"/>
      <c r="L32" s="62"/>
      <c r="M32" s="194"/>
      <c r="N32" s="62"/>
      <c r="O32" s="194"/>
      <c r="P32" s="62"/>
      <c r="Q32" s="194"/>
      <c r="R32" s="194"/>
      <c r="S32" s="194"/>
      <c r="T32" s="194"/>
      <c r="U32" s="194"/>
      <c r="V32" s="194"/>
      <c r="W32" s="194"/>
      <c r="X32" s="194"/>
      <c r="Y32" s="194"/>
      <c r="Z32" s="62"/>
      <c r="AA32" s="390"/>
      <c r="AB32" s="194">
        <f t="shared" ref="AB32:AB39" si="3">ROUND(SUM(C32:Y32),1)</f>
        <v>7587.5</v>
      </c>
      <c r="AC32" s="62"/>
      <c r="AD32" s="857"/>
      <c r="AE32" s="194">
        <f>+'Exhibit F'!AF29+'Exhibit H'!AD20+'Exhibit G State'!AF20</f>
        <v>6943.7999999999993</v>
      </c>
      <c r="AF32" s="62"/>
      <c r="AG32" s="1530"/>
      <c r="AH32" s="264">
        <f t="shared" ref="AH32:AH39" si="4">ROUND(SUM(+AB32-AE32),1)</f>
        <v>643.70000000000005</v>
      </c>
      <c r="AI32" s="63"/>
      <c r="AJ32" s="283">
        <f>ROUND(SUM(+AH32/ABS(AE32)),3)</f>
        <v>9.2999999999999999E-2</v>
      </c>
    </row>
    <row r="33" spans="1:36" ht="15.5">
      <c r="A33" s="284" t="s">
        <v>356</v>
      </c>
      <c r="B33" s="62"/>
      <c r="C33" s="194">
        <f>+'Exhibit F'!D30+'Exhibit G State'!D21</f>
        <v>1.7</v>
      </c>
      <c r="D33" s="194"/>
      <c r="E33" s="194">
        <f>+'Exhibit F'!F30+'Exhibit G State'!F21</f>
        <v>0</v>
      </c>
      <c r="F33" s="194"/>
      <c r="G33" s="194">
        <f>+'Exhibit F'!H30+'Exhibit G State'!H21</f>
        <v>9</v>
      </c>
      <c r="H33" s="194"/>
      <c r="I33" s="194">
        <f>+'Exhibit F'!J30+'Exhibit G State'!J21</f>
        <v>0</v>
      </c>
      <c r="J33" s="194"/>
      <c r="K33" s="194"/>
      <c r="L33" s="62"/>
      <c r="M33" s="194"/>
      <c r="N33" s="62"/>
      <c r="O33" s="194"/>
      <c r="P33" s="62"/>
      <c r="Q33" s="194"/>
      <c r="R33" s="194"/>
      <c r="S33" s="194"/>
      <c r="T33" s="194"/>
      <c r="U33" s="194"/>
      <c r="V33" s="194"/>
      <c r="W33" s="194"/>
      <c r="X33" s="194"/>
      <c r="Y33" s="194"/>
      <c r="Z33" s="62"/>
      <c r="AA33" s="390"/>
      <c r="AB33" s="194">
        <f t="shared" si="3"/>
        <v>10.7</v>
      </c>
      <c r="AC33" s="62"/>
      <c r="AD33" s="857"/>
      <c r="AE33" s="194">
        <f>+'Exhibit F'!AF30+'Exhibit G State'!AF21</f>
        <v>14</v>
      </c>
      <c r="AF33" s="62"/>
      <c r="AG33" s="1530"/>
      <c r="AH33" s="264">
        <f t="shared" si="4"/>
        <v>-3.3</v>
      </c>
      <c r="AI33" s="63"/>
      <c r="AJ33" s="542">
        <f>ROUND(IF(AE33=0,1,AH33/ABS(AE33)),3)</f>
        <v>-0.23599999999999999</v>
      </c>
    </row>
    <row r="34" spans="1:36" ht="15.5">
      <c r="A34" s="284" t="s">
        <v>357</v>
      </c>
      <c r="B34" s="62"/>
      <c r="C34" s="194">
        <f>+'Exhibit F'!D31+'Exhibit G State'!D22</f>
        <v>75.89</v>
      </c>
      <c r="D34" s="194"/>
      <c r="E34" s="194">
        <f>+'Exhibit F'!F31+'Exhibit G State'!F22</f>
        <v>55.31</v>
      </c>
      <c r="F34" s="194"/>
      <c r="G34" s="194">
        <f>+'Exhibit F'!H31+'Exhibit G State'!H22</f>
        <v>70.2</v>
      </c>
      <c r="H34" s="194"/>
      <c r="I34" s="194">
        <f>+'Exhibit F'!J31+'Exhibit G State'!J22</f>
        <v>64.600000000000023</v>
      </c>
      <c r="J34" s="194"/>
      <c r="K34" s="194"/>
      <c r="L34" s="62"/>
      <c r="M34" s="194"/>
      <c r="N34" s="62"/>
      <c r="O34" s="194"/>
      <c r="P34" s="62"/>
      <c r="Q34" s="194"/>
      <c r="R34" s="194"/>
      <c r="S34" s="194"/>
      <c r="T34" s="194"/>
      <c r="U34" s="194"/>
      <c r="V34" s="194"/>
      <c r="W34" s="194"/>
      <c r="X34" s="194"/>
      <c r="Y34" s="194"/>
      <c r="Z34" s="62"/>
      <c r="AA34" s="390"/>
      <c r="AB34" s="194">
        <f t="shared" si="3"/>
        <v>266</v>
      </c>
      <c r="AC34" s="62"/>
      <c r="AD34" s="857"/>
      <c r="AE34" s="194">
        <f>+'Exhibit F'!AF31+'Exhibit G State'!AF22</f>
        <v>279.89999999999998</v>
      </c>
      <c r="AF34" s="62"/>
      <c r="AG34" s="1530"/>
      <c r="AH34" s="264">
        <f t="shared" si="4"/>
        <v>-13.9</v>
      </c>
      <c r="AI34" s="63"/>
      <c r="AJ34" s="283">
        <f>ROUND(SUM(+AH34/ABS(AE34)),3)</f>
        <v>-0.05</v>
      </c>
    </row>
    <row r="35" spans="1:36" ht="15.5">
      <c r="A35" s="284" t="s">
        <v>436</v>
      </c>
      <c r="B35" s="62"/>
      <c r="C35" s="194">
        <f>'Exhibit G State'!D23</f>
        <v>4.4000000000000004</v>
      </c>
      <c r="D35" s="194"/>
      <c r="E35" s="194">
        <f>'Exhibit G State'!F23</f>
        <v>1.5999999999999996</v>
      </c>
      <c r="F35" s="194"/>
      <c r="G35" s="194">
        <f>'Exhibit G State'!H23</f>
        <v>53.1</v>
      </c>
      <c r="H35" s="194"/>
      <c r="I35" s="194">
        <f>'Exhibit G State'!J23</f>
        <v>4.1999999999999957</v>
      </c>
      <c r="J35" s="194"/>
      <c r="K35" s="194"/>
      <c r="L35" s="62"/>
      <c r="M35" s="194"/>
      <c r="N35" s="62"/>
      <c r="O35" s="194"/>
      <c r="P35" s="62"/>
      <c r="Q35" s="194"/>
      <c r="R35" s="194"/>
      <c r="S35" s="194"/>
      <c r="T35" s="194"/>
      <c r="U35" s="194"/>
      <c r="V35" s="194"/>
      <c r="W35" s="194"/>
      <c r="X35" s="194"/>
      <c r="Y35" s="194"/>
      <c r="Z35" s="62"/>
      <c r="AA35" s="390"/>
      <c r="AB35" s="194">
        <f t="shared" si="3"/>
        <v>63.3</v>
      </c>
      <c r="AC35" s="62"/>
      <c r="AD35" s="857"/>
      <c r="AE35" s="194">
        <f>'Exhibit G State'!AF23</f>
        <v>38.9</v>
      </c>
      <c r="AF35" s="62"/>
      <c r="AG35" s="1530"/>
      <c r="AH35" s="264">
        <f>ROUND(SUM(+AB35-AE35),1)</f>
        <v>24.4</v>
      </c>
      <c r="AI35" s="63"/>
      <c r="AJ35" s="266">
        <f>ROUND(IF(AE35=0,1,AH35/ABS(AE35)),3)</f>
        <v>0.627</v>
      </c>
    </row>
    <row r="36" spans="1:36" ht="15.5">
      <c r="A36" s="284" t="s">
        <v>359</v>
      </c>
      <c r="B36" s="62"/>
      <c r="C36" s="194">
        <f>+'Exhibit F'!D32+'Exhibit G State'!D24</f>
        <v>7.8</v>
      </c>
      <c r="D36" s="194"/>
      <c r="E36" s="194">
        <f>+'Exhibit F'!F32+'Exhibit G State'!F24</f>
        <v>8.6999999999999993</v>
      </c>
      <c r="F36" s="194"/>
      <c r="G36" s="194">
        <f>+'Exhibit F'!H32+'Exhibit G State'!H24</f>
        <v>9.5</v>
      </c>
      <c r="H36" s="194"/>
      <c r="I36" s="194">
        <f>+'Exhibit F'!J32+'Exhibit G State'!J24</f>
        <v>9</v>
      </c>
      <c r="J36" s="194"/>
      <c r="K36" s="194"/>
      <c r="L36" s="62"/>
      <c r="M36" s="194"/>
      <c r="N36" s="62"/>
      <c r="O36" s="194"/>
      <c r="P36" s="62"/>
      <c r="Q36" s="194"/>
      <c r="R36" s="194"/>
      <c r="S36" s="194"/>
      <c r="T36" s="194"/>
      <c r="U36" s="194"/>
      <c r="V36" s="194"/>
      <c r="W36" s="194"/>
      <c r="X36" s="194"/>
      <c r="Y36" s="194"/>
      <c r="Z36" s="62"/>
      <c r="AA36" s="390"/>
      <c r="AB36" s="194">
        <f t="shared" si="3"/>
        <v>35</v>
      </c>
      <c r="AC36" s="62"/>
      <c r="AD36" s="857"/>
      <c r="AE36" s="194">
        <f>+'Exhibit F'!AF32+'Exhibit G State'!AF24</f>
        <v>34.4</v>
      </c>
      <c r="AF36" s="62"/>
      <c r="AG36" s="1530"/>
      <c r="AH36" s="264">
        <f t="shared" si="4"/>
        <v>0.6</v>
      </c>
      <c r="AI36" s="63"/>
      <c r="AJ36" s="283">
        <f>ROUND(SUM(+AH36/ABS(AE36)),3)</f>
        <v>1.7000000000000001E-2</v>
      </c>
    </row>
    <row r="37" spans="1:36" ht="15.5">
      <c r="A37" s="421" t="s">
        <v>360</v>
      </c>
      <c r="B37" s="62"/>
      <c r="C37" s="194">
        <f>+'Exhibit F'!D33+'Exhibit G State'!D25</f>
        <v>-0.4</v>
      </c>
      <c r="D37" s="194"/>
      <c r="E37" s="194">
        <f>+'Exhibit F'!F33+'Exhibit G State'!F25</f>
        <v>0</v>
      </c>
      <c r="F37" s="194"/>
      <c r="G37" s="194">
        <f>+'Exhibit F'!H33+'Exhibit G State'!H25</f>
        <v>0.10000000000000003</v>
      </c>
      <c r="H37" s="194"/>
      <c r="I37" s="194">
        <f>+'Exhibit F'!J33+'Exhibit G State'!J25</f>
        <v>0</v>
      </c>
      <c r="J37" s="194"/>
      <c r="K37" s="194"/>
      <c r="L37" s="62"/>
      <c r="M37" s="194"/>
      <c r="N37" s="62"/>
      <c r="O37" s="194"/>
      <c r="P37" s="62"/>
      <c r="Q37" s="194"/>
      <c r="R37" s="194"/>
      <c r="S37" s="194"/>
      <c r="T37" s="194"/>
      <c r="U37" s="194"/>
      <c r="V37" s="194"/>
      <c r="W37" s="194"/>
      <c r="X37" s="194"/>
      <c r="Y37" s="194"/>
      <c r="Z37" s="62"/>
      <c r="AA37" s="193"/>
      <c r="AB37" s="194">
        <f t="shared" si="3"/>
        <v>-0.3</v>
      </c>
      <c r="AC37" s="62"/>
      <c r="AD37" s="857"/>
      <c r="AE37" s="194">
        <f>+'Exhibit F'!AF33+'Exhibit G State'!AF25</f>
        <v>0.30000000000000004</v>
      </c>
      <c r="AF37" s="62"/>
      <c r="AG37" s="1530"/>
      <c r="AH37" s="264">
        <f t="shared" si="4"/>
        <v>-0.6</v>
      </c>
      <c r="AI37" s="63"/>
      <c r="AJ37" s="374">
        <f>ROUND(IF(AE37=0,1,AH37/ABS(AE37)),3)</f>
        <v>-2</v>
      </c>
    </row>
    <row r="38" spans="1:36" ht="15.5">
      <c r="A38" s="284" t="s">
        <v>361</v>
      </c>
      <c r="B38" s="62"/>
      <c r="C38" s="194">
        <f>+'Exhibit F'!D34+'Exhibit G State'!D26</f>
        <v>22.1</v>
      </c>
      <c r="D38" s="194"/>
      <c r="E38" s="194">
        <f>+'Exhibit F'!F34+'Exhibit G State'!F26</f>
        <v>22.1</v>
      </c>
      <c r="F38" s="194"/>
      <c r="G38" s="194">
        <f>+'Exhibit F'!H34+'Exhibit G State'!H26</f>
        <v>23.700000000000003</v>
      </c>
      <c r="H38" s="194"/>
      <c r="I38" s="194">
        <f>+'Exhibit F'!J34+'Exhibit G State'!J26</f>
        <v>30.199999999999989</v>
      </c>
      <c r="J38" s="194"/>
      <c r="K38" s="194"/>
      <c r="L38" s="62"/>
      <c r="M38" s="194"/>
      <c r="N38" s="62"/>
      <c r="O38" s="194"/>
      <c r="P38" s="62"/>
      <c r="Q38" s="194"/>
      <c r="R38" s="194"/>
      <c r="S38" s="194"/>
      <c r="T38" s="194"/>
      <c r="U38" s="194"/>
      <c r="V38" s="194"/>
      <c r="W38" s="194"/>
      <c r="X38" s="194"/>
      <c r="Y38" s="194"/>
      <c r="Z38" s="62"/>
      <c r="AA38" s="390"/>
      <c r="AB38" s="194">
        <f t="shared" si="3"/>
        <v>98.1</v>
      </c>
      <c r="AC38" s="62"/>
      <c r="AD38" s="857"/>
      <c r="AE38" s="194">
        <f>+'Exhibit F'!AF34+'Exhibit G State'!AF26</f>
        <v>91.8</v>
      </c>
      <c r="AF38" s="62"/>
      <c r="AG38" s="1530"/>
      <c r="AH38" s="264">
        <f t="shared" si="4"/>
        <v>6.3</v>
      </c>
      <c r="AI38" s="63"/>
      <c r="AJ38" s="542">
        <f t="shared" ref="AJ38" si="5">ROUND(IF(AE38=0,1,AH38/ABS(AE38)),3)</f>
        <v>6.9000000000000006E-2</v>
      </c>
    </row>
    <row r="39" spans="1:36" ht="15.5">
      <c r="A39" s="284" t="s">
        <v>362</v>
      </c>
      <c r="B39" s="62"/>
      <c r="C39" s="194">
        <f>+'Exhibit F'!D35+'Exhibit G State'!D27</f>
        <v>0</v>
      </c>
      <c r="D39" s="194"/>
      <c r="E39" s="194">
        <f>+'Exhibit F'!F35+'Exhibit G State'!F27</f>
        <v>0.1</v>
      </c>
      <c r="F39" s="194"/>
      <c r="G39" s="194">
        <f>+'Exhibit F'!H35+'Exhibit G State'!H27</f>
        <v>0</v>
      </c>
      <c r="H39" s="194"/>
      <c r="I39" s="194">
        <f>+'Exhibit F'!J35+'Exhibit G State'!J27</f>
        <v>9.9999999999999978E-2</v>
      </c>
      <c r="J39" s="194"/>
      <c r="K39" s="194"/>
      <c r="L39" s="62"/>
      <c r="M39" s="194"/>
      <c r="N39" s="62"/>
      <c r="O39" s="194"/>
      <c r="P39" s="62"/>
      <c r="Q39" s="194"/>
      <c r="R39" s="194"/>
      <c r="S39" s="194"/>
      <c r="T39" s="194"/>
      <c r="U39" s="194"/>
      <c r="V39" s="194"/>
      <c r="W39" s="194"/>
      <c r="X39" s="194"/>
      <c r="Y39" s="194"/>
      <c r="Z39" s="62"/>
      <c r="AA39" s="390"/>
      <c r="AB39" s="194">
        <f t="shared" si="3"/>
        <v>0.2</v>
      </c>
      <c r="AC39" s="62"/>
      <c r="AD39" s="857"/>
      <c r="AE39" s="194">
        <f>+'Exhibit F'!AF35+'Exhibit G State'!AF27</f>
        <v>0.2</v>
      </c>
      <c r="AF39" s="62"/>
      <c r="AG39" s="1530"/>
      <c r="AH39" s="264">
        <f t="shared" si="4"/>
        <v>0</v>
      </c>
      <c r="AI39" s="63"/>
      <c r="AJ39" s="542">
        <f>ROUND(IF(AE39=0,1,AH39/ABS(AE39)),3)</f>
        <v>0</v>
      </c>
    </row>
    <row r="40" spans="1:36" ht="15.5">
      <c r="A40" s="284" t="s">
        <v>437</v>
      </c>
      <c r="B40" s="62"/>
      <c r="C40" s="194">
        <f>'Exhibit F'!D36+'Exhibit G'!D28</f>
        <v>0.3</v>
      </c>
      <c r="D40" s="194"/>
      <c r="E40" s="194">
        <f>'Exhibit F'!F36+'Exhibit G'!F28</f>
        <v>0</v>
      </c>
      <c r="F40" s="194"/>
      <c r="G40" s="194">
        <f>'Exhibit F'!H36+'Exhibit G'!H28</f>
        <v>4.6000000000000005</v>
      </c>
      <c r="H40" s="194"/>
      <c r="I40" s="194">
        <f>'Exhibit F'!J36+'Exhibit G'!J28</f>
        <v>9.9999999999999478E-2</v>
      </c>
      <c r="J40" s="194"/>
      <c r="K40" s="194"/>
      <c r="L40" s="62"/>
      <c r="M40" s="194"/>
      <c r="N40" s="62"/>
      <c r="O40" s="194"/>
      <c r="P40" s="62"/>
      <c r="Q40" s="194"/>
      <c r="R40" s="194"/>
      <c r="S40" s="194"/>
      <c r="T40" s="194"/>
      <c r="U40" s="194"/>
      <c r="V40" s="194"/>
      <c r="W40" s="194"/>
      <c r="X40" s="194"/>
      <c r="Y40" s="194"/>
      <c r="Z40" s="62"/>
      <c r="AA40" s="390"/>
      <c r="AB40" s="194">
        <f>ROUND(SUM(C40:Y40),1)</f>
        <v>5</v>
      </c>
      <c r="AC40" s="62"/>
      <c r="AD40" s="857"/>
      <c r="AE40" s="194">
        <f>+'Exhibit F'!AF36+'Exhibit G State'!AF28</f>
        <v>5</v>
      </c>
      <c r="AF40" s="62"/>
      <c r="AG40" s="1530"/>
      <c r="AH40" s="264">
        <f>ROUND(SUM(+AB40-AE40),1)</f>
        <v>0</v>
      </c>
      <c r="AI40" s="63"/>
      <c r="AJ40" s="542">
        <f>ROUND(IF(AE40=0,1,AH40/ABS(AE40)),3)</f>
        <v>0</v>
      </c>
    </row>
    <row r="41" spans="1:36" ht="15.5">
      <c r="A41" s="284" t="s">
        <v>364</v>
      </c>
      <c r="B41" s="62"/>
      <c r="C41" s="194">
        <f>'Exhibit F'!D37</f>
        <v>4.5999999999999996</v>
      </c>
      <c r="D41" s="194"/>
      <c r="E41" s="194">
        <f>'Exhibit F'!F37</f>
        <v>0</v>
      </c>
      <c r="F41" s="194"/>
      <c r="G41" s="194">
        <f>'Exhibit F'!H37</f>
        <v>0</v>
      </c>
      <c r="H41" s="194"/>
      <c r="I41" s="194">
        <f>'Exhibit F'!J37</f>
        <v>4.7000000000000011</v>
      </c>
      <c r="J41" s="194"/>
      <c r="K41" s="194"/>
      <c r="L41" s="62"/>
      <c r="M41" s="194"/>
      <c r="N41" s="62"/>
      <c r="O41" s="194"/>
      <c r="P41" s="62"/>
      <c r="Q41" s="194"/>
      <c r="R41" s="194"/>
      <c r="S41" s="194"/>
      <c r="T41" s="194"/>
      <c r="U41" s="194"/>
      <c r="V41" s="194"/>
      <c r="W41" s="194"/>
      <c r="X41" s="194"/>
      <c r="Y41" s="194"/>
      <c r="Z41" s="62"/>
      <c r="AA41" s="390"/>
      <c r="AB41" s="194">
        <f t="shared" ref="AB41" si="6">ROUND(SUM(C41:Y41),1)</f>
        <v>9.3000000000000007</v>
      </c>
      <c r="AC41" s="62"/>
      <c r="AD41" s="857"/>
      <c r="AE41" s="194">
        <f>+'Exhibit F'!AF37</f>
        <v>12.1</v>
      </c>
      <c r="AF41" s="62"/>
      <c r="AG41" s="1530"/>
      <c r="AH41" s="264">
        <f t="shared" ref="AH41" si="7">ROUND(SUM(+AB41-AE41),1)</f>
        <v>-2.8</v>
      </c>
      <c r="AI41" s="63"/>
      <c r="AJ41" s="542">
        <f>ROUND(IF(AE41=0,1,AH41/ABS(AE41)),3)</f>
        <v>-0.23100000000000001</v>
      </c>
    </row>
    <row r="42" spans="1:36" ht="15.5">
      <c r="A42" s="83" t="s">
        <v>365</v>
      </c>
      <c r="B42" s="62"/>
      <c r="C42" s="68">
        <f>ROUND(SUM(C32:C41),1)</f>
        <v>1877.5</v>
      </c>
      <c r="D42" s="62"/>
      <c r="E42" s="68">
        <f>ROUND(SUM(E32:E41),1)</f>
        <v>1823.6</v>
      </c>
      <c r="F42" s="62"/>
      <c r="G42" s="68">
        <f>ROUND(SUM(G32:G41),1)</f>
        <v>2348.5</v>
      </c>
      <c r="H42" s="62"/>
      <c r="I42" s="68">
        <f>ROUND(SUM(I32:I41),1)</f>
        <v>2025.2</v>
      </c>
      <c r="J42" s="62"/>
      <c r="K42" s="68">
        <f>ROUND(SUM(K32:K41),1)</f>
        <v>0</v>
      </c>
      <c r="L42" s="62"/>
      <c r="M42" s="68">
        <f>ROUND(SUM(M32:M41),1)</f>
        <v>0</v>
      </c>
      <c r="N42" s="62"/>
      <c r="O42" s="68">
        <f>ROUND(SUM(O32:O41),1)</f>
        <v>0</v>
      </c>
      <c r="P42" s="62"/>
      <c r="Q42" s="68">
        <f>ROUND(SUM(Q32:Q41),1)</f>
        <v>0</v>
      </c>
      <c r="R42" s="62"/>
      <c r="S42" s="68">
        <f>ROUND(SUM(S32:S41),1)</f>
        <v>0</v>
      </c>
      <c r="T42" s="62"/>
      <c r="U42" s="68">
        <f>ROUND(SUM(U32:U41),1)</f>
        <v>0</v>
      </c>
      <c r="V42" s="62"/>
      <c r="W42" s="68">
        <f>ROUND(SUM(W32:W41),1)</f>
        <v>0</v>
      </c>
      <c r="X42" s="62"/>
      <c r="Y42" s="68">
        <f>ROUND(SUM(Y32:Y41),1)</f>
        <v>0</v>
      </c>
      <c r="Z42" s="62"/>
      <c r="AA42" s="390"/>
      <c r="AB42" s="68">
        <f>ROUND(SUM(AB32:AB41),1)</f>
        <v>8074.8</v>
      </c>
      <c r="AC42" s="62"/>
      <c r="AD42" s="857"/>
      <c r="AE42" s="68">
        <f>ROUND(SUM(AE32:AE41),1)</f>
        <v>7420.4</v>
      </c>
      <c r="AF42" s="62"/>
      <c r="AG42" s="1530"/>
      <c r="AH42" s="68">
        <f>ROUND(SUM(AH32:AH41),1)</f>
        <v>654.4</v>
      </c>
      <c r="AI42" s="321"/>
      <c r="AJ42" s="416">
        <f>ROUND(SUM(+AH42/ABS(AE42)),3)</f>
        <v>8.7999999999999995E-2</v>
      </c>
    </row>
    <row r="43" spans="1:36" ht="15.5">
      <c r="A43" s="412" t="s">
        <v>366</v>
      </c>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390"/>
      <c r="AB43" s="62"/>
      <c r="AC43" s="62"/>
      <c r="AD43" s="857"/>
      <c r="AE43" s="194"/>
      <c r="AF43" s="62"/>
      <c r="AG43" s="1530"/>
      <c r="AH43" s="268"/>
      <c r="AI43" s="62"/>
      <c r="AJ43" s="268"/>
    </row>
    <row r="44" spans="1:36" ht="15.5">
      <c r="A44" s="284" t="s">
        <v>367</v>
      </c>
      <c r="B44" s="62"/>
      <c r="C44" s="194">
        <f>+'Exhibit F'!D40+'Exhibit G State'!D31</f>
        <v>1054.3</v>
      </c>
      <c r="D44" s="194"/>
      <c r="E44" s="194">
        <f>+'Exhibit F'!F40+'Exhibit G State'!F31</f>
        <v>170.40000000000003</v>
      </c>
      <c r="F44" s="194"/>
      <c r="G44" s="194">
        <f>+'Exhibit F'!H40+'Exhibit G State'!H31</f>
        <v>2301.7000000000003</v>
      </c>
      <c r="H44" s="194"/>
      <c r="I44" s="194">
        <f>+'Exhibit F'!J40+'Exhibit G State'!J31</f>
        <v>174.09999999999951</v>
      </c>
      <c r="J44" s="194"/>
      <c r="K44" s="194"/>
      <c r="L44" s="194"/>
      <c r="M44" s="194"/>
      <c r="N44" s="62"/>
      <c r="O44" s="194"/>
      <c r="P44" s="62"/>
      <c r="Q44" s="194"/>
      <c r="R44" s="194"/>
      <c r="S44" s="194"/>
      <c r="T44" s="194"/>
      <c r="U44" s="194"/>
      <c r="V44" s="194"/>
      <c r="W44" s="194"/>
      <c r="X44" s="194"/>
      <c r="Y44" s="194"/>
      <c r="Z44" s="62"/>
      <c r="AA44" s="390"/>
      <c r="AB44" s="194">
        <f t="shared" ref="AB44:AB49" si="8">ROUND(SUM(C44:Y44),1)</f>
        <v>3700.5</v>
      </c>
      <c r="AC44" s="62"/>
      <c r="AD44" s="857"/>
      <c r="AE44" s="194">
        <f>+'Exhibit F'!AF40+'Exhibit G State'!AF31</f>
        <v>2813.8</v>
      </c>
      <c r="AF44" s="62"/>
      <c r="AG44" s="1530"/>
      <c r="AH44" s="264">
        <f t="shared" ref="AH44:AH56" si="9">ROUND(SUM(+AB44-AE44),1)</f>
        <v>886.7</v>
      </c>
      <c r="AI44" s="63"/>
      <c r="AJ44" s="283">
        <f t="shared" ref="AJ44:AJ50" si="10">ROUND(SUM(+AH44/ABS(AE44)),3)</f>
        <v>0.315</v>
      </c>
    </row>
    <row r="45" spans="1:36" ht="15.5">
      <c r="A45" s="284" t="s">
        <v>368</v>
      </c>
      <c r="B45" s="62"/>
      <c r="C45" s="194">
        <f>+'Exhibit G State'!D32+'Exhibit F'!D41</f>
        <v>43.2</v>
      </c>
      <c r="D45" s="194"/>
      <c r="E45" s="194">
        <f>+'Exhibit G State'!F32+'Exhibit F'!F41</f>
        <v>0.59999999999999964</v>
      </c>
      <c r="F45" s="194"/>
      <c r="G45" s="194">
        <f>+'Exhibit G State'!H32+'Exhibit F'!H41</f>
        <v>124.40000000000002</v>
      </c>
      <c r="H45" s="194"/>
      <c r="I45" s="194">
        <f>+'Exhibit G State'!J32+'Exhibit F'!J41</f>
        <v>2.7999999999999954</v>
      </c>
      <c r="J45" s="194"/>
      <c r="K45" s="194"/>
      <c r="L45" s="194"/>
      <c r="M45" s="194"/>
      <c r="N45" s="62"/>
      <c r="O45" s="194"/>
      <c r="P45" s="62"/>
      <c r="Q45" s="194"/>
      <c r="R45" s="194"/>
      <c r="S45" s="194"/>
      <c r="T45" s="194"/>
      <c r="U45" s="194"/>
      <c r="V45" s="194"/>
      <c r="W45" s="194"/>
      <c r="X45" s="194"/>
      <c r="Y45" s="194"/>
      <c r="Z45" s="62"/>
      <c r="AA45" s="390"/>
      <c r="AB45" s="194">
        <f t="shared" si="8"/>
        <v>171</v>
      </c>
      <c r="AC45" s="62"/>
      <c r="AD45" s="857"/>
      <c r="AE45" s="194">
        <f>+'Exhibit G State'!AF32+'Exhibit F'!AF41</f>
        <v>129.4</v>
      </c>
      <c r="AF45" s="62"/>
      <c r="AG45" s="1530"/>
      <c r="AH45" s="264">
        <f t="shared" si="9"/>
        <v>41.6</v>
      </c>
      <c r="AI45" s="63"/>
      <c r="AJ45" s="283">
        <f t="shared" si="10"/>
        <v>0.32100000000000001</v>
      </c>
    </row>
    <row r="46" spans="1:36" ht="15.5">
      <c r="A46" s="284" t="s">
        <v>369</v>
      </c>
      <c r="B46" s="62"/>
      <c r="C46" s="194">
        <f>+'Exhibit F'!D42+'Exhibit G State'!D33</f>
        <v>85.7</v>
      </c>
      <c r="D46" s="194"/>
      <c r="E46" s="194">
        <f>+'Exhibit F'!F42+'Exhibit G State'!F33</f>
        <v>38</v>
      </c>
      <c r="F46" s="194"/>
      <c r="G46" s="194">
        <f>+'Exhibit F'!H42+'Exhibit G State'!H33</f>
        <v>462.6</v>
      </c>
      <c r="H46" s="194"/>
      <c r="I46" s="194">
        <f>+'Exhibit F'!J42+'Exhibit G State'!J33</f>
        <v>-0.49999999999996625</v>
      </c>
      <c r="J46" s="194"/>
      <c r="K46" s="194"/>
      <c r="L46" s="194"/>
      <c r="M46" s="194"/>
      <c r="N46" s="62"/>
      <c r="O46" s="194"/>
      <c r="P46" s="62"/>
      <c r="Q46" s="194"/>
      <c r="R46" s="194"/>
      <c r="S46" s="194"/>
      <c r="T46" s="194"/>
      <c r="U46" s="194"/>
      <c r="V46" s="194"/>
      <c r="W46" s="194"/>
      <c r="X46" s="194"/>
      <c r="Y46" s="194"/>
      <c r="Z46" s="62"/>
      <c r="AA46" s="390"/>
      <c r="AB46" s="194">
        <f t="shared" si="8"/>
        <v>585.79999999999995</v>
      </c>
      <c r="AC46" s="62"/>
      <c r="AD46" s="857"/>
      <c r="AE46" s="194">
        <f>+'Exhibit F'!AF42+'Exhibit G State'!AF33</f>
        <v>564.1</v>
      </c>
      <c r="AF46" s="62"/>
      <c r="AG46" s="1530"/>
      <c r="AH46" s="264">
        <f t="shared" si="9"/>
        <v>21.7</v>
      </c>
      <c r="AI46" s="63"/>
      <c r="AJ46" s="283">
        <f t="shared" si="10"/>
        <v>3.7999999999999999E-2</v>
      </c>
    </row>
    <row r="47" spans="1:36" ht="15.5">
      <c r="A47" s="284" t="s">
        <v>370</v>
      </c>
      <c r="B47" s="62"/>
      <c r="C47" s="194">
        <f>+'Exhibit F'!D43+'Exhibit G State'!D34</f>
        <v>21.9</v>
      </c>
      <c r="D47" s="194"/>
      <c r="E47" s="194">
        <f>+'Exhibit F'!F43+'Exhibit G State'!F34</f>
        <v>0</v>
      </c>
      <c r="F47" s="194"/>
      <c r="G47" s="194">
        <f>+'Exhibit F'!H43+'Exhibit G State'!H34</f>
        <v>0</v>
      </c>
      <c r="H47" s="194"/>
      <c r="I47" s="194">
        <f>+'Exhibit F'!J43+'Exhibit G State'!J34</f>
        <v>0</v>
      </c>
      <c r="J47" s="194"/>
      <c r="K47" s="194"/>
      <c r="L47" s="194"/>
      <c r="M47" s="194"/>
      <c r="N47" s="62"/>
      <c r="O47" s="194"/>
      <c r="P47" s="62"/>
      <c r="Q47" s="194"/>
      <c r="R47" s="194"/>
      <c r="S47" s="194"/>
      <c r="T47" s="194"/>
      <c r="U47" s="194"/>
      <c r="V47" s="194"/>
      <c r="W47" s="194"/>
      <c r="X47" s="194"/>
      <c r="Y47" s="194"/>
      <c r="Z47" s="62"/>
      <c r="AA47" s="390"/>
      <c r="AB47" s="194">
        <f t="shared" si="8"/>
        <v>21.9</v>
      </c>
      <c r="AC47" s="62"/>
      <c r="AD47" s="857"/>
      <c r="AE47" s="194">
        <f>+'Exhibit F'!AF43+'Exhibit G State'!AF34</f>
        <v>-15.200000000000001</v>
      </c>
      <c r="AF47" s="62"/>
      <c r="AG47" s="1530"/>
      <c r="AH47" s="264">
        <f t="shared" si="9"/>
        <v>37.1</v>
      </c>
      <c r="AI47" s="63"/>
      <c r="AJ47" s="542">
        <f>ROUND(IF(AE47=0,1,AH47/ABS(AE47)),3)</f>
        <v>2.4409999999999998</v>
      </c>
    </row>
    <row r="48" spans="1:36" ht="15.5">
      <c r="A48" s="284" t="s">
        <v>371</v>
      </c>
      <c r="B48" s="62"/>
      <c r="C48" s="194">
        <f>+'Exhibit F'!D44+'Exhibit H'!B23</f>
        <v>48.8</v>
      </c>
      <c r="D48" s="194"/>
      <c r="E48" s="194">
        <f>+'Exhibit F'!F44+'Exhibit H'!D23</f>
        <v>236.2</v>
      </c>
      <c r="F48" s="194"/>
      <c r="G48" s="194">
        <f>+'Exhibit F'!H44+'Exhibit H'!F23</f>
        <v>4585.8999999999996</v>
      </c>
      <c r="H48" s="194"/>
      <c r="I48" s="194">
        <f>+'Exhibit F'!J44+'Exhibit H'!H23</f>
        <v>21.499999999999552</v>
      </c>
      <c r="J48" s="194"/>
      <c r="K48" s="194"/>
      <c r="L48" s="194"/>
      <c r="M48" s="194"/>
      <c r="N48" s="62"/>
      <c r="O48" s="194"/>
      <c r="P48" s="62"/>
      <c r="Q48" s="194"/>
      <c r="R48" s="194"/>
      <c r="S48" s="194"/>
      <c r="T48" s="194"/>
      <c r="U48" s="194"/>
      <c r="V48" s="194"/>
      <c r="W48" s="194"/>
      <c r="X48" s="194"/>
      <c r="Y48" s="194"/>
      <c r="Z48" s="62"/>
      <c r="AA48" s="390"/>
      <c r="AB48" s="194">
        <f t="shared" si="8"/>
        <v>4892.3999999999996</v>
      </c>
      <c r="AC48" s="62"/>
      <c r="AD48" s="857"/>
      <c r="AE48" s="194">
        <f>+'Exhibit F'!AF44+'Exhibit H'!AD23</f>
        <v>3913.4</v>
      </c>
      <c r="AF48" s="62"/>
      <c r="AG48" s="1530"/>
      <c r="AH48" s="264">
        <f t="shared" si="9"/>
        <v>979</v>
      </c>
      <c r="AI48" s="63"/>
      <c r="AJ48" s="266">
        <f>ROUND(IF(AE48=0,1,AH48/ABS(AE48)),3)</f>
        <v>0.25</v>
      </c>
    </row>
    <row r="49" spans="1:36" ht="15.5">
      <c r="A49" s="284" t="s">
        <v>372</v>
      </c>
      <c r="B49" s="62"/>
      <c r="C49" s="194">
        <f>+'Exhibit F'!D45+'Exhibit G State'!D35</f>
        <v>32.700000000000003</v>
      </c>
      <c r="D49" s="194"/>
      <c r="E49" s="194">
        <f>+'Exhibit F'!F45+'Exhibit G State'!F35</f>
        <v>34.399999999999991</v>
      </c>
      <c r="F49" s="194"/>
      <c r="G49" s="194">
        <f>+'Exhibit F'!H45+'Exhibit G State'!H35</f>
        <v>39.100000000000009</v>
      </c>
      <c r="H49" s="194"/>
      <c r="I49" s="194">
        <f>+'Exhibit F'!J45+'Exhibit G State'!J35</f>
        <v>43.600000000000009</v>
      </c>
      <c r="J49" s="194"/>
      <c r="K49" s="194"/>
      <c r="L49" s="194"/>
      <c r="M49" s="194"/>
      <c r="N49" s="62"/>
      <c r="O49" s="194"/>
      <c r="P49" s="62"/>
      <c r="Q49" s="194"/>
      <c r="R49" s="194"/>
      <c r="S49" s="194"/>
      <c r="T49" s="194"/>
      <c r="U49" s="194"/>
      <c r="V49" s="194"/>
      <c r="W49" s="194"/>
      <c r="X49" s="194"/>
      <c r="Y49" s="194"/>
      <c r="Z49" s="62"/>
      <c r="AA49" s="390"/>
      <c r="AB49" s="194">
        <f t="shared" si="8"/>
        <v>149.80000000000001</v>
      </c>
      <c r="AC49" s="62"/>
      <c r="AD49" s="857"/>
      <c r="AE49" s="194">
        <f>+'Exhibit F'!AF45+'Exhibit G State'!AF35</f>
        <v>149.69999999999999</v>
      </c>
      <c r="AF49" s="62"/>
      <c r="AG49" s="1530"/>
      <c r="AH49" s="264">
        <f t="shared" si="9"/>
        <v>0.1</v>
      </c>
      <c r="AI49" s="63"/>
      <c r="AJ49" s="283">
        <f t="shared" si="10"/>
        <v>1E-3</v>
      </c>
    </row>
    <row r="50" spans="1:36" ht="15.5">
      <c r="A50" s="83" t="s">
        <v>373</v>
      </c>
      <c r="B50" s="62"/>
      <c r="C50" s="68">
        <f>ROUND(SUM(C44:C49),1)</f>
        <v>1286.5999999999999</v>
      </c>
      <c r="D50" s="62"/>
      <c r="E50" s="68">
        <f>ROUND(SUM(E44:E49),1)</f>
        <v>479.6</v>
      </c>
      <c r="F50" s="62"/>
      <c r="G50" s="68">
        <f>ROUND(SUM(G44:G49),1)</f>
        <v>7513.7</v>
      </c>
      <c r="H50" s="62"/>
      <c r="I50" s="68">
        <f>ROUND(SUM(I44:I49),1)</f>
        <v>241.5</v>
      </c>
      <c r="J50" s="62"/>
      <c r="K50" s="68">
        <f>ROUND(SUM(K44:K49),1)</f>
        <v>0</v>
      </c>
      <c r="L50" s="62"/>
      <c r="M50" s="68">
        <f>ROUND(SUM(M44:M49),1)</f>
        <v>0</v>
      </c>
      <c r="N50" s="62"/>
      <c r="O50" s="68">
        <f>ROUND(SUM(O44:O49),1)</f>
        <v>0</v>
      </c>
      <c r="P50" s="62"/>
      <c r="Q50" s="68">
        <f>ROUND(SUM(Q44:Q49),1)</f>
        <v>0</v>
      </c>
      <c r="R50" s="62"/>
      <c r="S50" s="68">
        <f>ROUND(SUM(S44:S49),1)</f>
        <v>0</v>
      </c>
      <c r="T50" s="62"/>
      <c r="U50" s="68">
        <f>ROUND(SUM(U44:U49),1)</f>
        <v>0</v>
      </c>
      <c r="V50" s="62"/>
      <c r="W50" s="68">
        <f>ROUND(SUM(W44:W49),1)</f>
        <v>0</v>
      </c>
      <c r="X50" s="62"/>
      <c r="Y50" s="68">
        <f>ROUND(SUM(Y44:Y49),1)</f>
        <v>0</v>
      </c>
      <c r="Z50" s="62"/>
      <c r="AA50" s="390"/>
      <c r="AB50" s="68">
        <f>ROUND(SUM(AB44:AB49),1)</f>
        <v>9521.4</v>
      </c>
      <c r="AC50" s="62"/>
      <c r="AD50" s="857"/>
      <c r="AE50" s="68">
        <f>ROUND(SUM(AE44:AE49),1)</f>
        <v>7555.2</v>
      </c>
      <c r="AF50" s="62"/>
      <c r="AG50" s="1530"/>
      <c r="AH50" s="68">
        <f>ROUND(SUM(AH44:AH49),1)</f>
        <v>1966.2</v>
      </c>
      <c r="AI50" s="321"/>
      <c r="AJ50" s="416">
        <f t="shared" si="10"/>
        <v>0.26</v>
      </c>
    </row>
    <row r="51" spans="1:36" ht="15.5">
      <c r="A51" s="412" t="s">
        <v>374</v>
      </c>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390"/>
      <c r="AB51" s="62"/>
      <c r="AC51" s="62"/>
      <c r="AD51" s="857"/>
      <c r="AE51" s="194"/>
      <c r="AF51" s="62"/>
      <c r="AG51" s="1530"/>
      <c r="AH51" s="268"/>
      <c r="AI51" s="62"/>
      <c r="AJ51" s="268"/>
    </row>
    <row r="52" spans="1:36" ht="15.5">
      <c r="A52" s="284" t="s">
        <v>375</v>
      </c>
      <c r="B52" s="62"/>
      <c r="C52" s="194">
        <f>+'Exhibit F'!D48</f>
        <v>0</v>
      </c>
      <c r="D52" s="194"/>
      <c r="E52" s="194">
        <f>+'Exhibit F'!F48</f>
        <v>0</v>
      </c>
      <c r="F52" s="194"/>
      <c r="G52" s="194">
        <f>+'Exhibit F'!H48</f>
        <v>0</v>
      </c>
      <c r="H52" s="194"/>
      <c r="I52" s="194">
        <f>+'Exhibit F'!J48</f>
        <v>0</v>
      </c>
      <c r="J52" s="194"/>
      <c r="K52" s="194"/>
      <c r="L52" s="62"/>
      <c r="M52" s="194"/>
      <c r="N52" s="62"/>
      <c r="O52" s="194"/>
      <c r="P52" s="62"/>
      <c r="Q52" s="194"/>
      <c r="R52" s="194"/>
      <c r="S52" s="194"/>
      <c r="T52" s="194"/>
      <c r="U52" s="194"/>
      <c r="V52" s="194"/>
      <c r="W52" s="194"/>
      <c r="X52" s="194"/>
      <c r="Y52" s="194"/>
      <c r="Z52" s="62"/>
      <c r="AA52" s="390"/>
      <c r="AB52" s="194">
        <f t="shared" ref="AB52:AB56" si="11">ROUND(SUM(C52:Y52),1)</f>
        <v>0</v>
      </c>
      <c r="AC52" s="62"/>
      <c r="AD52" s="857"/>
      <c r="AE52" s="194">
        <f>+'Exhibit F'!AF48</f>
        <v>0</v>
      </c>
      <c r="AF52" s="62"/>
      <c r="AG52" s="1530"/>
      <c r="AH52" s="264">
        <f t="shared" si="9"/>
        <v>0</v>
      </c>
      <c r="AI52" s="62"/>
      <c r="AJ52" s="266">
        <f>ROUND(IF(AE52=0,0,AH52/ABS(AE52)),3)</f>
        <v>0</v>
      </c>
    </row>
    <row r="53" spans="1:36" ht="15.5">
      <c r="A53" s="284" t="s">
        <v>376</v>
      </c>
      <c r="B53" s="62"/>
      <c r="C53" s="194">
        <f>+'Exhibit F'!D49</f>
        <v>165.8</v>
      </c>
      <c r="D53" s="194"/>
      <c r="E53" s="194">
        <f>+'Exhibit F'!F49</f>
        <v>113.10000000000002</v>
      </c>
      <c r="F53" s="194"/>
      <c r="G53" s="194">
        <f>+'Exhibit F'!H49</f>
        <v>94.599999999999966</v>
      </c>
      <c r="H53" s="194"/>
      <c r="I53" s="194">
        <f>+'Exhibit F'!J49</f>
        <v>271.00000000000006</v>
      </c>
      <c r="J53" s="194"/>
      <c r="K53" s="194"/>
      <c r="L53" s="62"/>
      <c r="M53" s="194"/>
      <c r="N53" s="62"/>
      <c r="O53" s="194"/>
      <c r="P53" s="62"/>
      <c r="Q53" s="194"/>
      <c r="R53" s="194"/>
      <c r="S53" s="194"/>
      <c r="T53" s="194"/>
      <c r="U53" s="194"/>
      <c r="V53" s="194"/>
      <c r="W53" s="194"/>
      <c r="X53" s="194"/>
      <c r="Y53" s="194"/>
      <c r="Z53" s="62"/>
      <c r="AA53" s="390"/>
      <c r="AB53" s="194">
        <f t="shared" si="11"/>
        <v>644.5</v>
      </c>
      <c r="AC53" s="62"/>
      <c r="AD53" s="857"/>
      <c r="AE53" s="194">
        <f>+'Exhibit F'!AF49</f>
        <v>506.4</v>
      </c>
      <c r="AF53" s="62"/>
      <c r="AG53" s="1530"/>
      <c r="AH53" s="264">
        <f t="shared" si="9"/>
        <v>138.1</v>
      </c>
      <c r="AI53" s="62"/>
      <c r="AJ53" s="283">
        <f t="shared" ref="AJ53:AJ58" si="12">ROUND(SUM(+AH53/ABS(AE53)),3)</f>
        <v>0.27300000000000002</v>
      </c>
    </row>
    <row r="54" spans="1:36" ht="15.5">
      <c r="A54" s="284" t="s">
        <v>377</v>
      </c>
      <c r="B54" s="62"/>
      <c r="C54" s="194">
        <f>+'Exhibit F'!D50</f>
        <v>1</v>
      </c>
      <c r="D54" s="194"/>
      <c r="E54" s="194">
        <f>+'Exhibit F'!F50</f>
        <v>0.8</v>
      </c>
      <c r="F54" s="194"/>
      <c r="G54" s="194">
        <f>+'Exhibit F'!H50</f>
        <v>1.2000000000000002</v>
      </c>
      <c r="H54" s="194"/>
      <c r="I54" s="194">
        <f>+'Exhibit F'!J50</f>
        <v>1.4000000000000004</v>
      </c>
      <c r="J54" s="194"/>
      <c r="K54" s="194"/>
      <c r="L54" s="62"/>
      <c r="M54" s="194"/>
      <c r="N54" s="62"/>
      <c r="O54" s="194"/>
      <c r="P54" s="62"/>
      <c r="Q54" s="194"/>
      <c r="R54" s="194"/>
      <c r="S54" s="194"/>
      <c r="T54" s="194"/>
      <c r="U54" s="194"/>
      <c r="V54" s="194"/>
      <c r="W54" s="194"/>
      <c r="X54" s="194"/>
      <c r="Y54" s="194"/>
      <c r="Z54" s="62"/>
      <c r="AA54" s="390"/>
      <c r="AB54" s="194">
        <f t="shared" si="11"/>
        <v>4.4000000000000004</v>
      </c>
      <c r="AC54" s="62"/>
      <c r="AD54" s="857"/>
      <c r="AE54" s="194">
        <f>+'Exhibit F'!AF50</f>
        <v>4.9000000000000004</v>
      </c>
      <c r="AF54" s="62"/>
      <c r="AG54" s="1530"/>
      <c r="AH54" s="264">
        <f t="shared" si="9"/>
        <v>-0.5</v>
      </c>
      <c r="AI54" s="62"/>
      <c r="AJ54" s="283">
        <f t="shared" si="12"/>
        <v>-0.10199999999999999</v>
      </c>
    </row>
    <row r="55" spans="1:36" ht="15.5">
      <c r="A55" s="284" t="s">
        <v>378</v>
      </c>
      <c r="B55" s="62"/>
      <c r="C55" s="194">
        <f>+'Exhibit F'!D51+'Exhibit H'!B26</f>
        <v>118.6</v>
      </c>
      <c r="D55" s="194"/>
      <c r="E55" s="194">
        <f>+'Exhibit F'!F51+'Exhibit H'!D26</f>
        <v>104.70000000000002</v>
      </c>
      <c r="F55" s="194"/>
      <c r="G55" s="194">
        <f>+'Exhibit F'!H51+'Exhibit H'!F26</f>
        <v>98.099999999999966</v>
      </c>
      <c r="H55" s="194"/>
      <c r="I55" s="194">
        <f>+'Exhibit F'!J51+'Exhibit H'!H26</f>
        <v>114.19999999999999</v>
      </c>
      <c r="J55" s="194"/>
      <c r="K55" s="194"/>
      <c r="L55" s="62"/>
      <c r="M55" s="194"/>
      <c r="N55" s="62"/>
      <c r="O55" s="194"/>
      <c r="P55" s="62"/>
      <c r="Q55" s="194"/>
      <c r="R55" s="194"/>
      <c r="S55" s="194"/>
      <c r="T55" s="194"/>
      <c r="U55" s="194"/>
      <c r="V55" s="194"/>
      <c r="W55" s="194"/>
      <c r="X55" s="194"/>
      <c r="Y55" s="194"/>
      <c r="Z55" s="62"/>
      <c r="AA55" s="390"/>
      <c r="AB55" s="194">
        <f t="shared" si="11"/>
        <v>435.6</v>
      </c>
      <c r="AC55" s="62"/>
      <c r="AD55" s="857"/>
      <c r="AE55" s="194">
        <f>+'Exhibit F'!AF51+'Exhibit I State'!AG27+'Exhibit H'!AD26</f>
        <v>377.4</v>
      </c>
      <c r="AF55" s="62"/>
      <c r="AG55" s="1530"/>
      <c r="AH55" s="264">
        <f t="shared" si="9"/>
        <v>58.2</v>
      </c>
      <c r="AI55" s="62"/>
      <c r="AJ55" s="283">
        <f t="shared" si="12"/>
        <v>0.154</v>
      </c>
    </row>
    <row r="56" spans="1:36" ht="15.5">
      <c r="A56" s="284" t="s">
        <v>379</v>
      </c>
      <c r="B56" s="62"/>
      <c r="C56" s="194">
        <f>+'Exhibit F'!D52</f>
        <v>0.1</v>
      </c>
      <c r="D56" s="194"/>
      <c r="E56" s="194">
        <f>+'Exhibit F'!F52</f>
        <v>0</v>
      </c>
      <c r="F56" s="194"/>
      <c r="G56" s="194">
        <f>+'Exhibit F'!H52</f>
        <v>0</v>
      </c>
      <c r="H56" s="194"/>
      <c r="I56" s="194">
        <f>+'Exhibit F'!J52</f>
        <v>0</v>
      </c>
      <c r="J56" s="194"/>
      <c r="K56" s="194"/>
      <c r="L56" s="62"/>
      <c r="M56" s="194"/>
      <c r="N56" s="62"/>
      <c r="O56" s="194"/>
      <c r="P56" s="62"/>
      <c r="Q56" s="194"/>
      <c r="R56" s="194"/>
      <c r="S56" s="194"/>
      <c r="T56" s="194"/>
      <c r="U56" s="194"/>
      <c r="V56" s="194"/>
      <c r="W56" s="194"/>
      <c r="X56" s="194"/>
      <c r="Y56" s="194"/>
      <c r="Z56" s="62"/>
      <c r="AA56" s="390"/>
      <c r="AB56" s="194">
        <f t="shared" si="11"/>
        <v>0.1</v>
      </c>
      <c r="AC56" s="62"/>
      <c r="AD56" s="857"/>
      <c r="AE56" s="194">
        <f>+'Exhibit F'!AF52</f>
        <v>0.1</v>
      </c>
      <c r="AF56" s="62"/>
      <c r="AG56" s="1530"/>
      <c r="AH56" s="264">
        <f t="shared" si="9"/>
        <v>0</v>
      </c>
      <c r="AI56" s="62"/>
      <c r="AJ56" s="266">
        <f>ROUND(IF(AE56=0,1,AH56/ABS(AE56)),3)</f>
        <v>0</v>
      </c>
    </row>
    <row r="57" spans="1:36" ht="15.5">
      <c r="A57" s="420" t="s">
        <v>380</v>
      </c>
      <c r="B57" s="62"/>
      <c r="C57" s="194">
        <f>+'Exhibit F'!D53+'Exhibit H'!B27</f>
        <v>0.2</v>
      </c>
      <c r="D57" s="194"/>
      <c r="E57" s="194">
        <f>+'Exhibit F'!F53+'Exhibit H'!D27</f>
        <v>0.2</v>
      </c>
      <c r="F57" s="194"/>
      <c r="G57" s="194">
        <f>+'Exhibit F'!H53+'Exhibit H'!F27</f>
        <v>0.30000000000000004</v>
      </c>
      <c r="H57" s="194"/>
      <c r="I57" s="194">
        <f>+'Exhibit F'!J53+'Exhibit H'!H27</f>
        <v>0.49999999999999989</v>
      </c>
      <c r="J57" s="194"/>
      <c r="K57" s="194"/>
      <c r="L57" s="194"/>
      <c r="M57" s="194"/>
      <c r="N57" s="194"/>
      <c r="O57" s="194"/>
      <c r="P57" s="62"/>
      <c r="Q57" s="194"/>
      <c r="R57" s="194"/>
      <c r="S57" s="194"/>
      <c r="T57" s="194"/>
      <c r="U57" s="194"/>
      <c r="V57" s="194"/>
      <c r="W57" s="194"/>
      <c r="X57" s="194"/>
      <c r="Y57" s="194"/>
      <c r="Z57" s="62"/>
      <c r="AA57" s="390"/>
      <c r="AB57" s="194">
        <f t="shared" ref="AB57" si="13">ROUND(SUM(C57:Y57),1)</f>
        <v>1.2</v>
      </c>
      <c r="AC57" s="62"/>
      <c r="AD57" s="857"/>
      <c r="AE57" s="194">
        <f>+'Exhibit F'!AF53+'Exhibit H'!AD27</f>
        <v>1.5</v>
      </c>
      <c r="AF57" s="62"/>
      <c r="AG57" s="1530"/>
      <c r="AH57" s="264">
        <f t="shared" ref="AH57" si="14">ROUND(SUM(+AB57-AE57),1)</f>
        <v>-0.3</v>
      </c>
      <c r="AI57" s="63"/>
      <c r="AJ57" s="266">
        <f>ROUND(IF(AE57=0,1,AH57/ABS(AE57)),3)</f>
        <v>-0.2</v>
      </c>
    </row>
    <row r="58" spans="1:36" ht="15.5">
      <c r="A58" s="83" t="s">
        <v>381</v>
      </c>
      <c r="B58" s="62"/>
      <c r="C58" s="68">
        <f>ROUND(SUM(C52:C57),1)</f>
        <v>285.7</v>
      </c>
      <c r="D58" s="62"/>
      <c r="E58" s="68">
        <f>ROUND(SUM(E52:E57),1)</f>
        <v>218.8</v>
      </c>
      <c r="F58" s="62"/>
      <c r="G58" s="68">
        <f>ROUND(SUM(G52:G57),1)</f>
        <v>194.2</v>
      </c>
      <c r="H58" s="62"/>
      <c r="I58" s="68">
        <f>ROUND(SUM(I52:I57),1)</f>
        <v>387.1</v>
      </c>
      <c r="J58" s="62"/>
      <c r="K58" s="68">
        <f>ROUND(SUM(K52:K57),1)</f>
        <v>0</v>
      </c>
      <c r="L58" s="62"/>
      <c r="M58" s="68">
        <f>ROUND(SUM(M52:M57),1)</f>
        <v>0</v>
      </c>
      <c r="N58" s="62"/>
      <c r="O58" s="68">
        <f>ROUND(SUM(O52:O57),1)</f>
        <v>0</v>
      </c>
      <c r="P58" s="62"/>
      <c r="Q58" s="68">
        <f>ROUND(SUM(Q52:Q57),1)</f>
        <v>0</v>
      </c>
      <c r="R58" s="62"/>
      <c r="S58" s="68">
        <f>ROUND(SUM(S52:S57),1)</f>
        <v>0</v>
      </c>
      <c r="T58" s="62"/>
      <c r="U58" s="68">
        <f>ROUND(SUM(U52:U57),1)</f>
        <v>0</v>
      </c>
      <c r="V58" s="62"/>
      <c r="W58" s="68">
        <f>ROUND(SUM(W52:W57),1)</f>
        <v>0</v>
      </c>
      <c r="X58" s="62"/>
      <c r="Y58" s="68">
        <f>ROUND(SUM(Y52:Y57),1)</f>
        <v>0</v>
      </c>
      <c r="Z58" s="62"/>
      <c r="AA58" s="390"/>
      <c r="AB58" s="68">
        <f>ROUND(SUM(AB52:AB57),1)</f>
        <v>1085.8</v>
      </c>
      <c r="AC58" s="62"/>
      <c r="AD58" s="857"/>
      <c r="AE58" s="68">
        <f>ROUND(SUM(AE52:AE57),1)</f>
        <v>890.3</v>
      </c>
      <c r="AF58" s="62"/>
      <c r="AG58" s="1530"/>
      <c r="AH58" s="68">
        <f>ROUND(SUM(AH52:AH57),1)</f>
        <v>195.5</v>
      </c>
      <c r="AI58" s="321"/>
      <c r="AJ58" s="416">
        <f t="shared" si="12"/>
        <v>0.22</v>
      </c>
    </row>
    <row r="59" spans="1:36" ht="15.5">
      <c r="A59" s="62"/>
      <c r="B59" s="62"/>
      <c r="C59" s="194"/>
      <c r="D59" s="194"/>
      <c r="E59" s="194"/>
      <c r="F59" s="194"/>
      <c r="G59" s="194"/>
      <c r="H59" s="194"/>
      <c r="I59" s="194"/>
      <c r="J59" s="194"/>
      <c r="K59" s="194"/>
      <c r="L59" s="194"/>
      <c r="M59" s="194"/>
      <c r="N59" s="194"/>
      <c r="O59" s="194"/>
      <c r="P59" s="194"/>
      <c r="Q59" s="194"/>
      <c r="R59" s="194"/>
      <c r="S59" s="194"/>
      <c r="T59" s="194"/>
      <c r="U59" s="194"/>
      <c r="V59" s="194"/>
      <c r="W59" s="194"/>
      <c r="X59" s="194"/>
      <c r="Y59" s="194"/>
      <c r="Z59" s="194"/>
      <c r="AA59" s="195"/>
      <c r="AB59" s="197"/>
      <c r="AC59" s="194"/>
      <c r="AD59" s="860"/>
      <c r="AE59" s="194"/>
      <c r="AF59" s="194"/>
      <c r="AG59" s="1532"/>
      <c r="AH59" s="194"/>
      <c r="AI59" s="62"/>
      <c r="AJ59" s="74"/>
    </row>
    <row r="60" spans="1:36" ht="15.5">
      <c r="A60" s="83" t="s">
        <v>438</v>
      </c>
      <c r="B60" s="364"/>
      <c r="C60" s="979">
        <f>ROUND(SUM(C58+C50+C42+C30),1)</f>
        <v>13904.2</v>
      </c>
      <c r="D60" s="264"/>
      <c r="E60" s="979">
        <f>ROUND(SUM(E58+E50+E42+E30),1)</f>
        <v>6571</v>
      </c>
      <c r="F60" s="264"/>
      <c r="G60" s="979">
        <f>ROUND(SUM(G58+G50+G42+G30),1)</f>
        <v>16439.2</v>
      </c>
      <c r="H60" s="264"/>
      <c r="I60" s="979">
        <f>ROUND(SUM(I58+I50+I42+I30),1)</f>
        <v>7436.6</v>
      </c>
      <c r="J60" s="264"/>
      <c r="K60" s="979">
        <f>ROUND(SUM(K58+K50+K42+K30),1)</f>
        <v>0</v>
      </c>
      <c r="L60" s="264"/>
      <c r="M60" s="979">
        <f>ROUND(SUM(M58+M50+M42+M30),1)</f>
        <v>0</v>
      </c>
      <c r="N60" s="264"/>
      <c r="O60" s="979">
        <f>ROUND(SUM(O58+O50+O42+O30),1)</f>
        <v>0</v>
      </c>
      <c r="P60" s="264"/>
      <c r="Q60" s="979">
        <f>ROUND(SUM(Q58+Q50+Q42+Q30),1)</f>
        <v>0</v>
      </c>
      <c r="R60" s="264"/>
      <c r="S60" s="979">
        <f>ROUND(SUM(S58+S50+S42+S30),1)</f>
        <v>0</v>
      </c>
      <c r="T60" s="264"/>
      <c r="U60" s="979">
        <f>ROUND(SUM(U58+U50+U42+U30),1)</f>
        <v>0</v>
      </c>
      <c r="V60" s="264"/>
      <c r="W60" s="979">
        <f>ROUND(SUM(W58+W50+W42+W30),1)</f>
        <v>0</v>
      </c>
      <c r="X60" s="268"/>
      <c r="Y60" s="979">
        <f>ROUND(SUM(Y58+Y50+Y42+Y30),1)</f>
        <v>0</v>
      </c>
      <c r="Z60" s="268"/>
      <c r="AA60" s="853"/>
      <c r="AB60" s="868">
        <f>ROUND(SUM(C60:Y60),1)</f>
        <v>44351</v>
      </c>
      <c r="AC60" s="264"/>
      <c r="AD60" s="523"/>
      <c r="AE60" s="1014">
        <f>ROUND(SUM(+AE30+AE42+AE50+AE58),1)</f>
        <v>39571.699999999997</v>
      </c>
      <c r="AF60" s="264"/>
      <c r="AG60" s="705"/>
      <c r="AH60" s="1014">
        <f>ROUND(+AB60-AE60,1)</f>
        <v>4779.3</v>
      </c>
      <c r="AI60" s="264"/>
      <c r="AJ60" s="368">
        <f>ROUND(SUM(+AH60/ABS(AE60)),3)</f>
        <v>0.121</v>
      </c>
    </row>
    <row r="61" spans="1:36" ht="15.5">
      <c r="A61" s="62"/>
      <c r="B61" s="62"/>
      <c r="C61" s="194"/>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5"/>
      <c r="AB61" s="194"/>
      <c r="AC61" s="194"/>
      <c r="AD61" s="860"/>
      <c r="AE61" s="194"/>
      <c r="AF61" s="194"/>
      <c r="AG61" s="1532"/>
      <c r="AH61" s="194"/>
      <c r="AI61" s="62"/>
      <c r="AJ61" s="283"/>
    </row>
    <row r="62" spans="1:36" ht="15.5">
      <c r="A62" s="1211" t="s">
        <v>383</v>
      </c>
      <c r="B62" s="62"/>
      <c r="C62" s="194"/>
      <c r="D62" s="194"/>
      <c r="E62" s="194"/>
      <c r="F62" s="194"/>
      <c r="G62" s="194"/>
      <c r="H62" s="194"/>
      <c r="I62" s="194"/>
      <c r="J62" s="194"/>
      <c r="K62" s="194"/>
      <c r="L62" s="194"/>
      <c r="M62" s="194"/>
      <c r="N62" s="194"/>
      <c r="O62" s="194"/>
      <c r="P62" s="194"/>
      <c r="Q62" s="194"/>
      <c r="R62" s="194"/>
      <c r="S62" s="194"/>
      <c r="T62" s="194"/>
      <c r="U62" s="194"/>
      <c r="V62" s="194"/>
      <c r="W62" s="194"/>
      <c r="X62" s="194"/>
      <c r="Y62" s="194"/>
      <c r="Z62" s="194"/>
      <c r="AA62" s="195"/>
      <c r="AB62" s="194"/>
      <c r="AC62" s="194"/>
      <c r="AD62" s="860"/>
      <c r="AE62" s="194"/>
      <c r="AF62" s="194"/>
      <c r="AG62" s="1532"/>
      <c r="AH62" s="194"/>
      <c r="AI62" s="62"/>
      <c r="AJ62" s="266"/>
    </row>
    <row r="63" spans="1:36" ht="15.5">
      <c r="A63" s="350" t="s">
        <v>384</v>
      </c>
      <c r="B63" s="62"/>
      <c r="C63" s="194"/>
      <c r="D63" s="194"/>
      <c r="E63" s="194"/>
      <c r="F63" s="194"/>
      <c r="G63" s="194"/>
      <c r="H63" s="194"/>
      <c r="I63" s="194"/>
      <c r="J63" s="194"/>
      <c r="K63" s="194"/>
      <c r="L63" s="194"/>
      <c r="M63" s="194"/>
      <c r="N63" s="194"/>
      <c r="O63" s="194"/>
      <c r="P63" s="194"/>
      <c r="Q63" s="194"/>
      <c r="R63" s="194"/>
      <c r="S63" s="194"/>
      <c r="T63" s="194"/>
      <c r="U63" s="194"/>
      <c r="V63" s="194"/>
      <c r="W63" s="194"/>
      <c r="X63" s="194"/>
      <c r="Y63" s="194"/>
      <c r="Z63" s="194"/>
      <c r="AA63" s="195"/>
      <c r="AB63" s="194"/>
      <c r="AC63" s="194"/>
      <c r="AD63" s="860"/>
      <c r="AE63" s="194"/>
      <c r="AF63" s="194"/>
      <c r="AG63" s="1532"/>
      <c r="AH63" s="194"/>
      <c r="AI63" s="62"/>
      <c r="AJ63" s="266"/>
    </row>
    <row r="64" spans="1:36" ht="15.5">
      <c r="A64" s="350" t="s">
        <v>385</v>
      </c>
      <c r="B64" s="62"/>
      <c r="C64" s="194">
        <f>+'Exhibit F'!D60+'Exhibit G State'!D42</f>
        <v>2.2999999999999998</v>
      </c>
      <c r="D64" s="194"/>
      <c r="E64" s="194">
        <f>+'Exhibit F'!F60+'Exhibit G State'!F42</f>
        <v>1.1000000000000001</v>
      </c>
      <c r="F64" s="194"/>
      <c r="G64" s="194">
        <f>+'Exhibit F'!H60+'Exhibit G State'!H42</f>
        <v>2.2000000000000002</v>
      </c>
      <c r="H64" s="194"/>
      <c r="I64" s="194">
        <f>+'Exhibit F'!J60+'Exhibit G State'!J42</f>
        <v>1.8999999999999995</v>
      </c>
      <c r="J64" s="194"/>
      <c r="K64" s="194"/>
      <c r="L64" s="194"/>
      <c r="M64" s="194"/>
      <c r="N64" s="194"/>
      <c r="O64" s="194"/>
      <c r="P64" s="194"/>
      <c r="Q64" s="194"/>
      <c r="R64" s="194"/>
      <c r="S64" s="194"/>
      <c r="T64" s="194"/>
      <c r="U64" s="194"/>
      <c r="V64" s="194"/>
      <c r="W64" s="194"/>
      <c r="X64" s="194"/>
      <c r="Y64" s="194"/>
      <c r="Z64" s="194"/>
      <c r="AA64" s="195"/>
      <c r="AB64" s="194">
        <f>ROUND(SUM(C64:Y64),1)</f>
        <v>7.5</v>
      </c>
      <c r="AC64" s="194"/>
      <c r="AD64" s="860"/>
      <c r="AE64" s="194">
        <f>+'Exhibit F'!AF60+'Exhibit G State'!AF42</f>
        <v>6.5</v>
      </c>
      <c r="AF64" s="194"/>
      <c r="AG64" s="1532"/>
      <c r="AH64" s="194">
        <f t="shared" ref="AH64:AH104" si="15">ROUND(SUM(AB64-AE64),1)</f>
        <v>1</v>
      </c>
      <c r="AI64" s="62"/>
      <c r="AJ64" s="283">
        <f>ROUND(SUM(AH64/ABS(AE64)),3)</f>
        <v>0.154</v>
      </c>
    </row>
    <row r="65" spans="1:36" ht="15.5">
      <c r="A65" s="350" t="s">
        <v>386</v>
      </c>
      <c r="B65" s="62"/>
      <c r="C65" s="194">
        <f>+'Exhibit F'!D61</f>
        <v>2.8</v>
      </c>
      <c r="D65" s="194"/>
      <c r="E65" s="194">
        <f>+'Exhibit F'!F61</f>
        <v>-0.29999999999999982</v>
      </c>
      <c r="F65" s="194"/>
      <c r="G65" s="194">
        <f>+'Exhibit F'!H61</f>
        <v>10.399999999999999</v>
      </c>
      <c r="H65" s="194"/>
      <c r="I65" s="194">
        <f>+'Exhibit F'!J61</f>
        <v>1.7000000000000011</v>
      </c>
      <c r="J65" s="194"/>
      <c r="K65" s="194"/>
      <c r="L65" s="194"/>
      <c r="M65" s="194"/>
      <c r="N65" s="194"/>
      <c r="O65" s="194"/>
      <c r="P65" s="194"/>
      <c r="Q65" s="194"/>
      <c r="R65" s="194"/>
      <c r="S65" s="194"/>
      <c r="T65" s="194"/>
      <c r="U65" s="194"/>
      <c r="V65" s="194"/>
      <c r="W65" s="194"/>
      <c r="X65" s="194"/>
      <c r="Y65" s="194"/>
      <c r="Z65" s="194"/>
      <c r="AA65" s="195"/>
      <c r="AB65" s="194">
        <f>ROUND(SUM(C65:Y65),1)</f>
        <v>14.6</v>
      </c>
      <c r="AC65" s="194"/>
      <c r="AD65" s="860"/>
      <c r="AE65" s="194">
        <f>+'Exhibit F'!AF61</f>
        <v>13.8</v>
      </c>
      <c r="AF65" s="194"/>
      <c r="AG65" s="1532"/>
      <c r="AH65" s="194">
        <f t="shared" si="15"/>
        <v>0.8</v>
      </c>
      <c r="AI65" s="62"/>
      <c r="AJ65" s="607">
        <f>ROUND(SUM(AH65/ABS(AE65)),3)</f>
        <v>5.8000000000000003E-2</v>
      </c>
    </row>
    <row r="66" spans="1:36" ht="15.5">
      <c r="A66" s="350" t="s">
        <v>387</v>
      </c>
      <c r="B66" s="62"/>
      <c r="C66" s="194"/>
      <c r="D66" s="194"/>
      <c r="E66" s="194"/>
      <c r="F66" s="194"/>
      <c r="G66" s="194"/>
      <c r="H66" s="194"/>
      <c r="I66" s="194"/>
      <c r="J66" s="194"/>
      <c r="K66" s="194"/>
      <c r="L66" s="194"/>
      <c r="M66" s="194"/>
      <c r="N66" s="194"/>
      <c r="O66" s="194"/>
      <c r="P66" s="194"/>
      <c r="Q66" s="194"/>
      <c r="R66" s="194"/>
      <c r="S66" s="194"/>
      <c r="T66" s="194"/>
      <c r="U66" s="194"/>
      <c r="V66" s="194"/>
      <c r="W66" s="194"/>
      <c r="X66" s="194"/>
      <c r="Y66" s="194"/>
      <c r="Z66" s="194"/>
      <c r="AA66" s="195"/>
      <c r="AB66" s="194"/>
      <c r="AC66" s="194"/>
      <c r="AD66" s="860"/>
      <c r="AE66" s="194"/>
      <c r="AF66" s="194"/>
      <c r="AG66" s="1532"/>
      <c r="AH66" s="194" t="s">
        <v>103</v>
      </c>
      <c r="AI66" s="62" t="s">
        <v>103</v>
      </c>
      <c r="AJ66" s="266" t="s">
        <v>103</v>
      </c>
    </row>
    <row r="67" spans="1:36" ht="15.5">
      <c r="A67" s="350" t="s">
        <v>388</v>
      </c>
      <c r="B67" s="62"/>
      <c r="C67" s="194">
        <f>+'Exhibit F'!D63+'Exhibit G State'!D44</f>
        <v>121.7</v>
      </c>
      <c r="D67" s="194"/>
      <c r="E67" s="194">
        <f>+'Exhibit F'!F63+'Exhibit G State'!F44</f>
        <v>43.600000000000009</v>
      </c>
      <c r="F67" s="194"/>
      <c r="G67" s="194">
        <f>+'Exhibit F'!H63+'Exhibit G State'!H44</f>
        <v>90.8</v>
      </c>
      <c r="H67" s="194"/>
      <c r="I67" s="194">
        <f>+'Exhibit F'!J63+'Exhibit G State'!J44</f>
        <v>116.89999999999996</v>
      </c>
      <c r="J67" s="194"/>
      <c r="K67" s="194"/>
      <c r="L67" s="194"/>
      <c r="M67" s="194"/>
      <c r="N67" s="194"/>
      <c r="O67" s="194"/>
      <c r="P67" s="194"/>
      <c r="Q67" s="194"/>
      <c r="R67" s="194"/>
      <c r="S67" s="194"/>
      <c r="T67" s="194"/>
      <c r="U67" s="194"/>
      <c r="V67" s="194"/>
      <c r="W67" s="194"/>
      <c r="X67" s="194"/>
      <c r="Y67" s="194"/>
      <c r="Z67" s="194"/>
      <c r="AA67" s="195"/>
      <c r="AB67" s="194">
        <f>ROUND(SUM(C67:Y67),1)</f>
        <v>373</v>
      </c>
      <c r="AC67" s="194"/>
      <c r="AD67" s="860"/>
      <c r="AE67" s="194">
        <f>+'Exhibit F'!AF63+'Exhibit G State'!AF44</f>
        <v>248.3</v>
      </c>
      <c r="AF67" s="194"/>
      <c r="AG67" s="1532"/>
      <c r="AH67" s="194">
        <f t="shared" si="15"/>
        <v>124.7</v>
      </c>
      <c r="AI67" s="62"/>
      <c r="AJ67" s="283">
        <f>ROUND(SUM(AH67/ABS(AE67)),3)</f>
        <v>0.502</v>
      </c>
    </row>
    <row r="68" spans="1:36" ht="15.5">
      <c r="A68" s="350" t="s">
        <v>389</v>
      </c>
      <c r="B68" s="62"/>
      <c r="C68" s="194">
        <f>+'Exhibit F'!D64+'Exhibit G State'!D45</f>
        <v>656.1</v>
      </c>
      <c r="D68" s="194"/>
      <c r="E68" s="194">
        <f>+'Exhibit F'!F64+'Exhibit G State'!F45</f>
        <v>795.40000000000009</v>
      </c>
      <c r="F68" s="194"/>
      <c r="G68" s="194">
        <f>+'Exhibit F'!H64+'Exhibit G State'!H45</f>
        <v>886.5</v>
      </c>
      <c r="H68" s="194"/>
      <c r="I68" s="194">
        <f>+'Exhibit F'!J64+'Exhibit G State'!J45</f>
        <v>772.19999999999993</v>
      </c>
      <c r="J68" s="194"/>
      <c r="K68" s="194"/>
      <c r="L68" s="194"/>
      <c r="M68" s="194"/>
      <c r="N68" s="194"/>
      <c r="O68" s="194"/>
      <c r="P68" s="194"/>
      <c r="Q68" s="194"/>
      <c r="R68" s="194"/>
      <c r="S68" s="194"/>
      <c r="T68" s="194"/>
      <c r="U68" s="194"/>
      <c r="V68" s="194"/>
      <c r="W68" s="194"/>
      <c r="X68" s="194"/>
      <c r="Y68" s="194"/>
      <c r="Z68" s="194"/>
      <c r="AA68" s="195"/>
      <c r="AB68" s="194">
        <f>ROUND(SUM(C68:Y68),1)</f>
        <v>3110.2</v>
      </c>
      <c r="AC68" s="194"/>
      <c r="AD68" s="860"/>
      <c r="AE68" s="194">
        <f>+'Exhibit F'!AF64+'Exhibit G State'!AF45+'Exhibit H'!AD34</f>
        <v>2738.6000000000004</v>
      </c>
      <c r="AF68" s="194"/>
      <c r="AG68" s="1532"/>
      <c r="AH68" s="194">
        <f t="shared" si="15"/>
        <v>371.6</v>
      </c>
      <c r="AI68" s="62"/>
      <c r="AJ68" s="283">
        <f>ROUND(SUM(AH68/ABS(AE68)),3)</f>
        <v>0.13600000000000001</v>
      </c>
    </row>
    <row r="69" spans="1:36" ht="15.5">
      <c r="A69" s="350" t="s">
        <v>390</v>
      </c>
      <c r="B69" s="62"/>
      <c r="C69" s="194">
        <f>+'Exhibit F'!D65+'Exhibit G State'!D46</f>
        <v>2.9</v>
      </c>
      <c r="D69" s="194"/>
      <c r="E69" s="194">
        <f>+'Exhibit F'!F65+'Exhibit G State'!F46</f>
        <v>0</v>
      </c>
      <c r="F69" s="194"/>
      <c r="G69" s="194">
        <f>+'Exhibit F'!H65+'Exhibit G State'!H46</f>
        <v>0.70000000000000018</v>
      </c>
      <c r="H69" s="194"/>
      <c r="I69" s="194">
        <f>+'Exhibit F'!J65+'Exhibit G State'!J46</f>
        <v>0.29999999999999982</v>
      </c>
      <c r="J69" s="194"/>
      <c r="K69" s="194"/>
      <c r="L69" s="194"/>
      <c r="M69" s="194"/>
      <c r="N69" s="194"/>
      <c r="O69" s="194"/>
      <c r="P69" s="194"/>
      <c r="Q69" s="194"/>
      <c r="R69" s="194"/>
      <c r="S69" s="194"/>
      <c r="T69" s="194"/>
      <c r="U69" s="194"/>
      <c r="V69" s="194"/>
      <c r="W69" s="194"/>
      <c r="X69" s="194"/>
      <c r="Y69" s="194"/>
      <c r="Z69" s="194"/>
      <c r="AA69" s="195"/>
      <c r="AB69" s="194">
        <f>ROUND(SUM(C69:Y69),1)</f>
        <v>3.9</v>
      </c>
      <c r="AC69" s="194"/>
      <c r="AD69" s="860"/>
      <c r="AE69" s="194">
        <f>+'Exhibit F'!AF65+'Exhibit G State'!AF46</f>
        <v>2.1</v>
      </c>
      <c r="AF69" s="194"/>
      <c r="AG69" s="1532"/>
      <c r="AH69" s="194">
        <f t="shared" si="15"/>
        <v>1.8</v>
      </c>
      <c r="AI69" s="62"/>
      <c r="AJ69" s="542">
        <f>ROUND(IF(AE69=0,0,AH69/ABS(AE69)),3)</f>
        <v>0.85699999999999998</v>
      </c>
    </row>
    <row r="70" spans="1:36" ht="15.5">
      <c r="A70" s="350" t="s">
        <v>391</v>
      </c>
      <c r="B70" s="62"/>
      <c r="C70" s="194">
        <f>+'Exhibit F'!D66+'Exhibit G State'!D47</f>
        <v>0</v>
      </c>
      <c r="D70" s="194"/>
      <c r="E70" s="194">
        <f>+'Exhibit F'!F66+'Exhibit G State'!F47</f>
        <v>1005.1</v>
      </c>
      <c r="F70" s="194"/>
      <c r="G70" s="194">
        <f>+'Exhibit F'!H66+'Exhibit G State'!H47</f>
        <v>0.10000000000002274</v>
      </c>
      <c r="H70" s="194"/>
      <c r="I70" s="194">
        <f>+'Exhibit F'!J66+'Exhibit G State'!J47</f>
        <v>611.4</v>
      </c>
      <c r="J70" s="194"/>
      <c r="K70" s="194"/>
      <c r="L70" s="194"/>
      <c r="M70" s="194"/>
      <c r="N70" s="194"/>
      <c r="O70" s="194"/>
      <c r="P70" s="194"/>
      <c r="Q70" s="194"/>
      <c r="R70" s="194"/>
      <c r="S70" s="194"/>
      <c r="T70" s="194"/>
      <c r="U70" s="194"/>
      <c r="V70" s="194"/>
      <c r="W70" s="194"/>
      <c r="X70" s="194"/>
      <c r="Y70" s="194"/>
      <c r="Z70" s="194"/>
      <c r="AA70" s="195"/>
      <c r="AB70" s="194">
        <f>ROUND(SUM(C70:Y70),1)</f>
        <v>1616.6</v>
      </c>
      <c r="AC70" s="194"/>
      <c r="AD70" s="860"/>
      <c r="AE70" s="194">
        <f>+'Exhibit F'!AF66+'Exhibit G State'!AF47</f>
        <v>0.1</v>
      </c>
      <c r="AF70" s="194"/>
      <c r="AG70" s="1532"/>
      <c r="AH70" s="194">
        <f t="shared" si="15"/>
        <v>1616.5</v>
      </c>
      <c r="AI70" s="62"/>
      <c r="AJ70" s="542">
        <f>ROUND(IF(AE70=0,0,AH70/ABS(AE70)),3)</f>
        <v>16165</v>
      </c>
    </row>
    <row r="71" spans="1:36" ht="15.5">
      <c r="A71" s="350" t="s">
        <v>392</v>
      </c>
      <c r="B71" s="62"/>
      <c r="C71" s="194"/>
      <c r="D71" s="194"/>
      <c r="E71" s="194"/>
      <c r="F71" s="194"/>
      <c r="G71" s="194"/>
      <c r="H71" s="194"/>
      <c r="I71" s="194"/>
      <c r="J71" s="194"/>
      <c r="K71" s="194"/>
      <c r="L71" s="194"/>
      <c r="M71" s="194"/>
      <c r="N71" s="194"/>
      <c r="O71" s="194"/>
      <c r="P71" s="194"/>
      <c r="Q71" s="194"/>
      <c r="R71" s="194"/>
      <c r="S71" s="194"/>
      <c r="T71" s="194"/>
      <c r="U71" s="194"/>
      <c r="V71" s="194"/>
      <c r="W71" s="194"/>
      <c r="X71" s="194"/>
      <c r="Y71" s="194"/>
      <c r="Z71" s="194"/>
      <c r="AA71" s="195"/>
      <c r="AB71" s="194"/>
      <c r="AC71" s="194"/>
      <c r="AD71" s="860"/>
      <c r="AE71" s="194"/>
      <c r="AF71" s="194"/>
      <c r="AG71" s="1532"/>
      <c r="AH71" s="194"/>
      <c r="AI71" s="62"/>
      <c r="AJ71" s="266"/>
    </row>
    <row r="72" spans="1:36" ht="15.5">
      <c r="A72" s="350" t="s">
        <v>393</v>
      </c>
      <c r="B72" s="62"/>
      <c r="C72" s="194">
        <f>+'Exhibit F'!D68+'Exhibit H'!B36</f>
        <v>5.4</v>
      </c>
      <c r="D72" s="194"/>
      <c r="E72" s="194">
        <f>+'Exhibit F'!F68+'Exhibit H'!D36</f>
        <v>4.9000000000000004</v>
      </c>
      <c r="F72" s="194"/>
      <c r="G72" s="194">
        <f>+'Exhibit F'!H68+'Exhibit H'!F36</f>
        <v>5.8999999999999986</v>
      </c>
      <c r="H72" s="194"/>
      <c r="I72" s="194">
        <f>+'Exhibit F'!J68+'Exhibit H'!H36</f>
        <v>4.8000000000000007</v>
      </c>
      <c r="J72" s="194"/>
      <c r="K72" s="194"/>
      <c r="L72" s="194"/>
      <c r="M72" s="194"/>
      <c r="N72" s="194"/>
      <c r="O72" s="194"/>
      <c r="P72" s="194"/>
      <c r="Q72" s="194"/>
      <c r="R72" s="194"/>
      <c r="S72" s="194"/>
      <c r="T72" s="194"/>
      <c r="U72" s="194"/>
      <c r="V72" s="194"/>
      <c r="W72" s="194"/>
      <c r="X72" s="194"/>
      <c r="Y72" s="194"/>
      <c r="Z72" s="194"/>
      <c r="AA72" s="195"/>
      <c r="AB72" s="194">
        <f t="shared" ref="AB72:AB79" si="16">ROUND(SUM(C72:Y72),1)</f>
        <v>21</v>
      </c>
      <c r="AC72" s="194"/>
      <c r="AD72" s="860"/>
      <c r="AE72" s="194">
        <f>+'Exhibit F'!AF68+'Exhibit H'!AD36</f>
        <v>17.100000000000001</v>
      </c>
      <c r="AF72" s="194"/>
      <c r="AG72" s="1532"/>
      <c r="AH72" s="194">
        <f t="shared" si="15"/>
        <v>3.9</v>
      </c>
      <c r="AI72" s="62"/>
      <c r="AJ72" s="283">
        <f>ROUND(SUM(AH72/ABS(AE72)),3)</f>
        <v>0.22800000000000001</v>
      </c>
    </row>
    <row r="73" spans="1:36" ht="15.5">
      <c r="A73" s="350" t="s">
        <v>394</v>
      </c>
      <c r="B73" s="62"/>
      <c r="C73" s="194">
        <f>'Exhibit G State'!D49</f>
        <v>0</v>
      </c>
      <c r="D73" s="194"/>
      <c r="E73" s="194">
        <f>'Exhibit G State'!F49</f>
        <v>0</v>
      </c>
      <c r="F73" s="194"/>
      <c r="G73" s="194">
        <f>'Exhibit G State'!H49</f>
        <v>0.1</v>
      </c>
      <c r="H73" s="194"/>
      <c r="I73" s="194">
        <f>'Exhibit G State'!J49</f>
        <v>2.4</v>
      </c>
      <c r="J73" s="194"/>
      <c r="K73" s="194"/>
      <c r="L73" s="194"/>
      <c r="M73" s="194"/>
      <c r="N73" s="194"/>
      <c r="O73" s="194"/>
      <c r="P73" s="194"/>
      <c r="Q73" s="194"/>
      <c r="R73" s="194"/>
      <c r="S73" s="194"/>
      <c r="T73" s="194"/>
      <c r="U73" s="194"/>
      <c r="V73" s="194"/>
      <c r="W73" s="194"/>
      <c r="X73" s="194"/>
      <c r="Y73" s="194"/>
      <c r="Z73" s="194"/>
      <c r="AA73" s="195"/>
      <c r="AB73" s="194">
        <f t="shared" si="16"/>
        <v>2.5</v>
      </c>
      <c r="AC73" s="194"/>
      <c r="AD73" s="860"/>
      <c r="AE73" s="194">
        <f>'Exhibit G State'!AF49</f>
        <v>2.4</v>
      </c>
      <c r="AF73" s="194"/>
      <c r="AG73" s="1532"/>
      <c r="AH73" s="194">
        <f t="shared" si="15"/>
        <v>0.1</v>
      </c>
      <c r="AI73" s="62"/>
      <c r="AJ73" s="266">
        <f>ROUND(IF(AE73=0,0,AH73/ABS(AE73)),3)</f>
        <v>4.2000000000000003E-2</v>
      </c>
    </row>
    <row r="74" spans="1:36" ht="15.5">
      <c r="A74" s="350" t="s">
        <v>395</v>
      </c>
      <c r="B74" s="62"/>
      <c r="C74" s="194">
        <f>+'Exhibit F'!D70+'Exhibit G State'!D50+'Exhibit H'!B37</f>
        <v>85.4</v>
      </c>
      <c r="D74" s="194"/>
      <c r="E74" s="194">
        <f>+'Exhibit F'!F70+'Exhibit G State'!F50+'Exhibit H'!D37</f>
        <v>51.199999999999996</v>
      </c>
      <c r="F74" s="194"/>
      <c r="G74" s="194">
        <f>+'Exhibit F'!H70+'Exhibit G State'!H50+'Exhibit H'!F37</f>
        <v>131.9</v>
      </c>
      <c r="H74" s="194"/>
      <c r="I74" s="194">
        <f>+'Exhibit F'!J70+'Exhibit G State'!J50+'Exhibit H'!H37</f>
        <v>75.699999999999989</v>
      </c>
      <c r="J74" s="194"/>
      <c r="K74" s="194"/>
      <c r="L74" s="194"/>
      <c r="M74" s="194"/>
      <c r="N74" s="194"/>
      <c r="O74" s="194"/>
      <c r="P74" s="194"/>
      <c r="Q74" s="194"/>
      <c r="R74" s="194"/>
      <c r="S74" s="194"/>
      <c r="T74" s="194"/>
      <c r="U74" s="194"/>
      <c r="V74" s="194"/>
      <c r="W74" s="194"/>
      <c r="X74" s="194"/>
      <c r="Y74" s="194"/>
      <c r="Z74" s="194"/>
      <c r="AA74" s="195"/>
      <c r="AB74" s="194">
        <f t="shared" si="16"/>
        <v>344.2</v>
      </c>
      <c r="AC74" s="194"/>
      <c r="AD74" s="860"/>
      <c r="AE74" s="194">
        <f>+'Exhibit F'!AF70+'Exhibit G State'!AF50+'Exhibit H'!AD37</f>
        <v>299.89999999999998</v>
      </c>
      <c r="AF74" s="194"/>
      <c r="AG74" s="1532"/>
      <c r="AH74" s="194">
        <f t="shared" si="15"/>
        <v>44.3</v>
      </c>
      <c r="AI74" s="62"/>
      <c r="AJ74" s="283">
        <f>ROUND(SUM(AH74/AE74),3)</f>
        <v>0.14799999999999999</v>
      </c>
    </row>
    <row r="75" spans="1:36" ht="15.5">
      <c r="A75" s="350" t="s">
        <v>396</v>
      </c>
      <c r="B75" s="62"/>
      <c r="C75" s="194">
        <f>+'Exhibit F'!D71+'Exhibit G State'!D51+'Exhibit H'!B38</f>
        <v>33.6</v>
      </c>
      <c r="D75" s="194"/>
      <c r="E75" s="194">
        <f>+'Exhibit F'!F71+'Exhibit G State'!F51+'Exhibit H'!D38</f>
        <v>25.800000000000004</v>
      </c>
      <c r="F75" s="194"/>
      <c r="G75" s="194">
        <f>+'Exhibit F'!H71+'Exhibit G State'!H51+'Exhibit H'!F38</f>
        <v>25.299999999999997</v>
      </c>
      <c r="H75" s="194"/>
      <c r="I75" s="194">
        <f>+'Exhibit F'!J71+'Exhibit G State'!J51+'Exhibit H'!H38</f>
        <v>25.8</v>
      </c>
      <c r="J75" s="194"/>
      <c r="K75" s="194"/>
      <c r="L75" s="194"/>
      <c r="M75" s="194"/>
      <c r="N75" s="194"/>
      <c r="O75" s="194"/>
      <c r="P75" s="194"/>
      <c r="Q75" s="194"/>
      <c r="R75" s="194"/>
      <c r="S75" s="194"/>
      <c r="T75" s="194"/>
      <c r="U75" s="194"/>
      <c r="V75" s="194"/>
      <c r="W75" s="194"/>
      <c r="X75" s="194"/>
      <c r="Y75" s="194"/>
      <c r="Z75" s="194"/>
      <c r="AA75" s="195"/>
      <c r="AB75" s="194">
        <f t="shared" si="16"/>
        <v>110.5</v>
      </c>
      <c r="AC75" s="194"/>
      <c r="AD75" s="860"/>
      <c r="AE75" s="194">
        <f>+'Exhibit F'!AF71+'Exhibit G State'!AF51+'Exhibit H'!AD38</f>
        <v>92.8</v>
      </c>
      <c r="AF75" s="194"/>
      <c r="AG75" s="1532"/>
      <c r="AH75" s="194">
        <f t="shared" si="15"/>
        <v>17.7</v>
      </c>
      <c r="AI75" s="62"/>
      <c r="AJ75" s="283">
        <f>ROUND(SUM(AH75/ABS(AE75)),3)</f>
        <v>0.191</v>
      </c>
    </row>
    <row r="76" spans="1:36" ht="15.5">
      <c r="A76" s="350" t="s">
        <v>397</v>
      </c>
      <c r="B76" s="62"/>
      <c r="C76" s="194">
        <f>+'Exhibit F'!D72+'Exhibit G State'!D52+'Exhibit H'!B39</f>
        <v>0.1</v>
      </c>
      <c r="D76" s="194"/>
      <c r="E76" s="194">
        <f>+'Exhibit F'!F72+'Exhibit G State'!F52+'Exhibit H'!D39</f>
        <v>0.79999999999999993</v>
      </c>
      <c r="F76" s="194"/>
      <c r="G76" s="194">
        <f>+'Exhibit F'!H72+'Exhibit G State'!H52+'Exhibit H'!F39</f>
        <v>9.9999999999999978E-2</v>
      </c>
      <c r="H76" s="194"/>
      <c r="I76" s="194">
        <f>+'Exhibit F'!J72+'Exhibit G State'!J52+'Exhibit H'!H39</f>
        <v>2</v>
      </c>
      <c r="J76" s="194"/>
      <c r="K76" s="194"/>
      <c r="L76" s="194"/>
      <c r="M76" s="194"/>
      <c r="N76" s="194"/>
      <c r="O76" s="194"/>
      <c r="P76" s="194"/>
      <c r="Q76" s="194"/>
      <c r="R76" s="194"/>
      <c r="S76" s="194"/>
      <c r="T76" s="194"/>
      <c r="U76" s="194"/>
      <c r="V76" s="194"/>
      <c r="W76" s="194"/>
      <c r="X76" s="194"/>
      <c r="Y76" s="194"/>
      <c r="Z76" s="194"/>
      <c r="AA76" s="195"/>
      <c r="AB76" s="194">
        <f t="shared" si="16"/>
        <v>3</v>
      </c>
      <c r="AC76" s="194"/>
      <c r="AD76" s="860"/>
      <c r="AE76" s="194">
        <f>+'Exhibit F'!AF72+'Exhibit G State'!AF52+'Exhibit H'!AD39</f>
        <v>1.5</v>
      </c>
      <c r="AF76" s="194"/>
      <c r="AG76" s="1532"/>
      <c r="AH76" s="194">
        <f t="shared" si="15"/>
        <v>1.5</v>
      </c>
      <c r="AI76" s="62"/>
      <c r="AJ76" s="283">
        <f>ROUND(SUM(AH76/ABS(AE76)),3)</f>
        <v>1</v>
      </c>
    </row>
    <row r="77" spans="1:36" ht="15.5">
      <c r="A77" s="350" t="s">
        <v>398</v>
      </c>
      <c r="B77" s="62"/>
      <c r="C77" s="194">
        <f>+'Exhibit F'!D73+'Exhibit G State'!D53+'Exhibit H'!B40</f>
        <v>200.79999999999998</v>
      </c>
      <c r="D77" s="194"/>
      <c r="E77" s="194">
        <f>+'Exhibit F'!F73+'Exhibit G State'!F53+'Exhibit H'!D40</f>
        <v>55.4</v>
      </c>
      <c r="F77" s="194"/>
      <c r="G77" s="194">
        <f>+'Exhibit F'!H73+'Exhibit G State'!H53+'Exhibit H'!F40</f>
        <v>54.6</v>
      </c>
      <c r="H77" s="194"/>
      <c r="I77" s="194">
        <f>+'Exhibit F'!J73+'Exhibit G State'!J53+'Exhibit H'!H40</f>
        <v>-108.39999999999998</v>
      </c>
      <c r="J77" s="194"/>
      <c r="K77" s="194"/>
      <c r="L77" s="194"/>
      <c r="M77" s="194"/>
      <c r="N77" s="194"/>
      <c r="O77" s="194"/>
      <c r="P77" s="194"/>
      <c r="Q77" s="194"/>
      <c r="R77" s="194"/>
      <c r="S77" s="194"/>
      <c r="T77" s="194"/>
      <c r="U77" s="194"/>
      <c r="V77" s="194"/>
      <c r="W77" s="194"/>
      <c r="X77" s="194"/>
      <c r="Y77" s="194"/>
      <c r="Z77" s="194"/>
      <c r="AA77" s="195"/>
      <c r="AB77" s="194">
        <f t="shared" si="16"/>
        <v>202.4</v>
      </c>
      <c r="AC77" s="194"/>
      <c r="AD77" s="860"/>
      <c r="AE77" s="194">
        <f>+'Exhibit F'!AF73+'Exhibit G State'!AF53+'Exhibit H'!AD40</f>
        <v>239.39999999999998</v>
      </c>
      <c r="AF77" s="194"/>
      <c r="AG77" s="1532"/>
      <c r="AH77" s="194">
        <f t="shared" si="15"/>
        <v>-37</v>
      </c>
      <c r="AI77" s="62"/>
      <c r="AJ77" s="266">
        <f>ROUND(IF(AE77=0,0,AH77/ABS(AE77)),3)</f>
        <v>-0.155</v>
      </c>
    </row>
    <row r="78" spans="1:36" ht="15.5">
      <c r="A78" s="350" t="s">
        <v>399</v>
      </c>
      <c r="B78" s="62"/>
      <c r="C78" s="194">
        <f>+'Exhibit F'!D74+'Exhibit G State'!D54+'Exhibit H'!B41</f>
        <v>93.6</v>
      </c>
      <c r="D78" s="194"/>
      <c r="E78" s="194">
        <f>+'Exhibit F'!F74+'Exhibit G State'!F54+'Exhibit H'!D41</f>
        <v>81.199999999999989</v>
      </c>
      <c r="F78" s="194"/>
      <c r="G78" s="194">
        <f>+'Exhibit F'!H74+'Exhibit G State'!H54+'Exhibit H'!F41</f>
        <v>67.699999999999989</v>
      </c>
      <c r="H78" s="194"/>
      <c r="I78" s="194">
        <f>+'Exhibit F'!J74+'Exhibit G State'!J54+'Exhibit H'!H41</f>
        <v>69.500000000000028</v>
      </c>
      <c r="J78" s="194"/>
      <c r="K78" s="194"/>
      <c r="L78" s="194"/>
      <c r="M78" s="194"/>
      <c r="N78" s="194"/>
      <c r="O78" s="194"/>
      <c r="P78" s="194"/>
      <c r="Q78" s="194"/>
      <c r="R78" s="194"/>
      <c r="S78" s="194"/>
      <c r="T78" s="194"/>
      <c r="U78" s="194"/>
      <c r="V78" s="194"/>
      <c r="W78" s="194"/>
      <c r="X78" s="194"/>
      <c r="Y78" s="194"/>
      <c r="Z78" s="194"/>
      <c r="AA78" s="195"/>
      <c r="AB78" s="194">
        <f t="shared" si="16"/>
        <v>312</v>
      </c>
      <c r="AC78" s="194"/>
      <c r="AD78" s="860"/>
      <c r="AE78" s="194">
        <f>+'Exhibit F'!AF74+'Exhibit G State'!AF54+'Exhibit H'!AD41</f>
        <v>279.29999999999995</v>
      </c>
      <c r="AF78" s="194"/>
      <c r="AG78" s="1532"/>
      <c r="AH78" s="194">
        <f t="shared" si="15"/>
        <v>32.700000000000003</v>
      </c>
      <c r="AI78" s="62"/>
      <c r="AJ78" s="283">
        <f>ROUND(SUM(AH78/ABS(AE78)),3)</f>
        <v>0.11700000000000001</v>
      </c>
    </row>
    <row r="79" spans="1:36" ht="15.5">
      <c r="A79" s="350" t="s">
        <v>400</v>
      </c>
      <c r="B79" s="62"/>
      <c r="C79" s="194">
        <f>+'Exhibit F'!D75+'Exhibit G State'!D55</f>
        <v>67.2</v>
      </c>
      <c r="D79" s="194"/>
      <c r="E79" s="194">
        <f>+'Exhibit F'!F75+'Exhibit G State'!F55</f>
        <v>26.3</v>
      </c>
      <c r="F79" s="194"/>
      <c r="G79" s="194">
        <f>+'Exhibit F'!H75+'Exhibit G State'!H55</f>
        <v>8.8999999999999986</v>
      </c>
      <c r="H79" s="194"/>
      <c r="I79" s="194">
        <f>+'Exhibit F'!J75+'Exhibit G State'!J55</f>
        <v>84.500000000000014</v>
      </c>
      <c r="J79" s="194"/>
      <c r="K79" s="194"/>
      <c r="L79" s="194"/>
      <c r="M79" s="194"/>
      <c r="N79" s="194"/>
      <c r="O79" s="194"/>
      <c r="P79" s="194"/>
      <c r="Q79" s="194"/>
      <c r="R79" s="194"/>
      <c r="S79" s="194"/>
      <c r="T79" s="194"/>
      <c r="U79" s="194"/>
      <c r="V79" s="194"/>
      <c r="W79" s="194"/>
      <c r="X79" s="194"/>
      <c r="Y79" s="194"/>
      <c r="Z79" s="194"/>
      <c r="AA79" s="195"/>
      <c r="AB79" s="194">
        <f t="shared" si="16"/>
        <v>186.9</v>
      </c>
      <c r="AC79" s="194"/>
      <c r="AD79" s="860"/>
      <c r="AE79" s="194">
        <f>+'Exhibit F'!AF75+'Exhibit G State'!AF55</f>
        <v>181.7</v>
      </c>
      <c r="AF79" s="194"/>
      <c r="AG79" s="1532"/>
      <c r="AH79" s="194">
        <f t="shared" si="15"/>
        <v>5.2</v>
      </c>
      <c r="AI79" s="62"/>
      <c r="AJ79" s="283">
        <f>ROUND(SUM(AH79/ABS(AE79)),3)</f>
        <v>2.9000000000000001E-2</v>
      </c>
    </row>
    <row r="80" spans="1:36" ht="15.5">
      <c r="A80" s="350" t="s">
        <v>401</v>
      </c>
      <c r="B80" s="62"/>
      <c r="C80" s="194"/>
      <c r="D80" s="194"/>
      <c r="E80" s="194"/>
      <c r="F80" s="194"/>
      <c r="G80" s="194"/>
      <c r="H80" s="194"/>
      <c r="I80" s="194"/>
      <c r="J80" s="194"/>
      <c r="K80" s="194"/>
      <c r="L80" s="194"/>
      <c r="M80" s="194"/>
      <c r="N80" s="194"/>
      <c r="O80" s="194"/>
      <c r="P80" s="194"/>
      <c r="Q80" s="194"/>
      <c r="R80" s="194"/>
      <c r="S80" s="194"/>
      <c r="T80" s="194"/>
      <c r="U80" s="194"/>
      <c r="V80" s="194"/>
      <c r="W80" s="194"/>
      <c r="X80" s="194"/>
      <c r="Y80" s="194"/>
      <c r="Z80" s="194"/>
      <c r="AA80" s="195"/>
      <c r="AB80" s="194"/>
      <c r="AC80" s="194"/>
      <c r="AD80" s="860"/>
      <c r="AE80" s="194"/>
      <c r="AF80" s="194"/>
      <c r="AG80" s="1532"/>
      <c r="AH80" s="194"/>
      <c r="AI80" s="62"/>
      <c r="AJ80" s="283" t="s">
        <v>103</v>
      </c>
    </row>
    <row r="81" spans="1:36" ht="15.5">
      <c r="A81" s="350" t="s">
        <v>402</v>
      </c>
      <c r="B81" s="62"/>
      <c r="C81" s="194">
        <f>+'Exhibit G State'!D57</f>
        <v>57.6</v>
      </c>
      <c r="D81" s="194"/>
      <c r="E81" s="194">
        <f>+'Exhibit G State'!F57</f>
        <v>56.999999999999993</v>
      </c>
      <c r="F81" s="194"/>
      <c r="G81" s="194">
        <f>+'Exhibit G State'!H57</f>
        <v>25.999999999999993</v>
      </c>
      <c r="H81" s="194"/>
      <c r="I81" s="194">
        <f>+'Exhibit G State'!J57</f>
        <v>45.800000000000004</v>
      </c>
      <c r="J81" s="194"/>
      <c r="K81" s="194"/>
      <c r="L81" s="194"/>
      <c r="M81" s="194"/>
      <c r="N81" s="194"/>
      <c r="O81" s="194"/>
      <c r="P81" s="194"/>
      <c r="Q81" s="194"/>
      <c r="R81" s="194"/>
      <c r="S81" s="194"/>
      <c r="T81" s="194"/>
      <c r="U81" s="194"/>
      <c r="V81" s="194"/>
      <c r="W81" s="194"/>
      <c r="X81" s="194"/>
      <c r="Y81" s="194"/>
      <c r="Z81" s="194"/>
      <c r="AA81" s="195"/>
      <c r="AB81" s="194">
        <f t="shared" ref="AB81:AB86" si="17">ROUND(SUM(C81:Y81),1)</f>
        <v>186.4</v>
      </c>
      <c r="AC81" s="194"/>
      <c r="AD81" s="860"/>
      <c r="AE81" s="264">
        <f>+'Exhibit G State'!AF57</f>
        <v>119.2</v>
      </c>
      <c r="AF81" s="194"/>
      <c r="AG81" s="1532"/>
      <c r="AH81" s="194">
        <f t="shared" si="15"/>
        <v>67.2</v>
      </c>
      <c r="AI81" s="62"/>
      <c r="AJ81" s="266">
        <f>ROUND(IF(AE81=0,1,AH81/ABS(AE81)),3)</f>
        <v>0.56399999999999995</v>
      </c>
    </row>
    <row r="82" spans="1:36" ht="15.5">
      <c r="A82" s="350" t="s">
        <v>403</v>
      </c>
      <c r="B82" s="62"/>
      <c r="C82" s="194">
        <f>+'Exhibit G State'!D58</f>
        <v>218.6</v>
      </c>
      <c r="D82" s="194"/>
      <c r="E82" s="194">
        <f>+'Exhibit G State'!F58</f>
        <v>177.9</v>
      </c>
      <c r="F82" s="194"/>
      <c r="G82" s="194">
        <f>+'Exhibit G State'!H58</f>
        <v>175.79999999999998</v>
      </c>
      <c r="H82" s="194"/>
      <c r="I82" s="194">
        <f>+'Exhibit G State'!J58</f>
        <v>219.40000000000012</v>
      </c>
      <c r="J82" s="194"/>
      <c r="K82" s="194"/>
      <c r="L82" s="194"/>
      <c r="M82" s="194"/>
      <c r="N82" s="194"/>
      <c r="O82" s="194"/>
      <c r="P82" s="194"/>
      <c r="Q82" s="194"/>
      <c r="R82" s="194"/>
      <c r="S82" s="194"/>
      <c r="T82" s="194"/>
      <c r="U82" s="194"/>
      <c r="V82" s="194"/>
      <c r="W82" s="194"/>
      <c r="X82" s="194"/>
      <c r="Y82" s="194"/>
      <c r="Z82" s="194"/>
      <c r="AA82" s="195"/>
      <c r="AB82" s="194">
        <f t="shared" si="17"/>
        <v>791.7</v>
      </c>
      <c r="AC82" s="194"/>
      <c r="AD82" s="860"/>
      <c r="AE82" s="194">
        <f>+'Exhibit G State'!AF58</f>
        <v>787.3</v>
      </c>
      <c r="AF82" s="194"/>
      <c r="AG82" s="1532"/>
      <c r="AH82" s="194">
        <f t="shared" ref="AH82:AH83" si="18">ROUND(SUM(AB82-AE82),1)</f>
        <v>4.4000000000000004</v>
      </c>
      <c r="AI82" s="62"/>
      <c r="AJ82" s="266">
        <f t="shared" ref="AJ82:AJ83" si="19">ROUND(IF(AE82=0,1,AH82/ABS(AE82)),3)</f>
        <v>6.0000000000000001E-3</v>
      </c>
    </row>
    <row r="83" spans="1:36" ht="15.5">
      <c r="A83" s="350" t="s">
        <v>404</v>
      </c>
      <c r="B83" s="62"/>
      <c r="C83" s="194">
        <f>+'Exhibit G State'!D59+'Exhibit F'!D77</f>
        <v>122.4</v>
      </c>
      <c r="D83" s="194"/>
      <c r="E83" s="194">
        <f>+'Exhibit G State'!F59+'Exhibit F'!F77</f>
        <v>109.79999999999998</v>
      </c>
      <c r="F83" s="194"/>
      <c r="G83" s="194">
        <f>+'Exhibit G State'!H59+'Exhibit F'!H77</f>
        <v>39</v>
      </c>
      <c r="H83" s="194"/>
      <c r="I83" s="194">
        <f>+'Exhibit G State'!J59+'Exhibit F'!J77</f>
        <v>123.80000000000001</v>
      </c>
      <c r="J83" s="194"/>
      <c r="K83" s="194"/>
      <c r="L83" s="194"/>
      <c r="M83" s="194"/>
      <c r="N83" s="194"/>
      <c r="O83" s="194"/>
      <c r="P83" s="194"/>
      <c r="Q83" s="194"/>
      <c r="R83" s="194"/>
      <c r="S83" s="194"/>
      <c r="T83" s="194"/>
      <c r="U83" s="194"/>
      <c r="V83" s="194"/>
      <c r="W83" s="194"/>
      <c r="X83" s="194"/>
      <c r="Y83" s="194"/>
      <c r="Z83" s="194"/>
      <c r="AA83" s="195"/>
      <c r="AB83" s="194">
        <f t="shared" si="17"/>
        <v>395</v>
      </c>
      <c r="AC83" s="194"/>
      <c r="AD83" s="860"/>
      <c r="AE83" s="194">
        <f>+'Exhibit G State'!AF59+'Exhibit F'!AF77</f>
        <v>398.2</v>
      </c>
      <c r="AF83" s="194"/>
      <c r="AG83" s="1532"/>
      <c r="AH83" s="194">
        <f t="shared" si="18"/>
        <v>-3.2</v>
      </c>
      <c r="AI83" s="62"/>
      <c r="AJ83" s="266">
        <f t="shared" si="19"/>
        <v>-8.0000000000000002E-3</v>
      </c>
    </row>
    <row r="84" spans="1:36" ht="15.5">
      <c r="A84" s="350" t="s">
        <v>405</v>
      </c>
      <c r="B84" s="62"/>
      <c r="C84" s="194">
        <f>+'Exhibit G State'!D60</f>
        <v>103</v>
      </c>
      <c r="D84" s="194"/>
      <c r="E84" s="194">
        <f>+'Exhibit G State'!F60</f>
        <v>47.400000000000006</v>
      </c>
      <c r="F84" s="194"/>
      <c r="G84" s="194">
        <f>+'Exhibit G State'!H60</f>
        <v>48.299999999999983</v>
      </c>
      <c r="H84" s="194"/>
      <c r="I84" s="194">
        <f>+'Exhibit G State'!J60</f>
        <v>59.100000000000023</v>
      </c>
      <c r="J84" s="194"/>
      <c r="K84" s="194"/>
      <c r="L84" s="194"/>
      <c r="M84" s="194"/>
      <c r="N84" s="194"/>
      <c r="O84" s="194"/>
      <c r="P84" s="194"/>
      <c r="Q84" s="194"/>
      <c r="R84" s="194"/>
      <c r="S84" s="194"/>
      <c r="T84" s="194"/>
      <c r="U84" s="194"/>
      <c r="V84" s="194"/>
      <c r="W84" s="194"/>
      <c r="X84" s="194"/>
      <c r="Y84" s="194"/>
      <c r="Z84" s="194"/>
      <c r="AA84" s="195"/>
      <c r="AB84" s="194">
        <f t="shared" si="17"/>
        <v>257.8</v>
      </c>
      <c r="AC84" s="194"/>
      <c r="AD84" s="860"/>
      <c r="AE84" s="264">
        <f>+'Exhibit G State'!AF60</f>
        <v>367.5</v>
      </c>
      <c r="AF84" s="194"/>
      <c r="AG84" s="1532"/>
      <c r="AH84" s="194">
        <f t="shared" si="15"/>
        <v>-109.7</v>
      </c>
      <c r="AI84" s="62"/>
      <c r="AJ84" s="542">
        <f>ROUND(IF(AE84=0,1,AH84/ABS(AE84)),3)</f>
        <v>-0.29899999999999999</v>
      </c>
    </row>
    <row r="85" spans="1:36" ht="15.5">
      <c r="A85" s="350" t="s">
        <v>406</v>
      </c>
      <c r="B85" s="62"/>
      <c r="C85" s="194">
        <f>+'Exhibit F'!D78+'Exhibit H'!B42+'Exhibit G State'!D61</f>
        <v>247.6</v>
      </c>
      <c r="D85" s="194"/>
      <c r="E85" s="194">
        <f>+'Exhibit F'!F78+'Exhibit H'!D42+'Exhibit G State'!F61</f>
        <v>232.80000000000004</v>
      </c>
      <c r="F85" s="194"/>
      <c r="G85" s="194">
        <f>+'Exhibit F'!H78+'Exhibit H'!F42+'Exhibit G State'!H61</f>
        <v>251.89999999999995</v>
      </c>
      <c r="H85" s="194"/>
      <c r="I85" s="194">
        <f>+'Exhibit F'!J78+'Exhibit H'!H42+'Exhibit G State'!J61</f>
        <v>242.7</v>
      </c>
      <c r="J85" s="194"/>
      <c r="K85" s="194"/>
      <c r="L85" s="194"/>
      <c r="M85" s="194"/>
      <c r="N85" s="194"/>
      <c r="O85" s="194"/>
      <c r="P85" s="194"/>
      <c r="Q85" s="194"/>
      <c r="R85" s="194"/>
      <c r="S85" s="194"/>
      <c r="T85" s="194"/>
      <c r="U85" s="194"/>
      <c r="V85" s="194"/>
      <c r="W85" s="194"/>
      <c r="X85" s="194"/>
      <c r="Y85" s="194"/>
      <c r="Z85" s="194"/>
      <c r="AA85" s="195"/>
      <c r="AB85" s="194">
        <f t="shared" si="17"/>
        <v>975</v>
      </c>
      <c r="AC85" s="194"/>
      <c r="AD85" s="860"/>
      <c r="AE85" s="264">
        <f>+'Exhibit F'!AF78+'Exhibit H'!AD42+'Exhibit G State'!AF61</f>
        <v>1103.5</v>
      </c>
      <c r="AF85" s="194"/>
      <c r="AG85" s="1532"/>
      <c r="AH85" s="194">
        <f t="shared" si="15"/>
        <v>-128.5</v>
      </c>
      <c r="AI85" s="62"/>
      <c r="AJ85" s="607">
        <f>ROUND(SUM(AH85/ABS(AE85)),3)</f>
        <v>-0.11600000000000001</v>
      </c>
    </row>
    <row r="86" spans="1:36" ht="15.5">
      <c r="A86" s="350" t="s">
        <v>407</v>
      </c>
      <c r="B86" s="62"/>
      <c r="C86" s="194">
        <f>+'Exhibit F'!D79+'Exhibit H'!B43+'Exhibit G State'!D62</f>
        <v>7.3</v>
      </c>
      <c r="D86" s="194"/>
      <c r="E86" s="194">
        <f>+'Exhibit F'!F79+'Exhibit H'!D43+'Exhibit G State'!F62</f>
        <v>0.60000000000000053</v>
      </c>
      <c r="F86" s="194"/>
      <c r="G86" s="194">
        <f>+'Exhibit F'!H79+'Exhibit H'!F43+'Exhibit G State'!H62</f>
        <v>8</v>
      </c>
      <c r="H86" s="194"/>
      <c r="I86" s="194">
        <f>+'Exhibit F'!J79+'Exhibit H'!H43+'Exhibit G State'!J62</f>
        <v>2.9999999999999973</v>
      </c>
      <c r="J86" s="194"/>
      <c r="K86" s="194"/>
      <c r="L86" s="194"/>
      <c r="M86" s="194"/>
      <c r="N86" s="194"/>
      <c r="O86" s="194"/>
      <c r="P86" s="194"/>
      <c r="Q86" s="194"/>
      <c r="R86" s="194"/>
      <c r="S86" s="194"/>
      <c r="T86" s="194"/>
      <c r="U86" s="194"/>
      <c r="V86" s="194"/>
      <c r="W86" s="194"/>
      <c r="X86" s="194"/>
      <c r="Y86" s="194"/>
      <c r="Z86" s="194"/>
      <c r="AA86" s="195"/>
      <c r="AB86" s="194">
        <f t="shared" si="17"/>
        <v>18.899999999999999</v>
      </c>
      <c r="AC86" s="194"/>
      <c r="AD86" s="860"/>
      <c r="AE86" s="194">
        <f>+'Exhibit F'!AF79+'Exhibit H'!AD43+'Exhibit G State'!AF62</f>
        <v>16.400000000000002</v>
      </c>
      <c r="AF86" s="194"/>
      <c r="AG86" s="1532"/>
      <c r="AH86" s="194">
        <f>ROUND(SUM(AB86-AE86),1)</f>
        <v>2.5</v>
      </c>
      <c r="AI86" s="62"/>
      <c r="AJ86" s="607">
        <f>ROUND(SUM(AH86/ABS(AE86)),3)</f>
        <v>0.152</v>
      </c>
    </row>
    <row r="87" spans="1:36" ht="15.5">
      <c r="A87" s="350" t="s">
        <v>408</v>
      </c>
      <c r="B87" s="62"/>
      <c r="C87" s="194"/>
      <c r="D87" s="194"/>
      <c r="E87" s="194"/>
      <c r="F87" s="194"/>
      <c r="G87" s="194"/>
      <c r="H87" s="194"/>
      <c r="I87" s="194"/>
      <c r="J87" s="194"/>
      <c r="K87" s="194"/>
      <c r="L87" s="194"/>
      <c r="M87" s="194"/>
      <c r="N87" s="194"/>
      <c r="O87" s="194"/>
      <c r="P87" s="194"/>
      <c r="Q87" s="194"/>
      <c r="R87" s="194"/>
      <c r="S87" s="194"/>
      <c r="T87" s="194"/>
      <c r="U87" s="194"/>
      <c r="V87" s="194"/>
      <c r="W87" s="194"/>
      <c r="X87" s="194"/>
      <c r="Y87" s="194"/>
      <c r="Z87" s="194"/>
      <c r="AA87" s="195"/>
      <c r="AB87" s="194"/>
      <c r="AC87" s="194"/>
      <c r="AD87" s="860"/>
      <c r="AE87" s="194"/>
      <c r="AF87" s="194"/>
      <c r="AG87" s="1532"/>
      <c r="AH87" s="194"/>
      <c r="AI87" s="62"/>
      <c r="AJ87" s="266"/>
    </row>
    <row r="88" spans="1:36" ht="15.5">
      <c r="A88" s="350" t="s">
        <v>409</v>
      </c>
      <c r="B88" s="62"/>
      <c r="C88" s="194">
        <f>+'Exhibit G State'!D64</f>
        <v>0</v>
      </c>
      <c r="D88" s="194"/>
      <c r="E88" s="194">
        <f>+'Exhibit G State'!F64</f>
        <v>0</v>
      </c>
      <c r="F88" s="194"/>
      <c r="G88" s="194">
        <f>+'Exhibit G State'!H64</f>
        <v>0</v>
      </c>
      <c r="H88" s="194"/>
      <c r="I88" s="194">
        <f>+'Exhibit G State'!J64</f>
        <v>0</v>
      </c>
      <c r="J88" s="194"/>
      <c r="K88" s="194"/>
      <c r="L88" s="194"/>
      <c r="M88" s="194"/>
      <c r="N88" s="194"/>
      <c r="O88" s="194"/>
      <c r="P88" s="194"/>
      <c r="Q88" s="194"/>
      <c r="R88" s="194"/>
      <c r="S88" s="194"/>
      <c r="T88" s="194"/>
      <c r="U88" s="194"/>
      <c r="V88" s="194"/>
      <c r="W88" s="194"/>
      <c r="X88" s="194"/>
      <c r="Y88" s="194"/>
      <c r="Z88" s="194"/>
      <c r="AA88" s="195"/>
      <c r="AB88" s="194">
        <f t="shared" ref="AB88:AB92" si="20">ROUND(SUM(C88:Y88),1)</f>
        <v>0</v>
      </c>
      <c r="AC88" s="194"/>
      <c r="AD88" s="860"/>
      <c r="AE88" s="194">
        <f>+'Exhibit G State'!AF64+'Exhibit H'!AD45+'Exhibit F'!AF81</f>
        <v>0</v>
      </c>
      <c r="AF88" s="194"/>
      <c r="AG88" s="1532"/>
      <c r="AH88" s="194">
        <f t="shared" si="15"/>
        <v>0</v>
      </c>
      <c r="AI88" s="62"/>
      <c r="AJ88" s="266">
        <f>ROUND(IF(AE88=0,0,AH88/ABS(AE88)),3)</f>
        <v>0</v>
      </c>
    </row>
    <row r="89" spans="1:36" ht="15.5">
      <c r="A89" s="350" t="s">
        <v>410</v>
      </c>
      <c r="B89" s="62"/>
      <c r="C89" s="194">
        <f>+'Exhibit F'!D82+'Exhibit G State'!D65</f>
        <v>0.4</v>
      </c>
      <c r="D89" s="194"/>
      <c r="E89" s="194">
        <f>+'Exhibit F'!F82+'Exhibit G State'!F65</f>
        <v>0</v>
      </c>
      <c r="F89" s="194"/>
      <c r="G89" s="194">
        <f>+'Exhibit F'!H82+'Exhibit G State'!H65</f>
        <v>0</v>
      </c>
      <c r="H89" s="194"/>
      <c r="I89" s="194">
        <f>+'Exhibit F'!J82+'Exhibit G State'!J65</f>
        <v>0</v>
      </c>
      <c r="J89" s="194"/>
      <c r="K89" s="194"/>
      <c r="L89" s="194"/>
      <c r="M89" s="194"/>
      <c r="N89" s="194"/>
      <c r="O89" s="194"/>
      <c r="P89" s="194"/>
      <c r="Q89" s="194"/>
      <c r="R89" s="194"/>
      <c r="S89" s="194"/>
      <c r="T89" s="194"/>
      <c r="U89" s="194"/>
      <c r="V89" s="194"/>
      <c r="W89" s="194"/>
      <c r="X89" s="194"/>
      <c r="Y89" s="194"/>
      <c r="Z89" s="194"/>
      <c r="AA89" s="195"/>
      <c r="AB89" s="194">
        <f t="shared" si="20"/>
        <v>0.4</v>
      </c>
      <c r="AC89" s="194"/>
      <c r="AD89" s="860"/>
      <c r="AE89" s="194">
        <f>+'Exhibit F'!AF82+'Exhibit G State'!AF65</f>
        <v>13.1</v>
      </c>
      <c r="AF89" s="194"/>
      <c r="AG89" s="1532"/>
      <c r="AH89" s="194">
        <f t="shared" si="15"/>
        <v>-12.7</v>
      </c>
      <c r="AI89" s="62"/>
      <c r="AJ89" s="607">
        <f>ROUND(IF(AE89=0,1,AH89/ABS(AE89)),3)</f>
        <v>-0.96899999999999997</v>
      </c>
    </row>
    <row r="90" spans="1:36" ht="15.5">
      <c r="A90" s="350" t="s">
        <v>411</v>
      </c>
      <c r="B90" s="62"/>
      <c r="C90" s="194">
        <f>+'Exhibit F'!D83+'Exhibit G State'!D66</f>
        <v>0.8</v>
      </c>
      <c r="D90" s="194"/>
      <c r="E90" s="194">
        <f>+'Exhibit F'!F83+'Exhibit G State'!F66</f>
        <v>0.39999999999999991</v>
      </c>
      <c r="F90" s="194"/>
      <c r="G90" s="194">
        <f>+'Exhibit F'!H83+'Exhibit G State'!H66</f>
        <v>0.30000000000000004</v>
      </c>
      <c r="H90" s="194"/>
      <c r="I90" s="194">
        <f>+'Exhibit F'!J83+'Exhibit G State'!J66</f>
        <v>10.199999999999999</v>
      </c>
      <c r="J90" s="194"/>
      <c r="K90" s="194"/>
      <c r="L90" s="194"/>
      <c r="M90" s="194"/>
      <c r="N90" s="194"/>
      <c r="O90" s="194"/>
      <c r="P90" s="194"/>
      <c r="Q90" s="194"/>
      <c r="R90" s="194"/>
      <c r="S90" s="194"/>
      <c r="T90" s="194"/>
      <c r="U90" s="194"/>
      <c r="V90" s="194"/>
      <c r="W90" s="194"/>
      <c r="X90" s="194"/>
      <c r="Y90" s="194"/>
      <c r="Z90" s="194"/>
      <c r="AA90" s="195"/>
      <c r="AB90" s="194">
        <f t="shared" si="20"/>
        <v>11.7</v>
      </c>
      <c r="AC90" s="194"/>
      <c r="AD90" s="860"/>
      <c r="AE90" s="194">
        <f>+'Exhibit F'!AF83+'Exhibit G State'!AF66</f>
        <v>12.100000000000001</v>
      </c>
      <c r="AF90" s="194"/>
      <c r="AG90" s="1532"/>
      <c r="AH90" s="194">
        <f t="shared" si="15"/>
        <v>-0.4</v>
      </c>
      <c r="AI90" s="62"/>
      <c r="AJ90" s="607">
        <f>ROUND(SUM(AH90/ABS(AE90)),3)</f>
        <v>-3.3000000000000002E-2</v>
      </c>
    </row>
    <row r="91" spans="1:36" ht="15.5">
      <c r="A91" s="350" t="s">
        <v>412</v>
      </c>
      <c r="B91" s="62"/>
      <c r="C91" s="194">
        <f>+'Exhibit F'!D84+'Exhibit G State'!D67</f>
        <v>4.7</v>
      </c>
      <c r="D91" s="194"/>
      <c r="E91" s="194">
        <f>+'Exhibit F'!F84+'Exhibit G State'!F67</f>
        <v>4.4999999999999991</v>
      </c>
      <c r="F91" s="194"/>
      <c r="G91" s="194">
        <f>+'Exhibit F'!H84+'Exhibit G State'!H67</f>
        <v>11.799999999999999</v>
      </c>
      <c r="H91" s="194"/>
      <c r="I91" s="194">
        <f>+'Exhibit F'!J84+'Exhibit G State'!J67</f>
        <v>6.3</v>
      </c>
      <c r="J91" s="194"/>
      <c r="K91" s="194"/>
      <c r="L91" s="194"/>
      <c r="M91" s="194"/>
      <c r="N91" s="194"/>
      <c r="O91" s="194"/>
      <c r="P91" s="194"/>
      <c r="Q91" s="194"/>
      <c r="R91" s="194"/>
      <c r="S91" s="194"/>
      <c r="T91" s="194"/>
      <c r="U91" s="194"/>
      <c r="V91" s="194"/>
      <c r="W91" s="194"/>
      <c r="X91" s="194"/>
      <c r="Y91" s="194"/>
      <c r="Z91" s="194"/>
      <c r="AA91" s="195"/>
      <c r="AB91" s="194">
        <f t="shared" si="20"/>
        <v>27.3</v>
      </c>
      <c r="AC91" s="194"/>
      <c r="AD91" s="860"/>
      <c r="AE91" s="194">
        <f>+'Exhibit F'!AF84+'Exhibit G State'!AF67</f>
        <v>24.799999999999997</v>
      </c>
      <c r="AF91" s="194"/>
      <c r="AG91" s="1532"/>
      <c r="AH91" s="194">
        <f t="shared" si="15"/>
        <v>2.5</v>
      </c>
      <c r="AI91" s="62"/>
      <c r="AJ91" s="607">
        <f>ROUND(SUM(AH91/ABS(AE91)),3)</f>
        <v>0.10100000000000001</v>
      </c>
    </row>
    <row r="92" spans="1:36" ht="15.5">
      <c r="A92" s="350" t="s">
        <v>413</v>
      </c>
      <c r="B92" s="62"/>
      <c r="C92" s="194">
        <f>+'Exhibit F'!D85+'Exhibit H'!B46+'Exhibit G State'!D68</f>
        <v>59.800000000000004</v>
      </c>
      <c r="D92" s="194"/>
      <c r="E92" s="194">
        <f>+'Exhibit F'!F85+'Exhibit H'!D46+'Exhibit G State'!F68</f>
        <v>24.599999999999998</v>
      </c>
      <c r="F92" s="194"/>
      <c r="G92" s="194">
        <f>+'Exhibit F'!H85+'Exhibit H'!F46+'Exhibit G State'!H68</f>
        <v>0.5</v>
      </c>
      <c r="H92" s="194"/>
      <c r="I92" s="194">
        <f>+'Exhibit F'!J85+'Exhibit H'!H46+'Exhibit G State'!J68</f>
        <v>1.1000000000000056</v>
      </c>
      <c r="J92" s="194"/>
      <c r="K92" s="194"/>
      <c r="L92" s="194"/>
      <c r="M92" s="194"/>
      <c r="N92" s="194"/>
      <c r="O92" s="194"/>
      <c r="P92" s="194"/>
      <c r="Q92" s="194"/>
      <c r="R92" s="194"/>
      <c r="S92" s="194"/>
      <c r="T92" s="194"/>
      <c r="U92" s="194"/>
      <c r="V92" s="194"/>
      <c r="W92" s="194"/>
      <c r="X92" s="194"/>
      <c r="Y92" s="194"/>
      <c r="Z92" s="194"/>
      <c r="AA92" s="195"/>
      <c r="AB92" s="194">
        <f t="shared" si="20"/>
        <v>86</v>
      </c>
      <c r="AC92" s="194"/>
      <c r="AD92" s="860"/>
      <c r="AE92" s="194">
        <f>+'Exhibit F'!AF85+'Exhibit H'!AD46+'Exhibit G State'!AF68</f>
        <v>89.3</v>
      </c>
      <c r="AF92" s="194"/>
      <c r="AG92" s="1532"/>
      <c r="AH92" s="194">
        <f t="shared" si="15"/>
        <v>-3.3</v>
      </c>
      <c r="AI92" s="62"/>
      <c r="AJ92" s="607">
        <f>ROUND(SUM(AH92/ABS(AE92)),3)</f>
        <v>-3.6999999999999998E-2</v>
      </c>
    </row>
    <row r="93" spans="1:36" ht="15.5">
      <c r="A93" s="350" t="s">
        <v>414</v>
      </c>
      <c r="B93" s="62"/>
      <c r="C93" s="194"/>
      <c r="D93" s="194"/>
      <c r="E93" s="194"/>
      <c r="F93" s="194"/>
      <c r="G93" s="194"/>
      <c r="H93" s="194"/>
      <c r="I93" s="194"/>
      <c r="J93" s="194"/>
      <c r="K93" s="194"/>
      <c r="L93" s="194"/>
      <c r="M93" s="194"/>
      <c r="N93" s="194"/>
      <c r="O93" s="194"/>
      <c r="P93" s="194"/>
      <c r="Q93" s="194"/>
      <c r="R93" s="194"/>
      <c r="S93" s="194"/>
      <c r="T93" s="194"/>
      <c r="U93" s="194"/>
      <c r="V93" s="194"/>
      <c r="W93" s="194"/>
      <c r="X93" s="194"/>
      <c r="Y93" s="194"/>
      <c r="Z93" s="194"/>
      <c r="AA93" s="195"/>
      <c r="AB93" s="194"/>
      <c r="AC93" s="194"/>
      <c r="AD93" s="860"/>
      <c r="AE93" s="194"/>
      <c r="AF93" s="194"/>
      <c r="AG93" s="1532"/>
      <c r="AH93" s="194"/>
      <c r="AI93" s="62"/>
      <c r="AJ93" s="266"/>
    </row>
    <row r="94" spans="1:36" ht="15.5">
      <c r="A94" s="350" t="s">
        <v>415</v>
      </c>
      <c r="B94" s="62"/>
      <c r="C94" s="194">
        <f>+'Exhibit F'!D87+'Exhibit G State'!D70</f>
        <v>0.4</v>
      </c>
      <c r="D94" s="194"/>
      <c r="E94" s="194">
        <f>+'Exhibit F'!F87+'Exhibit G State'!F70</f>
        <v>18.499999999999996</v>
      </c>
      <c r="F94" s="194"/>
      <c r="G94" s="194">
        <f>+'Exhibit F'!H87+'Exhibit G State'!H70</f>
        <v>43.6</v>
      </c>
      <c r="H94" s="194"/>
      <c r="I94" s="194">
        <f>+'Exhibit F'!J87+'Exhibit G State'!J70</f>
        <v>9.6000000000000014</v>
      </c>
      <c r="J94" s="194"/>
      <c r="K94" s="194"/>
      <c r="L94" s="194"/>
      <c r="M94" s="194"/>
      <c r="N94" s="194"/>
      <c r="O94" s="194"/>
      <c r="P94" s="194"/>
      <c r="Q94" s="194"/>
      <c r="R94" s="194"/>
      <c r="S94" s="194"/>
      <c r="T94" s="194"/>
      <c r="U94" s="194"/>
      <c r="V94" s="194"/>
      <c r="W94" s="194"/>
      <c r="X94" s="194"/>
      <c r="Y94" s="194"/>
      <c r="Z94" s="194"/>
      <c r="AA94" s="195"/>
      <c r="AB94" s="194">
        <f t="shared" ref="AB94:AB104" si="21">ROUND(SUM(C94:Y94),1)</f>
        <v>72.099999999999994</v>
      </c>
      <c r="AC94" s="194"/>
      <c r="AD94" s="860"/>
      <c r="AE94" s="194">
        <f>+'Exhibit F'!AF87+'Exhibit G State'!AF70</f>
        <v>78.5</v>
      </c>
      <c r="AF94" s="194"/>
      <c r="AG94" s="1532"/>
      <c r="AH94" s="194">
        <f t="shared" si="15"/>
        <v>-6.4</v>
      </c>
      <c r="AI94" s="62"/>
      <c r="AJ94" s="607">
        <f>ROUND(SUM(AH94/ABS(AE94)),3)</f>
        <v>-8.2000000000000003E-2</v>
      </c>
    </row>
    <row r="95" spans="1:36" ht="15.5">
      <c r="A95" s="350" t="s">
        <v>416</v>
      </c>
      <c r="B95" s="62"/>
      <c r="C95" s="194">
        <f>+'Exhibit G State'!D71+'Exhibit F'!D88</f>
        <v>1.1000000000000001</v>
      </c>
      <c r="D95" s="194"/>
      <c r="E95" s="194">
        <f>+'Exhibit G State'!F71+'Exhibit F'!F88</f>
        <v>1.2</v>
      </c>
      <c r="F95" s="194"/>
      <c r="G95" s="194">
        <f>+'Exhibit G State'!H71+'Exhibit F'!H88</f>
        <v>0.69999999999999973</v>
      </c>
      <c r="H95" s="194"/>
      <c r="I95" s="194">
        <f>+'Exhibit G State'!J71+'Exhibit F'!J88</f>
        <v>0.50000000000000044</v>
      </c>
      <c r="J95" s="194"/>
      <c r="K95" s="194"/>
      <c r="L95" s="194"/>
      <c r="M95" s="194"/>
      <c r="N95" s="194"/>
      <c r="O95" s="194"/>
      <c r="P95" s="194"/>
      <c r="Q95" s="194"/>
      <c r="R95" s="194"/>
      <c r="S95" s="194"/>
      <c r="T95" s="194"/>
      <c r="U95" s="194"/>
      <c r="V95" s="194"/>
      <c r="W95" s="194"/>
      <c r="X95" s="194"/>
      <c r="Y95" s="194"/>
      <c r="Z95" s="194"/>
      <c r="AA95" s="195"/>
      <c r="AB95" s="194">
        <f t="shared" si="21"/>
        <v>3.5</v>
      </c>
      <c r="AC95" s="194"/>
      <c r="AD95" s="860"/>
      <c r="AE95" s="194">
        <f>+'Exhibit G State'!AF71+'Exhibit F'!AF88</f>
        <v>1.8</v>
      </c>
      <c r="AF95" s="194"/>
      <c r="AG95" s="1532"/>
      <c r="AH95" s="194">
        <f t="shared" si="15"/>
        <v>1.7</v>
      </c>
      <c r="AI95" s="62"/>
      <c r="AJ95" s="542">
        <f>ROUND(IF(AE95=0,1,AH95/ABS(AE95)),3)</f>
        <v>0.94399999999999995</v>
      </c>
    </row>
    <row r="96" spans="1:36" ht="15.5">
      <c r="A96" s="350" t="s">
        <v>417</v>
      </c>
      <c r="B96" s="62"/>
      <c r="C96" s="194">
        <f>+'Exhibit F'!D89+'Exhibit G State'!D72</f>
        <v>6.5</v>
      </c>
      <c r="D96" s="194"/>
      <c r="E96" s="194">
        <f>+'Exhibit F'!F89+'Exhibit G State'!F72</f>
        <v>11.899999999999999</v>
      </c>
      <c r="F96" s="194"/>
      <c r="G96" s="194">
        <f>+'Exhibit F'!H89+'Exhibit G State'!H72</f>
        <v>2.3999999999999986</v>
      </c>
      <c r="H96" s="194"/>
      <c r="I96" s="194">
        <f>+'Exhibit F'!J89+'Exhibit G State'!J72</f>
        <v>0.40000000000000213</v>
      </c>
      <c r="J96" s="194"/>
      <c r="K96" s="194"/>
      <c r="L96" s="194"/>
      <c r="M96" s="194"/>
      <c r="N96" s="194"/>
      <c r="O96" s="194"/>
      <c r="P96" s="194"/>
      <c r="Q96" s="194"/>
      <c r="R96" s="194"/>
      <c r="S96" s="194"/>
      <c r="T96" s="194"/>
      <c r="U96" s="194"/>
      <c r="V96" s="194"/>
      <c r="W96" s="194"/>
      <c r="X96" s="194"/>
      <c r="Y96" s="194"/>
      <c r="Z96" s="194"/>
      <c r="AA96" s="195"/>
      <c r="AB96" s="194">
        <f t="shared" si="21"/>
        <v>21.2</v>
      </c>
      <c r="AC96" s="194"/>
      <c r="AD96" s="860"/>
      <c r="AE96" s="194">
        <f>+'Exhibit F'!AF89+'Exhibit G State'!AF72</f>
        <v>8.1999999999999993</v>
      </c>
      <c r="AF96" s="194"/>
      <c r="AG96" s="1532"/>
      <c r="AH96" s="194">
        <f t="shared" si="15"/>
        <v>13</v>
      </c>
      <c r="AI96" s="62"/>
      <c r="AJ96" s="607">
        <f t="shared" ref="AJ96:AJ103" si="22">ROUND(SUM(AH96/ABS(AE96)),3)</f>
        <v>1.585</v>
      </c>
    </row>
    <row r="97" spans="1:37" ht="15.5">
      <c r="A97" s="350" t="s">
        <v>418</v>
      </c>
      <c r="B97" s="62"/>
      <c r="C97" s="194">
        <f>+'Exhibit F'!D90+'Exhibit G State'!D73</f>
        <v>-0.2</v>
      </c>
      <c r="D97" s="194"/>
      <c r="E97" s="194">
        <f>+'Exhibit F'!F90+'Exhibit G State'!F73</f>
        <v>0.4</v>
      </c>
      <c r="F97" s="194"/>
      <c r="G97" s="194">
        <f>+'Exhibit F'!H90+'Exhibit G State'!H73</f>
        <v>44.5</v>
      </c>
      <c r="H97" s="194"/>
      <c r="I97" s="194">
        <f>+'Exhibit F'!J90+'Exhibit G State'!J73</f>
        <v>-4.5000000000000027</v>
      </c>
      <c r="J97" s="194"/>
      <c r="K97" s="194"/>
      <c r="L97" s="194"/>
      <c r="M97" s="194"/>
      <c r="N97" s="194"/>
      <c r="O97" s="194"/>
      <c r="P97" s="194"/>
      <c r="Q97" s="194"/>
      <c r="R97" s="194"/>
      <c r="S97" s="194"/>
      <c r="T97" s="194"/>
      <c r="U97" s="194"/>
      <c r="V97" s="194"/>
      <c r="W97" s="194"/>
      <c r="X97" s="194"/>
      <c r="Y97" s="194"/>
      <c r="Z97" s="194"/>
      <c r="AA97" s="195"/>
      <c r="AB97" s="194">
        <f t="shared" si="21"/>
        <v>40.200000000000003</v>
      </c>
      <c r="AC97" s="194"/>
      <c r="AD97" s="860"/>
      <c r="AE97" s="194">
        <f>+'Exhibit F'!AF90+'Exhibit G State'!AF73</f>
        <v>35.5</v>
      </c>
      <c r="AF97" s="194"/>
      <c r="AG97" s="1532"/>
      <c r="AH97" s="194">
        <f t="shared" si="15"/>
        <v>4.7</v>
      </c>
      <c r="AI97" s="62"/>
      <c r="AJ97" s="266">
        <f>ROUND(IF(AE97=0,1,AH97/ABS(AE97)),3)</f>
        <v>0.13200000000000001</v>
      </c>
    </row>
    <row r="98" spans="1:37" ht="15.5">
      <c r="A98" s="350" t="s">
        <v>419</v>
      </c>
      <c r="B98" s="62"/>
      <c r="C98" s="194">
        <f>+'Exhibit F'!D91+'Exhibit H'!B48+'Exhibit G State'!D74</f>
        <v>438.3</v>
      </c>
      <c r="D98" s="194"/>
      <c r="E98" s="194">
        <f>+'Exhibit F'!F91+'Exhibit H'!D48+'Exhibit G State'!F74</f>
        <v>324</v>
      </c>
      <c r="F98" s="194"/>
      <c r="G98" s="194">
        <f>+'Exhibit F'!H91+'Exhibit H'!F48+'Exhibit G State'!H74</f>
        <v>357.1</v>
      </c>
      <c r="H98" s="194"/>
      <c r="I98" s="194">
        <f>+'Exhibit F'!J91+'Exhibit H'!H48+'Exhibit G State'!J74</f>
        <v>437.89999999999986</v>
      </c>
      <c r="J98" s="194"/>
      <c r="K98" s="194"/>
      <c r="L98" s="194"/>
      <c r="M98" s="194"/>
      <c r="N98" s="194"/>
      <c r="O98" s="194"/>
      <c r="P98" s="194"/>
      <c r="Q98" s="194"/>
      <c r="R98" s="194"/>
      <c r="S98" s="194"/>
      <c r="T98" s="194"/>
      <c r="U98" s="194"/>
      <c r="V98" s="194"/>
      <c r="W98" s="194"/>
      <c r="X98" s="194"/>
      <c r="Y98" s="194"/>
      <c r="Z98" s="194"/>
      <c r="AA98" s="195"/>
      <c r="AB98" s="194">
        <f t="shared" si="21"/>
        <v>1557.3</v>
      </c>
      <c r="AC98" s="194"/>
      <c r="AD98" s="860"/>
      <c r="AE98" s="194">
        <f>+'Exhibit F'!AF91+'Exhibit H'!AD48+'Exhibit G State'!AF74</f>
        <v>1494.1</v>
      </c>
      <c r="AF98" s="194"/>
      <c r="AG98" s="1532"/>
      <c r="AH98" s="194">
        <f t="shared" si="15"/>
        <v>63.2</v>
      </c>
      <c r="AI98" s="62"/>
      <c r="AJ98" s="607">
        <f t="shared" si="22"/>
        <v>4.2000000000000003E-2</v>
      </c>
    </row>
    <row r="99" spans="1:37" ht="15.5">
      <c r="A99" s="350" t="s">
        <v>420</v>
      </c>
      <c r="B99" s="62"/>
      <c r="C99" s="194">
        <f>+'Exhibit G State'!D75+'Exhibit F'!D92</f>
        <v>4.5999999999999996</v>
      </c>
      <c r="D99" s="194"/>
      <c r="E99" s="194">
        <f>+'Exhibit G State'!F75+'Exhibit F'!F92</f>
        <v>0.5</v>
      </c>
      <c r="F99" s="194"/>
      <c r="G99" s="194">
        <f>+'Exhibit G State'!H75+'Exhibit F'!H92</f>
        <v>2.9000000000000004</v>
      </c>
      <c r="H99" s="194"/>
      <c r="I99" s="194">
        <f>+'Exhibit G State'!J75+'Exhibit F'!J92</f>
        <v>6.9</v>
      </c>
      <c r="J99" s="194"/>
      <c r="K99" s="194"/>
      <c r="L99" s="194"/>
      <c r="M99" s="194"/>
      <c r="N99" s="194"/>
      <c r="O99" s="194"/>
      <c r="P99" s="194"/>
      <c r="Q99" s="194"/>
      <c r="R99" s="194"/>
      <c r="S99" s="194"/>
      <c r="T99" s="194"/>
      <c r="U99" s="194"/>
      <c r="V99" s="194"/>
      <c r="W99" s="194"/>
      <c r="X99" s="194"/>
      <c r="Y99" s="194"/>
      <c r="Z99" s="194"/>
      <c r="AA99" s="195"/>
      <c r="AB99" s="194">
        <f t="shared" si="21"/>
        <v>14.9</v>
      </c>
      <c r="AC99" s="194"/>
      <c r="AD99" s="860"/>
      <c r="AE99" s="194">
        <f>+'Exhibit G State'!AF75+'Exhibit F'!AF92</f>
        <v>14.5</v>
      </c>
      <c r="AF99" s="194"/>
      <c r="AG99" s="1532"/>
      <c r="AH99" s="194">
        <f t="shared" si="15"/>
        <v>0.4</v>
      </c>
      <c r="AI99" s="62"/>
      <c r="AJ99" s="283">
        <f>ROUND(SUM(AH99/ABS(AE99)),3)</f>
        <v>2.8000000000000001E-2</v>
      </c>
    </row>
    <row r="100" spans="1:37" ht="15.5">
      <c r="A100" s="350" t="s">
        <v>421</v>
      </c>
      <c r="B100" s="62"/>
      <c r="C100" s="194">
        <f>+'Exhibit F'!D93+'Exhibit G State'!D76</f>
        <v>21.8</v>
      </c>
      <c r="D100" s="194"/>
      <c r="E100" s="194">
        <f>+'Exhibit F'!F93+'Exhibit G State'!F76</f>
        <v>0.80000000000000071</v>
      </c>
      <c r="F100" s="194"/>
      <c r="G100" s="194">
        <f>+'Exhibit F'!H93+'Exhibit G State'!H76</f>
        <v>2.1999999999999993</v>
      </c>
      <c r="H100" s="194"/>
      <c r="I100" s="194">
        <f>+'Exhibit F'!J93+'Exhibit G State'!J76</f>
        <v>65.8</v>
      </c>
      <c r="J100" s="194"/>
      <c r="K100" s="194"/>
      <c r="L100" s="194"/>
      <c r="M100" s="194"/>
      <c r="N100" s="194"/>
      <c r="O100" s="194"/>
      <c r="P100" s="194"/>
      <c r="Q100" s="194"/>
      <c r="R100" s="194"/>
      <c r="S100" s="194"/>
      <c r="T100" s="194"/>
      <c r="U100" s="194"/>
      <c r="V100" s="194"/>
      <c r="W100" s="194"/>
      <c r="X100" s="194"/>
      <c r="Y100" s="194"/>
      <c r="Z100" s="194"/>
      <c r="AA100" s="195"/>
      <c r="AB100" s="194">
        <f t="shared" si="21"/>
        <v>90.6</v>
      </c>
      <c r="AC100" s="194"/>
      <c r="AD100" s="860"/>
      <c r="AE100" s="194">
        <f>+'Exhibit F'!AF93+'Exhibit G State'!AF76</f>
        <v>20.400000000000002</v>
      </c>
      <c r="AF100" s="194"/>
      <c r="AG100" s="1532"/>
      <c r="AH100" s="194">
        <f t="shared" si="15"/>
        <v>70.2</v>
      </c>
      <c r="AI100" s="62"/>
      <c r="AJ100" s="607">
        <f t="shared" si="22"/>
        <v>3.4409999999999998</v>
      </c>
    </row>
    <row r="101" spans="1:37" ht="15.5">
      <c r="A101" s="350" t="s">
        <v>422</v>
      </c>
      <c r="B101" s="62"/>
      <c r="C101" s="194">
        <f>+'Exhibit F'!D94+'Exhibit G State'!D77</f>
        <v>1</v>
      </c>
      <c r="D101" s="194"/>
      <c r="E101" s="194">
        <f>+'Exhibit F'!F94+'Exhibit G State'!F77</f>
        <v>1.1000000000000001</v>
      </c>
      <c r="F101" s="194"/>
      <c r="G101" s="194">
        <f>+'Exhibit F'!H94+'Exhibit G State'!H77</f>
        <v>1</v>
      </c>
      <c r="H101" s="194"/>
      <c r="I101" s="194">
        <f>+'Exhibit F'!J94+'Exhibit G State'!J77</f>
        <v>0.99999999999999956</v>
      </c>
      <c r="J101" s="194"/>
      <c r="K101" s="194"/>
      <c r="L101" s="194"/>
      <c r="M101" s="194"/>
      <c r="N101" s="194"/>
      <c r="O101" s="194"/>
      <c r="P101" s="194"/>
      <c r="Q101" s="194"/>
      <c r="R101" s="194"/>
      <c r="S101" s="194"/>
      <c r="T101" s="194"/>
      <c r="U101" s="194"/>
      <c r="V101" s="194"/>
      <c r="W101" s="194"/>
      <c r="X101" s="194"/>
      <c r="Y101" s="194"/>
      <c r="Z101" s="194"/>
      <c r="AA101" s="195"/>
      <c r="AB101" s="194">
        <f t="shared" si="21"/>
        <v>4.0999999999999996</v>
      </c>
      <c r="AC101" s="194"/>
      <c r="AD101" s="860"/>
      <c r="AE101" s="194">
        <f>+'Exhibit F'!AF94+'Exhibit G State'!AF77</f>
        <v>4.9000000000000004</v>
      </c>
      <c r="AF101" s="194"/>
      <c r="AG101" s="1532"/>
      <c r="AH101" s="194">
        <f t="shared" si="15"/>
        <v>-0.8</v>
      </c>
      <c r="AI101" s="62"/>
      <c r="AJ101" s="283">
        <f t="shared" si="22"/>
        <v>-0.16300000000000001</v>
      </c>
    </row>
    <row r="102" spans="1:37" ht="15.5">
      <c r="A102" s="350" t="s">
        <v>423</v>
      </c>
      <c r="B102" s="62"/>
      <c r="C102" s="194">
        <f>+'Exhibit F'!D95+'Exhibit G State'!D78+'Exhibit H'!B49</f>
        <v>20.8</v>
      </c>
      <c r="D102" s="194"/>
      <c r="E102" s="194">
        <f>+'Exhibit F'!F95+'Exhibit G State'!F78+'Exhibit H'!D49</f>
        <v>60</v>
      </c>
      <c r="F102" s="194"/>
      <c r="G102" s="194">
        <f>+'Exhibit F'!H95+'Exhibit G State'!H78+'Exhibit H'!F49</f>
        <v>101.69999999999999</v>
      </c>
      <c r="H102" s="194"/>
      <c r="I102" s="194">
        <f>+'Exhibit F'!J95+'Exhibit G State'!J78+'Exhibit H'!H49</f>
        <v>52.900000000000006</v>
      </c>
      <c r="J102" s="194"/>
      <c r="K102" s="194"/>
      <c r="L102" s="194"/>
      <c r="M102" s="194"/>
      <c r="N102" s="194"/>
      <c r="O102" s="194"/>
      <c r="P102" s="194"/>
      <c r="Q102" s="194"/>
      <c r="R102" s="194"/>
      <c r="S102" s="194"/>
      <c r="T102" s="194"/>
      <c r="U102" s="194"/>
      <c r="V102" s="194"/>
      <c r="W102" s="194"/>
      <c r="X102" s="194"/>
      <c r="Y102" s="194"/>
      <c r="Z102" s="194"/>
      <c r="AA102" s="195"/>
      <c r="AB102" s="194">
        <f t="shared" si="21"/>
        <v>235.4</v>
      </c>
      <c r="AC102" s="194"/>
      <c r="AD102" s="860"/>
      <c r="AE102" s="194">
        <f>+'Exhibit F'!AF95+'Exhibit G State'!AF78+'Exhibit H'!AD49</f>
        <v>305.5</v>
      </c>
      <c r="AF102" s="194"/>
      <c r="AG102" s="1532"/>
      <c r="AH102" s="194">
        <f t="shared" si="15"/>
        <v>-70.099999999999994</v>
      </c>
      <c r="AI102" s="62"/>
      <c r="AJ102" s="607">
        <f t="shared" si="22"/>
        <v>-0.22900000000000001</v>
      </c>
    </row>
    <row r="103" spans="1:37" ht="15.5">
      <c r="A103" s="350" t="s">
        <v>424</v>
      </c>
      <c r="B103" s="62"/>
      <c r="C103" s="194">
        <f>+'Exhibit F'!D96+'Exhibit G State'!D79+'Exhibit H'!B50</f>
        <v>1.3</v>
      </c>
      <c r="D103" s="194"/>
      <c r="E103" s="194">
        <f>+'Exhibit F'!F96+'Exhibit G State'!F79+'Exhibit H'!D50</f>
        <v>1.5</v>
      </c>
      <c r="F103" s="194"/>
      <c r="G103" s="194">
        <f>+'Exhibit F'!H96+'Exhibit G State'!H79+'Exhibit H'!F50</f>
        <v>3.5999999999999996</v>
      </c>
      <c r="H103" s="194"/>
      <c r="I103" s="194">
        <f>+'Exhibit F'!J96+'Exhibit G State'!J79+'Exhibit H'!H50</f>
        <v>6.6000000000000005</v>
      </c>
      <c r="J103" s="194"/>
      <c r="K103" s="194"/>
      <c r="L103" s="194"/>
      <c r="M103" s="194"/>
      <c r="N103" s="194"/>
      <c r="O103" s="194"/>
      <c r="P103" s="194"/>
      <c r="Q103" s="194"/>
      <c r="R103" s="194"/>
      <c r="S103" s="194"/>
      <c r="T103" s="194"/>
      <c r="U103" s="194"/>
      <c r="V103" s="194"/>
      <c r="W103" s="194"/>
      <c r="X103" s="194"/>
      <c r="Y103" s="194"/>
      <c r="Z103" s="194"/>
      <c r="AA103" s="195"/>
      <c r="AB103" s="194">
        <f t="shared" si="21"/>
        <v>13</v>
      </c>
      <c r="AC103" s="194"/>
      <c r="AD103" s="860"/>
      <c r="AE103" s="194">
        <f>+'Exhibit F'!AF96+'Exhibit G State'!AF79+'Exhibit H'!AD50</f>
        <v>6.3</v>
      </c>
      <c r="AF103" s="194"/>
      <c r="AG103" s="1532"/>
      <c r="AH103" s="194">
        <f t="shared" si="15"/>
        <v>6.7</v>
      </c>
      <c r="AI103" s="62"/>
      <c r="AJ103" s="283">
        <f t="shared" si="22"/>
        <v>1.0629999999999999</v>
      </c>
    </row>
    <row r="104" spans="1:37" ht="15.5">
      <c r="A104" s="350" t="s">
        <v>425</v>
      </c>
      <c r="B104" s="62"/>
      <c r="C104" s="194">
        <f>+'Exhibit G State'!D80</f>
        <v>36.4</v>
      </c>
      <c r="D104" s="194"/>
      <c r="E104" s="194">
        <f>+'Exhibit G State'!F80</f>
        <v>41.000000000000007</v>
      </c>
      <c r="F104" s="194"/>
      <c r="G104" s="194">
        <f>+'Exhibit G State'!H80</f>
        <v>26.700000000000003</v>
      </c>
      <c r="H104" s="194"/>
      <c r="I104" s="194">
        <f>+'Exhibit G State'!J80</f>
        <v>49.899999999999984</v>
      </c>
      <c r="J104" s="194"/>
      <c r="K104" s="194"/>
      <c r="L104" s="194"/>
      <c r="M104" s="194"/>
      <c r="N104" s="194"/>
      <c r="O104" s="194"/>
      <c r="P104" s="194"/>
      <c r="Q104" s="194"/>
      <c r="R104" s="194"/>
      <c r="S104" s="194"/>
      <c r="T104" s="194"/>
      <c r="U104" s="194"/>
      <c r="V104" s="194"/>
      <c r="W104" s="194"/>
      <c r="X104" s="194"/>
      <c r="Y104" s="194"/>
      <c r="Z104" s="194"/>
      <c r="AA104" s="195"/>
      <c r="AB104" s="194">
        <f t="shared" si="21"/>
        <v>154</v>
      </c>
      <c r="AC104" s="194"/>
      <c r="AD104" s="860"/>
      <c r="AE104" s="194">
        <f>+'Exhibit G State'!AF80</f>
        <v>155.4</v>
      </c>
      <c r="AF104" s="194"/>
      <c r="AG104" s="1532"/>
      <c r="AH104" s="194">
        <f t="shared" si="15"/>
        <v>-1.4</v>
      </c>
      <c r="AI104" s="62"/>
      <c r="AJ104" s="283">
        <f>ROUND(SUM(AH104/ABS(AE104)),3)</f>
        <v>-8.9999999999999993E-3</v>
      </c>
    </row>
    <row r="105" spans="1:37" ht="15.5">
      <c r="A105" s="83" t="s">
        <v>426</v>
      </c>
      <c r="B105" s="57"/>
      <c r="C105" s="68">
        <f>ROUND(SUM(C64:C104),1)</f>
        <v>2626.1</v>
      </c>
      <c r="D105" s="418"/>
      <c r="E105" s="68">
        <f>ROUND(SUM(E64:E104),1)</f>
        <v>3206.4</v>
      </c>
      <c r="F105" s="418"/>
      <c r="G105" s="68">
        <f>ROUND(SUM(G64:G104),1)</f>
        <v>2433.1999999999998</v>
      </c>
      <c r="H105" s="13"/>
      <c r="I105" s="68">
        <f>ROUND(SUM(I64:I104),1)</f>
        <v>2999.1</v>
      </c>
      <c r="J105" s="13"/>
      <c r="K105" s="68">
        <f>ROUND(SUM(K64:K104),1)</f>
        <v>0</v>
      </c>
      <c r="L105" s="13"/>
      <c r="M105" s="68">
        <f>ROUND(SUM(M64:M104),1)</f>
        <v>0</v>
      </c>
      <c r="N105" s="13"/>
      <c r="O105" s="68">
        <f>ROUND(SUM(O64:O104),1)</f>
        <v>0</v>
      </c>
      <c r="P105" s="13"/>
      <c r="Q105" s="68">
        <f>ROUND(SUM(Q64:Q104),1)</f>
        <v>0</v>
      </c>
      <c r="R105" s="13"/>
      <c r="S105" s="68">
        <f>ROUND(SUM(S64:S104),1)</f>
        <v>0</v>
      </c>
      <c r="T105" s="13"/>
      <c r="U105" s="68">
        <f>ROUND(SUM(U64:U104),1)</f>
        <v>0</v>
      </c>
      <c r="V105" s="13"/>
      <c r="W105" s="68">
        <f>ROUND(SUM(W64:W104),1)</f>
        <v>0</v>
      </c>
      <c r="X105" s="40"/>
      <c r="Y105" s="68">
        <f>ROUND(SUM(Y64:Y104),1)</f>
        <v>0</v>
      </c>
      <c r="Z105" s="40"/>
      <c r="AA105" s="69"/>
      <c r="AB105" s="68">
        <f>ROUND(SUM(AB64:AB104),1)</f>
        <v>11264.8</v>
      </c>
      <c r="AC105" s="13"/>
      <c r="AD105" s="14"/>
      <c r="AE105" s="68">
        <f>ROUND(SUM(AE64:AE104),1)</f>
        <v>9180</v>
      </c>
      <c r="AF105" s="13"/>
      <c r="AG105" s="706"/>
      <c r="AH105" s="68">
        <f>ROUND(SUM(AH64:AH104),1)</f>
        <v>2084.8000000000002</v>
      </c>
      <c r="AI105" s="13"/>
      <c r="AJ105" s="416">
        <f>ROUND(SUM(+AH105/ABS(AE105)),3)</f>
        <v>0.22700000000000001</v>
      </c>
    </row>
    <row r="106" spans="1:37" ht="15.5">
      <c r="A106" s="62"/>
      <c r="B106" s="62"/>
      <c r="C106" s="194"/>
      <c r="D106" s="194"/>
      <c r="E106" s="194"/>
      <c r="F106" s="194"/>
      <c r="G106" s="194"/>
      <c r="H106" s="194"/>
      <c r="I106" s="194"/>
      <c r="J106" s="194"/>
      <c r="K106" s="194"/>
      <c r="L106" s="194"/>
      <c r="M106" s="194"/>
      <c r="N106" s="194"/>
      <c r="O106" s="194"/>
      <c r="P106" s="194"/>
      <c r="Q106" s="194"/>
      <c r="R106" s="194"/>
      <c r="S106" s="194"/>
      <c r="T106" s="194"/>
      <c r="U106" s="194"/>
      <c r="V106" s="194"/>
      <c r="W106" s="194"/>
      <c r="X106" s="194"/>
      <c r="Y106" s="194"/>
      <c r="Z106" s="194"/>
      <c r="AA106" s="195"/>
      <c r="AB106" s="194"/>
      <c r="AC106" s="194"/>
      <c r="AD106" s="195"/>
      <c r="AE106" s="194"/>
      <c r="AF106" s="194"/>
      <c r="AG106" s="1532"/>
      <c r="AH106" s="194"/>
      <c r="AI106" s="62"/>
      <c r="AJ106" s="283"/>
    </row>
    <row r="107" spans="1:37" ht="15.5">
      <c r="A107" s="62" t="s">
        <v>120</v>
      </c>
      <c r="B107" s="62"/>
      <c r="C107" s="196">
        <f>+'Exhibit F'!D99+'Exhibit G State'!D83+'Exhibit H'!B53</f>
        <v>27.200000000000003</v>
      </c>
      <c r="D107" s="194"/>
      <c r="E107" s="196">
        <f>+'Exhibit F'!F99+'Exhibit G State'!F83+'Exhibit H'!D53</f>
        <v>0.1</v>
      </c>
      <c r="F107" s="194"/>
      <c r="G107" s="196">
        <f>+'Exhibit F'!H99+'Exhibit G State'!H83+'Exhibit H'!F53</f>
        <v>1.1000000000000001</v>
      </c>
      <c r="H107" s="194"/>
      <c r="I107" s="196">
        <f>+'Exhibit F'!J99+'Exhibit G State'!J83+'Exhibit H'!H53</f>
        <v>0.89999999999999769</v>
      </c>
      <c r="J107" s="194"/>
      <c r="K107" s="196"/>
      <c r="L107" s="194"/>
      <c r="M107" s="196"/>
      <c r="N107" s="194"/>
      <c r="O107" s="196"/>
      <c r="P107" s="194"/>
      <c r="Q107" s="196"/>
      <c r="R107" s="194"/>
      <c r="S107" s="196"/>
      <c r="T107" s="194"/>
      <c r="U107" s="196"/>
      <c r="V107" s="194"/>
      <c r="W107" s="196"/>
      <c r="X107" s="194"/>
      <c r="Y107" s="196"/>
      <c r="Z107" s="194"/>
      <c r="AA107" s="195"/>
      <c r="AB107" s="196">
        <f>ROUND(SUM(C107:Y107),1)</f>
        <v>29.3</v>
      </c>
      <c r="AC107" s="194"/>
      <c r="AD107" s="860"/>
      <c r="AE107" s="196">
        <f>'Exhibit F'!AF99+'Exhibit G State'!AF83+'Exhibit H'!AD53</f>
        <v>30.2</v>
      </c>
      <c r="AF107" s="194"/>
      <c r="AG107" s="1532"/>
      <c r="AH107" s="196">
        <f>ROUND(SUM(AB107-AE107),1)</f>
        <v>-0.9</v>
      </c>
      <c r="AI107" s="62"/>
      <c r="AJ107" s="561">
        <f>ROUND(IF(AE107=0,1,AH107/ABS(AE107)),3)</f>
        <v>-0.03</v>
      </c>
    </row>
    <row r="108" spans="1:37" ht="15.5">
      <c r="A108" s="62"/>
      <c r="B108" s="62"/>
      <c r="C108" s="194"/>
      <c r="D108" s="194"/>
      <c r="E108" s="194"/>
      <c r="F108" s="194"/>
      <c r="G108" s="194"/>
      <c r="H108" s="194"/>
      <c r="I108" s="194"/>
      <c r="J108" s="194"/>
      <c r="K108" s="194"/>
      <c r="L108" s="194"/>
      <c r="M108" s="194"/>
      <c r="N108" s="194"/>
      <c r="O108" s="194"/>
      <c r="P108" s="194"/>
      <c r="Q108" s="194"/>
      <c r="R108" s="194"/>
      <c r="S108" s="194"/>
      <c r="T108" s="194"/>
      <c r="U108" s="194"/>
      <c r="V108" s="194"/>
      <c r="W108" s="194"/>
      <c r="X108" s="194"/>
      <c r="Y108" s="194"/>
      <c r="Z108" s="194"/>
      <c r="AA108" s="195"/>
      <c r="AB108" s="194"/>
      <c r="AC108" s="194"/>
      <c r="AD108" s="860"/>
      <c r="AE108" s="194"/>
      <c r="AF108" s="194"/>
      <c r="AG108" s="1532"/>
      <c r="AH108" s="194"/>
      <c r="AI108" s="62"/>
      <c r="AJ108" s="1015"/>
    </row>
    <row r="109" spans="1:37" ht="15.5">
      <c r="A109" s="3" t="s">
        <v>427</v>
      </c>
      <c r="B109" s="364"/>
      <c r="C109" s="357">
        <f>ROUND(SUM(C107+C105+C60),1)</f>
        <v>16557.5</v>
      </c>
      <c r="D109" s="13"/>
      <c r="E109" s="357">
        <f>ROUND(SUM(E107+E105+E60),1)</f>
        <v>9777.5</v>
      </c>
      <c r="F109" s="13"/>
      <c r="G109" s="357">
        <f>ROUND(SUM(G107+G105+G60),1)</f>
        <v>18873.5</v>
      </c>
      <c r="H109" s="13"/>
      <c r="I109" s="357">
        <f>ROUND(SUM(I107+I105+I60),1)</f>
        <v>10436.6</v>
      </c>
      <c r="J109" s="13"/>
      <c r="K109" s="357">
        <f>ROUND(SUM(K107+K105+K60),1)</f>
        <v>0</v>
      </c>
      <c r="L109" s="13"/>
      <c r="M109" s="357">
        <f>ROUND(SUM(M107+M105+M60),1)</f>
        <v>0</v>
      </c>
      <c r="N109" s="13"/>
      <c r="O109" s="357">
        <f>ROUND(SUM(O107+O105+O60),1)</f>
        <v>0</v>
      </c>
      <c r="P109" s="13"/>
      <c r="Q109" s="357">
        <f>ROUND(SUM(Q107+Q105+Q60),1)</f>
        <v>0</v>
      </c>
      <c r="R109" s="13"/>
      <c r="S109" s="357">
        <f>ROUND(SUM(S107+S105+S60),1)</f>
        <v>0</v>
      </c>
      <c r="T109" s="13"/>
      <c r="U109" s="357">
        <f>ROUND(SUM(U107+U105+U60),1)</f>
        <v>0</v>
      </c>
      <c r="V109" s="13"/>
      <c r="W109" s="357">
        <f>ROUND(SUM(W107+W105+W60),1)</f>
        <v>0</v>
      </c>
      <c r="X109" s="40"/>
      <c r="Y109" s="357">
        <f>ROUND(SUM(Y107+Y105+Y60),1)</f>
        <v>0</v>
      </c>
      <c r="Z109" s="1207"/>
      <c r="AA109" s="3"/>
      <c r="AB109" s="357">
        <f>ROUND(SUM(AB107+AB105+AB60),1)</f>
        <v>55645.1</v>
      </c>
      <c r="AC109" s="13"/>
      <c r="AD109" s="14"/>
      <c r="AE109" s="357">
        <f>ROUND(SUM(AE107+AE105+AE60),1)</f>
        <v>48781.9</v>
      </c>
      <c r="AF109" s="13"/>
      <c r="AG109" s="706"/>
      <c r="AH109" s="357">
        <f>ROUND(SUM(AH107+AH105+AH60),1)</f>
        <v>6863.2</v>
      </c>
      <c r="AI109" s="13"/>
      <c r="AJ109" s="368">
        <f>ROUND(SUM(+AH109/ABS(AE109)),3)</f>
        <v>0.14099999999999999</v>
      </c>
      <c r="AK109" s="129"/>
    </row>
    <row r="110" spans="1:37" ht="15.5">
      <c r="A110" s="40"/>
      <c r="B110" s="62"/>
      <c r="C110" s="11"/>
      <c r="D110" s="194"/>
      <c r="E110" s="11"/>
      <c r="F110" s="194"/>
      <c r="G110" s="11"/>
      <c r="H110" s="194"/>
      <c r="I110" s="11"/>
      <c r="J110" s="194"/>
      <c r="K110" s="11"/>
      <c r="L110" s="194"/>
      <c r="M110" s="11"/>
      <c r="N110" s="194"/>
      <c r="O110" s="11"/>
      <c r="P110" s="194"/>
      <c r="Q110" s="11"/>
      <c r="R110" s="194"/>
      <c r="S110" s="11"/>
      <c r="T110" s="194"/>
      <c r="U110" s="11"/>
      <c r="V110" s="194"/>
      <c r="W110" s="11"/>
      <c r="X110" s="194"/>
      <c r="Y110" s="11"/>
      <c r="Z110" s="194"/>
      <c r="AA110" s="195"/>
      <c r="AB110" s="11"/>
      <c r="AC110" s="194"/>
      <c r="AD110" s="860"/>
      <c r="AE110" s="11"/>
      <c r="AF110" s="194"/>
      <c r="AG110" s="1532"/>
      <c r="AH110" s="264"/>
      <c r="AI110" s="62"/>
      <c r="AJ110" s="268"/>
    </row>
    <row r="111" spans="1:37" ht="15.5">
      <c r="A111" s="40" t="s">
        <v>122</v>
      </c>
      <c r="B111" s="62"/>
      <c r="C111" s="194"/>
      <c r="D111" s="194"/>
      <c r="E111" s="194"/>
      <c r="F111" s="194"/>
      <c r="G111" s="194"/>
      <c r="H111" s="194"/>
      <c r="I111" s="194"/>
      <c r="J111" s="194"/>
      <c r="K111" s="194"/>
      <c r="L111" s="194"/>
      <c r="M111" s="194"/>
      <c r="N111" s="194"/>
      <c r="O111" s="194"/>
      <c r="P111" s="194"/>
      <c r="Q111" s="194"/>
      <c r="R111" s="194"/>
      <c r="S111" s="194"/>
      <c r="T111" s="194"/>
      <c r="U111" s="194"/>
      <c r="V111" s="194"/>
      <c r="W111" s="194"/>
      <c r="X111" s="194"/>
      <c r="Y111" s="194"/>
      <c r="Z111" s="194"/>
      <c r="AA111" s="195"/>
      <c r="AB111" s="194"/>
      <c r="AC111" s="194"/>
      <c r="AD111" s="860"/>
      <c r="AE111" s="194"/>
      <c r="AF111" s="194"/>
      <c r="AG111" s="1532"/>
      <c r="AH111" s="264"/>
      <c r="AI111" s="62"/>
      <c r="AJ111" s="268"/>
    </row>
    <row r="112" spans="1:37" ht="15.5">
      <c r="A112" s="62" t="s">
        <v>428</v>
      </c>
      <c r="B112" s="62"/>
      <c r="C112" s="194"/>
      <c r="D112" s="194"/>
      <c r="E112" s="194"/>
      <c r="F112" s="194"/>
      <c r="G112" s="194"/>
      <c r="H112" s="194"/>
      <c r="I112" s="194"/>
      <c r="J112" s="194"/>
      <c r="K112" s="194"/>
      <c r="L112" s="194"/>
      <c r="M112" s="194"/>
      <c r="N112" s="194"/>
      <c r="O112" s="194"/>
      <c r="P112" s="194"/>
      <c r="Q112" s="194"/>
      <c r="R112" s="194"/>
      <c r="S112" s="194"/>
      <c r="T112" s="194"/>
      <c r="U112" s="194"/>
      <c r="V112" s="194"/>
      <c r="W112" s="194"/>
      <c r="X112" s="194"/>
      <c r="Y112" s="194"/>
      <c r="Z112" s="194"/>
      <c r="AA112" s="195"/>
      <c r="AB112" s="194"/>
      <c r="AC112" s="194"/>
      <c r="AD112" s="860"/>
      <c r="AE112" s="264"/>
      <c r="AF112" s="194"/>
      <c r="AG112" s="1532"/>
      <c r="AH112" s="194"/>
      <c r="AI112" s="62"/>
      <c r="AJ112" s="283"/>
    </row>
    <row r="113" spans="1:37" ht="15.5">
      <c r="A113" s="751" t="s">
        <v>124</v>
      </c>
      <c r="B113" s="62"/>
      <c r="C113" s="194">
        <f>+'Exhibit F'!D105+'Exhibit G State'!D89</f>
        <v>2529.1000000000004</v>
      </c>
      <c r="D113" s="194"/>
      <c r="E113" s="194">
        <f>+'Exhibit F'!F105+'Exhibit G State'!F89</f>
        <v>5876.8999999999987</v>
      </c>
      <c r="F113" s="194"/>
      <c r="G113" s="194">
        <f>+'Exhibit F'!H105+'Exhibit G State'!H89</f>
        <v>3022.4</v>
      </c>
      <c r="H113" s="194"/>
      <c r="I113" s="194">
        <f>+'Exhibit F'!J105+'Exhibit G State'!J89</f>
        <v>517.10000000000139</v>
      </c>
      <c r="J113" s="194"/>
      <c r="K113" s="194"/>
      <c r="L113" s="194"/>
      <c r="M113" s="194"/>
      <c r="N113" s="194"/>
      <c r="O113" s="194"/>
      <c r="P113" s="194"/>
      <c r="Q113" s="194"/>
      <c r="R113" s="194"/>
      <c r="S113" s="194"/>
      <c r="T113" s="194"/>
      <c r="U113" s="194"/>
      <c r="V113" s="194"/>
      <c r="W113" s="194"/>
      <c r="X113" s="194"/>
      <c r="Y113" s="194"/>
      <c r="Z113" s="194"/>
      <c r="AA113" s="195"/>
      <c r="AB113" s="264">
        <f>ROUND(SUM(C113:Y113),1)</f>
        <v>11945.5</v>
      </c>
      <c r="AC113" s="194"/>
      <c r="AD113" s="860"/>
      <c r="AE113" s="264">
        <f>+'Exhibit F'!AF105+'Exhibit G State'!AF89</f>
        <v>11884.7</v>
      </c>
      <c r="AF113" s="194"/>
      <c r="AG113" s="1532"/>
      <c r="AH113" s="194">
        <f>ROUND(SUM(AB113-AE113),1)</f>
        <v>60.8</v>
      </c>
      <c r="AI113" s="62"/>
      <c r="AJ113" s="283">
        <f>ROUND(SUM(AH113/ABS(AE113)),3)</f>
        <v>5.0000000000000001E-3</v>
      </c>
    </row>
    <row r="114" spans="1:37" ht="15.5">
      <c r="A114" s="751" t="s">
        <v>125</v>
      </c>
      <c r="B114" s="62"/>
      <c r="C114" s="194">
        <f>+'Exhibit F'!D106+'Exhibit G State'!D90</f>
        <v>0.3</v>
      </c>
      <c r="D114" s="194"/>
      <c r="E114" s="194">
        <f>+'Exhibit F'!F106+'Exhibit G State'!F90</f>
        <v>0.4</v>
      </c>
      <c r="F114" s="194"/>
      <c r="G114" s="194">
        <f>+'Exhibit F'!H106+'Exhibit G State'!H90</f>
        <v>2.6000000000000005</v>
      </c>
      <c r="H114" s="194"/>
      <c r="I114" s="194">
        <f>+'Exhibit F'!J106+'Exhibit G State'!J90</f>
        <v>2.5999999999999996</v>
      </c>
      <c r="J114" s="194"/>
      <c r="K114" s="194"/>
      <c r="L114" s="194"/>
      <c r="M114" s="194"/>
      <c r="N114" s="194"/>
      <c r="O114" s="194"/>
      <c r="P114" s="194"/>
      <c r="Q114" s="194"/>
      <c r="R114" s="194"/>
      <c r="S114" s="194"/>
      <c r="T114" s="194"/>
      <c r="U114" s="194"/>
      <c r="V114" s="194"/>
      <c r="W114" s="194"/>
      <c r="X114" s="194"/>
      <c r="Y114" s="194"/>
      <c r="Z114" s="194"/>
      <c r="AA114" s="195"/>
      <c r="AB114" s="264">
        <f t="shared" ref="AB114:AB121" si="23">ROUND(SUM(C114:Y114),1)</f>
        <v>5.9</v>
      </c>
      <c r="AC114" s="194"/>
      <c r="AD114" s="860"/>
      <c r="AE114" s="264">
        <f>+'Exhibit F'!AF106+'Exhibit G State'!AF90</f>
        <v>2.8</v>
      </c>
      <c r="AF114" s="194"/>
      <c r="AG114" s="1532"/>
      <c r="AH114" s="194">
        <f t="shared" ref="AH114:AH121" si="24">ROUND(SUM(AB114-AE114),1)</f>
        <v>3.1</v>
      </c>
      <c r="AI114" s="62"/>
      <c r="AJ114" s="607">
        <f>ROUND(IF(AE114=0,1,AH114/ABS(AE114)),3)</f>
        <v>1.107</v>
      </c>
    </row>
    <row r="115" spans="1:37" ht="15.5">
      <c r="A115" s="751" t="s">
        <v>126</v>
      </c>
      <c r="B115" s="62"/>
      <c r="C115" s="194">
        <f>+'Exhibit F'!D107+'Exhibit G State'!D91</f>
        <v>45</v>
      </c>
      <c r="D115" s="194"/>
      <c r="E115" s="194">
        <f>+'Exhibit F'!F107+'Exhibit G State'!F91</f>
        <v>95.2</v>
      </c>
      <c r="F115" s="194"/>
      <c r="G115" s="194">
        <f>+'Exhibit F'!H107+'Exhibit G State'!H91</f>
        <v>794.9</v>
      </c>
      <c r="H115" s="194"/>
      <c r="I115" s="194">
        <f>+'Exhibit F'!J107+'Exhibit G State'!J91</f>
        <v>88.999999999999957</v>
      </c>
      <c r="J115" s="194"/>
      <c r="K115" s="194"/>
      <c r="L115" s="194"/>
      <c r="M115" s="194"/>
      <c r="N115" s="194"/>
      <c r="O115" s="194"/>
      <c r="P115" s="194"/>
      <c r="Q115" s="194"/>
      <c r="R115" s="194"/>
      <c r="S115" s="194"/>
      <c r="T115" s="194"/>
      <c r="U115" s="194"/>
      <c r="V115" s="194"/>
      <c r="W115" s="194"/>
      <c r="X115" s="194"/>
      <c r="Y115" s="194"/>
      <c r="Z115" s="194"/>
      <c r="AA115" s="195"/>
      <c r="AB115" s="264">
        <f t="shared" si="23"/>
        <v>1024.0999999999999</v>
      </c>
      <c r="AC115" s="194"/>
      <c r="AD115" s="860"/>
      <c r="AE115" s="264">
        <f>+'Exhibit F'!AF107+'Exhibit G State'!AF91</f>
        <v>638.29999999999995</v>
      </c>
      <c r="AF115" s="194"/>
      <c r="AG115" s="1532"/>
      <c r="AH115" s="194">
        <f t="shared" si="24"/>
        <v>385.8</v>
      </c>
      <c r="AI115" s="62"/>
      <c r="AJ115" s="283">
        <f>ROUND(SUM(AH115/ABS(AE115)),3)</f>
        <v>0.60399999999999998</v>
      </c>
    </row>
    <row r="116" spans="1:37" ht="15.5">
      <c r="A116" s="751" t="s">
        <v>127</v>
      </c>
      <c r="B116" s="62"/>
      <c r="C116" s="194"/>
      <c r="D116" s="194"/>
      <c r="E116" s="194"/>
      <c r="F116" s="194"/>
      <c r="G116" s="194"/>
      <c r="H116" s="194"/>
      <c r="I116" s="194"/>
      <c r="J116" s="194"/>
      <c r="K116" s="194"/>
      <c r="L116" s="194"/>
      <c r="M116" s="194"/>
      <c r="N116" s="194"/>
      <c r="O116" s="194"/>
      <c r="P116" s="194"/>
      <c r="Q116" s="194"/>
      <c r="R116" s="194"/>
      <c r="S116" s="194"/>
      <c r="T116" s="194"/>
      <c r="U116" s="194"/>
      <c r="V116" s="194"/>
      <c r="W116" s="194"/>
      <c r="X116" s="194"/>
      <c r="Y116" s="194"/>
      <c r="Z116" s="194"/>
      <c r="AA116" s="195"/>
      <c r="AB116" s="264"/>
      <c r="AC116" s="194"/>
      <c r="AD116" s="860"/>
      <c r="AE116" s="275"/>
      <c r="AF116" s="194"/>
      <c r="AG116" s="1532"/>
      <c r="AH116" s="194" t="s">
        <v>103</v>
      </c>
      <c r="AI116" s="62"/>
      <c r="AJ116" s="283"/>
    </row>
    <row r="117" spans="1:37" ht="15.5">
      <c r="A117" s="752" t="s">
        <v>128</v>
      </c>
      <c r="B117" s="62"/>
      <c r="C117" s="194">
        <f>+'Exhibit F'!D109+'Exhibit G State'!D93</f>
        <v>4899.5999999999995</v>
      </c>
      <c r="D117" s="194"/>
      <c r="E117" s="194">
        <f>+'Exhibit F'!F109+'Exhibit G State'!F93</f>
        <v>4177.4999999999991</v>
      </c>
      <c r="F117" s="194"/>
      <c r="G117" s="194">
        <f>+'Exhibit F'!H109+'Exhibit G State'!H93</f>
        <v>2062.4000000000015</v>
      </c>
      <c r="H117" s="194"/>
      <c r="I117" s="194">
        <f>+'Exhibit F'!J109+'Exhibit G State'!J93</f>
        <v>4217.199999999998</v>
      </c>
      <c r="J117" s="194"/>
      <c r="K117" s="194"/>
      <c r="L117" s="194"/>
      <c r="M117" s="194"/>
      <c r="N117" s="194"/>
      <c r="O117" s="194"/>
      <c r="P117" s="194"/>
      <c r="Q117" s="194"/>
      <c r="R117" s="194"/>
      <c r="S117" s="194"/>
      <c r="T117" s="194"/>
      <c r="U117" s="194"/>
      <c r="V117" s="194"/>
      <c r="W117" s="194"/>
      <c r="X117" s="194"/>
      <c r="Y117" s="194"/>
      <c r="Z117" s="194"/>
      <c r="AA117" s="195"/>
      <c r="AB117" s="264">
        <f t="shared" si="23"/>
        <v>15356.7</v>
      </c>
      <c r="AC117" s="194"/>
      <c r="AD117" s="860"/>
      <c r="AE117" s="264">
        <f>+'Exhibit F'!AF109+'Exhibit G State'!AF93</f>
        <v>14046.599999999999</v>
      </c>
      <c r="AF117" s="194"/>
      <c r="AG117" s="1532"/>
      <c r="AH117" s="194">
        <f t="shared" si="24"/>
        <v>1310.0999999999999</v>
      </c>
      <c r="AI117" s="62"/>
      <c r="AJ117" s="283">
        <f t="shared" ref="AJ117:AJ123" si="25">ROUND(SUM(AH117/ABS(AE117)),3)</f>
        <v>9.2999999999999999E-2</v>
      </c>
    </row>
    <row r="118" spans="1:37" ht="15.5">
      <c r="A118" s="751" t="s">
        <v>129</v>
      </c>
      <c r="B118" s="62"/>
      <c r="C118" s="194">
        <f>+'Exhibit F'!D110+'Exhibit G State'!D94</f>
        <v>193.7</v>
      </c>
      <c r="D118" s="194"/>
      <c r="E118" s="194">
        <f>+'Exhibit F'!F110+'Exhibit G State'!F94</f>
        <v>251.79999999999998</v>
      </c>
      <c r="F118" s="194"/>
      <c r="G118" s="194">
        <f>+'Exhibit F'!H110+'Exhibit G State'!H94</f>
        <v>830.5</v>
      </c>
      <c r="H118" s="194"/>
      <c r="I118" s="194">
        <f>+'Exhibit F'!J110+'Exhibit G State'!J94</f>
        <v>419.29999999999984</v>
      </c>
      <c r="J118" s="194"/>
      <c r="K118" s="194"/>
      <c r="L118" s="194"/>
      <c r="M118" s="194"/>
      <c r="N118" s="194"/>
      <c r="O118" s="194"/>
      <c r="P118" s="194"/>
      <c r="Q118" s="194"/>
      <c r="R118" s="194"/>
      <c r="S118" s="194"/>
      <c r="T118" s="194"/>
      <c r="U118" s="194"/>
      <c r="V118" s="194"/>
      <c r="W118" s="194"/>
      <c r="X118" s="194"/>
      <c r="Y118" s="194"/>
      <c r="Z118" s="194"/>
      <c r="AA118" s="195"/>
      <c r="AB118" s="264">
        <f t="shared" si="23"/>
        <v>1695.3</v>
      </c>
      <c r="AC118" s="1208"/>
      <c r="AD118" s="194"/>
      <c r="AE118" s="264">
        <f>+'Exhibit F'!AF110+'Exhibit G State'!AF94</f>
        <v>1954.4</v>
      </c>
      <c r="AF118" s="194"/>
      <c r="AG118" s="1532"/>
      <c r="AH118" s="194">
        <f t="shared" si="24"/>
        <v>-259.10000000000002</v>
      </c>
      <c r="AI118" s="62"/>
      <c r="AJ118" s="283">
        <f t="shared" si="25"/>
        <v>-0.13300000000000001</v>
      </c>
    </row>
    <row r="119" spans="1:37" ht="15.5">
      <c r="A119" s="751" t="s">
        <v>130</v>
      </c>
      <c r="B119" s="62"/>
      <c r="C119" s="194">
        <f>+'Exhibit F'!D111+'Exhibit G State'!D95</f>
        <v>104.2</v>
      </c>
      <c r="D119" s="194"/>
      <c r="E119" s="194">
        <f>+'Exhibit F'!F111+'Exhibit G State'!F95</f>
        <v>75</v>
      </c>
      <c r="F119" s="194"/>
      <c r="G119" s="194">
        <f>+'Exhibit F'!H111+'Exhibit G State'!H95</f>
        <v>82.9</v>
      </c>
      <c r="H119" s="194"/>
      <c r="I119" s="194">
        <f>+'Exhibit F'!J111+'Exhibit G State'!J95</f>
        <v>87.600000000000009</v>
      </c>
      <c r="J119" s="194"/>
      <c r="K119" s="194"/>
      <c r="L119" s="194"/>
      <c r="M119" s="194"/>
      <c r="N119" s="194"/>
      <c r="O119" s="194"/>
      <c r="P119" s="194"/>
      <c r="Q119" s="194"/>
      <c r="R119" s="194"/>
      <c r="S119" s="194"/>
      <c r="T119" s="194"/>
      <c r="U119" s="194"/>
      <c r="V119" s="194"/>
      <c r="W119" s="194"/>
      <c r="X119" s="194"/>
      <c r="Y119" s="194"/>
      <c r="Z119" s="194"/>
      <c r="AA119" s="195"/>
      <c r="AB119" s="264">
        <f t="shared" si="23"/>
        <v>349.7</v>
      </c>
      <c r="AC119" s="1224"/>
      <c r="AD119" s="860"/>
      <c r="AE119" s="264">
        <f>+'Exhibit F'!AF111+'Exhibit G State'!AF95</f>
        <v>258.70000000000005</v>
      </c>
      <c r="AF119" s="194"/>
      <c r="AG119" s="1532"/>
      <c r="AH119" s="194">
        <f t="shared" si="24"/>
        <v>91</v>
      </c>
      <c r="AI119" s="62"/>
      <c r="AJ119" s="283">
        <f t="shared" si="25"/>
        <v>0.35199999999999998</v>
      </c>
    </row>
    <row r="120" spans="1:37" ht="15.5">
      <c r="A120" s="751" t="s">
        <v>131</v>
      </c>
      <c r="B120" s="62"/>
      <c r="C120" s="194">
        <f>+'Exhibit F'!D112+'Exhibit G State'!D96</f>
        <v>211.6</v>
      </c>
      <c r="D120" s="194"/>
      <c r="E120" s="194">
        <f>+'Exhibit F'!F112+'Exhibit G State'!F96</f>
        <v>183.2</v>
      </c>
      <c r="F120" s="194"/>
      <c r="G120" s="194">
        <f>+'Exhibit F'!H112+'Exhibit G State'!H96</f>
        <v>536.79999999999995</v>
      </c>
      <c r="H120" s="194"/>
      <c r="I120" s="194">
        <f>+'Exhibit F'!J112+'Exhibit G State'!J96</f>
        <v>210.49999999999997</v>
      </c>
      <c r="J120" s="194"/>
      <c r="K120" s="194"/>
      <c r="L120" s="194"/>
      <c r="M120" s="194"/>
      <c r="N120" s="194"/>
      <c r="O120" s="194"/>
      <c r="P120" s="194"/>
      <c r="Q120" s="194"/>
      <c r="R120" s="194"/>
      <c r="S120" s="194"/>
      <c r="T120" s="194"/>
      <c r="U120" s="194"/>
      <c r="V120" s="194"/>
      <c r="W120" s="194"/>
      <c r="X120" s="194"/>
      <c r="Y120" s="194"/>
      <c r="Z120" s="194"/>
      <c r="AA120" s="195"/>
      <c r="AB120" s="264">
        <f t="shared" si="23"/>
        <v>1142.0999999999999</v>
      </c>
      <c r="AC120" s="1224"/>
      <c r="AD120" s="860"/>
      <c r="AE120" s="264">
        <f>+'Exhibit F'!AF112+'Exhibit G State'!AF96</f>
        <v>937.1</v>
      </c>
      <c r="AF120" s="194"/>
      <c r="AG120" s="1532"/>
      <c r="AH120" s="194">
        <f t="shared" si="24"/>
        <v>205</v>
      </c>
      <c r="AI120" s="62"/>
      <c r="AJ120" s="283">
        <f t="shared" si="25"/>
        <v>0.219</v>
      </c>
    </row>
    <row r="121" spans="1:37" ht="15.5">
      <c r="A121" s="751" t="s">
        <v>132</v>
      </c>
      <c r="B121" s="62"/>
      <c r="C121" s="194">
        <f>+'Exhibit F'!D113+'Exhibit G State'!D97</f>
        <v>21.7</v>
      </c>
      <c r="D121" s="194"/>
      <c r="E121" s="194">
        <f>+'Exhibit F'!F113+'Exhibit G State'!F97</f>
        <v>23.4</v>
      </c>
      <c r="F121" s="194"/>
      <c r="G121" s="194">
        <f>+'Exhibit F'!H113+'Exhibit G State'!H97</f>
        <v>28.700000000000003</v>
      </c>
      <c r="H121" s="194"/>
      <c r="I121" s="194">
        <f>+'Exhibit F'!J113+'Exhibit G State'!J97</f>
        <v>24.599999999999984</v>
      </c>
      <c r="J121" s="194"/>
      <c r="K121" s="194"/>
      <c r="L121" s="194"/>
      <c r="M121" s="194"/>
      <c r="N121" s="194"/>
      <c r="O121" s="194"/>
      <c r="P121" s="194"/>
      <c r="Q121" s="194"/>
      <c r="R121" s="194"/>
      <c r="S121" s="194"/>
      <c r="T121" s="194"/>
      <c r="U121" s="194"/>
      <c r="V121" s="194"/>
      <c r="W121" s="194"/>
      <c r="X121" s="194"/>
      <c r="Y121" s="194"/>
      <c r="Z121" s="194"/>
      <c r="AA121" s="195"/>
      <c r="AB121" s="264">
        <f t="shared" si="23"/>
        <v>98.4</v>
      </c>
      <c r="AC121" s="1224"/>
      <c r="AD121" s="860"/>
      <c r="AE121" s="264">
        <f>+'Exhibit F'!AF113+'Exhibit G State'!AF97</f>
        <v>90.7</v>
      </c>
      <c r="AF121" s="194"/>
      <c r="AG121" s="1532"/>
      <c r="AH121" s="194">
        <f t="shared" si="24"/>
        <v>7.7</v>
      </c>
      <c r="AI121" s="62"/>
      <c r="AJ121" s="283">
        <f t="shared" si="25"/>
        <v>8.5000000000000006E-2</v>
      </c>
    </row>
    <row r="122" spans="1:37" ht="15.5">
      <c r="A122" s="751" t="s">
        <v>133</v>
      </c>
      <c r="B122" s="62"/>
      <c r="C122" s="194">
        <f>+'Exhibit F'!D114+'Exhibit G State'!D98</f>
        <v>84.4</v>
      </c>
      <c r="D122" s="194"/>
      <c r="E122" s="194">
        <f>+'Exhibit F'!F114+'Exhibit G State'!F98</f>
        <v>677.3</v>
      </c>
      <c r="F122" s="194"/>
      <c r="G122" s="194">
        <f>+'Exhibit F'!H114+'Exhibit G State'!H98</f>
        <v>443.40000000000003</v>
      </c>
      <c r="H122" s="194"/>
      <c r="I122" s="194">
        <f>+'Exhibit F'!J114+'Exhibit G State'!J98</f>
        <v>411.10000000000014</v>
      </c>
      <c r="J122" s="194"/>
      <c r="K122" s="194"/>
      <c r="L122" s="194"/>
      <c r="M122" s="194"/>
      <c r="N122" s="194"/>
      <c r="O122" s="194"/>
      <c r="P122" s="194"/>
      <c r="Q122" s="194"/>
      <c r="R122" s="194"/>
      <c r="S122" s="194"/>
      <c r="T122" s="194"/>
      <c r="U122" s="194"/>
      <c r="V122" s="194"/>
      <c r="W122" s="194"/>
      <c r="X122" s="194"/>
      <c r="Y122" s="194"/>
      <c r="Z122" s="194"/>
      <c r="AA122" s="195"/>
      <c r="AB122" s="194">
        <f>ROUND(SUM(C122:Y122),1)</f>
        <v>1616.2</v>
      </c>
      <c r="AC122" s="1224"/>
      <c r="AD122" s="860"/>
      <c r="AE122" s="264">
        <f>+'Exhibit F'!AF114+'Exhibit G State'!AF98</f>
        <v>1821.2</v>
      </c>
      <c r="AF122" s="194"/>
      <c r="AG122" s="1532"/>
      <c r="AH122" s="194">
        <f>ROUND(SUM(AB122-AE122),1)</f>
        <v>-205</v>
      </c>
      <c r="AI122" s="62"/>
      <c r="AJ122" s="283">
        <f t="shared" si="25"/>
        <v>-0.113</v>
      </c>
    </row>
    <row r="123" spans="1:37" ht="15.5">
      <c r="A123" s="62" t="s">
        <v>134</v>
      </c>
      <c r="B123" s="62"/>
      <c r="C123" s="1016">
        <f>ROUND(SUM(C113:C122),1)</f>
        <v>8089.6</v>
      </c>
      <c r="D123" s="197"/>
      <c r="E123" s="1016">
        <f>ROUND(SUM(E113:E122),1)</f>
        <v>11360.7</v>
      </c>
      <c r="F123" s="197"/>
      <c r="G123" s="1016">
        <f>ROUND(SUM(G113:G122),1)</f>
        <v>7804.6</v>
      </c>
      <c r="H123" s="197"/>
      <c r="I123" s="1016">
        <f>ROUND(SUM(I113:I122),1)</f>
        <v>5979</v>
      </c>
      <c r="J123" s="197"/>
      <c r="K123" s="1016">
        <f>ROUND(SUM(K113:K122),1)</f>
        <v>0</v>
      </c>
      <c r="L123" s="197"/>
      <c r="M123" s="1016">
        <f>ROUND(SUM(M113:M122),1)</f>
        <v>0</v>
      </c>
      <c r="N123" s="197"/>
      <c r="O123" s="1016">
        <f>ROUND(SUM(O113:O122),1)</f>
        <v>0</v>
      </c>
      <c r="P123" s="197"/>
      <c r="Q123" s="1016">
        <f>ROUND(SUM(Q113:Q122),1)</f>
        <v>0</v>
      </c>
      <c r="R123" s="197"/>
      <c r="S123" s="1016">
        <f>ROUND(SUM(S113:S122),1)</f>
        <v>0</v>
      </c>
      <c r="T123" s="197"/>
      <c r="U123" s="1016">
        <f>ROUND(SUM(U113:U122),1)</f>
        <v>0</v>
      </c>
      <c r="V123" s="197"/>
      <c r="W123" s="1016">
        <f>ROUND(SUM(W113:W122),1)</f>
        <v>0</v>
      </c>
      <c r="X123" s="197"/>
      <c r="Y123" s="1016">
        <f>ROUND(SUM(Y113:Y122),1)</f>
        <v>0</v>
      </c>
      <c r="Z123" s="197"/>
      <c r="AA123" s="1101"/>
      <c r="AB123" s="1016">
        <f>ROUND(SUM(AB113:AB122),1)</f>
        <v>33233.9</v>
      </c>
      <c r="AC123" s="1225"/>
      <c r="AD123" s="863"/>
      <c r="AE123" s="68">
        <f>ROUND(SUM(AE113:AE122),1)</f>
        <v>31634.5</v>
      </c>
      <c r="AF123" s="197"/>
      <c r="AG123" s="1533"/>
      <c r="AH123" s="68">
        <f>ROUND(SUM(AH113:AH122),1)</f>
        <v>1599.4</v>
      </c>
      <c r="AI123" s="187"/>
      <c r="AJ123" s="416">
        <f t="shared" si="25"/>
        <v>5.0999999999999997E-2</v>
      </c>
      <c r="AK123" s="129"/>
    </row>
    <row r="124" spans="1:37" ht="15.5">
      <c r="A124" s="62" t="s">
        <v>135</v>
      </c>
      <c r="B124" s="62"/>
      <c r="C124" s="194"/>
      <c r="D124" s="194"/>
      <c r="E124" s="194"/>
      <c r="F124" s="194"/>
      <c r="G124" s="194"/>
      <c r="H124" s="194"/>
      <c r="I124" s="194"/>
      <c r="J124" s="194"/>
      <c r="K124" s="194"/>
      <c r="L124" s="194"/>
      <c r="M124" s="194"/>
      <c r="N124" s="194"/>
      <c r="O124" s="194"/>
      <c r="P124" s="194"/>
      <c r="Q124" s="194"/>
      <c r="R124" s="194"/>
      <c r="S124" s="194"/>
      <c r="T124" s="194"/>
      <c r="U124" s="194"/>
      <c r="V124" s="194"/>
      <c r="W124" s="194"/>
      <c r="X124" s="194"/>
      <c r="Y124" s="194"/>
      <c r="Z124" s="194"/>
      <c r="AA124" s="195"/>
      <c r="AB124" s="194"/>
      <c r="AC124" s="194"/>
      <c r="AD124" s="860"/>
      <c r="AE124" s="264"/>
      <c r="AF124" s="194"/>
      <c r="AG124" s="1532"/>
      <c r="AH124" s="264"/>
      <c r="AI124" s="62"/>
      <c r="AJ124" s="268"/>
    </row>
    <row r="125" spans="1:37" ht="15.5">
      <c r="A125" s="62" t="s">
        <v>429</v>
      </c>
      <c r="B125" s="62"/>
      <c r="C125" s="194">
        <f>+'Exhibit F'!D117+'Exhibit G State'!D101</f>
        <v>1768.6</v>
      </c>
      <c r="D125" s="194"/>
      <c r="E125" s="194">
        <f>+'Exhibit F'!F117+'Exhibit G State'!F101</f>
        <v>1426.0000000000002</v>
      </c>
      <c r="F125" s="194"/>
      <c r="G125" s="194">
        <f>+'Exhibit F'!H117+'Exhibit G State'!H101</f>
        <v>1391.3000000000002</v>
      </c>
      <c r="H125" s="194"/>
      <c r="I125" s="194">
        <f>+'Exhibit F'!J117+'Exhibit G State'!J101</f>
        <v>1899.1000000000006</v>
      </c>
      <c r="J125" s="194"/>
      <c r="K125" s="194"/>
      <c r="L125" s="194"/>
      <c r="M125" s="194"/>
      <c r="N125" s="194"/>
      <c r="O125" s="194"/>
      <c r="P125" s="194"/>
      <c r="Q125" s="194"/>
      <c r="R125" s="194"/>
      <c r="S125" s="194"/>
      <c r="T125" s="194"/>
      <c r="U125" s="194"/>
      <c r="V125" s="194"/>
      <c r="W125" s="194"/>
      <c r="X125" s="194"/>
      <c r="Y125" s="194"/>
      <c r="Z125" s="194"/>
      <c r="AA125" s="195"/>
      <c r="AB125" s="194">
        <f>ROUND(SUM(C125:Y125),1)</f>
        <v>6485</v>
      </c>
      <c r="AC125" s="194"/>
      <c r="AD125" s="860"/>
      <c r="AE125" s="264">
        <f>+'Exhibit F'!AF117+'Exhibit G State'!AF101</f>
        <v>6422.7000000000007</v>
      </c>
      <c r="AF125" s="194"/>
      <c r="AG125" s="1532"/>
      <c r="AH125" s="194">
        <f>ROUND(SUM(AB125-AE125),1)</f>
        <v>62.3</v>
      </c>
      <c r="AI125" s="62"/>
      <c r="AJ125" s="283">
        <f>ROUND(SUM(AH125/ABS(AE125)),3)</f>
        <v>0.01</v>
      </c>
    </row>
    <row r="126" spans="1:37" ht="15.5">
      <c r="A126" s="62" t="s">
        <v>430</v>
      </c>
      <c r="B126" s="62"/>
      <c r="C126" s="194">
        <f>+'Exhibit F'!D118+'Exhibit G State'!D102+'Exhibit H'!B59</f>
        <v>538.70000000000005</v>
      </c>
      <c r="D126" s="194"/>
      <c r="E126" s="194">
        <f>+'Exhibit F'!F118+'Exhibit G State'!F102+'Exhibit H'!D59</f>
        <v>466.2</v>
      </c>
      <c r="F126" s="194"/>
      <c r="G126" s="194">
        <f>+'Exhibit F'!H118+'Exhibit G State'!H102+'Exhibit H'!F59</f>
        <v>765.3</v>
      </c>
      <c r="H126" s="194"/>
      <c r="I126" s="194">
        <f>+'Exhibit F'!J118+'Exhibit G State'!J102+'Exhibit H'!H59</f>
        <v>690</v>
      </c>
      <c r="J126" s="194"/>
      <c r="K126" s="194"/>
      <c r="L126" s="194"/>
      <c r="M126" s="194"/>
      <c r="N126" s="194"/>
      <c r="O126" s="194"/>
      <c r="P126" s="194"/>
      <c r="Q126" s="194"/>
      <c r="R126" s="194"/>
      <c r="S126" s="194"/>
      <c r="T126" s="194"/>
      <c r="U126" s="194"/>
      <c r="V126" s="194"/>
      <c r="W126" s="194"/>
      <c r="X126" s="194"/>
      <c r="Y126" s="194"/>
      <c r="Z126" s="194"/>
      <c r="AA126" s="195"/>
      <c r="AB126" s="194">
        <f>ROUND(SUM(C126:Y126),1)</f>
        <v>2460.1999999999998</v>
      </c>
      <c r="AC126" s="194"/>
      <c r="AD126" s="860"/>
      <c r="AE126" s="264">
        <f>+'Exhibit F'!AF118+'Exhibit G State'!AF102+'Exhibit H'!AD59</f>
        <v>2262.4999999999995</v>
      </c>
      <c r="AF126" s="194"/>
      <c r="AG126" s="1532"/>
      <c r="AH126" s="194">
        <f>ROUND(SUM(AB126-AE126),1)</f>
        <v>197.7</v>
      </c>
      <c r="AI126" s="62"/>
      <c r="AJ126" s="283">
        <f>ROUND(SUM(AH126/ABS(AE126)),3)</f>
        <v>8.6999999999999994E-2</v>
      </c>
    </row>
    <row r="127" spans="1:37" ht="15.5">
      <c r="A127" s="62" t="s">
        <v>138</v>
      </c>
      <c r="B127" s="62"/>
      <c r="C127" s="194">
        <f>+'Exhibit F'!D119+'Exhibit G State'!D103</f>
        <v>817.8</v>
      </c>
      <c r="D127" s="194"/>
      <c r="E127" s="194">
        <f>+'Exhibit F'!F119+'Exhibit G State'!F103</f>
        <v>737.50000000000011</v>
      </c>
      <c r="F127" s="194"/>
      <c r="G127" s="194">
        <f>+'Exhibit F'!H119+'Exhibit G State'!H103</f>
        <v>1112.7</v>
      </c>
      <c r="H127" s="194"/>
      <c r="I127" s="194">
        <f>+'Exhibit F'!J119+'Exhibit G State'!J103</f>
        <v>926.9</v>
      </c>
      <c r="J127" s="194"/>
      <c r="K127" s="194"/>
      <c r="L127" s="194"/>
      <c r="M127" s="194"/>
      <c r="N127" s="194"/>
      <c r="O127" s="194"/>
      <c r="P127" s="194"/>
      <c r="Q127" s="194"/>
      <c r="R127" s="194"/>
      <c r="S127" s="194"/>
      <c r="T127" s="194"/>
      <c r="U127" s="194"/>
      <c r="V127" s="194"/>
      <c r="W127" s="194"/>
      <c r="X127" s="194"/>
      <c r="Y127" s="194"/>
      <c r="Z127" s="194"/>
      <c r="AA127" s="195"/>
      <c r="AB127" s="194">
        <f>ROUND(SUM(C127:Y127),1)</f>
        <v>3594.9</v>
      </c>
      <c r="AC127" s="194"/>
      <c r="AD127" s="860"/>
      <c r="AE127" s="264">
        <f>+'Exhibit F'!AF119+'Exhibit G State'!AF103</f>
        <v>3142.7999999999997</v>
      </c>
      <c r="AF127" s="194"/>
      <c r="AG127" s="1532"/>
      <c r="AH127" s="194">
        <f>ROUND(SUM(AB127-AE127),1)</f>
        <v>452.1</v>
      </c>
      <c r="AI127" s="62"/>
      <c r="AJ127" s="283">
        <f>ROUND(SUM(AH127/ABS(AE127)),3)</f>
        <v>0.14399999999999999</v>
      </c>
    </row>
    <row r="128" spans="1:37" ht="15.5">
      <c r="A128" s="62" t="s">
        <v>139</v>
      </c>
      <c r="B128" s="62"/>
      <c r="C128" s="194"/>
      <c r="D128" s="194"/>
      <c r="E128" s="194"/>
      <c r="F128" s="194"/>
      <c r="G128" s="194"/>
      <c r="H128" s="194"/>
      <c r="I128" s="194"/>
      <c r="J128" s="194"/>
      <c r="K128" s="194"/>
      <c r="L128" s="194"/>
      <c r="M128" s="194"/>
      <c r="N128" s="194"/>
      <c r="O128" s="194"/>
      <c r="P128" s="194"/>
      <c r="Q128" s="194"/>
      <c r="R128" s="194"/>
      <c r="S128" s="194"/>
      <c r="T128" s="194"/>
      <c r="U128" s="194"/>
      <c r="V128" s="194"/>
      <c r="W128" s="194"/>
      <c r="X128" s="194"/>
      <c r="Y128" s="194"/>
      <c r="Z128" s="194"/>
      <c r="AA128" s="195"/>
      <c r="AB128" s="194"/>
      <c r="AC128" s="194"/>
      <c r="AD128" s="860"/>
      <c r="AE128" s="194"/>
      <c r="AF128" s="194"/>
      <c r="AG128" s="1532"/>
      <c r="AH128" s="194"/>
      <c r="AI128" s="62"/>
      <c r="AJ128" s="283"/>
    </row>
    <row r="129" spans="1:37" ht="15.5">
      <c r="A129" s="62" t="s">
        <v>1424</v>
      </c>
      <c r="B129" s="62"/>
      <c r="C129" s="194">
        <f>+'Exhibit H'!B61</f>
        <v>1.5</v>
      </c>
      <c r="D129" s="194"/>
      <c r="E129" s="194">
        <f>+'Exhibit H'!D61</f>
        <v>6</v>
      </c>
      <c r="F129" s="194"/>
      <c r="G129" s="194">
        <f>+'Exhibit H'!F61</f>
        <v>7.5</v>
      </c>
      <c r="H129" s="194"/>
      <c r="I129" s="194">
        <f>+'Exhibit H'!H61</f>
        <v>0</v>
      </c>
      <c r="J129" s="194"/>
      <c r="K129" s="194"/>
      <c r="L129" s="194"/>
      <c r="M129" s="194"/>
      <c r="N129" s="194"/>
      <c r="O129" s="194"/>
      <c r="P129" s="194"/>
      <c r="Q129" s="194"/>
      <c r="R129" s="194"/>
      <c r="S129" s="194"/>
      <c r="T129" s="194"/>
      <c r="U129" s="194"/>
      <c r="V129" s="194"/>
      <c r="W129" s="194"/>
      <c r="X129" s="194"/>
      <c r="Y129" s="194"/>
      <c r="Z129" s="194"/>
      <c r="AA129" s="195"/>
      <c r="AB129" s="194">
        <f>ROUND(SUM(C129:Y129),1)</f>
        <v>15</v>
      </c>
      <c r="AC129" s="194"/>
      <c r="AD129" s="860"/>
      <c r="AE129" s="264">
        <f>+'Exhibit H'!AD61</f>
        <v>27.7</v>
      </c>
      <c r="AF129" s="194"/>
      <c r="AG129" s="1532"/>
      <c r="AH129" s="194">
        <f>ROUND(SUM(AB129-AE129),1)</f>
        <v>-12.7</v>
      </c>
      <c r="AI129" s="62"/>
      <c r="AJ129" s="283">
        <f>ROUND(SUM(AH129/ABS(AE129)),3)</f>
        <v>-0.45800000000000002</v>
      </c>
    </row>
    <row r="130" spans="1:37" ht="15.5">
      <c r="A130" s="62" t="s">
        <v>432</v>
      </c>
      <c r="B130" s="62"/>
      <c r="C130" s="194">
        <f>'Exhibit G State'!D104</f>
        <v>0</v>
      </c>
      <c r="D130" s="194"/>
      <c r="E130" s="194">
        <f>'Exhibit G State'!F104</f>
        <v>0</v>
      </c>
      <c r="F130" s="194"/>
      <c r="G130" s="194">
        <f>'Exhibit G State'!H104</f>
        <v>0</v>
      </c>
      <c r="H130" s="194"/>
      <c r="I130" s="194">
        <f>'Exhibit G State'!J104</f>
        <v>0</v>
      </c>
      <c r="J130" s="194"/>
      <c r="K130" s="194"/>
      <c r="L130" s="194"/>
      <c r="M130" s="194"/>
      <c r="N130" s="194"/>
      <c r="O130" s="194"/>
      <c r="P130" s="194"/>
      <c r="Q130" s="194"/>
      <c r="R130" s="194"/>
      <c r="S130" s="194"/>
      <c r="T130" s="194"/>
      <c r="U130" s="194"/>
      <c r="V130" s="194"/>
      <c r="W130" s="194"/>
      <c r="X130" s="194"/>
      <c r="Y130" s="194"/>
      <c r="Z130" s="194"/>
      <c r="AA130" s="195"/>
      <c r="AB130" s="194">
        <f>ROUND(SUM(C130:Y130),1)</f>
        <v>0</v>
      </c>
      <c r="AC130" s="194"/>
      <c r="AD130" s="860"/>
      <c r="AE130" s="264">
        <f>+'Exhibit G'!AH106</f>
        <v>0</v>
      </c>
      <c r="AF130" s="194"/>
      <c r="AG130" s="1532"/>
      <c r="AH130" s="194">
        <f>ROUND(SUM(AB130-AE130),1)</f>
        <v>0</v>
      </c>
      <c r="AI130" s="62"/>
      <c r="AJ130" s="266">
        <f>ROUND(IF(AE130=0,0,AH130/ABS(AE130)),3)</f>
        <v>0</v>
      </c>
    </row>
    <row r="131" spans="1:37" ht="16.5" customHeight="1">
      <c r="A131" s="62"/>
      <c r="B131" s="62"/>
      <c r="C131" s="895"/>
      <c r="D131" s="194"/>
      <c r="E131" s="895"/>
      <c r="F131" s="194"/>
      <c r="G131" s="895"/>
      <c r="H131" s="194"/>
      <c r="I131" s="895"/>
      <c r="J131" s="194"/>
      <c r="K131" s="895"/>
      <c r="L131" s="194"/>
      <c r="M131" s="895"/>
      <c r="N131" s="194"/>
      <c r="O131" s="895"/>
      <c r="P131" s="194"/>
      <c r="Q131" s="895"/>
      <c r="R131" s="194"/>
      <c r="S131" s="895"/>
      <c r="T131" s="194"/>
      <c r="U131" s="895"/>
      <c r="V131" s="194"/>
      <c r="W131" s="895"/>
      <c r="X131" s="194"/>
      <c r="Y131" s="895"/>
      <c r="Z131" s="194"/>
      <c r="AA131" s="195"/>
      <c r="AB131" s="895"/>
      <c r="AC131" s="194"/>
      <c r="AD131" s="860"/>
      <c r="AE131" s="895"/>
      <c r="AF131" s="194"/>
      <c r="AG131" s="1532"/>
      <c r="AH131" s="895"/>
      <c r="AI131" s="62"/>
      <c r="AJ131" s="896"/>
    </row>
    <row r="132" spans="1:37" ht="16.5" customHeight="1">
      <c r="A132" s="40" t="s">
        <v>162</v>
      </c>
      <c r="B132" s="62"/>
      <c r="C132" s="753">
        <f>ROUND(SUM(C123:C130),1)</f>
        <v>11216.2</v>
      </c>
      <c r="D132" s="197"/>
      <c r="E132" s="753">
        <f>ROUND(SUM(E123:E130),1)</f>
        <v>13996.4</v>
      </c>
      <c r="F132" s="197"/>
      <c r="G132" s="753">
        <f>ROUND(SUM(G123:G130),1)</f>
        <v>11081.4</v>
      </c>
      <c r="H132" s="197"/>
      <c r="I132" s="753">
        <f>ROUND(SUM(I123:I130),1)</f>
        <v>9495</v>
      </c>
      <c r="J132" s="197"/>
      <c r="K132" s="753">
        <f>ROUND(SUM(K123:K130),1)</f>
        <v>0</v>
      </c>
      <c r="L132" s="197"/>
      <c r="M132" s="753">
        <f>ROUND(SUM(M123:M130),1)</f>
        <v>0</v>
      </c>
      <c r="N132" s="197"/>
      <c r="O132" s="753">
        <f>ROUND(SUM(O123:O130),1)</f>
        <v>0</v>
      </c>
      <c r="P132" s="197"/>
      <c r="Q132" s="753">
        <f>ROUND(SUM(Q123:Q130),1)</f>
        <v>0</v>
      </c>
      <c r="R132" s="197"/>
      <c r="S132" s="753">
        <f>ROUND(SUM(S123:S130),1)</f>
        <v>0</v>
      </c>
      <c r="T132" s="197"/>
      <c r="U132" s="753">
        <f>ROUND(SUM(U123:U130),1)</f>
        <v>0</v>
      </c>
      <c r="V132" s="197"/>
      <c r="W132" s="753">
        <f>ROUND(SUM(W123:W130),1)</f>
        <v>0</v>
      </c>
      <c r="X132" s="197"/>
      <c r="Y132" s="753">
        <f>ROUND(SUM(Y123:Y130),1)</f>
        <v>0</v>
      </c>
      <c r="Z132" s="197"/>
      <c r="AA132" s="1101"/>
      <c r="AB132" s="753">
        <f>ROUND(SUM(AB123:AB130),1)</f>
        <v>45789</v>
      </c>
      <c r="AC132" s="197"/>
      <c r="AD132" s="863"/>
      <c r="AE132" s="357">
        <f>ROUND(SUM(AE123:AE131),1)</f>
        <v>43490.2</v>
      </c>
      <c r="AF132" s="197"/>
      <c r="AG132" s="1533"/>
      <c r="AH132" s="357">
        <f>ROUND(SUM(AH123:AH131),1)</f>
        <v>2298.8000000000002</v>
      </c>
      <c r="AI132" s="187"/>
      <c r="AJ132" s="368">
        <f>ROUND(SUM(AH132/ABS(AE132)),3)</f>
        <v>5.2999999999999999E-2</v>
      </c>
      <c r="AK132" s="129"/>
    </row>
    <row r="133" spans="1:37" ht="16.5" customHeight="1">
      <c r="A133" s="40"/>
      <c r="B133" s="62"/>
      <c r="C133" s="194"/>
      <c r="D133" s="194"/>
      <c r="E133" s="194"/>
      <c r="F133" s="194"/>
      <c r="G133" s="194"/>
      <c r="H133" s="194"/>
      <c r="I133" s="194"/>
      <c r="J133" s="194"/>
      <c r="K133" s="194"/>
      <c r="L133" s="194"/>
      <c r="M133" s="194"/>
      <c r="N133" s="194"/>
      <c r="O133" s="194"/>
      <c r="P133" s="194"/>
      <c r="Q133" s="194"/>
      <c r="R133" s="194"/>
      <c r="S133" s="194"/>
      <c r="T133" s="194"/>
      <c r="U133" s="194"/>
      <c r="V133" s="194"/>
      <c r="W133" s="194"/>
      <c r="X133" s="194"/>
      <c r="Y133" s="194"/>
      <c r="Z133" s="194"/>
      <c r="AA133" s="195"/>
      <c r="AB133" s="194"/>
      <c r="AC133" s="194"/>
      <c r="AD133" s="860"/>
      <c r="AE133" s="194"/>
      <c r="AF133" s="194"/>
      <c r="AG133" s="1532"/>
      <c r="AH133" s="264"/>
      <c r="AI133" s="62"/>
      <c r="AJ133" s="268"/>
    </row>
    <row r="134" spans="1:37" ht="16.5" customHeight="1">
      <c r="A134" s="40" t="s">
        <v>143</v>
      </c>
      <c r="B134" s="62"/>
      <c r="C134" s="194"/>
      <c r="D134" s="194"/>
      <c r="E134" s="194"/>
      <c r="F134" s="194"/>
      <c r="G134" s="194"/>
      <c r="H134" s="194"/>
      <c r="I134" s="194"/>
      <c r="J134" s="194"/>
      <c r="K134" s="194"/>
      <c r="L134" s="194"/>
      <c r="M134" s="194"/>
      <c r="N134" s="194"/>
      <c r="O134" s="194"/>
      <c r="P134" s="194"/>
      <c r="Q134" s="194"/>
      <c r="R134" s="194"/>
      <c r="S134" s="194"/>
      <c r="T134" s="194"/>
      <c r="U134" s="194"/>
      <c r="V134" s="194"/>
      <c r="W134" s="194"/>
      <c r="X134" s="194"/>
      <c r="Y134" s="194"/>
      <c r="Z134" s="194"/>
      <c r="AA134" s="195"/>
      <c r="AB134" s="194"/>
      <c r="AC134" s="194"/>
      <c r="AD134" s="860"/>
      <c r="AE134" s="194"/>
      <c r="AF134" s="194"/>
      <c r="AG134" s="1532"/>
      <c r="AH134" s="264"/>
      <c r="AI134" s="62"/>
      <c r="AJ134" s="268"/>
    </row>
    <row r="135" spans="1:37" ht="16.5" customHeight="1">
      <c r="A135" s="40" t="s">
        <v>144</v>
      </c>
      <c r="B135" s="62"/>
      <c r="C135" s="753">
        <f>ROUND(SUM(C109-C132),1)</f>
        <v>5341.3</v>
      </c>
      <c r="D135" s="197"/>
      <c r="E135" s="753">
        <f>ROUND(SUM(E109-E132),1)</f>
        <v>-4218.8999999999996</v>
      </c>
      <c r="F135" s="197"/>
      <c r="G135" s="753">
        <f>ROUND(SUM(G109-G132),1)</f>
        <v>7792.1</v>
      </c>
      <c r="H135" s="197"/>
      <c r="I135" s="753">
        <f>ROUND(SUM(I109-I132),1)</f>
        <v>941.6</v>
      </c>
      <c r="J135" s="197"/>
      <c r="K135" s="753">
        <f>ROUND(SUM(K109-K132),1)</f>
        <v>0</v>
      </c>
      <c r="L135" s="197"/>
      <c r="M135" s="753">
        <f>ROUND(SUM(M109-M132),1)</f>
        <v>0</v>
      </c>
      <c r="N135" s="197"/>
      <c r="O135" s="753">
        <f>ROUND(SUM(O109-O132),1)</f>
        <v>0</v>
      </c>
      <c r="P135" s="197"/>
      <c r="Q135" s="753">
        <f>ROUND(SUM(Q109-Q132),1)</f>
        <v>0</v>
      </c>
      <c r="R135" s="197"/>
      <c r="S135" s="753">
        <f>ROUND(SUM(S109-S132),1)</f>
        <v>0</v>
      </c>
      <c r="T135" s="197"/>
      <c r="U135" s="753">
        <f>ROUND(SUM(U109-U132),1)</f>
        <v>0</v>
      </c>
      <c r="V135" s="197"/>
      <c r="W135" s="753">
        <f>ROUND(SUM(W109-W132),1)</f>
        <v>0</v>
      </c>
      <c r="X135" s="197"/>
      <c r="Y135" s="753">
        <f>ROUND(SUM(Y109-Y132),1)</f>
        <v>0</v>
      </c>
      <c r="Z135" s="197"/>
      <c r="AA135" s="1101"/>
      <c r="AB135" s="753">
        <f>ROUND(SUM(AB109-AB132),1)</f>
        <v>9856.1</v>
      </c>
      <c r="AC135" s="197"/>
      <c r="AD135" s="863"/>
      <c r="AE135" s="753">
        <f>ROUND(SUM(AE109-AE132),1)</f>
        <v>5291.7</v>
      </c>
      <c r="AF135" s="197"/>
      <c r="AG135" s="1533"/>
      <c r="AH135" s="868">
        <f>ROUND(SUM(AB135-AE135),1)</f>
        <v>4564.3999999999996</v>
      </c>
      <c r="AI135" s="187"/>
      <c r="AJ135" s="611">
        <f>ROUND(SUM(AH135/ABS(AE135)),3)</f>
        <v>0.86299999999999999</v>
      </c>
      <c r="AK135" s="129"/>
    </row>
    <row r="136" spans="1:37" ht="16.5" customHeight="1">
      <c r="A136" s="268"/>
      <c r="B136" s="62"/>
      <c r="C136" s="11"/>
      <c r="D136" s="194"/>
      <c r="E136" s="11"/>
      <c r="F136" s="194"/>
      <c r="G136" s="11"/>
      <c r="H136" s="194"/>
      <c r="I136" s="11"/>
      <c r="J136" s="194"/>
      <c r="K136" s="11"/>
      <c r="L136" s="194"/>
      <c r="M136" s="11"/>
      <c r="N136" s="194"/>
      <c r="O136" s="11"/>
      <c r="P136" s="194"/>
      <c r="Q136" s="11"/>
      <c r="R136" s="194"/>
      <c r="S136" s="11"/>
      <c r="T136" s="194"/>
      <c r="U136" s="11"/>
      <c r="V136" s="194"/>
      <c r="W136" s="11"/>
      <c r="X136" s="194"/>
      <c r="Y136" s="11"/>
      <c r="Z136" s="105"/>
      <c r="AA136" s="195"/>
      <c r="AB136" s="11"/>
      <c r="AC136" s="194"/>
      <c r="AD136" s="860"/>
      <c r="AE136" s="11"/>
      <c r="AF136" s="194"/>
      <c r="AG136" s="1532"/>
      <c r="AH136" s="264"/>
      <c r="AI136" s="62"/>
      <c r="AJ136" s="268"/>
    </row>
    <row r="137" spans="1:37" ht="16.5" customHeight="1">
      <c r="A137" s="40" t="s">
        <v>145</v>
      </c>
      <c r="B137" s="62"/>
      <c r="C137" s="194"/>
      <c r="D137" s="194"/>
      <c r="E137" s="194"/>
      <c r="F137" s="200"/>
      <c r="G137" s="194"/>
      <c r="H137" s="200"/>
      <c r="I137" s="200"/>
      <c r="J137" s="200"/>
      <c r="K137" s="200"/>
      <c r="L137" s="200"/>
      <c r="M137" s="200"/>
      <c r="N137" s="200"/>
      <c r="O137" s="200"/>
      <c r="P137" s="200"/>
      <c r="Q137" s="200"/>
      <c r="R137" s="200"/>
      <c r="S137" s="200"/>
      <c r="T137" s="200"/>
      <c r="U137" s="200"/>
      <c r="V137" s="194"/>
      <c r="W137" s="200"/>
      <c r="X137" s="194"/>
      <c r="Y137" s="200"/>
      <c r="Z137" s="1208"/>
      <c r="AA137" s="195"/>
      <c r="AB137" s="194"/>
      <c r="AC137" s="1208"/>
      <c r="AD137" s="194"/>
      <c r="AE137" s="194"/>
      <c r="AF137" s="194"/>
      <c r="AG137" s="1532"/>
      <c r="AH137" s="264"/>
      <c r="AI137" s="62"/>
      <c r="AJ137" s="268"/>
    </row>
    <row r="138" spans="1:37" ht="16.5" customHeight="1">
      <c r="A138" s="62" t="s">
        <v>277</v>
      </c>
      <c r="B138" s="62"/>
      <c r="C138" s="681">
        <f>+'Exhibit F'!D128+'Exhibit F'!D129+'Exhibit F'!D130+'Exhibit F'!D131+'Exhibit G State'!D112+'Exhibit H'!B69</f>
        <v>6844.8</v>
      </c>
      <c r="D138" s="681"/>
      <c r="E138" s="681">
        <f>+'Exhibit F'!F128+'Exhibit F'!F129+'Exhibit F'!F130+'Exhibit F'!F131+'Exhibit G State'!F112+'Exhibit H'!D69</f>
        <v>3578.3000000000006</v>
      </c>
      <c r="F138" s="681"/>
      <c r="G138" s="681">
        <f>+'Exhibit F'!H128+'Exhibit F'!H129+'Exhibit F'!H130+'Exhibit F'!H131+'Exhibit G State'!H112+'Exhibit H'!F69</f>
        <v>7838.8999999999987</v>
      </c>
      <c r="H138" s="194"/>
      <c r="I138" s="681">
        <f>+'Exhibit F'!J128+'Exhibit F'!J129+'Exhibit F'!J130+'Exhibit F'!J131+'Exhibit G State'!J112+'Exhibit H'!H69</f>
        <v>5190.5000000000018</v>
      </c>
      <c r="J138" s="194"/>
      <c r="K138" s="681"/>
      <c r="L138" s="194"/>
      <c r="M138" s="681"/>
      <c r="N138" s="194"/>
      <c r="O138" s="681"/>
      <c r="P138" s="194"/>
      <c r="Q138" s="681"/>
      <c r="R138" s="681"/>
      <c r="S138" s="681"/>
      <c r="T138" s="681"/>
      <c r="U138" s="681"/>
      <c r="V138" s="681"/>
      <c r="W138" s="681"/>
      <c r="X138" s="681"/>
      <c r="Y138" s="681"/>
      <c r="Z138" s="194"/>
      <c r="AA138" s="195"/>
      <c r="AB138" s="194">
        <f>ROUND(SUM(C138:Y138),1)</f>
        <v>23452.5</v>
      </c>
      <c r="AC138" s="194"/>
      <c r="AD138" s="195"/>
      <c r="AE138" s="194">
        <f>'Exhibit F'!AF128+'Exhibit F'!AF129+'Exhibit F'!AF130+'Exhibit F'!AF131+'Exhibit G State'!AF112+'Exhibit H'!AD69</f>
        <v>21096.499999999996</v>
      </c>
      <c r="AF138" s="194"/>
      <c r="AG138" s="1532"/>
      <c r="AH138" s="194">
        <f>ROUND(SUM(AB138-AE138),1)</f>
        <v>2356</v>
      </c>
      <c r="AI138" s="62"/>
      <c r="AJ138" s="283">
        <f>ROUND(SUM(AH138/ABS(AE138)),3)</f>
        <v>0.112</v>
      </c>
    </row>
    <row r="139" spans="1:37" ht="16.5" customHeight="1">
      <c r="A139" s="62" t="s">
        <v>278</v>
      </c>
      <c r="C139" s="754">
        <f>+'Exhibit F'!D132+'Exhibit F'!D133+'Exhibit F'!D134+'Exhibit F'!D135+'Exhibit G State'!D113+'Exhibit H'!B70</f>
        <v>-7055.9</v>
      </c>
      <c r="D139" s="681"/>
      <c r="E139" s="754">
        <f>+'Exhibit F'!F132+'Exhibit F'!F133+'Exhibit F'!F134+'Exhibit F'!F135+'Exhibit G State'!F113+'Exhibit H'!D70</f>
        <v>-3944.2999999999997</v>
      </c>
      <c r="F139" s="681"/>
      <c r="G139" s="754">
        <f>+'Exhibit F'!H132+'Exhibit F'!H133+'Exhibit F'!H134+'Exhibit F'!H135+'Exhibit G State'!H113+'Exhibit H'!F70</f>
        <v>-6423.8000000000011</v>
      </c>
      <c r="H139" s="11"/>
      <c r="I139" s="754">
        <f>+'Exhibit F'!J132+'Exhibit F'!J133+'Exhibit F'!J134+'Exhibit F'!J135+'Exhibit G State'!J113+'Exhibit H'!H70</f>
        <v>-5356.3999999999978</v>
      </c>
      <c r="J139" s="11"/>
      <c r="K139" s="754"/>
      <c r="L139" s="11"/>
      <c r="M139" s="754"/>
      <c r="N139" s="11"/>
      <c r="O139" s="754"/>
      <c r="P139" s="11"/>
      <c r="Q139" s="754"/>
      <c r="R139" s="681"/>
      <c r="S139" s="754"/>
      <c r="T139" s="681"/>
      <c r="U139" s="754"/>
      <c r="V139" s="681"/>
      <c r="W139" s="754"/>
      <c r="X139" s="681"/>
      <c r="Y139" s="754"/>
      <c r="Z139" s="11"/>
      <c r="AA139" s="201"/>
      <c r="AB139" s="196">
        <f>ROUND(SUM(C139:Y139),1)</f>
        <v>-22780.400000000001</v>
      </c>
      <c r="AC139" s="11"/>
      <c r="AD139" s="201"/>
      <c r="AE139" s="196">
        <f>'Exhibit F'!AF132+'Exhibit F'!AF133+'Exhibit F'!AF134+'Exhibit F'!AF135+'Exhibit G State'!AF113+'Exhibit H'!AD70</f>
        <v>-27417.599999999999</v>
      </c>
      <c r="AF139" s="11"/>
      <c r="AG139" s="1534"/>
      <c r="AH139" s="196">
        <f>ROUND(SUM(-AB139+AE139),1)</f>
        <v>-4637.2</v>
      </c>
      <c r="AI139" s="268"/>
      <c r="AJ139" s="869">
        <f>ROUND(SUM(AH139/ABS(AE139)),3)</f>
        <v>-0.16900000000000001</v>
      </c>
    </row>
    <row r="140" spans="1:37" ht="16.5" customHeight="1">
      <c r="A140" s="62"/>
      <c r="C140" s="194"/>
      <c r="D140" s="11"/>
      <c r="E140" s="194"/>
      <c r="F140" s="11"/>
      <c r="G140" s="194"/>
      <c r="H140" s="11"/>
      <c r="I140" s="194"/>
      <c r="J140" s="11"/>
      <c r="K140" s="194"/>
      <c r="L140" s="11"/>
      <c r="M140" s="194"/>
      <c r="N140" s="11"/>
      <c r="O140" s="194"/>
      <c r="P140" s="11"/>
      <c r="Q140" s="194"/>
      <c r="R140" s="11"/>
      <c r="S140" s="194"/>
      <c r="T140" s="11"/>
      <c r="U140" s="194"/>
      <c r="V140" s="11"/>
      <c r="W140" s="194"/>
      <c r="X140" s="11"/>
      <c r="Y140" s="194"/>
      <c r="Z140" s="11"/>
      <c r="AA140" s="201"/>
      <c r="AB140" s="194"/>
      <c r="AC140" s="11"/>
      <c r="AD140" s="201"/>
      <c r="AE140" s="194"/>
      <c r="AF140" s="11"/>
      <c r="AG140" s="1534"/>
      <c r="AH140" s="194"/>
      <c r="AI140" s="268"/>
      <c r="AJ140" s="283"/>
    </row>
    <row r="141" spans="1:37" ht="16.5" customHeight="1">
      <c r="A141" s="40" t="s">
        <v>150</v>
      </c>
      <c r="C141" s="753">
        <f>ROUND(SUM(C138:C139),1)</f>
        <v>-211.1</v>
      </c>
      <c r="D141" s="202"/>
      <c r="E141" s="753">
        <f>ROUND(SUM(E138:E139),1)</f>
        <v>-366</v>
      </c>
      <c r="F141" s="202"/>
      <c r="G141" s="753">
        <f>ROUND(SUM(G138:G139),1)</f>
        <v>1415.1</v>
      </c>
      <c r="H141" s="202"/>
      <c r="I141" s="753">
        <f>ROUND(SUM(I138:I139),1)</f>
        <v>-165.9</v>
      </c>
      <c r="J141" s="202"/>
      <c r="K141" s="753">
        <f>ROUND(SUM(K138:K139),1)</f>
        <v>0</v>
      </c>
      <c r="L141" s="202"/>
      <c r="M141" s="753">
        <f>ROUND(SUM(M138:M139),1)</f>
        <v>0</v>
      </c>
      <c r="N141" s="202"/>
      <c r="O141" s="753">
        <f>ROUND(SUM(O138:O139),1)</f>
        <v>0</v>
      </c>
      <c r="P141" s="202"/>
      <c r="Q141" s="753">
        <f>ROUND(SUM(Q138:Q139),1)</f>
        <v>0</v>
      </c>
      <c r="R141" s="202"/>
      <c r="S141" s="753">
        <f>ROUND(SUM(S138:S139),1)</f>
        <v>0</v>
      </c>
      <c r="T141" s="202"/>
      <c r="U141" s="753">
        <f>ROUND(SUM(U138:U139),1)</f>
        <v>0</v>
      </c>
      <c r="V141" s="202"/>
      <c r="W141" s="753">
        <f>ROUND(SUM(W138:W139),1)</f>
        <v>0</v>
      </c>
      <c r="X141" s="202"/>
      <c r="Y141" s="753">
        <f>ROUND(SUM(Y138:Y139),1)</f>
        <v>0</v>
      </c>
      <c r="Z141" s="202"/>
      <c r="AA141" s="203"/>
      <c r="AB141" s="753">
        <f>ROUND(SUM(AB138:AB139),1)</f>
        <v>672.1</v>
      </c>
      <c r="AC141" s="202"/>
      <c r="AD141" s="203"/>
      <c r="AE141" s="753">
        <f>ROUND(SUM(AE138:AE139),1)</f>
        <v>-6321.1</v>
      </c>
      <c r="AF141" s="202"/>
      <c r="AG141" s="1534"/>
      <c r="AH141" s="753">
        <f>ROUND(SUM(AH138-AH139),1)</f>
        <v>6993.2</v>
      </c>
      <c r="AI141" s="40"/>
      <c r="AJ141" s="611">
        <f>ROUND(SUM(AH141/ABS(AE141)),3)</f>
        <v>1.1060000000000001</v>
      </c>
      <c r="AK141" s="129"/>
    </row>
    <row r="142" spans="1:37" ht="16.5" customHeight="1">
      <c r="A142" s="268"/>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201"/>
      <c r="AB142" s="11"/>
      <c r="AC142" s="11"/>
      <c r="AD142" s="201"/>
      <c r="AE142" s="11"/>
      <c r="AF142" s="11"/>
      <c r="AG142" s="1535"/>
      <c r="AH142" s="264"/>
      <c r="AI142" s="268"/>
      <c r="AJ142" s="268"/>
    </row>
    <row r="143" spans="1:37" ht="16.5" customHeight="1">
      <c r="A143" s="40" t="s">
        <v>143</v>
      </c>
      <c r="C143" s="194"/>
      <c r="D143" s="11"/>
      <c r="E143" s="194"/>
      <c r="F143" s="11"/>
      <c r="G143" s="194"/>
      <c r="H143" s="11"/>
      <c r="I143" s="194"/>
      <c r="J143" s="11"/>
      <c r="K143" s="194"/>
      <c r="L143" s="11"/>
      <c r="M143" s="194"/>
      <c r="N143" s="11"/>
      <c r="O143" s="194"/>
      <c r="P143" s="11"/>
      <c r="Q143" s="194"/>
      <c r="R143" s="11"/>
      <c r="S143" s="194"/>
      <c r="T143" s="11"/>
      <c r="U143" s="194"/>
      <c r="V143" s="11"/>
      <c r="W143" s="194"/>
      <c r="X143" s="11"/>
      <c r="Y143" s="194"/>
      <c r="Z143" s="11"/>
      <c r="AA143" s="201"/>
      <c r="AB143" s="194"/>
      <c r="AC143" s="11"/>
      <c r="AD143" s="201"/>
      <c r="AE143" s="194"/>
      <c r="AF143" s="11"/>
      <c r="AG143" s="1536"/>
      <c r="AH143" s="264"/>
      <c r="AI143" s="268"/>
      <c r="AJ143" s="268"/>
    </row>
    <row r="144" spans="1:37" ht="16.5" customHeight="1">
      <c r="A144" s="40" t="s">
        <v>151</v>
      </c>
      <c r="C144" s="197"/>
      <c r="D144" s="202"/>
      <c r="E144" s="197"/>
      <c r="F144" s="202"/>
      <c r="G144" s="197"/>
      <c r="H144" s="202"/>
      <c r="I144" s="197"/>
      <c r="J144" s="202"/>
      <c r="K144" s="197"/>
      <c r="L144" s="202"/>
      <c r="M144" s="197"/>
      <c r="N144" s="202"/>
      <c r="O144" s="197"/>
      <c r="P144" s="202"/>
      <c r="Q144" s="197"/>
      <c r="R144" s="202"/>
      <c r="S144" s="197"/>
      <c r="T144" s="202"/>
      <c r="U144" s="197"/>
      <c r="V144" s="202"/>
      <c r="W144" s="197"/>
      <c r="X144" s="202"/>
      <c r="Y144" s="197"/>
      <c r="Z144" s="202"/>
      <c r="AA144" s="203"/>
      <c r="AB144" s="197"/>
      <c r="AC144" s="202"/>
      <c r="AD144" s="203"/>
      <c r="AE144" s="197"/>
      <c r="AF144" s="11"/>
      <c r="AG144" s="1536"/>
      <c r="AH144" s="13"/>
      <c r="AI144" s="40"/>
      <c r="AJ144" s="40"/>
      <c r="AK144" s="129"/>
    </row>
    <row r="145" spans="1:37" ht="16.5" customHeight="1">
      <c r="A145" s="40" t="s">
        <v>152</v>
      </c>
      <c r="C145" s="204">
        <f>ROUND(SUM(C135+C141),1)</f>
        <v>5130.2</v>
      </c>
      <c r="D145" s="202"/>
      <c r="E145" s="204">
        <f>ROUND(SUM(E135+E141),1)</f>
        <v>-4584.8999999999996</v>
      </c>
      <c r="F145" s="202"/>
      <c r="G145" s="204">
        <f>ROUND(SUM(G135+G141),1)</f>
        <v>9207.2000000000007</v>
      </c>
      <c r="H145" s="202"/>
      <c r="I145" s="204">
        <f>ROUND(SUM(I135+I141),1)</f>
        <v>775.7</v>
      </c>
      <c r="J145" s="202"/>
      <c r="K145" s="204">
        <f>ROUND(SUM(K135+K141),1)</f>
        <v>0</v>
      </c>
      <c r="L145" s="202"/>
      <c r="M145" s="204">
        <f>ROUND(SUM(M135+M141),1)</f>
        <v>0</v>
      </c>
      <c r="N145" s="202"/>
      <c r="O145" s="204">
        <f>ROUND(SUM(O135+O141),1)</f>
        <v>0</v>
      </c>
      <c r="P145" s="202"/>
      <c r="Q145" s="204">
        <f>ROUND(SUM(Q135+Q141),1)</f>
        <v>0</v>
      </c>
      <c r="R145" s="202"/>
      <c r="S145" s="204">
        <f>ROUND(SUM(S135+S141),1)</f>
        <v>0</v>
      </c>
      <c r="T145" s="202"/>
      <c r="U145" s="204">
        <f>ROUND(SUM(U135+U141),1)</f>
        <v>0</v>
      </c>
      <c r="V145" s="202"/>
      <c r="W145" s="204">
        <f>ROUND(SUM(W135+W141),1)</f>
        <v>0</v>
      </c>
      <c r="X145" s="202"/>
      <c r="Y145" s="204">
        <f>ROUND(SUM(Y135+Y141),1)</f>
        <v>0</v>
      </c>
      <c r="Z145" s="202"/>
      <c r="AA145" s="203"/>
      <c r="AB145" s="204">
        <f>ROUND(SUM(AB135+AB141),1)</f>
        <v>10528.2</v>
      </c>
      <c r="AC145" s="202"/>
      <c r="AD145" s="203"/>
      <c r="AE145" s="204">
        <f>ROUND(SUM(AE135+AE141),1)</f>
        <v>-1029.4000000000001</v>
      </c>
      <c r="AF145" s="11"/>
      <c r="AG145" s="1536"/>
      <c r="AH145" s="868">
        <f>ROUND(SUM(AB145-AE145),1)</f>
        <v>11557.6</v>
      </c>
      <c r="AI145" s="40"/>
      <c r="AJ145" s="611">
        <f>ROUND(SUM(AH145/ABS(AE145)),3)</f>
        <v>11.228</v>
      </c>
      <c r="AK145" s="129"/>
    </row>
    <row r="146" spans="1:37" ht="15.5">
      <c r="A146" s="40"/>
      <c r="C146" s="1007"/>
      <c r="E146" s="1007"/>
      <c r="G146" s="1007"/>
      <c r="I146" s="1007"/>
      <c r="K146" s="1007"/>
      <c r="M146" s="1007"/>
      <c r="O146" s="1007"/>
      <c r="Q146" s="1007"/>
      <c r="S146" s="1007"/>
      <c r="U146" s="1007"/>
      <c r="W146" s="1007"/>
      <c r="Y146" s="1007"/>
      <c r="AA146" s="205"/>
      <c r="AB146" s="1007"/>
      <c r="AD146" s="205"/>
      <c r="AE146" s="1017"/>
      <c r="AF146" s="11"/>
      <c r="AG146" s="1536"/>
      <c r="AH146" s="268"/>
      <c r="AI146" s="268"/>
      <c r="AJ146" s="268"/>
    </row>
    <row r="147" spans="1:37" ht="16" thickBot="1">
      <c r="A147" s="206" t="s">
        <v>433</v>
      </c>
      <c r="C147" s="207">
        <f>ROUND(SUM(C16+C145),1)</f>
        <v>74144.399999999994</v>
      </c>
      <c r="D147" s="67"/>
      <c r="E147" s="207">
        <f>ROUND(SUM(E16+E145),1)</f>
        <v>69559.5</v>
      </c>
      <c r="F147" s="67"/>
      <c r="G147" s="207">
        <f>ROUND(SUM(G16+G145),1)</f>
        <v>78766.7</v>
      </c>
      <c r="H147" s="67"/>
      <c r="I147" s="207">
        <f>ROUND(SUM(I16+I145),1)</f>
        <v>79542.399999999994</v>
      </c>
      <c r="J147" s="208"/>
      <c r="K147" s="207">
        <f>ROUND(SUM(K16+K145),1)</f>
        <v>0</v>
      </c>
      <c r="L147" s="208"/>
      <c r="M147" s="207">
        <f>ROUND(SUM(M16+M145),1)</f>
        <v>0</v>
      </c>
      <c r="N147" s="208"/>
      <c r="O147" s="207">
        <f>ROUND(SUM(O16+O145),1)</f>
        <v>0</v>
      </c>
      <c r="P147" s="208"/>
      <c r="Q147" s="207">
        <f>ROUND(SUM(Q16+Q145),1)</f>
        <v>0</v>
      </c>
      <c r="R147" s="208"/>
      <c r="S147" s="207">
        <f>ROUND(SUM(S16+S145),1)</f>
        <v>0</v>
      </c>
      <c r="T147" s="208"/>
      <c r="U147" s="207">
        <f>ROUND(SUM(U16+U145),1)</f>
        <v>0</v>
      </c>
      <c r="V147" s="208"/>
      <c r="W147" s="207">
        <f>ROUND(SUM(W16+W145),1)</f>
        <v>0</v>
      </c>
      <c r="X147" s="208"/>
      <c r="Y147" s="207">
        <f>ROUND(SUM(Y16+Y145),1)</f>
        <v>0</v>
      </c>
      <c r="Z147" s="67"/>
      <c r="AA147" s="209"/>
      <c r="AB147" s="207">
        <f>ROUND(SUM(AB16+AB145),1)</f>
        <v>79542.399999999994</v>
      </c>
      <c r="AC147" s="67"/>
      <c r="AD147" s="209"/>
      <c r="AE147" s="207">
        <f>ROUND(SUM(AE16+AE145),1)</f>
        <v>66292.5</v>
      </c>
      <c r="AF147" s="11"/>
      <c r="AG147" s="1536"/>
      <c r="AH147" s="207">
        <f>ROUND(SUM(AB147-AE147),1)</f>
        <v>13249.9</v>
      </c>
      <c r="AI147" s="40"/>
      <c r="AJ147" s="77">
        <f>ROUND(SUM(AH147/ABS(AE147)),3)</f>
        <v>0.2</v>
      </c>
      <c r="AK147" s="129"/>
    </row>
    <row r="148" spans="1:37" ht="16" thickTop="1">
      <c r="A148" s="210"/>
      <c r="AH148" s="268"/>
      <c r="AI148" s="268"/>
      <c r="AJ148" s="268"/>
    </row>
    <row r="149" spans="1:37" ht="15.5">
      <c r="A149" s="284" t="s">
        <v>439</v>
      </c>
      <c r="O149" s="58" t="s">
        <v>103</v>
      </c>
      <c r="AH149" s="268"/>
      <c r="AI149" s="268"/>
      <c r="AJ149" s="268"/>
    </row>
    <row r="150" spans="1:37" ht="15.5">
      <c r="A150" s="284" t="s">
        <v>440</v>
      </c>
      <c r="AB150" s="58" t="s">
        <v>103</v>
      </c>
      <c r="AH150" s="268"/>
      <c r="AI150" s="268"/>
      <c r="AJ150" s="268"/>
    </row>
    <row r="151" spans="1:37" ht="15.5">
      <c r="A151" s="428" t="s">
        <v>441</v>
      </c>
      <c r="AB151" s="58" t="s">
        <v>103</v>
      </c>
      <c r="AH151" s="268"/>
      <c r="AI151" s="268"/>
      <c r="AJ151" s="268"/>
    </row>
    <row r="152" spans="1:37" ht="16.5" customHeight="1">
      <c r="AH152" s="268"/>
      <c r="AI152" s="268"/>
      <c r="AJ152" s="268"/>
    </row>
    <row r="153" spans="1:37" ht="16.5" customHeight="1">
      <c r="AH153" s="268"/>
      <c r="AI153" s="268"/>
      <c r="AJ153" s="268"/>
    </row>
    <row r="154" spans="1:37" ht="16.5" customHeight="1">
      <c r="AH154" s="268"/>
      <c r="AI154" s="268"/>
      <c r="AJ154" s="268"/>
    </row>
    <row r="155" spans="1:37" ht="16.5" customHeight="1">
      <c r="AH155" s="268"/>
      <c r="AI155" s="268"/>
      <c r="AJ155" s="268"/>
    </row>
    <row r="156" spans="1:37" ht="16.5" customHeight="1">
      <c r="AH156" s="268"/>
      <c r="AI156" s="268"/>
      <c r="AJ156" s="268"/>
    </row>
    <row r="157" spans="1:37" ht="16.5" customHeight="1">
      <c r="AH157" s="268"/>
      <c r="AI157" s="268"/>
      <c r="AJ157" s="268"/>
    </row>
    <row r="158" spans="1:37" ht="16.5" customHeight="1">
      <c r="AH158" s="268"/>
      <c r="AI158" s="268"/>
      <c r="AJ158" s="268"/>
    </row>
    <row r="159" spans="1:37" ht="16.5" customHeight="1">
      <c r="AH159" s="268"/>
      <c r="AI159" s="268"/>
      <c r="AJ159" s="268"/>
    </row>
    <row r="160" spans="1:37" ht="16.5" customHeight="1">
      <c r="AH160" s="268"/>
      <c r="AI160" s="268"/>
      <c r="AJ160" s="268"/>
    </row>
    <row r="161" spans="34:36" ht="16.5" customHeight="1">
      <c r="AH161" s="268"/>
      <c r="AI161" s="268"/>
      <c r="AJ161" s="268"/>
    </row>
    <row r="162" spans="34:36" ht="16.5" customHeight="1">
      <c r="AH162" s="268"/>
      <c r="AI162" s="268"/>
      <c r="AJ162" s="268"/>
    </row>
    <row r="163" spans="34:36" ht="16.5" customHeight="1">
      <c r="AH163" s="268"/>
      <c r="AI163" s="268"/>
      <c r="AJ163" s="268"/>
    </row>
    <row r="164" spans="34:36" ht="16.5" customHeight="1">
      <c r="AH164" s="268"/>
      <c r="AI164" s="268"/>
      <c r="AJ164" s="268"/>
    </row>
    <row r="165" spans="34:36" ht="16.5" customHeight="1">
      <c r="AH165" s="268"/>
      <c r="AI165" s="268"/>
      <c r="AJ165" s="268"/>
    </row>
  </sheetData>
  <mergeCells count="2">
    <mergeCell ref="AC5:AJ5"/>
    <mergeCell ref="AB12:AJ12"/>
  </mergeCells>
  <printOptions horizontalCentered="1"/>
  <pageMargins left="0.25" right="0.25" top="0.5" bottom="0.25" header="0.47" footer="0.3"/>
  <pageSetup scale="38" firstPageNumber="18" orientation="landscape" useFirstPageNumber="1" r:id="rId1"/>
  <headerFooter scaleWithDoc="0" alignWithMargins="0">
    <oddFooter>&amp;C&amp;8&amp;P</oddFooter>
  </headerFooter>
  <rowBreaks count="1" manualBreakCount="1">
    <brk id="86" max="35" man="1"/>
  </rowBreaks>
  <customProperties>
    <customPr name="SheetOptions" r:id="rId2"/>
  </customProperties>
  <ignoredErrors>
    <ignoredError sqref="AJ27:AJ32" unlockedFormula="1"/>
    <ignoredError sqref="AH35:AI35 AJ95 AJ35 AJ33 AJ36 AJ96:AJ161 AJ38:AJ94 AH24 AB26" formula="1"/>
    <ignoredError sqref="AJ34 AJ37" formula="1" unlocked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AL148"/>
  <sheetViews>
    <sheetView showGridLines="0" zoomScale="88" zoomScaleNormal="88" workbookViewId="0"/>
  </sheetViews>
  <sheetFormatPr defaultColWidth="8.84375" defaultRowHeight="12.5"/>
  <cols>
    <col min="1" max="1" width="2.53515625" style="56" customWidth="1"/>
    <col min="2" max="2" width="39.84375" style="56" customWidth="1"/>
    <col min="3" max="3" width="1.07421875" style="56" customWidth="1"/>
    <col min="4" max="4" width="12.4609375" style="56" bestFit="1" customWidth="1"/>
    <col min="5" max="5" width="1.84375" style="56" customWidth="1"/>
    <col min="6" max="6" width="12.84375" style="56" bestFit="1" customWidth="1"/>
    <col min="7" max="7" width="1.84375" style="56" customWidth="1"/>
    <col min="8" max="8" width="12.84375" style="56" bestFit="1" customWidth="1"/>
    <col min="9" max="9" width="1.84375" style="56" customWidth="1"/>
    <col min="10" max="10" width="13.84375" style="697" customWidth="1"/>
    <col min="11" max="11" width="1.84375" style="56" customWidth="1"/>
    <col min="12" max="12" width="12.84375" style="56" bestFit="1" customWidth="1"/>
    <col min="13" max="13" width="1.84375" style="56" customWidth="1"/>
    <col min="14" max="14" width="13.84375" style="56" customWidth="1"/>
    <col min="15" max="15" width="1.84375" style="56" customWidth="1"/>
    <col min="16" max="16" width="12.84375" style="56" bestFit="1" customWidth="1"/>
    <col min="17" max="17" width="1.84375" style="56" customWidth="1"/>
    <col min="18" max="18" width="12.07421875" style="56" customWidth="1"/>
    <col min="19" max="19" width="1.84375" style="56" customWidth="1"/>
    <col min="20" max="20" width="14.84375" style="56" customWidth="1"/>
    <col min="21" max="21" width="1.84375" style="56" customWidth="1"/>
    <col min="22" max="22" width="12.07421875" style="56" customWidth="1"/>
    <col min="23" max="23" width="1.84375" style="56" customWidth="1"/>
    <col min="24" max="24" width="12.84375" style="56" customWidth="1"/>
    <col min="25" max="25" width="1.84375" style="56" customWidth="1"/>
    <col min="26" max="26" width="14.53515625" style="56" customWidth="1"/>
    <col min="27" max="28" width="1.07421875" style="56" customWidth="1"/>
    <col min="29" max="29" width="13.07421875" style="56" customWidth="1"/>
    <col min="30" max="31" width="1.07421875" style="56" customWidth="1"/>
    <col min="32" max="32" width="15.07421875" style="56" customWidth="1"/>
    <col min="33" max="34" width="1.07421875" style="56" customWidth="1"/>
    <col min="35" max="35" width="13.07421875" style="56" customWidth="1"/>
    <col min="36" max="36" width="1" style="56" customWidth="1"/>
    <col min="37" max="37" width="13.84375" style="698" customWidth="1"/>
    <col min="38" max="38" width="10.07421875" style="56" customWidth="1"/>
    <col min="39" max="16384" width="8.84375" style="56"/>
  </cols>
  <sheetData>
    <row r="1" spans="1:38" ht="15.5">
      <c r="B1" s="284" t="s">
        <v>97</v>
      </c>
    </row>
    <row r="2" spans="1:38">
      <c r="A2" s="63"/>
      <c r="B2" s="63"/>
      <c r="C2" s="63"/>
      <c r="D2" s="63"/>
      <c r="E2" s="63"/>
      <c r="F2" s="63"/>
      <c r="G2" s="63"/>
      <c r="H2" s="63"/>
      <c r="I2" s="63"/>
      <c r="J2" s="422"/>
      <c r="K2" s="63"/>
      <c r="L2" s="63"/>
      <c r="M2" s="63"/>
      <c r="N2" s="63"/>
      <c r="O2" s="63"/>
      <c r="P2" s="63"/>
      <c r="Q2" s="63"/>
      <c r="R2" s="63"/>
      <c r="S2" s="63"/>
      <c r="T2" s="63"/>
      <c r="U2" s="63"/>
      <c r="V2" s="63"/>
      <c r="W2" s="63"/>
      <c r="X2" s="63"/>
      <c r="Y2" s="63"/>
      <c r="Z2" s="63"/>
      <c r="AA2" s="63"/>
      <c r="AB2" s="63"/>
      <c r="AC2" s="63"/>
      <c r="AD2" s="63"/>
      <c r="AE2" s="63"/>
      <c r="AF2" s="63"/>
      <c r="AG2" s="63"/>
    </row>
    <row r="3" spans="1:38" ht="18">
      <c r="A3" s="63"/>
      <c r="B3" s="64" t="s">
        <v>98</v>
      </c>
      <c r="C3" s="63"/>
      <c r="D3" s="63"/>
      <c r="E3" s="63"/>
      <c r="F3" s="39"/>
      <c r="G3" s="63"/>
      <c r="H3" s="63"/>
      <c r="I3" s="63"/>
      <c r="J3" s="422"/>
      <c r="K3" s="63"/>
      <c r="L3" s="63"/>
      <c r="M3" s="3"/>
      <c r="N3" s="57"/>
      <c r="O3" s="63"/>
      <c r="P3" s="63"/>
      <c r="Q3" s="63"/>
      <c r="R3" s="63"/>
      <c r="S3" s="63"/>
      <c r="T3" s="63"/>
      <c r="U3" s="63"/>
      <c r="V3" s="63"/>
      <c r="W3" s="63"/>
      <c r="X3" s="63"/>
      <c r="Y3" s="63"/>
      <c r="Z3" s="63"/>
      <c r="AA3" s="63"/>
      <c r="AB3" s="63"/>
      <c r="AC3" s="63"/>
      <c r="AD3" s="63"/>
      <c r="AE3" s="63"/>
      <c r="AF3" s="63"/>
      <c r="AG3" s="63"/>
      <c r="AK3" s="66" t="s">
        <v>442</v>
      </c>
    </row>
    <row r="4" spans="1:38" ht="18">
      <c r="A4" s="63"/>
      <c r="B4" s="65" t="s">
        <v>443</v>
      </c>
      <c r="C4" s="63"/>
      <c r="D4" s="63"/>
      <c r="E4" s="63"/>
      <c r="F4" s="39"/>
      <c r="G4" s="63"/>
      <c r="H4" s="63" t="s">
        <v>103</v>
      </c>
      <c r="I4" s="63"/>
      <c r="J4" s="422"/>
      <c r="K4" s="63"/>
      <c r="L4" s="63"/>
      <c r="M4" s="3"/>
      <c r="N4" s="57"/>
      <c r="O4" s="63"/>
      <c r="P4" s="63"/>
      <c r="Q4" s="63"/>
      <c r="R4" s="63"/>
      <c r="S4" s="63"/>
      <c r="T4" s="63"/>
      <c r="U4" s="63"/>
      <c r="V4" s="63"/>
      <c r="W4" s="63"/>
      <c r="X4" s="63"/>
      <c r="Y4" s="63"/>
      <c r="Z4" s="63"/>
      <c r="AA4" s="63"/>
      <c r="AB4" s="63"/>
      <c r="AC4" s="699"/>
      <c r="AD4" s="699"/>
      <c r="AE4" s="699"/>
      <c r="AF4" s="699"/>
      <c r="AG4" s="699"/>
    </row>
    <row r="5" spans="1:38" ht="18">
      <c r="A5" s="63"/>
      <c r="B5" s="65" t="s">
        <v>444</v>
      </c>
      <c r="C5" s="63"/>
      <c r="D5" s="63"/>
      <c r="E5" s="63"/>
      <c r="F5" s="39"/>
      <c r="G5" s="63"/>
      <c r="H5" s="63"/>
      <c r="I5" s="63"/>
      <c r="J5" s="422"/>
      <c r="K5" s="63"/>
      <c r="L5" s="63"/>
      <c r="M5" s="3"/>
      <c r="N5" s="57"/>
      <c r="O5" s="63"/>
      <c r="P5" s="63"/>
      <c r="Q5" s="63"/>
      <c r="R5" s="63"/>
      <c r="S5" s="63"/>
      <c r="T5" s="63"/>
      <c r="U5" s="63"/>
      <c r="V5" s="63"/>
      <c r="W5" s="63"/>
      <c r="X5" s="63"/>
      <c r="Y5" s="63"/>
      <c r="Z5" s="63"/>
      <c r="AA5" s="63"/>
      <c r="AB5" s="63"/>
      <c r="AD5" s="852"/>
      <c r="AE5" s="852"/>
    </row>
    <row r="6" spans="1:38" ht="18" customHeight="1">
      <c r="A6" s="63"/>
      <c r="B6" s="540" t="str">
        <f>'Cashflow Governmental'!A6</f>
        <v>FISCAL YEAR 2026-2027</v>
      </c>
      <c r="C6" s="63"/>
      <c r="D6" s="63"/>
      <c r="E6" s="63"/>
      <c r="F6" s="39"/>
      <c r="G6" s="63"/>
      <c r="H6" s="63"/>
      <c r="I6" s="63"/>
      <c r="J6" s="422"/>
      <c r="K6" s="63"/>
      <c r="L6" s="63"/>
      <c r="M6" s="3"/>
      <c r="N6" s="57"/>
      <c r="O6" s="63"/>
      <c r="P6" s="63"/>
      <c r="Q6" s="63"/>
      <c r="R6" s="63"/>
      <c r="S6" s="63"/>
      <c r="T6" s="63"/>
      <c r="U6" s="63"/>
      <c r="V6" s="63"/>
      <c r="W6" s="63"/>
      <c r="X6" s="63"/>
      <c r="Y6" s="63"/>
      <c r="Z6" s="63"/>
      <c r="AA6" s="63"/>
      <c r="AB6" s="63"/>
      <c r="AC6" s="63"/>
      <c r="AD6" s="63"/>
      <c r="AE6" s="63"/>
      <c r="AF6" s="63"/>
      <c r="AG6" s="63"/>
    </row>
    <row r="7" spans="1:38" ht="15" customHeight="1">
      <c r="A7" s="63"/>
      <c r="B7" s="65" t="s">
        <v>102</v>
      </c>
      <c r="C7" s="63"/>
      <c r="D7" s="63"/>
      <c r="E7" s="63"/>
      <c r="F7" s="39"/>
      <c r="G7" s="63"/>
      <c r="H7" s="63"/>
      <c r="I7" s="63"/>
      <c r="J7" s="422"/>
      <c r="K7" s="63"/>
      <c r="L7" s="57"/>
      <c r="M7" s="3"/>
      <c r="N7" s="63"/>
      <c r="O7" s="63"/>
      <c r="P7" s="1267"/>
      <c r="Q7" s="63"/>
      <c r="R7" s="63"/>
      <c r="S7" s="63"/>
      <c r="T7" s="63"/>
      <c r="U7" s="63"/>
      <c r="V7" s="63"/>
      <c r="W7" s="63"/>
      <c r="X7" s="63"/>
      <c r="Y7" s="63"/>
      <c r="Z7" s="63"/>
      <c r="AA7" s="63"/>
      <c r="AB7" s="63"/>
      <c r="AC7" s="63"/>
      <c r="AD7" s="63"/>
      <c r="AE7" s="63"/>
      <c r="AF7" s="63"/>
      <c r="AG7" s="63"/>
    </row>
    <row r="8" spans="1:38" ht="15" customHeight="1">
      <c r="A8" s="63"/>
      <c r="B8" s="65"/>
      <c r="C8" s="63"/>
      <c r="D8" s="63"/>
      <c r="E8" s="63"/>
      <c r="F8" s="39"/>
      <c r="G8" s="63"/>
      <c r="H8" s="63"/>
      <c r="I8" s="63"/>
      <c r="J8" s="422"/>
      <c r="K8" s="63"/>
      <c r="L8" s="57"/>
      <c r="M8" s="3"/>
      <c r="N8" s="63"/>
      <c r="O8" s="63"/>
      <c r="P8" s="1267"/>
      <c r="Q8" s="63"/>
      <c r="R8" s="63"/>
      <c r="S8" s="63"/>
      <c r="T8" s="63"/>
      <c r="U8" s="63"/>
      <c r="V8" s="63"/>
      <c r="W8" s="63"/>
      <c r="X8" s="63"/>
      <c r="Y8" s="63"/>
      <c r="Z8" s="63"/>
      <c r="AA8" s="63"/>
      <c r="AB8" s="63"/>
      <c r="AC8" s="63"/>
      <c r="AD8" s="63"/>
      <c r="AE8" s="63"/>
      <c r="AF8" s="63"/>
      <c r="AG8" s="63"/>
    </row>
    <row r="9" spans="1:38" ht="15.5">
      <c r="A9" s="63"/>
      <c r="B9" s="63"/>
      <c r="C9" s="63"/>
      <c r="D9" s="1113"/>
      <c r="E9" s="63"/>
      <c r="F9" s="39"/>
      <c r="G9" s="63"/>
      <c r="H9" s="63"/>
      <c r="I9" s="63"/>
      <c r="J9" s="422"/>
      <c r="K9" s="63"/>
      <c r="L9" s="63"/>
      <c r="M9" s="63"/>
      <c r="N9" s="63"/>
      <c r="O9" s="63"/>
      <c r="P9" s="63"/>
      <c r="Q9" s="63"/>
      <c r="R9" s="63"/>
      <c r="S9" s="63"/>
      <c r="T9" s="63"/>
      <c r="U9" s="63"/>
      <c r="V9" s="63"/>
      <c r="W9" s="63"/>
      <c r="X9" s="63"/>
      <c r="Y9" s="63"/>
      <c r="Z9" s="63"/>
      <c r="AA9" s="63"/>
      <c r="AB9" s="2063" t="str">
        <f>'Cashflow Governmental'!$AB$12</f>
        <v>4 Months Ended July 31</v>
      </c>
      <c r="AC9" s="2063"/>
      <c r="AD9" s="2063"/>
      <c r="AE9" s="2063"/>
      <c r="AF9" s="2063"/>
      <c r="AG9" s="2063"/>
      <c r="AH9" s="2063"/>
      <c r="AI9" s="2063"/>
      <c r="AJ9" s="2063"/>
      <c r="AK9" s="2063"/>
    </row>
    <row r="10" spans="1:38" ht="15" customHeight="1">
      <c r="A10" s="63"/>
      <c r="B10" s="364"/>
      <c r="C10" s="364"/>
      <c r="D10" s="1106" t="str">
        <f>'Cashflow Governmental'!C13</f>
        <v>2026</v>
      </c>
      <c r="E10" s="187"/>
      <c r="F10" s="187"/>
      <c r="G10" s="187"/>
      <c r="H10" s="187"/>
      <c r="I10" s="187"/>
      <c r="J10" s="187"/>
      <c r="K10" s="187"/>
      <c r="L10" s="187"/>
      <c r="M10" s="187"/>
      <c r="N10" s="187"/>
      <c r="O10" s="187"/>
      <c r="P10" s="187"/>
      <c r="Q10" s="187"/>
      <c r="R10" s="187"/>
      <c r="S10" s="187"/>
      <c r="T10" s="187"/>
      <c r="U10" s="187"/>
      <c r="V10" s="558">
        <f>'Cashflow Governmental'!U13</f>
        <v>2027</v>
      </c>
      <c r="W10" s="187"/>
      <c r="X10" s="187"/>
      <c r="Y10" s="187"/>
      <c r="Z10" s="187"/>
      <c r="AA10" s="57"/>
      <c r="AB10" s="3"/>
      <c r="AC10" s="57"/>
      <c r="AD10" s="3"/>
      <c r="AE10" s="3"/>
      <c r="AF10" s="57"/>
      <c r="AG10" s="57"/>
      <c r="AH10" s="59"/>
      <c r="AI10" s="319" t="s">
        <v>110</v>
      </c>
      <c r="AJ10" s="57"/>
      <c r="AK10" s="320" t="s">
        <v>111</v>
      </c>
    </row>
    <row r="11" spans="1:38" ht="15" customHeight="1">
      <c r="A11" s="63"/>
      <c r="B11" s="364"/>
      <c r="C11" s="364"/>
      <c r="D11" s="52" t="s">
        <v>329</v>
      </c>
      <c r="E11" s="3"/>
      <c r="F11" s="1107" t="s">
        <v>330</v>
      </c>
      <c r="G11" s="3"/>
      <c r="H11" s="1107" t="s">
        <v>331</v>
      </c>
      <c r="I11" s="3"/>
      <c r="J11" s="17" t="s">
        <v>332</v>
      </c>
      <c r="K11" s="3"/>
      <c r="L11" s="320" t="s">
        <v>333</v>
      </c>
      <c r="M11" s="3"/>
      <c r="N11" s="320" t="s">
        <v>445</v>
      </c>
      <c r="O11" s="3"/>
      <c r="P11" s="320" t="s">
        <v>446</v>
      </c>
      <c r="Q11" s="3"/>
      <c r="R11" s="320" t="s">
        <v>336</v>
      </c>
      <c r="S11" s="3"/>
      <c r="T11" s="320" t="s">
        <v>337</v>
      </c>
      <c r="U11" s="3"/>
      <c r="V11" s="320" t="s">
        <v>338</v>
      </c>
      <c r="W11" s="3"/>
      <c r="X11" s="320" t="s">
        <v>339</v>
      </c>
      <c r="Y11" s="3"/>
      <c r="Z11" s="320" t="s">
        <v>447</v>
      </c>
      <c r="AA11" s="320"/>
      <c r="AB11" s="3"/>
      <c r="AC11" s="1018" t="str">
        <f>'Cashflow Governmental'!AB14</f>
        <v>2026</v>
      </c>
      <c r="AD11" s="3" t="s">
        <v>103</v>
      </c>
      <c r="AE11" s="3"/>
      <c r="AF11" s="1018" t="str">
        <f>'Cashflow Governmental'!AE14</f>
        <v>2025</v>
      </c>
      <c r="AG11" s="700"/>
      <c r="AH11" s="59"/>
      <c r="AI11" s="1214" t="s">
        <v>112</v>
      </c>
      <c r="AJ11" s="57"/>
      <c r="AK11" s="985" t="s">
        <v>113</v>
      </c>
    </row>
    <row r="12" spans="1:38" ht="5.25" customHeight="1">
      <c r="A12" s="63"/>
      <c r="B12" s="364"/>
      <c r="C12" s="364"/>
      <c r="D12" s="984" t="s">
        <v>103</v>
      </c>
      <c r="E12" s="364"/>
      <c r="F12" s="1108"/>
      <c r="G12" s="364"/>
      <c r="H12" s="984"/>
      <c r="I12" s="364"/>
      <c r="J12" s="615"/>
      <c r="K12" s="364"/>
      <c r="L12" s="984"/>
      <c r="M12" s="364"/>
      <c r="N12" s="984"/>
      <c r="O12" s="364"/>
      <c r="P12" s="984"/>
      <c r="Q12" s="364"/>
      <c r="R12" s="984"/>
      <c r="S12" s="364"/>
      <c r="T12" s="984"/>
      <c r="U12" s="364"/>
      <c r="V12" s="984"/>
      <c r="W12" s="364"/>
      <c r="X12" s="984"/>
      <c r="Y12" s="364"/>
      <c r="Z12" s="984"/>
      <c r="AA12" s="364"/>
      <c r="AB12" s="364"/>
      <c r="AC12" s="364"/>
      <c r="AD12" s="364"/>
      <c r="AE12" s="364"/>
      <c r="AF12" s="364"/>
      <c r="AG12" s="364"/>
    </row>
    <row r="13" spans="1:38" ht="15" customHeight="1">
      <c r="A13" s="35"/>
      <c r="B13" s="6" t="s">
        <v>341</v>
      </c>
      <c r="C13" s="291"/>
      <c r="D13" s="82">
        <v>56177.599999999999</v>
      </c>
      <c r="E13" s="82"/>
      <c r="F13" s="82">
        <f>D144</f>
        <v>59894.6</v>
      </c>
      <c r="G13" s="82"/>
      <c r="H13" s="82">
        <f>F144</f>
        <v>53661.4</v>
      </c>
      <c r="I13" s="45"/>
      <c r="J13" s="82">
        <f>H144</f>
        <v>62143.6</v>
      </c>
      <c r="K13" s="45"/>
      <c r="L13" s="82"/>
      <c r="M13" s="45"/>
      <c r="N13" s="82"/>
      <c r="O13" s="45"/>
      <c r="P13" s="82"/>
      <c r="Q13" s="45"/>
      <c r="R13" s="82"/>
      <c r="S13" s="20"/>
      <c r="T13" s="82"/>
      <c r="U13" s="20"/>
      <c r="V13" s="82"/>
      <c r="W13" s="20"/>
      <c r="X13" s="82"/>
      <c r="Y13" s="20"/>
      <c r="Z13" s="82"/>
      <c r="AA13" s="45"/>
      <c r="AB13" s="702"/>
      <c r="AC13" s="20">
        <f>D13</f>
        <v>56177.599999999999</v>
      </c>
      <c r="AD13" s="45"/>
      <c r="AE13" s="702"/>
      <c r="AF13" s="1936">
        <v>56915.8</v>
      </c>
      <c r="AG13" s="45"/>
      <c r="AH13" s="703"/>
      <c r="AI13" s="20">
        <f>ROUND(SUM(+AC13-AF13),1)</f>
        <v>-738.2</v>
      </c>
      <c r="AJ13" s="704"/>
      <c r="AK13" s="281">
        <f>ROUND(IF(AF13=0,0,AI13/ABS(AF13)),3)</f>
        <v>-1.2999999999999999E-2</v>
      </c>
      <c r="AL13" s="1521"/>
    </row>
    <row r="14" spans="1:38" ht="15" customHeight="1">
      <c r="A14" s="35"/>
      <c r="B14" s="291"/>
      <c r="C14" s="291"/>
      <c r="D14" s="291"/>
      <c r="E14" s="291"/>
      <c r="F14" s="384"/>
      <c r="G14" s="291"/>
      <c r="H14" s="384"/>
      <c r="I14" s="291"/>
      <c r="J14" s="384"/>
      <c r="K14" s="291"/>
      <c r="L14" s="384"/>
      <c r="M14" s="291"/>
      <c r="N14" s="364"/>
      <c r="O14" s="291"/>
      <c r="P14" s="364"/>
      <c r="Q14" s="291"/>
      <c r="R14" s="364"/>
      <c r="S14" s="291"/>
      <c r="T14" s="364"/>
      <c r="U14" s="291"/>
      <c r="V14" s="364"/>
      <c r="W14" s="291"/>
      <c r="X14" s="364"/>
      <c r="Y14" s="291"/>
      <c r="Z14" s="364"/>
      <c r="AA14" s="364"/>
      <c r="AB14" s="853"/>
      <c r="AC14" s="364"/>
      <c r="AD14" s="291"/>
      <c r="AE14" s="853"/>
      <c r="AF14" s="364"/>
      <c r="AG14" s="364"/>
      <c r="AH14" s="701"/>
      <c r="AI14" s="63"/>
      <c r="AJ14" s="63"/>
      <c r="AK14" s="328"/>
      <c r="AL14" s="1521"/>
    </row>
    <row r="15" spans="1:38" ht="15" customHeight="1">
      <c r="A15" s="35"/>
      <c r="B15" s="3" t="s">
        <v>114</v>
      </c>
      <c r="C15" s="291"/>
      <c r="D15" s="291"/>
      <c r="E15" s="291"/>
      <c r="F15" s="364"/>
      <c r="G15" s="291"/>
      <c r="H15" s="364"/>
      <c r="I15" s="291"/>
      <c r="J15" s="364"/>
      <c r="K15" s="291"/>
      <c r="L15" s="364"/>
      <c r="M15" s="291"/>
      <c r="N15" s="364"/>
      <c r="O15" s="291"/>
      <c r="P15" s="364"/>
      <c r="Q15" s="291"/>
      <c r="R15" s="364"/>
      <c r="S15" s="291"/>
      <c r="T15" s="364"/>
      <c r="U15" s="291"/>
      <c r="V15" s="364"/>
      <c r="W15" s="291"/>
      <c r="X15" s="364"/>
      <c r="Y15" s="291"/>
      <c r="Z15" s="364"/>
      <c r="AA15" s="364"/>
      <c r="AB15" s="853"/>
      <c r="AC15" s="364"/>
      <c r="AD15" s="291"/>
      <c r="AE15" s="853"/>
      <c r="AF15" s="364"/>
      <c r="AG15" s="364"/>
      <c r="AH15" s="701"/>
      <c r="AI15" s="63"/>
      <c r="AJ15" s="63"/>
      <c r="AK15" s="328"/>
      <c r="AL15" s="1521"/>
    </row>
    <row r="16" spans="1:38" ht="15" customHeight="1">
      <c r="A16" s="35"/>
      <c r="B16" s="1211" t="s">
        <v>342</v>
      </c>
      <c r="C16" s="291"/>
      <c r="D16" s="291"/>
      <c r="E16" s="291"/>
      <c r="F16" s="364"/>
      <c r="G16" s="291"/>
      <c r="H16" s="364"/>
      <c r="I16" s="291"/>
      <c r="J16" s="364"/>
      <c r="K16" s="291"/>
      <c r="L16" s="364"/>
      <c r="M16" s="291"/>
      <c r="N16" s="364"/>
      <c r="O16" s="291"/>
      <c r="P16" s="364"/>
      <c r="Q16" s="291"/>
      <c r="R16" s="364"/>
      <c r="S16" s="291"/>
      <c r="T16" s="364"/>
      <c r="U16" s="291"/>
      <c r="V16" s="364"/>
      <c r="W16" s="291"/>
      <c r="X16" s="364"/>
      <c r="Y16" s="291"/>
      <c r="Z16" s="364"/>
      <c r="AA16" s="364"/>
      <c r="AB16" s="853"/>
      <c r="AC16" s="364"/>
      <c r="AD16" s="291"/>
      <c r="AE16" s="853"/>
      <c r="AF16" s="364"/>
      <c r="AG16" s="364"/>
      <c r="AH16" s="701"/>
      <c r="AI16" s="63"/>
      <c r="AJ16" s="63"/>
      <c r="AK16" s="328"/>
      <c r="AL16" s="1521"/>
    </row>
    <row r="17" spans="1:38" ht="15" customHeight="1">
      <c r="A17" s="35"/>
      <c r="B17" s="412" t="s">
        <v>435</v>
      </c>
      <c r="C17" s="291"/>
      <c r="D17" s="291"/>
      <c r="E17" s="291"/>
      <c r="F17" s="364"/>
      <c r="G17" s="291"/>
      <c r="H17" s="364"/>
      <c r="I17" s="291"/>
      <c r="J17" s="364"/>
      <c r="K17" s="291"/>
      <c r="L17" s="364"/>
      <c r="M17" s="291"/>
      <c r="N17" s="364"/>
      <c r="O17" s="291"/>
      <c r="P17" s="364"/>
      <c r="Q17" s="291"/>
      <c r="R17" s="364"/>
      <c r="S17" s="291"/>
      <c r="T17" s="364"/>
      <c r="U17" s="291"/>
      <c r="V17" s="364"/>
      <c r="W17" s="291"/>
      <c r="X17" s="364"/>
      <c r="Y17" s="291"/>
      <c r="Z17" s="364"/>
      <c r="AA17" s="364"/>
      <c r="AB17" s="853"/>
      <c r="AC17" s="364"/>
      <c r="AD17" s="291"/>
      <c r="AE17" s="853"/>
      <c r="AF17" s="364"/>
      <c r="AG17" s="364"/>
      <c r="AH17" s="701"/>
      <c r="AI17" s="63"/>
      <c r="AJ17" s="63"/>
      <c r="AK17" s="328"/>
      <c r="AL17" s="1521"/>
    </row>
    <row r="18" spans="1:38" ht="15" customHeight="1">
      <c r="A18" s="35"/>
      <c r="B18" s="284" t="s">
        <v>344</v>
      </c>
      <c r="C18" s="291"/>
      <c r="D18" s="531">
        <v>5407.3</v>
      </c>
      <c r="E18" s="512"/>
      <c r="F18" s="531">
        <v>4600.9999999999991</v>
      </c>
      <c r="G18" s="512"/>
      <c r="H18" s="531">
        <v>4759.4999999999991</v>
      </c>
      <c r="I18" s="526"/>
      <c r="J18" s="531">
        <f>$AC18-H18-F18-D18</f>
        <v>4880.7999999999984</v>
      </c>
      <c r="K18" s="512"/>
      <c r="L18" s="531"/>
      <c r="M18" s="553"/>
      <c r="N18" s="531"/>
      <c r="O18" s="553"/>
      <c r="P18" s="531"/>
      <c r="Q18" s="553"/>
      <c r="R18" s="531"/>
      <c r="S18" s="512"/>
      <c r="T18" s="531"/>
      <c r="U18" s="512"/>
      <c r="V18" s="531"/>
      <c r="W18" s="512"/>
      <c r="X18" s="531"/>
      <c r="Y18" s="512"/>
      <c r="Z18" s="531"/>
      <c r="AA18" s="289"/>
      <c r="AB18" s="524"/>
      <c r="AC18" s="531">
        <v>19648.599999999999</v>
      </c>
      <c r="AD18" s="264"/>
      <c r="AE18" s="524" t="s">
        <v>103</v>
      </c>
      <c r="AF18" s="531">
        <v>18151.099999999999</v>
      </c>
      <c r="AG18" s="364"/>
      <c r="AH18" s="701"/>
      <c r="AI18" s="264">
        <f>ROUND(SUM(+AC18-AF18),1)</f>
        <v>1497.5</v>
      </c>
      <c r="AJ18" s="63"/>
      <c r="AK18" s="266">
        <f t="shared" ref="AK18:AK22" si="0">ROUND(IF(AF18=0,0,AI18/ABS(AF18)),3)</f>
        <v>8.3000000000000004E-2</v>
      </c>
      <c r="AL18" s="1783"/>
    </row>
    <row r="19" spans="1:38" ht="15" customHeight="1">
      <c r="A19" s="35"/>
      <c r="B19" s="284" t="s">
        <v>345</v>
      </c>
      <c r="C19" s="291"/>
      <c r="D19" s="531">
        <v>7071.9</v>
      </c>
      <c r="E19" s="512"/>
      <c r="F19" s="531">
        <v>102.80000000000018</v>
      </c>
      <c r="G19" s="512"/>
      <c r="H19" s="531">
        <v>2120.6999999999989</v>
      </c>
      <c r="I19" s="291"/>
      <c r="J19" s="531">
        <f t="shared" ref="J19:J22" si="1">$AC19-H19-F19-D19</f>
        <v>121.60000000000127</v>
      </c>
      <c r="K19" s="553"/>
      <c r="L19" s="531"/>
      <c r="M19" s="553"/>
      <c r="N19" s="531"/>
      <c r="O19" s="553"/>
      <c r="P19" s="531"/>
      <c r="Q19" s="553"/>
      <c r="R19" s="531"/>
      <c r="S19" s="512"/>
      <c r="T19" s="531"/>
      <c r="U19" s="553"/>
      <c r="V19" s="531"/>
      <c r="W19" s="512"/>
      <c r="X19" s="531"/>
      <c r="Y19" s="553"/>
      <c r="Z19" s="531"/>
      <c r="AA19" s="289"/>
      <c r="AB19" s="524"/>
      <c r="AC19" s="531">
        <v>9417</v>
      </c>
      <c r="AD19" s="264"/>
      <c r="AE19" s="524" t="s">
        <v>103</v>
      </c>
      <c r="AF19" s="531">
        <v>8526.1</v>
      </c>
      <c r="AG19" s="364"/>
      <c r="AH19" s="701"/>
      <c r="AI19" s="264">
        <f>ROUND(SUM(+AC19-AF19),1)</f>
        <v>890.9</v>
      </c>
      <c r="AJ19" s="63"/>
      <c r="AK19" s="542">
        <f t="shared" si="0"/>
        <v>0.104</v>
      </c>
      <c r="AL19" s="1783"/>
    </row>
    <row r="20" spans="1:38" ht="15" customHeight="1">
      <c r="A20" s="35"/>
      <c r="B20" s="284" t="s">
        <v>346</v>
      </c>
      <c r="C20" s="291"/>
      <c r="D20" s="531">
        <v>3100.3</v>
      </c>
      <c r="E20" s="512"/>
      <c r="F20" s="531">
        <v>129.69999999999982</v>
      </c>
      <c r="G20" s="512"/>
      <c r="H20" s="531">
        <v>113.59999999999991</v>
      </c>
      <c r="I20" s="291"/>
      <c r="J20" s="531">
        <f t="shared" si="1"/>
        <v>71.700000000000273</v>
      </c>
      <c r="K20" s="553"/>
      <c r="L20" s="531"/>
      <c r="M20" s="553"/>
      <c r="N20" s="531"/>
      <c r="O20" s="553"/>
      <c r="P20" s="531"/>
      <c r="Q20" s="553"/>
      <c r="R20" s="531"/>
      <c r="S20" s="512"/>
      <c r="T20" s="531"/>
      <c r="U20" s="553"/>
      <c r="V20" s="531"/>
      <c r="W20" s="512"/>
      <c r="X20" s="531"/>
      <c r="Y20" s="553"/>
      <c r="Z20" s="531"/>
      <c r="AA20" s="289"/>
      <c r="AB20" s="524"/>
      <c r="AC20" s="531">
        <v>3415.3</v>
      </c>
      <c r="AD20" s="264"/>
      <c r="AE20" s="524" t="s">
        <v>103</v>
      </c>
      <c r="AF20" s="531">
        <v>3156.4</v>
      </c>
      <c r="AG20" s="364"/>
      <c r="AH20" s="701"/>
      <c r="AI20" s="264">
        <f>ROUND(SUM(+AC20-AF20),1)</f>
        <v>258.89999999999998</v>
      </c>
      <c r="AJ20" s="63"/>
      <c r="AK20" s="266">
        <f t="shared" si="0"/>
        <v>8.2000000000000003E-2</v>
      </c>
      <c r="AL20" s="1783"/>
    </row>
    <row r="21" spans="1:38" s="1203" customFormat="1" ht="15" customHeight="1">
      <c r="A21" s="1194"/>
      <c r="B21" s="1195" t="s">
        <v>347</v>
      </c>
      <c r="C21" s="1196"/>
      <c r="D21" s="531">
        <v>-553.5</v>
      </c>
      <c r="E21" s="1102"/>
      <c r="F21" s="531">
        <v>-69.600000000000023</v>
      </c>
      <c r="G21" s="1102"/>
      <c r="H21" s="531">
        <v>-60.399999999999977</v>
      </c>
      <c r="I21" s="1196"/>
      <c r="J21" s="531">
        <f t="shared" si="1"/>
        <v>-53.5</v>
      </c>
      <c r="K21" s="1197"/>
      <c r="L21" s="531"/>
      <c r="M21" s="1197"/>
      <c r="N21" s="531"/>
      <c r="O21" s="1197"/>
      <c r="P21" s="531"/>
      <c r="Q21" s="1197"/>
      <c r="R21" s="531"/>
      <c r="S21" s="1102"/>
      <c r="T21" s="531"/>
      <c r="U21" s="1197"/>
      <c r="V21" s="531"/>
      <c r="W21" s="1102"/>
      <c r="X21" s="531"/>
      <c r="Y21" s="1197"/>
      <c r="Z21" s="531"/>
      <c r="AA21" s="1198"/>
      <c r="AB21" s="1199"/>
      <c r="AC21" s="1187">
        <v>-737</v>
      </c>
      <c r="AD21" s="1188"/>
      <c r="AE21" s="1199" t="s">
        <v>103</v>
      </c>
      <c r="AF21" s="1187">
        <v>-691.7</v>
      </c>
      <c r="AG21" s="1200"/>
      <c r="AH21" s="1201"/>
      <c r="AI21" s="1188">
        <f>-ROUND(SUM(+AC21-AF21),1)</f>
        <v>45.3</v>
      </c>
      <c r="AJ21" s="1202"/>
      <c r="AK21" s="1186">
        <f t="shared" si="0"/>
        <v>6.5000000000000002E-2</v>
      </c>
      <c r="AL21" s="1783"/>
    </row>
    <row r="22" spans="1:38" ht="15" customHeight="1">
      <c r="A22" s="35"/>
      <c r="B22" s="420" t="s">
        <v>348</v>
      </c>
      <c r="C22" s="291"/>
      <c r="D22" s="531">
        <v>253.6</v>
      </c>
      <c r="E22" s="512"/>
      <c r="F22" s="531">
        <v>148.29999999999998</v>
      </c>
      <c r="G22" s="512"/>
      <c r="H22" s="531">
        <v>163.00000000000003</v>
      </c>
      <c r="I22" s="291"/>
      <c r="J22" s="531">
        <f t="shared" si="1"/>
        <v>266.10000000000002</v>
      </c>
      <c r="K22" s="553"/>
      <c r="L22" s="531"/>
      <c r="M22" s="553"/>
      <c r="N22" s="531"/>
      <c r="O22" s="553"/>
      <c r="P22" s="531"/>
      <c r="Q22" s="553"/>
      <c r="R22" s="531"/>
      <c r="S22" s="512"/>
      <c r="T22" s="531"/>
      <c r="U22" s="553"/>
      <c r="V22" s="531"/>
      <c r="W22" s="512"/>
      <c r="X22" s="531"/>
      <c r="Y22" s="553"/>
      <c r="Z22" s="531"/>
      <c r="AA22" s="289"/>
      <c r="AB22" s="524"/>
      <c r="AC22" s="531">
        <v>831</v>
      </c>
      <c r="AD22" s="264"/>
      <c r="AE22" s="524" t="s">
        <v>103</v>
      </c>
      <c r="AF22" s="531">
        <v>701.7</v>
      </c>
      <c r="AG22" s="364"/>
      <c r="AH22" s="701"/>
      <c r="AI22" s="264">
        <f>ROUND(SUM(+AC22-AF22),1)</f>
        <v>129.30000000000001</v>
      </c>
      <c r="AJ22" s="63"/>
      <c r="AK22" s="266">
        <f t="shared" si="0"/>
        <v>0.184</v>
      </c>
      <c r="AL22" s="1783"/>
    </row>
    <row r="23" spans="1:38" ht="15" customHeight="1">
      <c r="A23" s="35"/>
      <c r="B23" s="285" t="s">
        <v>349</v>
      </c>
      <c r="C23" s="291"/>
      <c r="D23" s="672">
        <f>ROUND(SUM(D18:D22),1)</f>
        <v>15279.6</v>
      </c>
      <c r="E23" s="291"/>
      <c r="F23" s="672">
        <f>ROUND(SUM(F18:F22),1)</f>
        <v>4912.2</v>
      </c>
      <c r="G23" s="291"/>
      <c r="H23" s="672">
        <f>ROUND(SUM(H18:H22),1)</f>
        <v>7096.4</v>
      </c>
      <c r="I23" s="291"/>
      <c r="J23" s="672">
        <f>ROUND(SUM(J18:J22),1)</f>
        <v>5286.7</v>
      </c>
      <c r="K23" s="291"/>
      <c r="L23" s="672">
        <f>ROUND(SUM(L18:L22),1)</f>
        <v>0</v>
      </c>
      <c r="M23" s="291"/>
      <c r="N23" s="672">
        <f>ROUND(SUM(N18:N22),1)</f>
        <v>0</v>
      </c>
      <c r="O23" s="264"/>
      <c r="P23" s="672">
        <f>ROUND(SUM(P18:P22),1)</f>
        <v>0</v>
      </c>
      <c r="Q23" s="264"/>
      <c r="R23" s="672">
        <f>ROUND(SUM(R18:R22),1)</f>
        <v>0</v>
      </c>
      <c r="S23" s="13"/>
      <c r="T23" s="672">
        <f>ROUND(SUM(T18:T22),1)</f>
        <v>0</v>
      </c>
      <c r="U23" s="264"/>
      <c r="V23" s="672">
        <f>ROUND(SUM(V18:V22),1)</f>
        <v>0</v>
      </c>
      <c r="W23" s="264"/>
      <c r="X23" s="672">
        <f>ROUND(SUM(X18:X22),1)</f>
        <v>0</v>
      </c>
      <c r="Y23" s="264"/>
      <c r="Z23" s="672">
        <f>ROUND(SUM(Z18:Z22),1)</f>
        <v>0</v>
      </c>
      <c r="AA23" s="364"/>
      <c r="AB23" s="853"/>
      <c r="AC23" s="672">
        <f>ROUND(SUM(AC18:AC22),1)</f>
        <v>32574.9</v>
      </c>
      <c r="AD23" s="291"/>
      <c r="AE23" s="853" t="s">
        <v>103</v>
      </c>
      <c r="AF23" s="672">
        <f>ROUND(SUM(AF18:AF22),1)</f>
        <v>29843.599999999999</v>
      </c>
      <c r="AG23" s="364"/>
      <c r="AH23" s="701"/>
      <c r="AI23" s="672">
        <f>ROUND(SUM(AC23-AF23),1)</f>
        <v>2731.3</v>
      </c>
      <c r="AJ23" s="63"/>
      <c r="AK23" s="922">
        <f>ROUND(SUM(+AI23/AF23),3)</f>
        <v>9.1999999999999998E-2</v>
      </c>
      <c r="AL23" s="1783"/>
    </row>
    <row r="24" spans="1:38" ht="15" customHeight="1">
      <c r="A24" s="35"/>
      <c r="B24" s="420" t="s">
        <v>350</v>
      </c>
      <c r="C24" s="291"/>
      <c r="D24" s="531">
        <v>0</v>
      </c>
      <c r="E24" s="512"/>
      <c r="F24" s="531">
        <v>0</v>
      </c>
      <c r="G24" s="512"/>
      <c r="H24" s="531">
        <v>0</v>
      </c>
      <c r="I24" s="291"/>
      <c r="J24" s="531">
        <f>$AC24-H24-F24-D24</f>
        <v>0</v>
      </c>
      <c r="K24" s="553"/>
      <c r="L24" s="531"/>
      <c r="M24" s="553"/>
      <c r="N24" s="531"/>
      <c r="O24" s="553"/>
      <c r="P24" s="531"/>
      <c r="Q24" s="553"/>
      <c r="R24" s="531"/>
      <c r="S24" s="553"/>
      <c r="T24" s="531"/>
      <c r="U24" s="553"/>
      <c r="V24" s="531"/>
      <c r="W24" s="553"/>
      <c r="X24" s="531"/>
      <c r="Y24" s="553"/>
      <c r="Z24" s="531"/>
      <c r="AA24" s="289"/>
      <c r="AB24" s="524"/>
      <c r="AC24" s="1187">
        <v>0</v>
      </c>
      <c r="AD24" s="264"/>
      <c r="AE24" s="524" t="s">
        <v>103</v>
      </c>
      <c r="AF24" s="1187">
        <v>0</v>
      </c>
      <c r="AG24" s="364"/>
      <c r="AH24" s="701"/>
      <c r="AI24" s="264">
        <f>-ROUND(SUM(+AC24-AF24),1)</f>
        <v>0</v>
      </c>
      <c r="AJ24" s="63"/>
      <c r="AK24" s="266">
        <f>ROUND(IF(AF24=0,0,AI24/ABS(AF24)),3)</f>
        <v>0</v>
      </c>
      <c r="AL24" s="1783"/>
    </row>
    <row r="25" spans="1:38" ht="15" customHeight="1">
      <c r="A25" s="35"/>
      <c r="B25" s="420" t="s">
        <v>351</v>
      </c>
      <c r="C25" s="291"/>
      <c r="D25" s="531">
        <v>-5227.2</v>
      </c>
      <c r="E25" s="512"/>
      <c r="F25" s="531">
        <v>-2024.5</v>
      </c>
      <c r="G25" s="512"/>
      <c r="H25" s="531">
        <v>-3191.4000000000005</v>
      </c>
      <c r="I25" s="291"/>
      <c r="J25" s="531">
        <f t="shared" ref="J25:J26" si="2">$AC25-H25-F25-D25</f>
        <v>-2391.3999999999987</v>
      </c>
      <c r="K25" s="553"/>
      <c r="L25" s="531"/>
      <c r="M25" s="553"/>
      <c r="N25" s="531"/>
      <c r="O25" s="553"/>
      <c r="P25" s="531"/>
      <c r="Q25" s="553"/>
      <c r="R25" s="531"/>
      <c r="S25" s="553"/>
      <c r="T25" s="531"/>
      <c r="U25" s="553"/>
      <c r="V25" s="531"/>
      <c r="W25" s="553"/>
      <c r="X25" s="531"/>
      <c r="Y25" s="553"/>
      <c r="Z25" s="531"/>
      <c r="AA25" s="289"/>
      <c r="AB25" s="524"/>
      <c r="AC25" s="1187">
        <v>-12834.5</v>
      </c>
      <c r="AD25" s="264"/>
      <c r="AE25" s="524" t="s">
        <v>103</v>
      </c>
      <c r="AF25" s="1187">
        <v>-11852.9</v>
      </c>
      <c r="AG25" s="364"/>
      <c r="AH25" s="701"/>
      <c r="AI25" s="264">
        <f>-ROUND(SUM(+AC25-AF25),1)</f>
        <v>981.6</v>
      </c>
      <c r="AJ25" s="63"/>
      <c r="AK25" s="266">
        <f>ROUND(IF(AF25=0,0,AI25/ABS(AF25)),3)</f>
        <v>8.3000000000000004E-2</v>
      </c>
      <c r="AL25" s="1783"/>
    </row>
    <row r="26" spans="1:38" ht="15" customHeight="1">
      <c r="A26" s="35"/>
      <c r="B26" s="284" t="s">
        <v>352</v>
      </c>
      <c r="C26" s="291"/>
      <c r="D26" s="531">
        <v>-4825.2</v>
      </c>
      <c r="E26" s="512"/>
      <c r="F26" s="531">
        <v>-863.19999999999982</v>
      </c>
      <c r="G26" s="512"/>
      <c r="H26" s="531">
        <v>-713.60000000000036</v>
      </c>
      <c r="I26" s="291"/>
      <c r="J26" s="531">
        <f t="shared" si="2"/>
        <v>-503.89999999999964</v>
      </c>
      <c r="K26" s="553"/>
      <c r="L26" s="531"/>
      <c r="M26" s="553"/>
      <c r="N26" s="531"/>
      <c r="O26" s="553"/>
      <c r="P26" s="531"/>
      <c r="Q26" s="553"/>
      <c r="R26" s="531"/>
      <c r="S26" s="553"/>
      <c r="T26" s="531"/>
      <c r="U26" s="553"/>
      <c r="V26" s="531"/>
      <c r="W26" s="553"/>
      <c r="X26" s="531"/>
      <c r="Y26" s="553"/>
      <c r="Z26" s="531"/>
      <c r="AA26" s="289"/>
      <c r="AB26" s="524"/>
      <c r="AC26" s="1187">
        <v>-6905.9</v>
      </c>
      <c r="AD26" s="264"/>
      <c r="AE26" s="524" t="s">
        <v>103</v>
      </c>
      <c r="AF26" s="1187">
        <v>-6137.8</v>
      </c>
      <c r="AG26" s="364"/>
      <c r="AH26" s="701"/>
      <c r="AI26" s="264">
        <f>-ROUND(SUM(+AC26-AF26),1)</f>
        <v>768.1</v>
      </c>
      <c r="AJ26" s="63"/>
      <c r="AK26" s="266">
        <f>ROUND(IF(AF26=0,0,AI26/ABS(AF26)),3)</f>
        <v>0.125</v>
      </c>
      <c r="AL26" s="1783"/>
    </row>
    <row r="27" spans="1:38" ht="15" customHeight="1">
      <c r="A27" s="35"/>
      <c r="B27" s="83" t="s">
        <v>353</v>
      </c>
      <c r="C27" s="364"/>
      <c r="D27" s="672">
        <f>ROUND(SUM(D23:D26),1)</f>
        <v>5227.2</v>
      </c>
      <c r="E27" s="264"/>
      <c r="F27" s="672">
        <f>ROUND(SUM(F23:F26),1)</f>
        <v>2024.5</v>
      </c>
      <c r="G27" s="264"/>
      <c r="H27" s="672">
        <f>ROUND(SUM(H23:H26),1)</f>
        <v>3191.4</v>
      </c>
      <c r="I27" s="264"/>
      <c r="J27" s="672">
        <f>ROUND(SUM(J23:J26),1)</f>
        <v>2391.4</v>
      </c>
      <c r="K27" s="264"/>
      <c r="L27" s="672">
        <f>ROUND(SUM(L23:L26),1)</f>
        <v>0</v>
      </c>
      <c r="M27" s="264"/>
      <c r="N27" s="672">
        <f>ROUND(SUM(N23:N26),1)</f>
        <v>0</v>
      </c>
      <c r="O27" s="264"/>
      <c r="P27" s="672">
        <f>ROUND(SUM(P23:P26),1)</f>
        <v>0</v>
      </c>
      <c r="Q27" s="264"/>
      <c r="R27" s="672">
        <f>ROUND(SUM(R23:R26),1)</f>
        <v>0</v>
      </c>
      <c r="S27" s="13"/>
      <c r="T27" s="672">
        <f>ROUND(SUM(T23:T26),1)</f>
        <v>0</v>
      </c>
      <c r="U27" s="264"/>
      <c r="V27" s="672">
        <f>ROUND(SUM(V23:V26),1)</f>
        <v>0</v>
      </c>
      <c r="W27" s="264"/>
      <c r="X27" s="672">
        <f>ROUND(SUM(X23:X26),1)</f>
        <v>0</v>
      </c>
      <c r="Y27" s="264"/>
      <c r="Z27" s="672">
        <f>ROUND(SUM(Z23:Z26),1)</f>
        <v>0</v>
      </c>
      <c r="AA27" s="268"/>
      <c r="AB27" s="853"/>
      <c r="AC27" s="672">
        <f>ROUND(SUM(AC23:AC26),1)</f>
        <v>12834.5</v>
      </c>
      <c r="AD27" s="264"/>
      <c r="AE27" s="523" t="s">
        <v>103</v>
      </c>
      <c r="AF27" s="672">
        <f>ROUND(SUM(AF23:AF26),1)</f>
        <v>11852.9</v>
      </c>
      <c r="AG27" s="264"/>
      <c r="AH27" s="705"/>
      <c r="AI27" s="672">
        <f>ROUND(SUM(AI23-AI24-AI25-AI26),1)</f>
        <v>981.6</v>
      </c>
      <c r="AJ27" s="264"/>
      <c r="AK27" s="922">
        <f>ROUND(SUM(+AI27/AF27),3)</f>
        <v>8.3000000000000004E-2</v>
      </c>
      <c r="AL27" s="1783"/>
    </row>
    <row r="28" spans="1:38" ht="15" customHeight="1">
      <c r="A28" s="35"/>
      <c r="B28" s="412" t="s">
        <v>354</v>
      </c>
      <c r="C28" s="364"/>
      <c r="D28" s="13"/>
      <c r="E28" s="264"/>
      <c r="F28" s="13"/>
      <c r="G28" s="264"/>
      <c r="H28" s="13"/>
      <c r="I28" s="264"/>
      <c r="J28" s="13"/>
      <c r="K28" s="264"/>
      <c r="L28" s="13"/>
      <c r="M28" s="264"/>
      <c r="N28" s="13"/>
      <c r="O28" s="264"/>
      <c r="P28" s="13"/>
      <c r="Q28" s="264"/>
      <c r="R28" s="13"/>
      <c r="S28" s="264"/>
      <c r="T28" s="13"/>
      <c r="U28" s="264"/>
      <c r="V28" s="13"/>
      <c r="W28" s="264"/>
      <c r="X28" s="13"/>
      <c r="Y28" s="264"/>
      <c r="Z28" s="13"/>
      <c r="AA28" s="268"/>
      <c r="AB28" s="853"/>
      <c r="AC28" s="13"/>
      <c r="AD28" s="264"/>
      <c r="AE28" s="523" t="s">
        <v>103</v>
      </c>
      <c r="AF28" s="13"/>
      <c r="AG28" s="264"/>
      <c r="AH28" s="705"/>
      <c r="AI28" s="13"/>
      <c r="AJ28" s="264"/>
      <c r="AK28" s="74"/>
      <c r="AL28" s="1783"/>
    </row>
    <row r="29" spans="1:38" ht="15" customHeight="1">
      <c r="A29" s="35"/>
      <c r="B29" s="284" t="s">
        <v>355</v>
      </c>
      <c r="C29" s="364"/>
      <c r="D29" s="531">
        <v>803.8</v>
      </c>
      <c r="E29" s="512"/>
      <c r="F29" s="531">
        <v>812.60000000000014</v>
      </c>
      <c r="G29" s="512"/>
      <c r="H29" s="531">
        <v>1018.0999999999999</v>
      </c>
      <c r="I29" s="264"/>
      <c r="J29" s="531">
        <f>$AC29-H29-F29-D29</f>
        <v>896.30000000000018</v>
      </c>
      <c r="K29" s="553"/>
      <c r="L29" s="531"/>
      <c r="M29" s="553"/>
      <c r="N29" s="531"/>
      <c r="O29" s="553"/>
      <c r="P29" s="531"/>
      <c r="Q29" s="553"/>
      <c r="R29" s="531"/>
      <c r="S29" s="553"/>
      <c r="T29" s="531"/>
      <c r="U29" s="553"/>
      <c r="V29" s="531"/>
      <c r="W29" s="553"/>
      <c r="X29" s="531"/>
      <c r="Y29" s="553"/>
      <c r="Z29" s="531"/>
      <c r="AA29" s="289"/>
      <c r="AB29" s="524"/>
      <c r="AC29" s="1187">
        <v>3530.8</v>
      </c>
      <c r="AD29" s="264"/>
      <c r="AE29" s="524" t="s">
        <v>103</v>
      </c>
      <c r="AF29" s="1187">
        <v>3228.7</v>
      </c>
      <c r="AG29" s="264"/>
      <c r="AH29" s="705"/>
      <c r="AI29" s="264">
        <f t="shared" ref="AI29:AI35" si="3">ROUND(SUM(+AC29-AF29),1)</f>
        <v>302.10000000000002</v>
      </c>
      <c r="AJ29" s="264"/>
      <c r="AK29" s="266">
        <f t="shared" ref="AK29:AK37" si="4">ROUND(IF(AF29=0,0,AI29/ABS(AF29)),3)</f>
        <v>9.4E-2</v>
      </c>
      <c r="AL29" s="1783"/>
    </row>
    <row r="30" spans="1:38" ht="15" customHeight="1">
      <c r="A30" s="35"/>
      <c r="B30" s="284" t="s">
        <v>356</v>
      </c>
      <c r="C30" s="364"/>
      <c r="D30" s="531">
        <v>0</v>
      </c>
      <c r="E30" s="512"/>
      <c r="F30" s="531">
        <v>0</v>
      </c>
      <c r="G30" s="512"/>
      <c r="H30" s="531">
        <v>0</v>
      </c>
      <c r="I30" s="264"/>
      <c r="J30" s="531">
        <f t="shared" ref="J30:J37" si="5">$AC30-H30-F30-D30</f>
        <v>0</v>
      </c>
      <c r="K30" s="553"/>
      <c r="L30" s="531"/>
      <c r="M30" s="553"/>
      <c r="N30" s="531"/>
      <c r="O30" s="553"/>
      <c r="P30" s="531"/>
      <c r="Q30" s="553"/>
      <c r="R30" s="531"/>
      <c r="S30" s="553"/>
      <c r="T30" s="531"/>
      <c r="U30" s="553"/>
      <c r="V30" s="531"/>
      <c r="W30" s="553"/>
      <c r="X30" s="531"/>
      <c r="Y30" s="553"/>
      <c r="Z30" s="531"/>
      <c r="AA30" s="289"/>
      <c r="AB30" s="524"/>
      <c r="AC30" s="531">
        <v>0</v>
      </c>
      <c r="AD30" s="264"/>
      <c r="AE30" s="524" t="s">
        <v>103</v>
      </c>
      <c r="AF30" s="531">
        <v>0</v>
      </c>
      <c r="AG30" s="264"/>
      <c r="AH30" s="705"/>
      <c r="AI30" s="264">
        <f t="shared" si="3"/>
        <v>0</v>
      </c>
      <c r="AJ30" s="264"/>
      <c r="AK30" s="266">
        <f t="shared" si="4"/>
        <v>0</v>
      </c>
      <c r="AL30" s="1783"/>
    </row>
    <row r="31" spans="1:38" ht="15" customHeight="1">
      <c r="A31" s="35"/>
      <c r="B31" s="284" t="s">
        <v>357</v>
      </c>
      <c r="C31" s="364"/>
      <c r="D31" s="531">
        <v>22.99</v>
      </c>
      <c r="E31" s="512"/>
      <c r="F31" s="531">
        <v>15.610000000000003</v>
      </c>
      <c r="G31" s="512"/>
      <c r="H31" s="531">
        <v>21.799999999999994</v>
      </c>
      <c r="I31" s="264"/>
      <c r="J31" s="531">
        <f t="shared" si="5"/>
        <v>19.200000000000014</v>
      </c>
      <c r="K31" s="553"/>
      <c r="L31" s="531"/>
      <c r="M31" s="553"/>
      <c r="N31" s="531"/>
      <c r="O31" s="553"/>
      <c r="P31" s="531"/>
      <c r="Q31" s="553"/>
      <c r="R31" s="531"/>
      <c r="S31" s="553"/>
      <c r="T31" s="531"/>
      <c r="U31" s="553"/>
      <c r="V31" s="531"/>
      <c r="W31" s="553"/>
      <c r="X31" s="531"/>
      <c r="Y31" s="553"/>
      <c r="Z31" s="531"/>
      <c r="AA31" s="289"/>
      <c r="AB31" s="524"/>
      <c r="AC31" s="531">
        <v>79.600000000000009</v>
      </c>
      <c r="AD31" s="264"/>
      <c r="AE31" s="524" t="s">
        <v>103</v>
      </c>
      <c r="AF31" s="531">
        <v>84.8</v>
      </c>
      <c r="AG31" s="264"/>
      <c r="AH31" s="705"/>
      <c r="AI31" s="264">
        <f t="shared" si="3"/>
        <v>-5.2</v>
      </c>
      <c r="AJ31" s="264"/>
      <c r="AK31" s="266">
        <f t="shared" si="4"/>
        <v>-6.0999999999999999E-2</v>
      </c>
      <c r="AL31" s="1783"/>
    </row>
    <row r="32" spans="1:38" ht="15" customHeight="1">
      <c r="A32" s="35"/>
      <c r="B32" s="284" t="s">
        <v>359</v>
      </c>
      <c r="C32" s="364"/>
      <c r="D32" s="531">
        <v>0</v>
      </c>
      <c r="E32" s="512"/>
      <c r="F32" s="531">
        <v>0</v>
      </c>
      <c r="G32" s="512"/>
      <c r="H32" s="531">
        <v>0</v>
      </c>
      <c r="I32" s="264"/>
      <c r="J32" s="531">
        <f t="shared" si="5"/>
        <v>0</v>
      </c>
      <c r="K32" s="553"/>
      <c r="L32" s="531"/>
      <c r="M32" s="553"/>
      <c r="N32" s="531"/>
      <c r="O32" s="553"/>
      <c r="P32" s="531"/>
      <c r="Q32" s="553"/>
      <c r="R32" s="531"/>
      <c r="S32" s="553"/>
      <c r="T32" s="531"/>
      <c r="U32" s="553"/>
      <c r="V32" s="531"/>
      <c r="W32" s="553"/>
      <c r="X32" s="531"/>
      <c r="Y32" s="553"/>
      <c r="Z32" s="531"/>
      <c r="AA32" s="289"/>
      <c r="AB32" s="524"/>
      <c r="AC32" s="531">
        <v>0</v>
      </c>
      <c r="AD32" s="264"/>
      <c r="AE32" s="524" t="s">
        <v>103</v>
      </c>
      <c r="AF32" s="531">
        <v>0</v>
      </c>
      <c r="AG32" s="264"/>
      <c r="AH32" s="705"/>
      <c r="AI32" s="264">
        <f t="shared" si="3"/>
        <v>0</v>
      </c>
      <c r="AJ32" s="264"/>
      <c r="AK32" s="266">
        <f>ROUND(IF(AF32=0,0,AI32/ABS(AF32)),3)</f>
        <v>0</v>
      </c>
      <c r="AL32" s="1783"/>
    </row>
    <row r="33" spans="1:38" ht="15" customHeight="1">
      <c r="A33" s="35"/>
      <c r="B33" s="421" t="s">
        <v>360</v>
      </c>
      <c r="C33" s="364"/>
      <c r="D33" s="531">
        <v>-0.4</v>
      </c>
      <c r="E33" s="512"/>
      <c r="F33" s="531">
        <v>0</v>
      </c>
      <c r="G33" s="512"/>
      <c r="H33" s="531">
        <v>0.10000000000000003</v>
      </c>
      <c r="I33" s="264"/>
      <c r="J33" s="531">
        <f t="shared" si="5"/>
        <v>0</v>
      </c>
      <c r="K33" s="553"/>
      <c r="L33" s="531"/>
      <c r="M33" s="553"/>
      <c r="N33" s="531"/>
      <c r="O33" s="553"/>
      <c r="P33" s="531"/>
      <c r="Q33" s="553"/>
      <c r="R33" s="531"/>
      <c r="S33" s="553"/>
      <c r="T33" s="531"/>
      <c r="U33" s="553"/>
      <c r="V33" s="531"/>
      <c r="W33" s="553"/>
      <c r="X33" s="531"/>
      <c r="Y33" s="553"/>
      <c r="Z33" s="531"/>
      <c r="AA33" s="289"/>
      <c r="AB33" s="524"/>
      <c r="AC33" s="531">
        <v>-0.3</v>
      </c>
      <c r="AD33" s="264"/>
      <c r="AE33" s="524" t="s">
        <v>103</v>
      </c>
      <c r="AF33" s="531">
        <v>0.4</v>
      </c>
      <c r="AG33" s="264"/>
      <c r="AH33" s="705"/>
      <c r="AI33" s="264">
        <f t="shared" ref="AI33" si="6">ROUND(SUM(+AC33-AF33),1)</f>
        <v>-0.7</v>
      </c>
      <c r="AJ33" s="264"/>
      <c r="AK33" s="542">
        <f>ROUND(IF(AF33=0,1,AI33/ABS(AF33)),3)</f>
        <v>-1.75</v>
      </c>
      <c r="AL33" s="1783"/>
    </row>
    <row r="34" spans="1:38" ht="15" customHeight="1">
      <c r="A34" s="35"/>
      <c r="B34" s="284" t="s">
        <v>361</v>
      </c>
      <c r="C34" s="364"/>
      <c r="D34" s="531">
        <v>22.1</v>
      </c>
      <c r="E34" s="512"/>
      <c r="F34" s="531">
        <v>22.1</v>
      </c>
      <c r="G34" s="512"/>
      <c r="H34" s="531">
        <v>23.700000000000003</v>
      </c>
      <c r="I34" s="264"/>
      <c r="J34" s="531">
        <f t="shared" si="5"/>
        <v>30.199999999999989</v>
      </c>
      <c r="K34" s="553"/>
      <c r="L34" s="531"/>
      <c r="M34" s="553"/>
      <c r="N34" s="531"/>
      <c r="O34" s="553"/>
      <c r="P34" s="531"/>
      <c r="Q34" s="553"/>
      <c r="R34" s="531"/>
      <c r="S34" s="553"/>
      <c r="T34" s="531"/>
      <c r="U34" s="553"/>
      <c r="V34" s="531"/>
      <c r="W34" s="553"/>
      <c r="X34" s="531"/>
      <c r="Y34" s="553"/>
      <c r="Z34" s="531"/>
      <c r="AA34" s="289"/>
      <c r="AB34" s="524"/>
      <c r="AC34" s="531">
        <v>98.1</v>
      </c>
      <c r="AD34" s="264"/>
      <c r="AE34" s="524" t="s">
        <v>103</v>
      </c>
      <c r="AF34" s="531">
        <v>91.8</v>
      </c>
      <c r="AG34" s="264"/>
      <c r="AH34" s="705"/>
      <c r="AI34" s="264">
        <f t="shared" si="3"/>
        <v>6.3</v>
      </c>
      <c r="AJ34" s="264"/>
      <c r="AK34" s="266">
        <f t="shared" si="4"/>
        <v>6.9000000000000006E-2</v>
      </c>
      <c r="AL34" s="1783"/>
    </row>
    <row r="35" spans="1:38" ht="15" customHeight="1">
      <c r="A35" s="35"/>
      <c r="B35" s="284" t="s">
        <v>362</v>
      </c>
      <c r="C35" s="364"/>
      <c r="D35" s="531">
        <v>0</v>
      </c>
      <c r="E35" s="512"/>
      <c r="F35" s="531">
        <v>0</v>
      </c>
      <c r="G35" s="512"/>
      <c r="H35" s="531">
        <v>0</v>
      </c>
      <c r="I35" s="264"/>
      <c r="J35" s="531">
        <f t="shared" si="5"/>
        <v>0</v>
      </c>
      <c r="K35" s="553"/>
      <c r="L35" s="531"/>
      <c r="M35" s="553"/>
      <c r="N35" s="531"/>
      <c r="O35" s="553"/>
      <c r="P35" s="531"/>
      <c r="Q35" s="553"/>
      <c r="R35" s="531"/>
      <c r="S35" s="553"/>
      <c r="T35" s="531"/>
      <c r="U35" s="553"/>
      <c r="V35" s="531"/>
      <c r="W35" s="553"/>
      <c r="X35" s="531"/>
      <c r="Y35" s="553"/>
      <c r="Z35" s="531"/>
      <c r="AA35" s="289"/>
      <c r="AB35" s="524"/>
      <c r="AC35" s="531">
        <v>0</v>
      </c>
      <c r="AD35" s="264"/>
      <c r="AE35" s="524" t="s">
        <v>103</v>
      </c>
      <c r="AF35" s="531">
        <v>0</v>
      </c>
      <c r="AG35" s="264"/>
      <c r="AH35" s="705"/>
      <c r="AI35" s="264">
        <f t="shared" si="3"/>
        <v>0</v>
      </c>
      <c r="AJ35" s="264"/>
      <c r="AK35" s="266">
        <f t="shared" si="4"/>
        <v>0</v>
      </c>
      <c r="AL35" s="1783"/>
    </row>
    <row r="36" spans="1:38" ht="15" customHeight="1">
      <c r="A36" s="35"/>
      <c r="B36" s="284" t="s">
        <v>437</v>
      </c>
      <c r="C36" s="364"/>
      <c r="D36" s="531">
        <v>0</v>
      </c>
      <c r="E36" s="512"/>
      <c r="F36" s="531">
        <v>0</v>
      </c>
      <c r="G36" s="512"/>
      <c r="H36" s="531">
        <v>0</v>
      </c>
      <c r="I36" s="264"/>
      <c r="J36" s="531">
        <f t="shared" si="5"/>
        <v>0</v>
      </c>
      <c r="K36" s="553"/>
      <c r="L36" s="531"/>
      <c r="M36" s="553"/>
      <c r="N36" s="531"/>
      <c r="O36" s="553"/>
      <c r="P36" s="531"/>
      <c r="Q36" s="553"/>
      <c r="R36" s="531"/>
      <c r="S36" s="553"/>
      <c r="T36" s="531"/>
      <c r="U36" s="553"/>
      <c r="V36" s="531"/>
      <c r="W36" s="553"/>
      <c r="X36" s="531"/>
      <c r="Y36" s="553"/>
      <c r="Z36" s="531"/>
      <c r="AA36" s="289"/>
      <c r="AB36" s="524"/>
      <c r="AC36" s="531">
        <v>0</v>
      </c>
      <c r="AD36" s="264"/>
      <c r="AE36" s="524" t="s">
        <v>103</v>
      </c>
      <c r="AF36" s="531">
        <v>0</v>
      </c>
      <c r="AG36" s="264"/>
      <c r="AH36" s="705"/>
      <c r="AI36" s="264">
        <f>ROUND(SUM(+AC36-AF36),1)</f>
        <v>0</v>
      </c>
      <c r="AJ36" s="264"/>
      <c r="AK36" s="266">
        <f>ROUND(IF(AF36=0,0,AI36/ABS(AF36)),3)</f>
        <v>0</v>
      </c>
      <c r="AL36" s="1783"/>
    </row>
    <row r="37" spans="1:38" ht="15" customHeight="1">
      <c r="A37" s="35"/>
      <c r="B37" s="284" t="s">
        <v>364</v>
      </c>
      <c r="C37" s="364"/>
      <c r="D37" s="531">
        <v>4.5999999999999996</v>
      </c>
      <c r="E37" s="512"/>
      <c r="F37" s="531">
        <v>0</v>
      </c>
      <c r="G37" s="512"/>
      <c r="H37" s="531">
        <v>0</v>
      </c>
      <c r="I37" s="264"/>
      <c r="J37" s="531">
        <f t="shared" si="5"/>
        <v>4.7000000000000011</v>
      </c>
      <c r="K37" s="553"/>
      <c r="L37" s="531"/>
      <c r="M37" s="553"/>
      <c r="N37" s="531"/>
      <c r="O37" s="553"/>
      <c r="P37" s="531"/>
      <c r="Q37" s="553"/>
      <c r="R37" s="531"/>
      <c r="S37" s="553"/>
      <c r="T37" s="531"/>
      <c r="U37" s="553"/>
      <c r="V37" s="531"/>
      <c r="W37" s="553"/>
      <c r="X37" s="531"/>
      <c r="Y37" s="553"/>
      <c r="Z37" s="531"/>
      <c r="AA37" s="289"/>
      <c r="AB37" s="524"/>
      <c r="AC37" s="531">
        <v>9.3000000000000007</v>
      </c>
      <c r="AD37" s="264"/>
      <c r="AE37" s="524" t="s">
        <v>103</v>
      </c>
      <c r="AF37" s="531">
        <v>12.1</v>
      </c>
      <c r="AG37" s="264"/>
      <c r="AH37" s="705"/>
      <c r="AI37" s="264">
        <f t="shared" ref="AI37" si="7">ROUND(SUM(+AC37-AF37),1)</f>
        <v>-2.8</v>
      </c>
      <c r="AJ37" s="264"/>
      <c r="AK37" s="266">
        <f t="shared" si="4"/>
        <v>-0.23100000000000001</v>
      </c>
      <c r="AL37" s="1783"/>
    </row>
    <row r="38" spans="1:38" s="59" customFormat="1" ht="15" customHeight="1">
      <c r="A38" s="417"/>
      <c r="B38" s="83" t="s">
        <v>365</v>
      </c>
      <c r="C38" s="57"/>
      <c r="D38" s="672">
        <f>ROUND(SUM(D29:D37),1)</f>
        <v>853.1</v>
      </c>
      <c r="E38" s="13"/>
      <c r="F38" s="672">
        <f>ROUND(SUM(F29:F37),1)</f>
        <v>850.3</v>
      </c>
      <c r="G38" s="13"/>
      <c r="H38" s="672">
        <f>ROUND(SUM(H29:H37),1)</f>
        <v>1063.7</v>
      </c>
      <c r="I38" s="13"/>
      <c r="J38" s="672">
        <f>ROUND(SUM(J29:J37),1)</f>
        <v>950.4</v>
      </c>
      <c r="K38" s="13"/>
      <c r="L38" s="672">
        <f>ROUND(SUM(L29:L37),1)</f>
        <v>0</v>
      </c>
      <c r="M38" s="13"/>
      <c r="N38" s="672">
        <f>ROUND(SUM(N29:N37),1)</f>
        <v>0</v>
      </c>
      <c r="O38" s="13"/>
      <c r="P38" s="672">
        <f>ROUND(SUM(P29:P37),1)</f>
        <v>0</v>
      </c>
      <c r="Q38" s="13"/>
      <c r="R38" s="672">
        <f>ROUND(SUM(R29:R37),1)</f>
        <v>0</v>
      </c>
      <c r="S38" s="13"/>
      <c r="T38" s="672">
        <f>ROUND(SUM(T29:T37),1)</f>
        <v>0</v>
      </c>
      <c r="U38" s="13"/>
      <c r="V38" s="672">
        <f>ROUND(SUM(V29:V37),1)</f>
        <v>0</v>
      </c>
      <c r="W38" s="13"/>
      <c r="X38" s="672">
        <f>ROUND(SUM(X29:X37),1)</f>
        <v>0</v>
      </c>
      <c r="Y38" s="13"/>
      <c r="Z38" s="672">
        <f>ROUND(SUM(Z29:Z37),1)</f>
        <v>0</v>
      </c>
      <c r="AA38" s="40"/>
      <c r="AB38" s="69"/>
      <c r="AC38" s="672">
        <f>ROUND(SUM(AC29:AC37),1)</f>
        <v>3717.5</v>
      </c>
      <c r="AD38" s="13"/>
      <c r="AE38" s="14"/>
      <c r="AF38" s="672">
        <f>ROUND(SUM(AF29:AF37),1)</f>
        <v>3417.8</v>
      </c>
      <c r="AG38" s="13"/>
      <c r="AH38" s="706"/>
      <c r="AI38" s="672">
        <f>ROUND(SUM(AI29:AI37),1)</f>
        <v>299.7</v>
      </c>
      <c r="AJ38" s="13"/>
      <c r="AK38" s="922">
        <f>ROUND(SUM(+AI38/AF38),3)</f>
        <v>8.7999999999999995E-2</v>
      </c>
      <c r="AL38" s="1783"/>
    </row>
    <row r="39" spans="1:38" s="59" customFormat="1" ht="15" customHeight="1">
      <c r="A39" s="417"/>
      <c r="B39" s="412" t="s">
        <v>366</v>
      </c>
      <c r="C39" s="57"/>
      <c r="D39" s="13"/>
      <c r="E39" s="13"/>
      <c r="F39" s="13"/>
      <c r="G39" s="13"/>
      <c r="H39" s="13"/>
      <c r="I39" s="13"/>
      <c r="J39" s="264"/>
      <c r="K39" s="13"/>
      <c r="L39" s="13"/>
      <c r="M39" s="13"/>
      <c r="N39" s="13"/>
      <c r="O39" s="13"/>
      <c r="P39" s="13"/>
      <c r="Q39" s="13"/>
      <c r="R39" s="13"/>
      <c r="S39" s="13"/>
      <c r="T39" s="13"/>
      <c r="U39" s="13"/>
      <c r="V39" s="13"/>
      <c r="W39" s="13"/>
      <c r="X39" s="13"/>
      <c r="Y39" s="13"/>
      <c r="Z39" s="13"/>
      <c r="AA39" s="40"/>
      <c r="AB39" s="69"/>
      <c r="AC39" s="13"/>
      <c r="AD39" s="13"/>
      <c r="AE39" s="14" t="s">
        <v>103</v>
      </c>
      <c r="AF39" s="13"/>
      <c r="AG39" s="13"/>
      <c r="AH39" s="706"/>
      <c r="AI39" s="13"/>
      <c r="AJ39" s="13"/>
      <c r="AK39" s="74"/>
      <c r="AL39" s="1783"/>
    </row>
    <row r="40" spans="1:38" s="59" customFormat="1" ht="15" customHeight="1">
      <c r="A40" s="417"/>
      <c r="B40" s="284" t="s">
        <v>367</v>
      </c>
      <c r="C40" s="57"/>
      <c r="D40" s="531">
        <v>755.1</v>
      </c>
      <c r="E40" s="512"/>
      <c r="F40" s="531">
        <v>73.600000000000023</v>
      </c>
      <c r="G40" s="512"/>
      <c r="H40" s="531">
        <v>1844.6000000000004</v>
      </c>
      <c r="I40" s="13"/>
      <c r="J40" s="531">
        <f>$AC40-H40-F40-D40</f>
        <v>118.89999999999941</v>
      </c>
      <c r="K40" s="553"/>
      <c r="L40" s="531"/>
      <c r="M40" s="553"/>
      <c r="N40" s="531"/>
      <c r="O40" s="553"/>
      <c r="P40" s="531"/>
      <c r="Q40" s="553"/>
      <c r="R40" s="531"/>
      <c r="S40" s="553"/>
      <c r="T40" s="531"/>
      <c r="U40" s="553"/>
      <c r="V40" s="531"/>
      <c r="W40" s="553"/>
      <c r="X40" s="531"/>
      <c r="Y40" s="553"/>
      <c r="Z40" s="531"/>
      <c r="AA40" s="289"/>
      <c r="AB40" s="524"/>
      <c r="AC40" s="531">
        <v>2792.2</v>
      </c>
      <c r="AD40" s="264"/>
      <c r="AE40" s="524" t="s">
        <v>103</v>
      </c>
      <c r="AF40" s="531">
        <v>2162.9</v>
      </c>
      <c r="AG40" s="13"/>
      <c r="AH40" s="706"/>
      <c r="AI40" s="264">
        <f t="shared" ref="AI40:AI45" si="8">ROUND(SUM(+AC40-AF40),1)</f>
        <v>629.29999999999995</v>
      </c>
      <c r="AJ40" s="13"/>
      <c r="AK40" s="266">
        <f t="shared" ref="AK40:AK42" si="9">ROUND(IF(AF40=0,0,AI40/ABS(AF40)),3)</f>
        <v>0.29099999999999998</v>
      </c>
      <c r="AL40" s="1783"/>
    </row>
    <row r="41" spans="1:38" s="59" customFormat="1" ht="15" customHeight="1">
      <c r="A41" s="417"/>
      <c r="B41" s="284" t="s">
        <v>368</v>
      </c>
      <c r="C41" s="57"/>
      <c r="D41" s="531">
        <v>27.8</v>
      </c>
      <c r="E41" s="512"/>
      <c r="F41" s="531">
        <v>-0.5</v>
      </c>
      <c r="G41" s="512"/>
      <c r="H41" s="531">
        <v>102.90000000000002</v>
      </c>
      <c r="I41" s="13"/>
      <c r="J41" s="531">
        <f t="shared" ref="J41:J45" si="10">$AC41-H41-F41-D41</f>
        <v>0</v>
      </c>
      <c r="K41" s="553"/>
      <c r="L41" s="531"/>
      <c r="M41" s="553"/>
      <c r="N41" s="531"/>
      <c r="O41" s="553"/>
      <c r="P41" s="531"/>
      <c r="Q41" s="553"/>
      <c r="R41" s="531"/>
      <c r="S41" s="553"/>
      <c r="T41" s="531"/>
      <c r="U41" s="553"/>
      <c r="V41" s="531"/>
      <c r="W41" s="553"/>
      <c r="X41" s="531"/>
      <c r="Y41" s="553"/>
      <c r="Z41" s="531"/>
      <c r="AA41" s="289"/>
      <c r="AB41" s="524"/>
      <c r="AC41" s="531">
        <v>130.20000000000002</v>
      </c>
      <c r="AD41" s="264"/>
      <c r="AE41" s="524" t="s">
        <v>103</v>
      </c>
      <c r="AF41" s="531">
        <v>87.3</v>
      </c>
      <c r="AG41" s="13"/>
      <c r="AH41" s="706"/>
      <c r="AI41" s="264">
        <f t="shared" si="8"/>
        <v>42.9</v>
      </c>
      <c r="AJ41" s="13"/>
      <c r="AK41" s="542">
        <f t="shared" si="9"/>
        <v>0.49099999999999999</v>
      </c>
      <c r="AL41" s="1783"/>
    </row>
    <row r="42" spans="1:38" s="59" customFormat="1" ht="15" customHeight="1">
      <c r="A42" s="417"/>
      <c r="B42" s="284" t="s">
        <v>369</v>
      </c>
      <c r="C42" s="57"/>
      <c r="D42" s="531">
        <v>81.8</v>
      </c>
      <c r="E42" s="512"/>
      <c r="F42" s="531">
        <v>37.5</v>
      </c>
      <c r="G42" s="512"/>
      <c r="H42" s="531">
        <v>410.3</v>
      </c>
      <c r="I42" s="13"/>
      <c r="J42" s="531">
        <f t="shared" si="10"/>
        <v>0.10000000000003695</v>
      </c>
      <c r="K42" s="553"/>
      <c r="L42" s="531"/>
      <c r="M42" s="553"/>
      <c r="N42" s="531"/>
      <c r="O42" s="553"/>
      <c r="P42" s="531"/>
      <c r="Q42" s="553"/>
      <c r="R42" s="531"/>
      <c r="S42" s="553"/>
      <c r="T42" s="531"/>
      <c r="U42" s="553"/>
      <c r="V42" s="531"/>
      <c r="W42" s="553"/>
      <c r="X42" s="531"/>
      <c r="Y42" s="553"/>
      <c r="Z42" s="531"/>
      <c r="AA42" s="289"/>
      <c r="AB42" s="524"/>
      <c r="AC42" s="531">
        <v>529.70000000000005</v>
      </c>
      <c r="AD42" s="264"/>
      <c r="AE42" s="524" t="s">
        <v>103</v>
      </c>
      <c r="AF42" s="531">
        <v>507.1</v>
      </c>
      <c r="AG42" s="13"/>
      <c r="AH42" s="706"/>
      <c r="AI42" s="264">
        <f t="shared" si="8"/>
        <v>22.6</v>
      </c>
      <c r="AJ42" s="13"/>
      <c r="AK42" s="266">
        <f t="shared" si="9"/>
        <v>4.4999999999999998E-2</v>
      </c>
      <c r="AL42" s="1783"/>
    </row>
    <row r="43" spans="1:38" s="59" customFormat="1" ht="15" customHeight="1">
      <c r="A43" s="417"/>
      <c r="B43" s="284" t="s">
        <v>370</v>
      </c>
      <c r="C43" s="57"/>
      <c r="D43" s="531">
        <v>22.7</v>
      </c>
      <c r="E43" s="512"/>
      <c r="F43" s="531">
        <v>0</v>
      </c>
      <c r="G43" s="512"/>
      <c r="H43" s="531">
        <v>0</v>
      </c>
      <c r="I43" s="13"/>
      <c r="J43" s="531">
        <f t="shared" si="10"/>
        <v>0</v>
      </c>
      <c r="K43" s="553"/>
      <c r="L43" s="531"/>
      <c r="M43" s="553"/>
      <c r="N43" s="531"/>
      <c r="O43" s="553"/>
      <c r="P43" s="531"/>
      <c r="Q43" s="553"/>
      <c r="R43" s="531"/>
      <c r="S43" s="553"/>
      <c r="T43" s="531"/>
      <c r="U43" s="553"/>
      <c r="V43" s="531"/>
      <c r="W43" s="553"/>
      <c r="X43" s="531"/>
      <c r="Y43" s="553"/>
      <c r="Z43" s="531"/>
      <c r="AA43" s="289"/>
      <c r="AB43" s="524"/>
      <c r="AC43" s="531">
        <v>22.7</v>
      </c>
      <c r="AD43" s="264"/>
      <c r="AE43" s="524" t="s">
        <v>103</v>
      </c>
      <c r="AF43" s="531">
        <v>-12.8</v>
      </c>
      <c r="AG43" s="13"/>
      <c r="AH43" s="706"/>
      <c r="AI43" s="264">
        <f t="shared" si="8"/>
        <v>35.5</v>
      </c>
      <c r="AJ43" s="13"/>
      <c r="AK43" s="266">
        <f>ROUND(IF(AF43=0,0,AI43/ABS(AF43)),3)</f>
        <v>2.7730000000000001</v>
      </c>
      <c r="AL43" s="1783"/>
    </row>
    <row r="44" spans="1:38" s="59" customFormat="1" ht="15" customHeight="1">
      <c r="A44" s="417"/>
      <c r="B44" s="284" t="s">
        <v>371</v>
      </c>
      <c r="C44" s="57"/>
      <c r="D44" s="531">
        <v>24.4</v>
      </c>
      <c r="E44" s="512"/>
      <c r="F44" s="531">
        <v>118.1</v>
      </c>
      <c r="G44" s="512"/>
      <c r="H44" s="531">
        <v>2293</v>
      </c>
      <c r="I44" s="13"/>
      <c r="J44" s="531">
        <f t="shared" si="10"/>
        <v>10.699999999999825</v>
      </c>
      <c r="K44" s="553"/>
      <c r="L44" s="531"/>
      <c r="M44" s="553"/>
      <c r="N44" s="531"/>
      <c r="O44" s="553"/>
      <c r="P44" s="531"/>
      <c r="Q44" s="553"/>
      <c r="R44" s="531"/>
      <c r="S44" s="553"/>
      <c r="T44" s="531"/>
      <c r="U44" s="553"/>
      <c r="V44" s="531"/>
      <c r="W44" s="553"/>
      <c r="X44" s="531"/>
      <c r="Y44" s="553"/>
      <c r="Z44" s="531"/>
      <c r="AA44" s="289"/>
      <c r="AB44" s="524"/>
      <c r="AC44" s="531">
        <v>2446.1999999999998</v>
      </c>
      <c r="AD44" s="264"/>
      <c r="AE44" s="524" t="s">
        <v>103</v>
      </c>
      <c r="AF44" s="531">
        <v>1956.7</v>
      </c>
      <c r="AG44" s="13"/>
      <c r="AH44" s="706"/>
      <c r="AI44" s="264">
        <f t="shared" si="8"/>
        <v>489.5</v>
      </c>
      <c r="AJ44" s="13"/>
      <c r="AK44" s="542">
        <f>ROUND(IF(AF44=0,1,AI44/ABS(AF44)),3)</f>
        <v>0.25</v>
      </c>
      <c r="AL44" s="1783"/>
    </row>
    <row r="45" spans="1:38" s="59" customFormat="1" ht="15" customHeight="1">
      <c r="A45" s="417"/>
      <c r="B45" s="284" t="s">
        <v>372</v>
      </c>
      <c r="C45" s="57"/>
      <c r="D45" s="531">
        <v>0</v>
      </c>
      <c r="E45" s="512"/>
      <c r="F45" s="531">
        <v>0</v>
      </c>
      <c r="G45" s="512"/>
      <c r="H45" s="531">
        <v>0</v>
      </c>
      <c r="I45" s="13"/>
      <c r="J45" s="531">
        <f t="shared" si="10"/>
        <v>0</v>
      </c>
      <c r="K45" s="553"/>
      <c r="L45" s="531"/>
      <c r="M45" s="553"/>
      <c r="N45" s="531"/>
      <c r="O45" s="553"/>
      <c r="P45" s="531"/>
      <c r="Q45" s="553"/>
      <c r="R45" s="531"/>
      <c r="S45" s="553"/>
      <c r="T45" s="531"/>
      <c r="U45" s="553"/>
      <c r="V45" s="531"/>
      <c r="W45" s="553"/>
      <c r="X45" s="531"/>
      <c r="Y45" s="553"/>
      <c r="Z45" s="531"/>
      <c r="AA45" s="289"/>
      <c r="AB45" s="524"/>
      <c r="AC45" s="531">
        <v>0</v>
      </c>
      <c r="AD45" s="264"/>
      <c r="AE45" s="524" t="s">
        <v>103</v>
      </c>
      <c r="AF45" s="531">
        <v>0</v>
      </c>
      <c r="AG45" s="13"/>
      <c r="AH45" s="706"/>
      <c r="AI45" s="264">
        <f t="shared" si="8"/>
        <v>0</v>
      </c>
      <c r="AJ45" s="13"/>
      <c r="AK45" s="266">
        <f>ROUND(IF(AF45=0,0,AI45/ABS(AF45)),3)</f>
        <v>0</v>
      </c>
      <c r="AL45" s="1783"/>
    </row>
    <row r="46" spans="1:38" s="59" customFormat="1" ht="15" customHeight="1">
      <c r="A46" s="417"/>
      <c r="B46" s="83" t="s">
        <v>373</v>
      </c>
      <c r="C46" s="57"/>
      <c r="D46" s="672">
        <f>ROUND(SUM(D40:D45),1)</f>
        <v>911.8</v>
      </c>
      <c r="E46" s="13"/>
      <c r="F46" s="672">
        <f>ROUND(SUM(F40:F45),1)</f>
        <v>228.7</v>
      </c>
      <c r="G46" s="13"/>
      <c r="H46" s="672">
        <f>ROUND(SUM(H40:H45),1)</f>
        <v>4650.8</v>
      </c>
      <c r="I46" s="13"/>
      <c r="J46" s="672">
        <f>ROUND(SUM(J40:J45),1)</f>
        <v>129.69999999999999</v>
      </c>
      <c r="K46" s="13"/>
      <c r="L46" s="672">
        <f>ROUND(SUM(L40:L45),1)</f>
        <v>0</v>
      </c>
      <c r="M46" s="13"/>
      <c r="N46" s="672">
        <f>ROUND(SUM(N40:N45),1)</f>
        <v>0</v>
      </c>
      <c r="O46" s="13"/>
      <c r="P46" s="672">
        <f>ROUND(SUM(P40:P45),1)</f>
        <v>0</v>
      </c>
      <c r="Q46" s="13"/>
      <c r="R46" s="672">
        <f>ROUND(SUM(R40:R45),1)</f>
        <v>0</v>
      </c>
      <c r="S46" s="13"/>
      <c r="T46" s="672">
        <f>ROUND(SUM(T40:T45),1)</f>
        <v>0</v>
      </c>
      <c r="U46" s="13"/>
      <c r="V46" s="672">
        <f>ROUND(SUM(V40:V45),1)</f>
        <v>0</v>
      </c>
      <c r="W46" s="13"/>
      <c r="X46" s="672">
        <f>ROUND(SUM(X40:X45),1)</f>
        <v>0</v>
      </c>
      <c r="Y46" s="13"/>
      <c r="Z46" s="672">
        <f>ROUND(SUM(Z40:Z45),1)</f>
        <v>0</v>
      </c>
      <c r="AA46" s="40"/>
      <c r="AB46" s="69"/>
      <c r="AC46" s="672">
        <f>ROUND(SUM(AC40:AC45),1)</f>
        <v>5921</v>
      </c>
      <c r="AD46" s="13"/>
      <c r="AE46" s="14"/>
      <c r="AF46" s="672">
        <f>ROUND(SUM(AF40:AF45),1)</f>
        <v>4701.2</v>
      </c>
      <c r="AG46" s="13"/>
      <c r="AH46" s="706"/>
      <c r="AI46" s="672">
        <f>ROUND(SUM(AI40:AI45),1)</f>
        <v>1219.8</v>
      </c>
      <c r="AJ46" s="13"/>
      <c r="AK46" s="922">
        <f>ROUND(SUM(+AI46/AF46),3)</f>
        <v>0.25900000000000001</v>
      </c>
      <c r="AL46" s="1783"/>
    </row>
    <row r="47" spans="1:38" s="59" customFormat="1" ht="15" customHeight="1">
      <c r="A47" s="417"/>
      <c r="B47" s="412" t="s">
        <v>374</v>
      </c>
      <c r="C47" s="57"/>
      <c r="D47" s="13"/>
      <c r="E47" s="13"/>
      <c r="F47" s="13"/>
      <c r="G47" s="13"/>
      <c r="H47" s="13"/>
      <c r="I47" s="13"/>
      <c r="J47" s="13"/>
      <c r="K47" s="13"/>
      <c r="L47" s="13"/>
      <c r="M47" s="13"/>
      <c r="N47" s="13"/>
      <c r="O47" s="13"/>
      <c r="P47" s="13"/>
      <c r="Q47" s="13"/>
      <c r="R47" s="13"/>
      <c r="S47" s="13"/>
      <c r="T47" s="13"/>
      <c r="U47" s="13"/>
      <c r="V47" s="13"/>
      <c r="W47" s="13"/>
      <c r="X47" s="13"/>
      <c r="Y47" s="13"/>
      <c r="Z47" s="13"/>
      <c r="AA47" s="40"/>
      <c r="AB47" s="69"/>
      <c r="AC47" s="13"/>
      <c r="AD47" s="13"/>
      <c r="AE47" s="14"/>
      <c r="AF47" s="13"/>
      <c r="AG47" s="13"/>
      <c r="AH47" s="706"/>
      <c r="AI47" s="13"/>
      <c r="AJ47" s="13"/>
      <c r="AK47" s="74"/>
      <c r="AL47" s="1783"/>
    </row>
    <row r="48" spans="1:38" s="59" customFormat="1" ht="15" customHeight="1">
      <c r="A48" s="417"/>
      <c r="B48" s="284" t="s">
        <v>375</v>
      </c>
      <c r="C48" s="57"/>
      <c r="D48" s="531">
        <v>0</v>
      </c>
      <c r="E48" s="512"/>
      <c r="F48" s="531">
        <v>0</v>
      </c>
      <c r="G48" s="512"/>
      <c r="H48" s="531">
        <v>0</v>
      </c>
      <c r="I48" s="13"/>
      <c r="J48" s="531">
        <f>$AC48-H48-F48-D48</f>
        <v>0</v>
      </c>
      <c r="K48" s="553"/>
      <c r="L48" s="531"/>
      <c r="M48" s="553"/>
      <c r="N48" s="531"/>
      <c r="O48" s="553"/>
      <c r="P48" s="531"/>
      <c r="Q48" s="553"/>
      <c r="R48" s="531"/>
      <c r="S48" s="553"/>
      <c r="T48" s="531"/>
      <c r="U48" s="553"/>
      <c r="V48" s="531"/>
      <c r="W48" s="553"/>
      <c r="X48" s="531"/>
      <c r="Y48" s="553"/>
      <c r="Z48" s="531"/>
      <c r="AA48" s="289"/>
      <c r="AB48" s="524"/>
      <c r="AC48" s="531">
        <v>0</v>
      </c>
      <c r="AD48" s="264"/>
      <c r="AE48" s="524" t="s">
        <v>103</v>
      </c>
      <c r="AF48" s="531">
        <v>0</v>
      </c>
      <c r="AG48" s="13"/>
      <c r="AH48" s="706"/>
      <c r="AI48" s="264">
        <f t="shared" ref="AI48:AI52" si="11">ROUND(SUM(+AC48-AF48),1)</f>
        <v>0</v>
      </c>
      <c r="AJ48" s="13"/>
      <c r="AK48" s="266">
        <f t="shared" ref="AK48:AK51" si="12">ROUND(IF(AF48=0,0,AI48/ABS(AF48)),3)</f>
        <v>0</v>
      </c>
      <c r="AL48" s="1783"/>
    </row>
    <row r="49" spans="1:38" s="59" customFormat="1" ht="15" customHeight="1">
      <c r="A49" s="417"/>
      <c r="B49" s="284" t="s">
        <v>376</v>
      </c>
      <c r="C49" s="57"/>
      <c r="D49" s="531">
        <v>165.8</v>
      </c>
      <c r="E49" s="512"/>
      <c r="F49" s="531">
        <v>113.10000000000002</v>
      </c>
      <c r="G49" s="512"/>
      <c r="H49" s="531">
        <v>94.599999999999966</v>
      </c>
      <c r="I49" s="13"/>
      <c r="J49" s="531">
        <f t="shared" ref="J49:J53" si="13">$AC49-H49-F49-D49</f>
        <v>271.00000000000006</v>
      </c>
      <c r="K49" s="553"/>
      <c r="L49" s="531"/>
      <c r="M49" s="553"/>
      <c r="N49" s="531"/>
      <c r="O49" s="553"/>
      <c r="P49" s="531"/>
      <c r="Q49" s="553"/>
      <c r="R49" s="531"/>
      <c r="S49" s="553"/>
      <c r="T49" s="531"/>
      <c r="U49" s="553"/>
      <c r="V49" s="531"/>
      <c r="W49" s="553"/>
      <c r="X49" s="531"/>
      <c r="Y49" s="553"/>
      <c r="Z49" s="531"/>
      <c r="AA49" s="289"/>
      <c r="AB49" s="524"/>
      <c r="AC49" s="531">
        <v>644.5</v>
      </c>
      <c r="AD49" s="264"/>
      <c r="AE49" s="524" t="s">
        <v>103</v>
      </c>
      <c r="AF49" s="531">
        <v>506.4</v>
      </c>
      <c r="AG49" s="13"/>
      <c r="AH49" s="706"/>
      <c r="AI49" s="264">
        <f t="shared" si="11"/>
        <v>138.1</v>
      </c>
      <c r="AJ49" s="13"/>
      <c r="AK49" s="266">
        <f t="shared" si="12"/>
        <v>0.27300000000000002</v>
      </c>
      <c r="AL49" s="1783"/>
    </row>
    <row r="50" spans="1:38" s="59" customFormat="1" ht="15" customHeight="1">
      <c r="A50" s="417"/>
      <c r="B50" s="284" t="s">
        <v>377</v>
      </c>
      <c r="C50" s="57"/>
      <c r="D50" s="531">
        <v>1</v>
      </c>
      <c r="E50" s="512"/>
      <c r="F50" s="531">
        <v>0.8</v>
      </c>
      <c r="G50" s="512"/>
      <c r="H50" s="531">
        <v>1.2000000000000002</v>
      </c>
      <c r="I50" s="13"/>
      <c r="J50" s="531">
        <f t="shared" si="13"/>
        <v>1.4000000000000004</v>
      </c>
      <c r="K50" s="553"/>
      <c r="L50" s="531"/>
      <c r="M50" s="553"/>
      <c r="N50" s="531"/>
      <c r="O50" s="553"/>
      <c r="P50" s="531"/>
      <c r="Q50" s="553"/>
      <c r="R50" s="531"/>
      <c r="S50" s="553"/>
      <c r="T50" s="531"/>
      <c r="U50" s="553"/>
      <c r="V50" s="531"/>
      <c r="W50" s="553"/>
      <c r="X50" s="531"/>
      <c r="Y50" s="553"/>
      <c r="Z50" s="531"/>
      <c r="AA50" s="289"/>
      <c r="AB50" s="524"/>
      <c r="AC50" s="531">
        <v>4.4000000000000004</v>
      </c>
      <c r="AD50" s="264"/>
      <c r="AE50" s="524" t="s">
        <v>103</v>
      </c>
      <c r="AF50" s="531">
        <v>4.9000000000000004</v>
      </c>
      <c r="AG50" s="13"/>
      <c r="AH50" s="706"/>
      <c r="AI50" s="264">
        <f t="shared" si="11"/>
        <v>-0.5</v>
      </c>
      <c r="AJ50" s="13"/>
      <c r="AK50" s="266">
        <f t="shared" si="12"/>
        <v>-0.10199999999999999</v>
      </c>
      <c r="AL50" s="1783"/>
    </row>
    <row r="51" spans="1:38" s="59" customFormat="1" ht="15" customHeight="1">
      <c r="A51" s="417"/>
      <c r="B51" s="284" t="s">
        <v>378</v>
      </c>
      <c r="C51" s="57"/>
      <c r="D51" s="531">
        <v>0</v>
      </c>
      <c r="E51" s="512"/>
      <c r="F51" s="531">
        <v>0</v>
      </c>
      <c r="G51" s="512"/>
      <c r="H51" s="531">
        <v>0</v>
      </c>
      <c r="I51" s="13"/>
      <c r="J51" s="531">
        <f t="shared" si="13"/>
        <v>0</v>
      </c>
      <c r="K51" s="553"/>
      <c r="L51" s="531"/>
      <c r="M51" s="553"/>
      <c r="N51" s="531"/>
      <c r="O51" s="553"/>
      <c r="P51" s="531"/>
      <c r="Q51" s="553"/>
      <c r="R51" s="531"/>
      <c r="S51" s="553"/>
      <c r="T51" s="531"/>
      <c r="U51" s="553"/>
      <c r="V51" s="531"/>
      <c r="W51" s="553"/>
      <c r="X51" s="531"/>
      <c r="Y51" s="553"/>
      <c r="Z51" s="531"/>
      <c r="AA51" s="289"/>
      <c r="AB51" s="524"/>
      <c r="AC51" s="531">
        <v>0</v>
      </c>
      <c r="AD51" s="264">
        <f>'Exhibit F'!AF1146</f>
        <v>0</v>
      </c>
      <c r="AE51" s="524" t="s">
        <v>103</v>
      </c>
      <c r="AF51" s="531">
        <v>0</v>
      </c>
      <c r="AG51" s="13"/>
      <c r="AH51" s="706"/>
      <c r="AI51" s="264">
        <f t="shared" si="11"/>
        <v>0</v>
      </c>
      <c r="AJ51" s="13"/>
      <c r="AK51" s="266">
        <f t="shared" si="12"/>
        <v>0</v>
      </c>
      <c r="AL51" s="1783"/>
    </row>
    <row r="52" spans="1:38" s="59" customFormat="1" ht="15" customHeight="1">
      <c r="A52" s="417"/>
      <c r="B52" s="284" t="s">
        <v>379</v>
      </c>
      <c r="C52" s="57"/>
      <c r="D52" s="531">
        <v>0.1</v>
      </c>
      <c r="E52" s="512"/>
      <c r="F52" s="531">
        <v>0</v>
      </c>
      <c r="G52" s="512"/>
      <c r="H52" s="531">
        <v>0</v>
      </c>
      <c r="I52" s="13"/>
      <c r="J52" s="531">
        <f t="shared" si="13"/>
        <v>0</v>
      </c>
      <c r="K52" s="553"/>
      <c r="L52" s="531"/>
      <c r="M52" s="553"/>
      <c r="N52" s="531"/>
      <c r="O52" s="553"/>
      <c r="P52" s="531"/>
      <c r="Q52" s="553"/>
      <c r="R52" s="531"/>
      <c r="S52" s="553"/>
      <c r="T52" s="531"/>
      <c r="U52" s="553"/>
      <c r="V52" s="531"/>
      <c r="W52" s="553"/>
      <c r="X52" s="531"/>
      <c r="Y52" s="553"/>
      <c r="Z52" s="531"/>
      <c r="AA52" s="289"/>
      <c r="AB52" s="524"/>
      <c r="AC52" s="531">
        <v>0.1</v>
      </c>
      <c r="AD52" s="264"/>
      <c r="AE52" s="524" t="s">
        <v>103</v>
      </c>
      <c r="AF52" s="531">
        <v>0.1</v>
      </c>
      <c r="AG52" s="13"/>
      <c r="AH52" s="706"/>
      <c r="AI52" s="264">
        <f t="shared" si="11"/>
        <v>0</v>
      </c>
      <c r="AJ52" s="13"/>
      <c r="AK52" s="266">
        <f>ROUND(IF(AF52=0,1,AI52/ABS(AF52)),3)</f>
        <v>0</v>
      </c>
      <c r="AL52" s="1783"/>
    </row>
    <row r="53" spans="1:38" s="59" customFormat="1" ht="15" customHeight="1">
      <c r="A53" s="417"/>
      <c r="B53" s="420" t="s">
        <v>380</v>
      </c>
      <c r="C53" s="291"/>
      <c r="D53" s="531">
        <v>0.1</v>
      </c>
      <c r="E53" s="512"/>
      <c r="F53" s="531">
        <v>0.1</v>
      </c>
      <c r="G53" s="512"/>
      <c r="H53" s="531">
        <v>0.10000000000000003</v>
      </c>
      <c r="I53" s="291"/>
      <c r="J53" s="531">
        <f t="shared" si="13"/>
        <v>0.29999999999999993</v>
      </c>
      <c r="K53" s="553"/>
      <c r="L53" s="531"/>
      <c r="M53" s="553"/>
      <c r="N53" s="531"/>
      <c r="O53" s="553"/>
      <c r="P53" s="531"/>
      <c r="Q53" s="553"/>
      <c r="R53" s="531"/>
      <c r="S53" s="553"/>
      <c r="T53" s="531"/>
      <c r="U53" s="553"/>
      <c r="V53" s="531"/>
      <c r="W53" s="553"/>
      <c r="X53" s="531"/>
      <c r="Y53" s="553"/>
      <c r="Z53" s="531"/>
      <c r="AA53" s="289"/>
      <c r="AB53" s="524"/>
      <c r="AC53" s="531">
        <v>0.6</v>
      </c>
      <c r="AD53" s="264"/>
      <c r="AE53" s="524" t="s">
        <v>103</v>
      </c>
      <c r="AF53" s="531">
        <v>0.8</v>
      </c>
      <c r="AG53" s="364"/>
      <c r="AH53" s="701"/>
      <c r="AI53" s="264">
        <f>ROUND(SUM(+AC53-AF53),1)</f>
        <v>-0.2</v>
      </c>
      <c r="AJ53" s="63"/>
      <c r="AK53" s="266">
        <f>ROUND(IF(AF53=0,1,AI53/ABS(AF53)),3)</f>
        <v>-0.25</v>
      </c>
      <c r="AL53" s="1783"/>
    </row>
    <row r="54" spans="1:38" s="59" customFormat="1" ht="15" customHeight="1">
      <c r="A54" s="417"/>
      <c r="B54" s="83" t="s">
        <v>381</v>
      </c>
      <c r="C54" s="57"/>
      <c r="D54" s="672">
        <f>ROUND(SUM(D48:D53),1)</f>
        <v>167</v>
      </c>
      <c r="E54" s="13"/>
      <c r="F54" s="672">
        <f>ROUND(SUM(F48:F53),1)</f>
        <v>114</v>
      </c>
      <c r="G54" s="13"/>
      <c r="H54" s="672">
        <f>ROUND(SUM(H48:H53),1)</f>
        <v>95.9</v>
      </c>
      <c r="I54" s="13"/>
      <c r="J54" s="672">
        <f>ROUND(SUM(J48:J53),1)</f>
        <v>272.7</v>
      </c>
      <c r="K54" s="13"/>
      <c r="L54" s="672">
        <f>ROUND(SUM(L48:L53),1)</f>
        <v>0</v>
      </c>
      <c r="M54" s="13"/>
      <c r="N54" s="672">
        <f>ROUND(SUM(N48:N53),1)</f>
        <v>0</v>
      </c>
      <c r="O54" s="13"/>
      <c r="P54" s="672">
        <f>ROUND(SUM(P48:P53),1)</f>
        <v>0</v>
      </c>
      <c r="Q54" s="13"/>
      <c r="R54" s="672">
        <f>ROUND(SUM(R48:R53),1)</f>
        <v>0</v>
      </c>
      <c r="S54" s="13"/>
      <c r="T54" s="672">
        <f>ROUND(SUM(T48:T53),1)</f>
        <v>0</v>
      </c>
      <c r="U54" s="13"/>
      <c r="V54" s="672">
        <f>ROUND(SUM(V48:V53),1)</f>
        <v>0</v>
      </c>
      <c r="W54" s="13"/>
      <c r="X54" s="672">
        <f>ROUND(SUM(X48:X53),1)</f>
        <v>0</v>
      </c>
      <c r="Y54" s="13"/>
      <c r="Z54" s="672">
        <f>ROUND(SUM(Z48:Z53),1)</f>
        <v>0</v>
      </c>
      <c r="AA54" s="40"/>
      <c r="AB54" s="69"/>
      <c r="AC54" s="672">
        <f>ROUND(SUM(AC48:AC53),1)</f>
        <v>649.6</v>
      </c>
      <c r="AD54" s="13"/>
      <c r="AE54" s="14"/>
      <c r="AF54" s="672">
        <f>ROUND(SUM(AF48:AF53),1)</f>
        <v>512.20000000000005</v>
      </c>
      <c r="AG54" s="13"/>
      <c r="AH54" s="706"/>
      <c r="AI54" s="672">
        <f>ROUND(SUM(AI48:AI53),1)</f>
        <v>137.4</v>
      </c>
      <c r="AJ54" s="13"/>
      <c r="AK54" s="922">
        <f>ROUND(SUM(+AI54/AF54),3)</f>
        <v>0.26800000000000002</v>
      </c>
      <c r="AL54" s="1783"/>
    </row>
    <row r="55" spans="1:38" s="59" customFormat="1" ht="15" customHeight="1">
      <c r="A55" s="417"/>
      <c r="B55" s="83"/>
      <c r="C55" s="57"/>
      <c r="D55" s="13"/>
      <c r="E55" s="13"/>
      <c r="F55" s="13"/>
      <c r="G55" s="13"/>
      <c r="H55" s="13"/>
      <c r="I55" s="13"/>
      <c r="J55" s="13"/>
      <c r="K55" s="13"/>
      <c r="L55" s="13"/>
      <c r="M55" s="13"/>
      <c r="N55" s="13"/>
      <c r="O55" s="13"/>
      <c r="P55" s="13"/>
      <c r="Q55" s="13"/>
      <c r="R55" s="13"/>
      <c r="S55" s="13"/>
      <c r="T55" s="13"/>
      <c r="U55" s="13"/>
      <c r="V55" s="13"/>
      <c r="W55" s="13"/>
      <c r="X55" s="13"/>
      <c r="Y55" s="13"/>
      <c r="Z55" s="13"/>
      <c r="AA55" s="40"/>
      <c r="AB55" s="69"/>
      <c r="AC55" s="13"/>
      <c r="AD55" s="13"/>
      <c r="AE55" s="14"/>
      <c r="AF55" s="13"/>
      <c r="AG55" s="13"/>
      <c r="AH55" s="706"/>
      <c r="AI55" s="13"/>
      <c r="AJ55" s="13"/>
      <c r="AK55" s="74"/>
      <c r="AL55" s="1783"/>
    </row>
    <row r="56" spans="1:38" ht="15" customHeight="1">
      <c r="A56" s="35"/>
      <c r="B56" s="83" t="s">
        <v>382</v>
      </c>
      <c r="C56" s="364"/>
      <c r="D56" s="707">
        <f>ROUND(SUM(D27+D38+D46+D54),1)</f>
        <v>7159.1</v>
      </c>
      <c r="E56" s="264"/>
      <c r="F56" s="707">
        <f>ROUND(SUM(F27+F38+F46+F54),1)</f>
        <v>3217.5</v>
      </c>
      <c r="G56" s="264"/>
      <c r="H56" s="707">
        <f>ROUND(SUM(H27+H38+H46+H54),1)</f>
        <v>9001.7999999999993</v>
      </c>
      <c r="I56" s="264"/>
      <c r="J56" s="707">
        <f>ROUND(SUM(J27+J38+J46+J54),1)</f>
        <v>3744.2</v>
      </c>
      <c r="K56" s="264"/>
      <c r="L56" s="1014">
        <f>ROUND(SUM(L27+L38+L46+L54),1)</f>
        <v>0</v>
      </c>
      <c r="M56" s="264"/>
      <c r="N56" s="1014">
        <f>ROUND(SUM(N27+N38+N46+N54),1)</f>
        <v>0</v>
      </c>
      <c r="O56" s="264"/>
      <c r="P56" s="1014">
        <f>ROUND(SUM(P27+P38+P46+P54),1)</f>
        <v>0</v>
      </c>
      <c r="Q56" s="264"/>
      <c r="R56" s="1014">
        <f>ROUND(SUM(R27+R38+R46+R54),1)</f>
        <v>0</v>
      </c>
      <c r="S56" s="669"/>
      <c r="T56" s="1014">
        <f>ROUND(SUM(T27+T38+T46+T54),1)</f>
        <v>0</v>
      </c>
      <c r="U56" s="264"/>
      <c r="V56" s="1014">
        <f>ROUND(SUM(V27+V38+V46+V54),1)</f>
        <v>0</v>
      </c>
      <c r="W56" s="264"/>
      <c r="X56" s="1014">
        <f>ROUND(SUM(X27+X38+X46+X54),1)</f>
        <v>0</v>
      </c>
      <c r="Y56" s="264"/>
      <c r="Z56" s="1014">
        <f>ROUND(SUM(Z27+Z38+Z46+Z54),1)</f>
        <v>0</v>
      </c>
      <c r="AA56" s="268"/>
      <c r="AB56" s="853"/>
      <c r="AC56" s="707">
        <f>ROUND(SUM(AC27+AC38+AC46+AC54),1)</f>
        <v>23122.6</v>
      </c>
      <c r="AD56" s="264"/>
      <c r="AE56" s="523"/>
      <c r="AF56" s="707">
        <f>ROUND(SUM(AF27+AF38+AF46+AF54),1)</f>
        <v>20484.099999999999</v>
      </c>
      <c r="AG56" s="264"/>
      <c r="AH56" s="705"/>
      <c r="AI56" s="1014">
        <f>ROUND(SUM(AI27+AI38+AI46+AI54),1)</f>
        <v>2638.5</v>
      </c>
      <c r="AJ56" s="264"/>
      <c r="AK56" s="368">
        <f>ROUND(SUM(+AI56/AF56),3)</f>
        <v>0.129</v>
      </c>
      <c r="AL56" s="1783"/>
    </row>
    <row r="57" spans="1:38" ht="8.25" customHeight="1">
      <c r="A57" s="35"/>
      <c r="B57" s="291"/>
      <c r="C57" s="364"/>
      <c r="D57" s="264"/>
      <c r="E57" s="264"/>
      <c r="F57" s="264"/>
      <c r="G57" s="264"/>
      <c r="H57" s="264"/>
      <c r="I57" s="264"/>
      <c r="J57" s="264"/>
      <c r="K57" s="264"/>
      <c r="L57" s="264"/>
      <c r="M57" s="264"/>
      <c r="N57" s="264"/>
      <c r="O57" s="264"/>
      <c r="P57" s="264"/>
      <c r="Q57" s="264"/>
      <c r="R57" s="264"/>
      <c r="S57" s="264"/>
      <c r="T57" s="264"/>
      <c r="U57" s="264"/>
      <c r="V57" s="264"/>
      <c r="W57" s="264"/>
      <c r="X57" s="264"/>
      <c r="Y57" s="264"/>
      <c r="Z57" s="264"/>
      <c r="AA57" s="268"/>
      <c r="AB57" s="853"/>
      <c r="AC57" s="264"/>
      <c r="AD57" s="264"/>
      <c r="AE57" s="523"/>
      <c r="AF57" s="264"/>
      <c r="AG57" s="264"/>
      <c r="AH57" s="705"/>
      <c r="AI57" s="264"/>
      <c r="AJ57" s="264"/>
      <c r="AK57" s="283"/>
      <c r="AL57" s="1783"/>
    </row>
    <row r="58" spans="1:38" ht="15" customHeight="1">
      <c r="A58" s="35"/>
      <c r="B58" s="1211" t="s">
        <v>383</v>
      </c>
      <c r="C58" s="366"/>
      <c r="D58" s="264"/>
      <c r="E58" s="1109"/>
      <c r="F58" s="264"/>
      <c r="G58" s="1109"/>
      <c r="H58" s="264"/>
      <c r="I58" s="264"/>
      <c r="J58" s="264"/>
      <c r="K58" s="264"/>
      <c r="L58" s="264"/>
      <c r="M58" s="264"/>
      <c r="N58" s="264"/>
      <c r="O58" s="264"/>
      <c r="P58" s="264"/>
      <c r="Q58" s="264"/>
      <c r="R58" s="264"/>
      <c r="S58" s="264"/>
      <c r="T58" s="264"/>
      <c r="U58" s="264"/>
      <c r="V58" s="264"/>
      <c r="W58" s="264"/>
      <c r="X58" s="264"/>
      <c r="Y58" s="264"/>
      <c r="Z58" s="264"/>
      <c r="AA58" s="268"/>
      <c r="AB58" s="853"/>
      <c r="AC58" s="264"/>
      <c r="AD58" s="264"/>
      <c r="AE58" s="523"/>
      <c r="AF58" s="264"/>
      <c r="AG58" s="264"/>
      <c r="AH58" s="705"/>
      <c r="AI58" s="264"/>
      <c r="AJ58" s="264"/>
      <c r="AK58" s="283"/>
      <c r="AL58" s="1783"/>
    </row>
    <row r="59" spans="1:38" ht="15" customHeight="1">
      <c r="A59" s="35"/>
      <c r="B59" s="350" t="s">
        <v>384</v>
      </c>
      <c r="C59" s="366"/>
      <c r="D59" s="264"/>
      <c r="E59" s="1109"/>
      <c r="F59" s="264"/>
      <c r="G59" s="1109"/>
      <c r="H59" s="264"/>
      <c r="I59" s="264"/>
      <c r="J59" s="264"/>
      <c r="K59" s="264"/>
      <c r="L59" s="264"/>
      <c r="M59" s="264"/>
      <c r="N59" s="264"/>
      <c r="O59" s="264"/>
      <c r="P59" s="264"/>
      <c r="Q59" s="264"/>
      <c r="R59" s="264"/>
      <c r="S59" s="264"/>
      <c r="T59" s="264"/>
      <c r="U59" s="264"/>
      <c r="V59" s="264"/>
      <c r="W59" s="264"/>
      <c r="X59" s="264"/>
      <c r="Y59" s="264"/>
      <c r="Z59" s="264"/>
      <c r="AA59" s="268"/>
      <c r="AB59" s="1019"/>
      <c r="AC59" s="264"/>
      <c r="AD59" s="264"/>
      <c r="AE59" s="523"/>
      <c r="AF59" s="264"/>
      <c r="AG59" s="264"/>
      <c r="AH59" s="705"/>
      <c r="AI59" s="264"/>
      <c r="AJ59" s="264"/>
      <c r="AK59" s="283"/>
      <c r="AL59" s="1783"/>
    </row>
    <row r="60" spans="1:38" ht="15" customHeight="1">
      <c r="A60" s="35"/>
      <c r="B60" s="350" t="s">
        <v>385</v>
      </c>
      <c r="C60" s="350"/>
      <c r="D60" s="531">
        <v>0.9</v>
      </c>
      <c r="E60" s="512"/>
      <c r="F60" s="531">
        <v>0</v>
      </c>
      <c r="G60" s="512"/>
      <c r="H60" s="531">
        <v>0</v>
      </c>
      <c r="I60" s="264"/>
      <c r="J60" s="531">
        <f>$AC60-H60-F60-D60</f>
        <v>0</v>
      </c>
      <c r="K60" s="553"/>
      <c r="L60" s="531"/>
      <c r="M60" s="553"/>
      <c r="N60" s="531"/>
      <c r="O60" s="553"/>
      <c r="P60" s="531"/>
      <c r="Q60" s="553"/>
      <c r="R60" s="531"/>
      <c r="S60" s="553"/>
      <c r="T60" s="531"/>
      <c r="U60" s="553"/>
      <c r="V60" s="531"/>
      <c r="W60" s="553"/>
      <c r="X60" s="531"/>
      <c r="Y60" s="553"/>
      <c r="Z60" s="531"/>
      <c r="AA60" s="289"/>
      <c r="AB60" s="524"/>
      <c r="AC60" s="531">
        <v>0.9</v>
      </c>
      <c r="AD60" s="264"/>
      <c r="AE60" s="524" t="s">
        <v>103</v>
      </c>
      <c r="AF60" s="531">
        <v>0.6</v>
      </c>
      <c r="AG60" s="287"/>
      <c r="AH60" s="708"/>
      <c r="AI60" s="264">
        <f>ROUND(SUM(+AC60-AF60),1)</f>
        <v>0.3</v>
      </c>
      <c r="AJ60" s="264"/>
      <c r="AK60" s="266">
        <f>ROUND(IF(AF60=0,1,AI60/ABS(AF60)),3)</f>
        <v>0.5</v>
      </c>
      <c r="AL60" s="1783"/>
    </row>
    <row r="61" spans="1:38" ht="15" customHeight="1">
      <c r="A61" s="35"/>
      <c r="B61" s="350" t="s">
        <v>386</v>
      </c>
      <c r="C61" s="350"/>
      <c r="D61" s="531">
        <v>2.8</v>
      </c>
      <c r="E61" s="512"/>
      <c r="F61" s="531">
        <v>-0.29999999999999982</v>
      </c>
      <c r="G61" s="512"/>
      <c r="H61" s="531">
        <v>10.399999999999999</v>
      </c>
      <c r="I61" s="264"/>
      <c r="J61" s="531">
        <f t="shared" ref="J61:J96" si="14">$AC61-H61-F61-D61</f>
        <v>1.7000000000000011</v>
      </c>
      <c r="K61" s="553"/>
      <c r="L61" s="531"/>
      <c r="M61" s="553"/>
      <c r="N61" s="531"/>
      <c r="O61" s="553"/>
      <c r="P61" s="531"/>
      <c r="Q61" s="553"/>
      <c r="R61" s="531"/>
      <c r="S61" s="553"/>
      <c r="T61" s="531"/>
      <c r="U61" s="553"/>
      <c r="V61" s="531"/>
      <c r="W61" s="553"/>
      <c r="X61" s="531"/>
      <c r="Y61" s="553"/>
      <c r="Z61" s="531"/>
      <c r="AA61" s="289"/>
      <c r="AB61" s="524"/>
      <c r="AC61" s="531">
        <v>14.6</v>
      </c>
      <c r="AD61" s="264"/>
      <c r="AE61" s="524" t="s">
        <v>103</v>
      </c>
      <c r="AF61" s="531">
        <v>13.8</v>
      </c>
      <c r="AG61" s="264"/>
      <c r="AH61" s="705"/>
      <c r="AI61" s="264">
        <f>ROUND(SUM(+AC61-AF61),1)</f>
        <v>0.8</v>
      </c>
      <c r="AJ61" s="264"/>
      <c r="AK61" s="542">
        <f>ROUND(IF(AF61=0,0,AI61/ABS(AF61)),3)</f>
        <v>5.8000000000000003E-2</v>
      </c>
      <c r="AL61" s="1783"/>
    </row>
    <row r="62" spans="1:38" ht="15" customHeight="1">
      <c r="A62" s="35"/>
      <c r="B62" s="350" t="s">
        <v>387</v>
      </c>
      <c r="C62" s="350"/>
      <c r="D62" s="531"/>
      <c r="E62" s="512"/>
      <c r="F62" s="531"/>
      <c r="G62" s="512"/>
      <c r="H62" s="531"/>
      <c r="I62" s="264"/>
      <c r="J62" s="531"/>
      <c r="K62" s="264"/>
      <c r="L62" s="531"/>
      <c r="M62" s="264"/>
      <c r="N62" s="531"/>
      <c r="O62" s="264"/>
      <c r="P62" s="531"/>
      <c r="Q62" s="264"/>
      <c r="R62" s="531"/>
      <c r="S62" s="264"/>
      <c r="T62" s="531"/>
      <c r="U62" s="264"/>
      <c r="V62" s="531"/>
      <c r="W62" s="264"/>
      <c r="X62" s="531"/>
      <c r="Y62" s="264"/>
      <c r="Z62" s="531"/>
      <c r="AA62" s="268"/>
      <c r="AB62" s="1019"/>
      <c r="AC62" s="697" t="s">
        <v>103</v>
      </c>
      <c r="AD62" s="264"/>
      <c r="AE62" s="524"/>
      <c r="AF62" s="697" t="s">
        <v>103</v>
      </c>
      <c r="AG62" s="264"/>
      <c r="AH62" s="705"/>
      <c r="AI62" s="264"/>
      <c r="AJ62" s="264"/>
      <c r="AK62" s="283"/>
      <c r="AL62" s="1783"/>
    </row>
    <row r="63" spans="1:38" ht="15" customHeight="1">
      <c r="A63" s="35"/>
      <c r="B63" s="350" t="s">
        <v>388</v>
      </c>
      <c r="C63" s="350"/>
      <c r="D63" s="531">
        <v>0</v>
      </c>
      <c r="E63" s="512"/>
      <c r="F63" s="531">
        <v>0</v>
      </c>
      <c r="G63" s="512"/>
      <c r="H63" s="531">
        <v>0</v>
      </c>
      <c r="I63" s="264"/>
      <c r="J63" s="531">
        <f t="shared" si="14"/>
        <v>0</v>
      </c>
      <c r="K63" s="553"/>
      <c r="L63" s="531"/>
      <c r="M63" s="553"/>
      <c r="N63" s="531"/>
      <c r="O63" s="553"/>
      <c r="P63" s="531"/>
      <c r="Q63" s="553"/>
      <c r="R63" s="531"/>
      <c r="S63" s="553"/>
      <c r="T63" s="531"/>
      <c r="U63" s="553"/>
      <c r="V63" s="531"/>
      <c r="W63" s="553"/>
      <c r="X63" s="531"/>
      <c r="Y63" s="553"/>
      <c r="Z63" s="531"/>
      <c r="AA63" s="289"/>
      <c r="AB63" s="524"/>
      <c r="AC63" s="531">
        <v>0</v>
      </c>
      <c r="AD63" s="264"/>
      <c r="AE63" s="524" t="s">
        <v>103</v>
      </c>
      <c r="AF63" s="531">
        <v>-1.5</v>
      </c>
      <c r="AG63" s="287"/>
      <c r="AH63" s="708"/>
      <c r="AI63" s="264">
        <f>ROUND(SUM(+AC63-AF63),1)</f>
        <v>1.5</v>
      </c>
      <c r="AJ63" s="264"/>
      <c r="AK63" s="542">
        <f>ROUND(IF(AF63=0,0,AI63/ABS(AF63)),3)</f>
        <v>1</v>
      </c>
      <c r="AL63" s="1783"/>
    </row>
    <row r="64" spans="1:38" ht="15" customHeight="1">
      <c r="A64" s="35"/>
      <c r="B64" s="350" t="s">
        <v>389</v>
      </c>
      <c r="C64" s="350"/>
      <c r="D64" s="531">
        <v>2.7</v>
      </c>
      <c r="E64" s="512"/>
      <c r="F64" s="531">
        <v>2.3999999999999995</v>
      </c>
      <c r="G64" s="512"/>
      <c r="H64" s="531">
        <v>1.9000000000000004</v>
      </c>
      <c r="I64" s="264"/>
      <c r="J64" s="531">
        <f t="shared" si="14"/>
        <v>4.5</v>
      </c>
      <c r="K64" s="553"/>
      <c r="L64" s="531"/>
      <c r="M64" s="553"/>
      <c r="N64" s="531"/>
      <c r="O64" s="553"/>
      <c r="P64" s="531"/>
      <c r="Q64" s="553"/>
      <c r="R64" s="531"/>
      <c r="S64" s="553"/>
      <c r="T64" s="531"/>
      <c r="U64" s="553"/>
      <c r="V64" s="531"/>
      <c r="W64" s="553"/>
      <c r="X64" s="531"/>
      <c r="Y64" s="553"/>
      <c r="Z64" s="531"/>
      <c r="AA64" s="289"/>
      <c r="AB64" s="524"/>
      <c r="AC64" s="531">
        <v>11.5</v>
      </c>
      <c r="AD64" s="264"/>
      <c r="AE64" s="524" t="s">
        <v>103</v>
      </c>
      <c r="AF64" s="531">
        <v>10.8</v>
      </c>
      <c r="AG64" s="287"/>
      <c r="AH64" s="708"/>
      <c r="AI64" s="264">
        <f>ROUND(SUM(+AC64-AF64),1)</f>
        <v>0.7</v>
      </c>
      <c r="AJ64" s="264"/>
      <c r="AK64" s="266">
        <f>ROUND(IF(AF64=0,1,AI64/ABS(AF64)),3)</f>
        <v>6.5000000000000002E-2</v>
      </c>
      <c r="AL64" s="1783"/>
    </row>
    <row r="65" spans="1:38" ht="15" customHeight="1">
      <c r="A65" s="35"/>
      <c r="B65" s="350" t="s">
        <v>390</v>
      </c>
      <c r="C65" s="350"/>
      <c r="D65" s="531">
        <v>0</v>
      </c>
      <c r="E65" s="512"/>
      <c r="F65" s="531">
        <v>0</v>
      </c>
      <c r="G65" s="512"/>
      <c r="H65" s="531">
        <v>0</v>
      </c>
      <c r="I65" s="264"/>
      <c r="J65" s="531">
        <f t="shared" si="14"/>
        <v>0</v>
      </c>
      <c r="K65" s="553"/>
      <c r="L65" s="531"/>
      <c r="M65" s="553"/>
      <c r="N65" s="531"/>
      <c r="O65" s="553"/>
      <c r="P65" s="531"/>
      <c r="Q65" s="553"/>
      <c r="R65" s="531"/>
      <c r="S65" s="553"/>
      <c r="T65" s="531"/>
      <c r="U65" s="553"/>
      <c r="V65" s="531"/>
      <c r="W65" s="553"/>
      <c r="X65" s="531"/>
      <c r="Y65" s="553"/>
      <c r="Z65" s="531"/>
      <c r="AA65" s="289"/>
      <c r="AB65" s="524"/>
      <c r="AC65" s="531">
        <v>0</v>
      </c>
      <c r="AD65" s="264"/>
      <c r="AE65" s="524" t="s">
        <v>103</v>
      </c>
      <c r="AF65" s="531">
        <v>0</v>
      </c>
      <c r="AG65" s="287"/>
      <c r="AH65" s="708"/>
      <c r="AI65" s="264">
        <f>ROUND(SUM(+AC65-AF65),1)</f>
        <v>0</v>
      </c>
      <c r="AJ65" s="264"/>
      <c r="AK65" s="266">
        <f>ROUND(IF(AF65=0,0,AI65/ABS(AF65)),3)</f>
        <v>0</v>
      </c>
      <c r="AL65" s="1783"/>
    </row>
    <row r="66" spans="1:38" ht="15.5">
      <c r="A66" s="35"/>
      <c r="B66" s="350" t="s">
        <v>391</v>
      </c>
      <c r="C66" s="350"/>
      <c r="D66" s="531">
        <v>0</v>
      </c>
      <c r="E66" s="512"/>
      <c r="F66" s="531">
        <v>0</v>
      </c>
      <c r="G66" s="512"/>
      <c r="H66" s="531">
        <v>0</v>
      </c>
      <c r="I66" s="264"/>
      <c r="J66" s="531">
        <f t="shared" si="14"/>
        <v>0</v>
      </c>
      <c r="K66" s="553"/>
      <c r="L66" s="531"/>
      <c r="M66" s="553"/>
      <c r="N66" s="531"/>
      <c r="O66" s="553"/>
      <c r="P66" s="531"/>
      <c r="Q66" s="553"/>
      <c r="R66" s="531"/>
      <c r="S66" s="553"/>
      <c r="T66" s="531"/>
      <c r="U66" s="553"/>
      <c r="V66" s="531"/>
      <c r="W66" s="553"/>
      <c r="X66" s="531"/>
      <c r="Y66" s="553"/>
      <c r="Z66" s="531"/>
      <c r="AA66" s="289"/>
      <c r="AB66" s="524"/>
      <c r="AC66" s="531">
        <v>0</v>
      </c>
      <c r="AD66" s="264"/>
      <c r="AE66" s="524" t="s">
        <v>103</v>
      </c>
      <c r="AF66" s="531">
        <v>0</v>
      </c>
      <c r="AG66" s="287"/>
      <c r="AH66" s="708"/>
      <c r="AI66" s="264">
        <f>ROUND(SUM(+AC66-AF66),1)</f>
        <v>0</v>
      </c>
      <c r="AJ66" s="264"/>
      <c r="AK66" s="542">
        <f>ROUND(IF(AF66=0,0,AI66/ABS(AF66)),3)</f>
        <v>0</v>
      </c>
      <c r="AL66" s="1783"/>
    </row>
    <row r="67" spans="1:38" ht="15" customHeight="1">
      <c r="A67" s="35"/>
      <c r="B67" s="350" t="s">
        <v>392</v>
      </c>
      <c r="C67" s="350"/>
      <c r="D67" s="531"/>
      <c r="E67" s="512"/>
      <c r="F67" s="531"/>
      <c r="G67" s="512"/>
      <c r="H67" s="531"/>
      <c r="I67" s="264"/>
      <c r="J67" s="531"/>
      <c r="K67" s="264"/>
      <c r="L67" s="531"/>
      <c r="M67" s="264"/>
      <c r="N67" s="531"/>
      <c r="O67" s="264"/>
      <c r="P67" s="531"/>
      <c r="Q67" s="264"/>
      <c r="R67" s="531"/>
      <c r="S67" s="264"/>
      <c r="T67" s="531"/>
      <c r="U67" s="264"/>
      <c r="V67" s="531"/>
      <c r="W67" s="264"/>
      <c r="X67" s="531"/>
      <c r="Y67" s="264"/>
      <c r="Z67" s="531"/>
      <c r="AA67" s="268"/>
      <c r="AB67" s="1019"/>
      <c r="AC67" s="697" t="s">
        <v>103</v>
      </c>
      <c r="AD67" s="264"/>
      <c r="AE67" s="524"/>
      <c r="AF67" s="697" t="s">
        <v>103</v>
      </c>
      <c r="AG67" s="264"/>
      <c r="AH67" s="705"/>
      <c r="AI67" s="264"/>
      <c r="AJ67" s="264"/>
      <c r="AK67" s="283"/>
      <c r="AL67" s="1783"/>
    </row>
    <row r="68" spans="1:38" ht="15" customHeight="1">
      <c r="A68" s="35"/>
      <c r="B68" s="350" t="s">
        <v>393</v>
      </c>
      <c r="C68" s="350"/>
      <c r="D68" s="531">
        <v>5.4</v>
      </c>
      <c r="E68" s="512"/>
      <c r="F68" s="531">
        <v>4.9000000000000004</v>
      </c>
      <c r="G68" s="512"/>
      <c r="H68" s="531">
        <v>5.8999999999999986</v>
      </c>
      <c r="I68" s="264"/>
      <c r="J68" s="531">
        <f t="shared" si="14"/>
        <v>4.8000000000000007</v>
      </c>
      <c r="K68" s="553"/>
      <c r="L68" s="531"/>
      <c r="M68" s="553"/>
      <c r="N68" s="531"/>
      <c r="O68" s="553"/>
      <c r="P68" s="531"/>
      <c r="Q68" s="553"/>
      <c r="R68" s="531"/>
      <c r="S68" s="553"/>
      <c r="T68" s="531"/>
      <c r="U68" s="553"/>
      <c r="V68" s="531"/>
      <c r="W68" s="553"/>
      <c r="X68" s="531"/>
      <c r="Y68" s="553"/>
      <c r="Z68" s="531"/>
      <c r="AA68" s="289"/>
      <c r="AB68" s="524"/>
      <c r="AC68" s="531">
        <v>21</v>
      </c>
      <c r="AD68" s="264"/>
      <c r="AE68" s="524" t="s">
        <v>103</v>
      </c>
      <c r="AF68" s="531">
        <v>17.100000000000001</v>
      </c>
      <c r="AG68" s="264"/>
      <c r="AH68" s="705"/>
      <c r="AI68" s="264">
        <f t="shared" ref="AI68:AI77" si="15">ROUND(SUM(+AC68-AF68),1)</f>
        <v>3.9</v>
      </c>
      <c r="AJ68" s="264"/>
      <c r="AK68" s="266">
        <f>ROUND(IF(AF68=0,0,AI68/ABS(AF68)),3)</f>
        <v>0.22800000000000001</v>
      </c>
      <c r="AL68" s="1783"/>
    </row>
    <row r="69" spans="1:38" ht="15" customHeight="1">
      <c r="A69" s="35"/>
      <c r="B69" s="350" t="s">
        <v>394</v>
      </c>
      <c r="C69" s="350"/>
      <c r="D69" s="531">
        <v>0</v>
      </c>
      <c r="E69" s="512"/>
      <c r="F69" s="531">
        <v>0</v>
      </c>
      <c r="G69" s="512"/>
      <c r="H69" s="531">
        <v>0</v>
      </c>
      <c r="I69" s="264"/>
      <c r="J69" s="531">
        <f t="shared" si="14"/>
        <v>0</v>
      </c>
      <c r="K69" s="553"/>
      <c r="L69" s="531"/>
      <c r="M69" s="553"/>
      <c r="N69" s="531"/>
      <c r="O69" s="553"/>
      <c r="P69" s="531"/>
      <c r="Q69" s="553"/>
      <c r="R69" s="531"/>
      <c r="S69" s="553"/>
      <c r="T69" s="531"/>
      <c r="U69" s="553"/>
      <c r="V69" s="531"/>
      <c r="W69" s="553"/>
      <c r="X69" s="531"/>
      <c r="Y69" s="553"/>
      <c r="Z69" s="531"/>
      <c r="AA69" s="289"/>
      <c r="AB69" s="524"/>
      <c r="AC69" s="531">
        <v>0</v>
      </c>
      <c r="AD69" s="264"/>
      <c r="AE69" s="524" t="s">
        <v>103</v>
      </c>
      <c r="AF69" s="531">
        <v>0</v>
      </c>
      <c r="AG69" s="264"/>
      <c r="AH69" s="705"/>
      <c r="AI69" s="264">
        <f>ROUND(SUM(+AC69-AF69),1)</f>
        <v>0</v>
      </c>
      <c r="AJ69" s="264"/>
      <c r="AK69" s="266">
        <f>ROUND(IF(AF69=0,0,AI69/ABS(AF69)),3)</f>
        <v>0</v>
      </c>
      <c r="AL69" s="1783"/>
    </row>
    <row r="70" spans="1:38" ht="15" customHeight="1">
      <c r="A70" s="35"/>
      <c r="B70" s="350" t="s">
        <v>395</v>
      </c>
      <c r="C70" s="350"/>
      <c r="D70" s="531">
        <v>32</v>
      </c>
      <c r="E70" s="512"/>
      <c r="F70" s="531">
        <v>9.2999999999999972</v>
      </c>
      <c r="G70" s="512"/>
      <c r="H70" s="531">
        <v>26.400000000000006</v>
      </c>
      <c r="I70" s="264"/>
      <c r="J70" s="531">
        <f t="shared" si="14"/>
        <v>22.399999999999991</v>
      </c>
      <c r="K70" s="553"/>
      <c r="L70" s="531"/>
      <c r="M70" s="553"/>
      <c r="N70" s="531"/>
      <c r="O70" s="553"/>
      <c r="P70" s="531"/>
      <c r="Q70" s="553"/>
      <c r="R70" s="531"/>
      <c r="S70" s="553"/>
      <c r="T70" s="531"/>
      <c r="U70" s="553"/>
      <c r="V70" s="531"/>
      <c r="W70" s="553"/>
      <c r="X70" s="531"/>
      <c r="Y70" s="553"/>
      <c r="Z70" s="531"/>
      <c r="AA70" s="289"/>
      <c r="AB70" s="524"/>
      <c r="AC70" s="531">
        <v>90.1</v>
      </c>
      <c r="AD70" s="264"/>
      <c r="AE70" s="524" t="s">
        <v>103</v>
      </c>
      <c r="AF70" s="531">
        <v>75.2</v>
      </c>
      <c r="AG70" s="287"/>
      <c r="AH70" s="708"/>
      <c r="AI70" s="264">
        <f t="shared" si="15"/>
        <v>14.9</v>
      </c>
      <c r="AJ70" s="264"/>
      <c r="AK70" s="266">
        <f>ROUND(IF(AF70=0,0,AI70/ABS(AF70)),3)</f>
        <v>0.19800000000000001</v>
      </c>
      <c r="AL70" s="1783"/>
    </row>
    <row r="71" spans="1:38" ht="15" customHeight="1">
      <c r="A71" s="35"/>
      <c r="B71" s="350" t="s">
        <v>396</v>
      </c>
      <c r="C71" s="350"/>
      <c r="D71" s="531">
        <v>29.7</v>
      </c>
      <c r="E71" s="512"/>
      <c r="F71" s="531">
        <v>22.000000000000004</v>
      </c>
      <c r="G71" s="512"/>
      <c r="H71" s="531">
        <v>20.3</v>
      </c>
      <c r="I71" s="264"/>
      <c r="J71" s="531">
        <f t="shared" si="14"/>
        <v>21.8</v>
      </c>
      <c r="K71" s="553"/>
      <c r="L71" s="531"/>
      <c r="M71" s="553"/>
      <c r="N71" s="531"/>
      <c r="O71" s="553"/>
      <c r="P71" s="531"/>
      <c r="Q71" s="553"/>
      <c r="R71" s="531"/>
      <c r="S71" s="553"/>
      <c r="T71" s="531"/>
      <c r="U71" s="553"/>
      <c r="V71" s="531"/>
      <c r="W71" s="553"/>
      <c r="X71" s="531"/>
      <c r="Y71" s="553"/>
      <c r="Z71" s="531"/>
      <c r="AA71" s="289"/>
      <c r="AB71" s="524"/>
      <c r="AC71" s="531">
        <v>93.8</v>
      </c>
      <c r="AD71" s="264"/>
      <c r="AE71" s="524" t="s">
        <v>103</v>
      </c>
      <c r="AF71" s="531">
        <v>75</v>
      </c>
      <c r="AG71" s="287"/>
      <c r="AH71" s="708"/>
      <c r="AI71" s="264">
        <f t="shared" si="15"/>
        <v>18.8</v>
      </c>
      <c r="AJ71" s="264"/>
      <c r="AK71" s="542">
        <f>ROUND(IF(AF71=0,0,AI71/ABS(AF71)),3)</f>
        <v>0.251</v>
      </c>
      <c r="AL71" s="1783"/>
    </row>
    <row r="72" spans="1:38" ht="15" customHeight="1">
      <c r="A72" s="35"/>
      <c r="B72" s="350" t="s">
        <v>397</v>
      </c>
      <c r="C72" s="350"/>
      <c r="D72" s="531">
        <v>0.1</v>
      </c>
      <c r="E72" s="512"/>
      <c r="F72" s="531">
        <v>0.1</v>
      </c>
      <c r="G72" s="512"/>
      <c r="H72" s="531">
        <v>9.9999999999999978E-2</v>
      </c>
      <c r="I72" s="264"/>
      <c r="J72" s="531">
        <f t="shared" si="14"/>
        <v>0.10000000000000003</v>
      </c>
      <c r="K72" s="553"/>
      <c r="L72" s="531"/>
      <c r="M72" s="553"/>
      <c r="N72" s="531"/>
      <c r="O72" s="553"/>
      <c r="P72" s="531"/>
      <c r="Q72" s="553"/>
      <c r="R72" s="531"/>
      <c r="S72" s="553"/>
      <c r="T72" s="531"/>
      <c r="U72" s="553"/>
      <c r="V72" s="531"/>
      <c r="W72" s="553"/>
      <c r="X72" s="531"/>
      <c r="Y72" s="553"/>
      <c r="Z72" s="531"/>
      <c r="AA72" s="289"/>
      <c r="AB72" s="524"/>
      <c r="AC72" s="531">
        <v>0.4</v>
      </c>
      <c r="AD72" s="264"/>
      <c r="AE72" s="524" t="s">
        <v>103</v>
      </c>
      <c r="AF72" s="531">
        <v>0.3</v>
      </c>
      <c r="AG72" s="287"/>
      <c r="AH72" s="708"/>
      <c r="AI72" s="264">
        <f t="shared" si="15"/>
        <v>0.1</v>
      </c>
      <c r="AJ72" s="264"/>
      <c r="AK72" s="542">
        <f>ROUND(IF(AF72=0,1,AI72/ABS(AF72)),3)</f>
        <v>0.33300000000000002</v>
      </c>
      <c r="AL72" s="1783"/>
    </row>
    <row r="73" spans="1:38" ht="15" customHeight="1">
      <c r="A73" s="35"/>
      <c r="B73" s="350" t="s">
        <v>398</v>
      </c>
      <c r="C73" s="350"/>
      <c r="D73" s="531">
        <v>186.7</v>
      </c>
      <c r="E73" s="512"/>
      <c r="F73" s="531">
        <v>37.5</v>
      </c>
      <c r="G73" s="512"/>
      <c r="H73" s="531">
        <v>30.5</v>
      </c>
      <c r="I73" s="264"/>
      <c r="J73" s="531">
        <f t="shared" si="14"/>
        <v>-136.89999999999998</v>
      </c>
      <c r="K73" s="553"/>
      <c r="L73" s="531"/>
      <c r="M73" s="553"/>
      <c r="N73" s="531"/>
      <c r="O73" s="553"/>
      <c r="P73" s="531"/>
      <c r="Q73" s="553"/>
      <c r="R73" s="531"/>
      <c r="S73" s="553"/>
      <c r="T73" s="531"/>
      <c r="U73" s="553"/>
      <c r="V73" s="531"/>
      <c r="W73" s="553"/>
      <c r="X73" s="531"/>
      <c r="Y73" s="553"/>
      <c r="Z73" s="531"/>
      <c r="AA73" s="289"/>
      <c r="AB73" s="524"/>
      <c r="AC73" s="531">
        <v>117.8</v>
      </c>
      <c r="AD73" s="264"/>
      <c r="AE73" s="524" t="s">
        <v>103</v>
      </c>
      <c r="AF73" s="531">
        <v>132.1</v>
      </c>
      <c r="AG73" s="287"/>
      <c r="AH73" s="708"/>
      <c r="AI73" s="264">
        <f t="shared" si="15"/>
        <v>-14.3</v>
      </c>
      <c r="AJ73" s="264"/>
      <c r="AK73" s="542">
        <f>ROUND(IF(AF73=0,1,AI73/ABS(AF73)),3)</f>
        <v>-0.108</v>
      </c>
      <c r="AL73" s="1783"/>
    </row>
    <row r="74" spans="1:38" ht="15" customHeight="1">
      <c r="A74" s="35"/>
      <c r="B74" s="350" t="s">
        <v>399</v>
      </c>
      <c r="C74" s="350"/>
      <c r="D74" s="531">
        <v>2.6</v>
      </c>
      <c r="E74" s="512"/>
      <c r="F74" s="531">
        <v>2.6</v>
      </c>
      <c r="G74" s="512"/>
      <c r="H74" s="531">
        <v>2.0999999999999992</v>
      </c>
      <c r="I74" s="264"/>
      <c r="J74" s="531">
        <f t="shared" si="14"/>
        <v>2.4</v>
      </c>
      <c r="K74" s="553"/>
      <c r="L74" s="531"/>
      <c r="M74" s="553"/>
      <c r="N74" s="531"/>
      <c r="O74" s="553"/>
      <c r="P74" s="531"/>
      <c r="Q74" s="553"/>
      <c r="R74" s="531"/>
      <c r="S74" s="553"/>
      <c r="T74" s="531"/>
      <c r="U74" s="553"/>
      <c r="V74" s="531"/>
      <c r="W74" s="553"/>
      <c r="X74" s="531"/>
      <c r="Y74" s="553"/>
      <c r="Z74" s="531"/>
      <c r="AA74" s="1226"/>
      <c r="AB74" s="264"/>
      <c r="AC74" s="531">
        <v>9.6999999999999993</v>
      </c>
      <c r="AD74" s="264"/>
      <c r="AE74" s="524" t="s">
        <v>103</v>
      </c>
      <c r="AF74" s="531">
        <v>6.9</v>
      </c>
      <c r="AG74" s="287"/>
      <c r="AH74" s="708"/>
      <c r="AI74" s="264">
        <f t="shared" si="15"/>
        <v>2.8</v>
      </c>
      <c r="AJ74" s="264"/>
      <c r="AK74" s="542">
        <f>ROUND(IF(AF74=0,1,AI74/ABS(AF74)),3)</f>
        <v>0.40600000000000003</v>
      </c>
      <c r="AL74" s="1783"/>
    </row>
    <row r="75" spans="1:38" ht="15" customHeight="1">
      <c r="A75" s="35"/>
      <c r="B75" s="350" t="s">
        <v>400</v>
      </c>
      <c r="C75" s="350"/>
      <c r="D75" s="531">
        <v>22.400000000000002</v>
      </c>
      <c r="E75" s="512"/>
      <c r="F75" s="531">
        <v>18.899999999999995</v>
      </c>
      <c r="G75" s="512"/>
      <c r="H75" s="531">
        <v>4.2000000000000028</v>
      </c>
      <c r="I75" s="264"/>
      <c r="J75" s="531">
        <f t="shared" si="14"/>
        <v>71.400000000000006</v>
      </c>
      <c r="K75" s="553"/>
      <c r="L75" s="531"/>
      <c r="M75" s="553"/>
      <c r="N75" s="531"/>
      <c r="O75" s="553"/>
      <c r="P75" s="531"/>
      <c r="Q75" s="553"/>
      <c r="R75" s="531"/>
      <c r="S75" s="553"/>
      <c r="T75" s="531"/>
      <c r="U75" s="553"/>
      <c r="V75" s="531"/>
      <c r="W75" s="553"/>
      <c r="X75" s="531"/>
      <c r="Y75" s="553"/>
      <c r="Z75" s="531"/>
      <c r="AA75" s="1226"/>
      <c r="AB75" s="264"/>
      <c r="AC75" s="531">
        <v>116.9</v>
      </c>
      <c r="AD75" s="1227"/>
      <c r="AE75" s="264" t="s">
        <v>103</v>
      </c>
      <c r="AF75" s="531">
        <v>103.2</v>
      </c>
      <c r="AG75" s="287"/>
      <c r="AH75" s="708"/>
      <c r="AI75" s="264">
        <f t="shared" si="15"/>
        <v>13.7</v>
      </c>
      <c r="AJ75" s="264"/>
      <c r="AK75" s="542">
        <f>ROUND(IF(AF75=0,0,AI75/ABS(AF75)),3)</f>
        <v>0.13300000000000001</v>
      </c>
      <c r="AL75" s="1783"/>
    </row>
    <row r="76" spans="1:38" s="63" customFormat="1" ht="15" customHeight="1">
      <c r="A76" s="35"/>
      <c r="B76" s="350" t="s">
        <v>401</v>
      </c>
      <c r="C76" s="291"/>
      <c r="D76" s="531" t="s">
        <v>103</v>
      </c>
      <c r="E76" s="512"/>
      <c r="F76" s="531"/>
      <c r="G76" s="512"/>
      <c r="H76" s="531"/>
      <c r="I76" s="264"/>
      <c r="J76" s="531"/>
      <c r="K76" s="264"/>
      <c r="L76" s="531"/>
      <c r="M76" s="264"/>
      <c r="N76" s="531"/>
      <c r="O76" s="264"/>
      <c r="P76" s="531"/>
      <c r="Q76" s="264"/>
      <c r="R76" s="531"/>
      <c r="S76" s="264"/>
      <c r="T76" s="531"/>
      <c r="U76" s="264"/>
      <c r="V76" s="531"/>
      <c r="W76" s="264"/>
      <c r="X76" s="531"/>
      <c r="Y76" s="264"/>
      <c r="Z76" s="531"/>
      <c r="AA76" s="1228"/>
      <c r="AB76" s="264"/>
      <c r="AC76" s="264" t="s">
        <v>103</v>
      </c>
      <c r="AD76" s="1227"/>
      <c r="AE76" s="264"/>
      <c r="AF76" s="264" t="s">
        <v>103</v>
      </c>
      <c r="AG76" s="287"/>
      <c r="AH76" s="708"/>
      <c r="AI76" s="264"/>
      <c r="AJ76" s="264"/>
      <c r="AK76" s="264"/>
      <c r="AL76" s="1783"/>
    </row>
    <row r="77" spans="1:38" s="63" customFormat="1" ht="15" customHeight="1">
      <c r="A77" s="35"/>
      <c r="B77" s="350" t="s">
        <v>448</v>
      </c>
      <c r="C77" s="291"/>
      <c r="D77" s="531">
        <v>5</v>
      </c>
      <c r="E77" s="512"/>
      <c r="F77" s="531">
        <v>0</v>
      </c>
      <c r="G77" s="512"/>
      <c r="H77" s="531">
        <v>0</v>
      </c>
      <c r="I77" s="264"/>
      <c r="J77" s="531">
        <f t="shared" si="14"/>
        <v>0</v>
      </c>
      <c r="K77" s="553"/>
      <c r="L77" s="531"/>
      <c r="M77" s="553"/>
      <c r="N77" s="531"/>
      <c r="O77" s="553"/>
      <c r="P77" s="531"/>
      <c r="Q77" s="553"/>
      <c r="R77" s="531"/>
      <c r="S77" s="553"/>
      <c r="T77" s="531"/>
      <c r="U77" s="553"/>
      <c r="V77" s="531"/>
      <c r="W77" s="553"/>
      <c r="X77" s="531"/>
      <c r="Y77" s="553"/>
      <c r="Z77" s="531"/>
      <c r="AA77" s="1226"/>
      <c r="AB77" s="264"/>
      <c r="AC77" s="531">
        <v>5</v>
      </c>
      <c r="AD77" s="1782" t="s">
        <v>103</v>
      </c>
      <c r="AE77" s="287"/>
      <c r="AF77" s="531">
        <v>5</v>
      </c>
      <c r="AG77" s="287"/>
      <c r="AH77" s="708"/>
      <c r="AI77" s="264">
        <f t="shared" si="15"/>
        <v>0</v>
      </c>
      <c r="AJ77" s="264"/>
      <c r="AK77" s="283">
        <f>ROUND(IF(AF77=0,1,AI77/ABS(AF77)),3)</f>
        <v>0</v>
      </c>
      <c r="AL77" s="1783"/>
    </row>
    <row r="78" spans="1:38" ht="15" customHeight="1">
      <c r="A78" s="35"/>
      <c r="B78" s="350" t="s">
        <v>406</v>
      </c>
      <c r="C78" s="350"/>
      <c r="D78" s="531">
        <v>187</v>
      </c>
      <c r="E78" s="512"/>
      <c r="F78" s="531">
        <v>177.10000000000002</v>
      </c>
      <c r="G78" s="512"/>
      <c r="H78" s="531">
        <v>181.29999999999995</v>
      </c>
      <c r="I78" s="264"/>
      <c r="J78" s="531">
        <f t="shared" si="14"/>
        <v>177</v>
      </c>
      <c r="K78" s="553"/>
      <c r="L78" s="531"/>
      <c r="M78" s="553"/>
      <c r="N78" s="531"/>
      <c r="O78" s="553"/>
      <c r="P78" s="531"/>
      <c r="Q78" s="553"/>
      <c r="R78" s="531"/>
      <c r="S78" s="553"/>
      <c r="T78" s="531"/>
      <c r="U78" s="553"/>
      <c r="V78" s="531"/>
      <c r="W78" s="553"/>
      <c r="X78" s="531"/>
      <c r="Y78" s="553"/>
      <c r="Z78" s="531"/>
      <c r="AA78" s="1226"/>
      <c r="AB78" s="264"/>
      <c r="AC78" s="531">
        <v>722.4</v>
      </c>
      <c r="AD78" s="1227"/>
      <c r="AE78" s="264" t="s">
        <v>103</v>
      </c>
      <c r="AF78" s="531">
        <v>860.2</v>
      </c>
      <c r="AG78" s="287"/>
      <c r="AH78" s="708"/>
      <c r="AI78" s="264">
        <f>ROUND(SUM(+AC78-AF78),1)</f>
        <v>-137.80000000000001</v>
      </c>
      <c r="AJ78" s="264"/>
      <c r="AK78" s="542">
        <f>ROUND(IF(AF78=0,1,AI78/ABS(AF78)),3)</f>
        <v>-0.16</v>
      </c>
      <c r="AL78" s="1783"/>
    </row>
    <row r="79" spans="1:38" ht="15" customHeight="1">
      <c r="A79" s="35"/>
      <c r="B79" s="350" t="s">
        <v>407</v>
      </c>
      <c r="C79" s="350"/>
      <c r="D79" s="531">
        <v>0</v>
      </c>
      <c r="E79" s="512"/>
      <c r="F79" s="531">
        <v>0</v>
      </c>
      <c r="G79" s="512"/>
      <c r="H79" s="531">
        <v>0</v>
      </c>
      <c r="I79" s="264"/>
      <c r="J79" s="531">
        <f t="shared" si="14"/>
        <v>0</v>
      </c>
      <c r="K79" s="553"/>
      <c r="L79" s="531"/>
      <c r="M79" s="553"/>
      <c r="N79" s="531"/>
      <c r="O79" s="553"/>
      <c r="P79" s="531"/>
      <c r="Q79" s="553"/>
      <c r="R79" s="531"/>
      <c r="S79" s="553"/>
      <c r="T79" s="531"/>
      <c r="U79" s="553"/>
      <c r="V79" s="531"/>
      <c r="W79" s="553"/>
      <c r="X79" s="531"/>
      <c r="Y79" s="553"/>
      <c r="Z79" s="531"/>
      <c r="AA79" s="289"/>
      <c r="AB79" s="524"/>
      <c r="AC79" s="531">
        <v>0</v>
      </c>
      <c r="AD79" s="264"/>
      <c r="AE79" s="524" t="s">
        <v>103</v>
      </c>
      <c r="AF79" s="531">
        <v>0.1</v>
      </c>
      <c r="AG79" s="287"/>
      <c r="AH79" s="708"/>
      <c r="AI79" s="264">
        <f>ROUND(SUM(+AC79-AF79),1)</f>
        <v>-0.1</v>
      </c>
      <c r="AJ79" s="264"/>
      <c r="AK79" s="542">
        <f>ROUND(IF(AF79=0,0,AI79/ABS(AF79)),3)</f>
        <v>-1</v>
      </c>
      <c r="AL79" s="1783"/>
    </row>
    <row r="80" spans="1:38" ht="15" customHeight="1">
      <c r="A80" s="35"/>
      <c r="B80" s="350" t="s">
        <v>408</v>
      </c>
      <c r="C80" s="350"/>
      <c r="D80" s="531"/>
      <c r="E80" s="512"/>
      <c r="F80" s="531"/>
      <c r="G80" s="512"/>
      <c r="H80" s="531"/>
      <c r="I80" s="264"/>
      <c r="J80" s="531"/>
      <c r="K80" s="264"/>
      <c r="L80" s="531"/>
      <c r="M80" s="264"/>
      <c r="N80" s="531"/>
      <c r="O80" s="264"/>
      <c r="P80" s="531"/>
      <c r="Q80" s="264"/>
      <c r="R80" s="531"/>
      <c r="S80" s="264"/>
      <c r="T80" s="531"/>
      <c r="U80" s="264"/>
      <c r="V80" s="531"/>
      <c r="W80" s="264"/>
      <c r="X80" s="531"/>
      <c r="Y80" s="264"/>
      <c r="Z80" s="531"/>
      <c r="AA80" s="268"/>
      <c r="AB80" s="1019"/>
      <c r="AC80" s="697" t="s">
        <v>103</v>
      </c>
      <c r="AD80" s="264"/>
      <c r="AE80" s="524"/>
      <c r="AF80" s="697" t="s">
        <v>103</v>
      </c>
      <c r="AG80" s="264"/>
      <c r="AH80" s="705"/>
      <c r="AI80" s="264"/>
      <c r="AJ80" s="264"/>
      <c r="AK80" s="283"/>
      <c r="AL80" s="1783"/>
    </row>
    <row r="81" spans="1:38" ht="15" customHeight="1">
      <c r="A81" s="35"/>
      <c r="B81" s="350" t="s">
        <v>409</v>
      </c>
      <c r="C81" s="350"/>
      <c r="D81" s="531">
        <v>0</v>
      </c>
      <c r="E81" s="512"/>
      <c r="F81" s="531">
        <v>0</v>
      </c>
      <c r="G81" s="512"/>
      <c r="H81" s="531">
        <v>0</v>
      </c>
      <c r="I81" s="264"/>
      <c r="J81" s="531">
        <f t="shared" si="14"/>
        <v>0</v>
      </c>
      <c r="K81" s="264"/>
      <c r="L81" s="531"/>
      <c r="M81" s="264"/>
      <c r="N81" s="531"/>
      <c r="O81" s="264"/>
      <c r="P81" s="531"/>
      <c r="Q81" s="264"/>
      <c r="R81" s="531"/>
      <c r="S81" s="264"/>
      <c r="T81" s="531"/>
      <c r="U81" s="264"/>
      <c r="V81" s="531"/>
      <c r="W81" s="264"/>
      <c r="X81" s="531"/>
      <c r="Y81" s="264"/>
      <c r="Z81" s="531"/>
      <c r="AA81" s="268"/>
      <c r="AB81" s="1019"/>
      <c r="AC81" s="531">
        <v>0</v>
      </c>
      <c r="AD81" s="264"/>
      <c r="AE81" s="524"/>
      <c r="AF81" s="531">
        <v>0</v>
      </c>
      <c r="AG81" s="264"/>
      <c r="AH81" s="705"/>
      <c r="AI81" s="264">
        <f t="shared" ref="AI81:AI85" si="16">ROUND(SUM(+AC81-AF81),1)</f>
        <v>0</v>
      </c>
      <c r="AJ81" s="264"/>
      <c r="AK81" s="266">
        <f>ROUND(IF(AF81=0,0,AI81/ABS(AF81)),3)</f>
        <v>0</v>
      </c>
      <c r="AL81" s="1783"/>
    </row>
    <row r="82" spans="1:38" ht="15" customHeight="1">
      <c r="A82" s="35"/>
      <c r="B82" s="350" t="s">
        <v>410</v>
      </c>
      <c r="C82" s="350"/>
      <c r="D82" s="531">
        <v>0</v>
      </c>
      <c r="E82" s="512"/>
      <c r="F82" s="531">
        <v>0</v>
      </c>
      <c r="G82" s="512"/>
      <c r="H82" s="531">
        <v>0</v>
      </c>
      <c r="I82" s="264"/>
      <c r="J82" s="531">
        <f t="shared" si="14"/>
        <v>0</v>
      </c>
      <c r="K82" s="553"/>
      <c r="L82" s="531"/>
      <c r="M82" s="553"/>
      <c r="N82" s="531"/>
      <c r="O82" s="553"/>
      <c r="P82" s="531"/>
      <c r="Q82" s="553"/>
      <c r="R82" s="531"/>
      <c r="S82" s="553"/>
      <c r="T82" s="531"/>
      <c r="U82" s="553"/>
      <c r="V82" s="531"/>
      <c r="W82" s="553"/>
      <c r="X82" s="531"/>
      <c r="Y82" s="553"/>
      <c r="Z82" s="531"/>
      <c r="AA82" s="289"/>
      <c r="AB82" s="524"/>
      <c r="AC82" s="531">
        <v>0</v>
      </c>
      <c r="AD82" s="264"/>
      <c r="AE82" s="524" t="s">
        <v>103</v>
      </c>
      <c r="AF82" s="531">
        <v>0</v>
      </c>
      <c r="AG82" s="287"/>
      <c r="AH82" s="708"/>
      <c r="AI82" s="264">
        <f t="shared" si="16"/>
        <v>0</v>
      </c>
      <c r="AJ82" s="264"/>
      <c r="AK82" s="266">
        <f>ROUND(IF(AF82=0,0,AI82/ABS(AF82)),3)</f>
        <v>0</v>
      </c>
      <c r="AL82" s="1783"/>
    </row>
    <row r="83" spans="1:38" ht="15" customHeight="1">
      <c r="A83" s="35"/>
      <c r="B83" s="350" t="s">
        <v>411</v>
      </c>
      <c r="C83" s="350"/>
      <c r="D83" s="531">
        <v>0.8</v>
      </c>
      <c r="E83" s="512"/>
      <c r="F83" s="531">
        <v>-0.8</v>
      </c>
      <c r="G83" s="512"/>
      <c r="H83" s="531">
        <v>0</v>
      </c>
      <c r="I83" s="264"/>
      <c r="J83" s="531">
        <f t="shared" si="14"/>
        <v>5.3</v>
      </c>
      <c r="K83" s="553"/>
      <c r="L83" s="531"/>
      <c r="M83" s="553"/>
      <c r="N83" s="531"/>
      <c r="O83" s="553"/>
      <c r="P83" s="531"/>
      <c r="Q83" s="553"/>
      <c r="R83" s="531"/>
      <c r="S83" s="553"/>
      <c r="T83" s="531"/>
      <c r="U83" s="553"/>
      <c r="V83" s="531"/>
      <c r="W83" s="553"/>
      <c r="X83" s="531"/>
      <c r="Y83" s="553"/>
      <c r="Z83" s="531"/>
      <c r="AA83" s="289"/>
      <c r="AB83" s="524"/>
      <c r="AC83" s="531">
        <v>5.3</v>
      </c>
      <c r="AD83" s="264"/>
      <c r="AE83" s="524" t="s">
        <v>103</v>
      </c>
      <c r="AF83" s="531">
        <v>4.9000000000000004</v>
      </c>
      <c r="AG83" s="287"/>
      <c r="AH83" s="708"/>
      <c r="AI83" s="264">
        <f t="shared" si="16"/>
        <v>0.4</v>
      </c>
      <c r="AJ83" s="264"/>
      <c r="AK83" s="266">
        <f>ROUND(IF(AF83=0,0,AI83/ABS(AF83)),3)</f>
        <v>8.2000000000000003E-2</v>
      </c>
      <c r="AL83" s="1783"/>
    </row>
    <row r="84" spans="1:38" ht="15" customHeight="1">
      <c r="A84" s="35"/>
      <c r="B84" s="350" t="s">
        <v>412</v>
      </c>
      <c r="C84" s="350"/>
      <c r="D84" s="531">
        <v>0</v>
      </c>
      <c r="E84" s="512"/>
      <c r="F84" s="531">
        <v>0</v>
      </c>
      <c r="G84" s="512"/>
      <c r="H84" s="531">
        <v>7.3</v>
      </c>
      <c r="I84" s="264"/>
      <c r="J84" s="531">
        <f t="shared" si="14"/>
        <v>0</v>
      </c>
      <c r="K84" s="553"/>
      <c r="L84" s="531"/>
      <c r="M84" s="553"/>
      <c r="N84" s="531"/>
      <c r="O84" s="553"/>
      <c r="P84" s="531"/>
      <c r="Q84" s="553"/>
      <c r="R84" s="531"/>
      <c r="S84" s="553"/>
      <c r="T84" s="531"/>
      <c r="U84" s="553"/>
      <c r="V84" s="531"/>
      <c r="W84" s="553"/>
      <c r="X84" s="531"/>
      <c r="Y84" s="553"/>
      <c r="Z84" s="531"/>
      <c r="AA84" s="289"/>
      <c r="AB84" s="524"/>
      <c r="AC84" s="531">
        <v>7.3</v>
      </c>
      <c r="AD84" s="264"/>
      <c r="AE84" s="524" t="s">
        <v>103</v>
      </c>
      <c r="AF84" s="531">
        <v>8.6</v>
      </c>
      <c r="AG84" s="287"/>
      <c r="AH84" s="708"/>
      <c r="AI84" s="264">
        <f t="shared" si="16"/>
        <v>-1.3</v>
      </c>
      <c r="AJ84" s="264"/>
      <c r="AK84" s="266">
        <f>ROUND(IF(AF84=0,0,AI84/ABS(AF84)),3)</f>
        <v>-0.151</v>
      </c>
      <c r="AL84" s="1783"/>
    </row>
    <row r="85" spans="1:38" ht="15" customHeight="1">
      <c r="A85" s="35"/>
      <c r="B85" s="350" t="s">
        <v>413</v>
      </c>
      <c r="C85" s="350"/>
      <c r="D85" s="531">
        <v>0.2</v>
      </c>
      <c r="E85" s="512"/>
      <c r="F85" s="531">
        <v>0.2</v>
      </c>
      <c r="G85" s="512"/>
      <c r="H85" s="531">
        <v>0</v>
      </c>
      <c r="I85" s="264"/>
      <c r="J85" s="531">
        <f t="shared" si="14"/>
        <v>0.19999999999999996</v>
      </c>
      <c r="K85" s="553"/>
      <c r="L85" s="531"/>
      <c r="M85" s="553"/>
      <c r="N85" s="531"/>
      <c r="O85" s="553"/>
      <c r="P85" s="531"/>
      <c r="Q85" s="553"/>
      <c r="R85" s="531"/>
      <c r="S85" s="553"/>
      <c r="T85" s="531"/>
      <c r="U85" s="553"/>
      <c r="V85" s="531"/>
      <c r="W85" s="553"/>
      <c r="X85" s="531"/>
      <c r="Y85" s="553"/>
      <c r="Z85" s="531"/>
      <c r="AA85" s="289"/>
      <c r="AB85" s="524"/>
      <c r="AC85" s="531">
        <v>0.6</v>
      </c>
      <c r="AD85" s="264"/>
      <c r="AE85" s="524" t="s">
        <v>103</v>
      </c>
      <c r="AF85" s="531">
        <v>-0.3</v>
      </c>
      <c r="AG85" s="287"/>
      <c r="AH85" s="708"/>
      <c r="AI85" s="264">
        <f t="shared" si="16"/>
        <v>0.9</v>
      </c>
      <c r="AJ85" s="264"/>
      <c r="AK85" s="266">
        <f t="shared" ref="AK85" si="17">ROUND(IF(AF85=0,0,AI85/ABS(AF85)),3)</f>
        <v>3</v>
      </c>
      <c r="AL85" s="1783"/>
    </row>
    <row r="86" spans="1:38" ht="15" customHeight="1">
      <c r="A86" s="35"/>
      <c r="B86" s="350" t="s">
        <v>414</v>
      </c>
      <c r="C86" s="350"/>
      <c r="D86" s="531" t="s">
        <v>449</v>
      </c>
      <c r="E86" s="512"/>
      <c r="F86" s="531"/>
      <c r="G86" s="512"/>
      <c r="H86" s="531"/>
      <c r="I86" s="264"/>
      <c r="J86" s="531"/>
      <c r="K86" s="264"/>
      <c r="L86" s="531"/>
      <c r="M86" s="264"/>
      <c r="N86" s="531"/>
      <c r="O86" s="264"/>
      <c r="P86" s="531"/>
      <c r="Q86" s="264"/>
      <c r="R86" s="531"/>
      <c r="S86" s="264"/>
      <c r="T86" s="531"/>
      <c r="U86" s="264"/>
      <c r="V86" s="531"/>
      <c r="W86" s="264"/>
      <c r="X86" s="531"/>
      <c r="Y86" s="264"/>
      <c r="Z86" s="531"/>
      <c r="AA86" s="268"/>
      <c r="AB86" s="1019"/>
      <c r="AC86" s="697" t="s">
        <v>449</v>
      </c>
      <c r="AD86" s="264"/>
      <c r="AE86" s="524" t="s">
        <v>103</v>
      </c>
      <c r="AF86" s="697" t="s">
        <v>449</v>
      </c>
      <c r="AG86" s="264"/>
      <c r="AH86" s="705"/>
      <c r="AI86" s="264"/>
      <c r="AJ86" s="264"/>
      <c r="AK86" s="283"/>
      <c r="AL86" s="1783"/>
    </row>
    <row r="87" spans="1:38" ht="15" customHeight="1">
      <c r="A87" s="35"/>
      <c r="B87" s="350" t="s">
        <v>415</v>
      </c>
      <c r="C87" s="350"/>
      <c r="D87" s="531">
        <v>0.1</v>
      </c>
      <c r="E87" s="512"/>
      <c r="F87" s="531">
        <v>0.4</v>
      </c>
      <c r="G87" s="512"/>
      <c r="H87" s="531">
        <v>16.600000000000001</v>
      </c>
      <c r="I87" s="264"/>
      <c r="J87" s="531">
        <f t="shared" si="14"/>
        <v>0.39999999999999858</v>
      </c>
      <c r="K87" s="553"/>
      <c r="L87" s="531"/>
      <c r="M87" s="553"/>
      <c r="N87" s="531"/>
      <c r="O87" s="553"/>
      <c r="P87" s="531"/>
      <c r="Q87" s="553"/>
      <c r="R87" s="531"/>
      <c r="S87" s="553"/>
      <c r="T87" s="531"/>
      <c r="U87" s="553"/>
      <c r="V87" s="531"/>
      <c r="W87" s="553"/>
      <c r="X87" s="531"/>
      <c r="Y87" s="553"/>
      <c r="Z87" s="531"/>
      <c r="AA87" s="289"/>
      <c r="AB87" s="524"/>
      <c r="AC87" s="531">
        <v>17.5</v>
      </c>
      <c r="AD87" s="264"/>
      <c r="AE87" s="524" t="s">
        <v>103</v>
      </c>
      <c r="AF87" s="531">
        <v>25.5</v>
      </c>
      <c r="AG87" s="287"/>
      <c r="AH87" s="708"/>
      <c r="AI87" s="264">
        <f t="shared" ref="AI87:AI96" si="18">ROUND(SUM(+AC87-AF87),1)</f>
        <v>-8</v>
      </c>
      <c r="AJ87" s="264"/>
      <c r="AK87" s="266">
        <f t="shared" ref="AK87" si="19">ROUND(IF(AF87=0,1,AI87/ABS(AF87)),3)</f>
        <v>-0.314</v>
      </c>
      <c r="AL87" s="1783"/>
    </row>
    <row r="88" spans="1:38" ht="15" customHeight="1">
      <c r="A88" s="35"/>
      <c r="B88" s="350" t="s">
        <v>416</v>
      </c>
      <c r="C88" s="350"/>
      <c r="D88" s="531">
        <v>-0.2</v>
      </c>
      <c r="E88" s="512"/>
      <c r="F88" s="531">
        <v>0</v>
      </c>
      <c r="G88" s="512"/>
      <c r="H88" s="531">
        <v>0</v>
      </c>
      <c r="I88" s="264"/>
      <c r="J88" s="531">
        <f t="shared" si="14"/>
        <v>0</v>
      </c>
      <c r="K88" s="553"/>
      <c r="L88" s="531"/>
      <c r="M88" s="553"/>
      <c r="N88" s="531"/>
      <c r="O88" s="553"/>
      <c r="P88" s="531"/>
      <c r="Q88" s="553"/>
      <c r="R88" s="531"/>
      <c r="S88" s="553"/>
      <c r="T88" s="531"/>
      <c r="U88" s="553"/>
      <c r="V88" s="531"/>
      <c r="W88" s="553"/>
      <c r="X88" s="531"/>
      <c r="Y88" s="553"/>
      <c r="Z88" s="531"/>
      <c r="AA88" s="289"/>
      <c r="AB88" s="524"/>
      <c r="AC88" s="531">
        <v>-0.2</v>
      </c>
      <c r="AD88" s="264"/>
      <c r="AE88" s="524" t="s">
        <v>103</v>
      </c>
      <c r="AF88" s="531">
        <v>0</v>
      </c>
      <c r="AG88" s="287"/>
      <c r="AH88" s="708"/>
      <c r="AI88" s="264">
        <f t="shared" ref="AI88" si="20">ROUND(SUM(+AC88-AF88),1)</f>
        <v>-0.2</v>
      </c>
      <c r="AJ88" s="264"/>
      <c r="AK88" s="266">
        <f>-ROUND(IF(AF88=0,1,AI88/ABS(AF88)),3)</f>
        <v>-1</v>
      </c>
      <c r="AL88" s="1783"/>
    </row>
    <row r="89" spans="1:38" ht="15" customHeight="1">
      <c r="A89" s="35"/>
      <c r="B89" s="350" t="s">
        <v>417</v>
      </c>
      <c r="C89" s="350"/>
      <c r="D89" s="531">
        <v>0</v>
      </c>
      <c r="E89" s="512"/>
      <c r="F89" s="531">
        <v>0</v>
      </c>
      <c r="G89" s="512"/>
      <c r="H89" s="531">
        <v>0</v>
      </c>
      <c r="I89" s="264"/>
      <c r="J89" s="531">
        <f t="shared" si="14"/>
        <v>0</v>
      </c>
      <c r="K89" s="553"/>
      <c r="L89" s="531"/>
      <c r="M89" s="553"/>
      <c r="N89" s="531"/>
      <c r="O89" s="553"/>
      <c r="P89" s="531"/>
      <c r="Q89" s="553"/>
      <c r="R89" s="531"/>
      <c r="S89" s="553"/>
      <c r="T89" s="531"/>
      <c r="U89" s="553"/>
      <c r="V89" s="531"/>
      <c r="W89" s="553"/>
      <c r="X89" s="531"/>
      <c r="Y89" s="553"/>
      <c r="Z89" s="531"/>
      <c r="AA89" s="289"/>
      <c r="AB89" s="524"/>
      <c r="AC89" s="531">
        <v>0</v>
      </c>
      <c r="AD89" s="264"/>
      <c r="AE89" s="524" t="s">
        <v>103</v>
      </c>
      <c r="AF89" s="531">
        <v>0</v>
      </c>
      <c r="AG89" s="287"/>
      <c r="AH89" s="708"/>
      <c r="AI89" s="264">
        <f t="shared" si="18"/>
        <v>0</v>
      </c>
      <c r="AJ89" s="264"/>
      <c r="AK89" s="542">
        <f>ROUND(IF(AF89=0,0,AI89/ABS(AF89)),3)</f>
        <v>0</v>
      </c>
      <c r="AL89" s="1783"/>
    </row>
    <row r="90" spans="1:38" ht="15" customHeight="1">
      <c r="A90" s="35"/>
      <c r="B90" s="350" t="s">
        <v>418</v>
      </c>
      <c r="C90" s="350"/>
      <c r="D90" s="531">
        <v>0</v>
      </c>
      <c r="E90" s="512"/>
      <c r="F90" s="531">
        <v>0</v>
      </c>
      <c r="G90" s="512"/>
      <c r="H90" s="531">
        <v>43.5</v>
      </c>
      <c r="I90" s="264"/>
      <c r="J90" s="531">
        <f t="shared" si="14"/>
        <v>-7.2000000000000028</v>
      </c>
      <c r="K90" s="553"/>
      <c r="L90" s="531"/>
      <c r="M90" s="553"/>
      <c r="N90" s="531"/>
      <c r="O90" s="553"/>
      <c r="P90" s="531"/>
      <c r="Q90" s="553"/>
      <c r="R90" s="531"/>
      <c r="S90" s="553"/>
      <c r="T90" s="531"/>
      <c r="U90" s="553"/>
      <c r="V90" s="531"/>
      <c r="W90" s="553"/>
      <c r="X90" s="531"/>
      <c r="Y90" s="553"/>
      <c r="Z90" s="531"/>
      <c r="AA90" s="289"/>
      <c r="AB90" s="524"/>
      <c r="AC90" s="531">
        <v>36.299999999999997</v>
      </c>
      <c r="AD90" s="264"/>
      <c r="AE90" s="524" t="s">
        <v>103</v>
      </c>
      <c r="AF90" s="531">
        <v>34.9</v>
      </c>
      <c r="AG90" s="287"/>
      <c r="AH90" s="708"/>
      <c r="AI90" s="264">
        <f t="shared" si="18"/>
        <v>1.4</v>
      </c>
      <c r="AJ90" s="264"/>
      <c r="AK90" s="542">
        <f>ROUND(IF(AF90=0,0,AI90/ABS(AF90)),3)</f>
        <v>0.04</v>
      </c>
      <c r="AL90" s="1783"/>
    </row>
    <row r="91" spans="1:38" ht="15" customHeight="1">
      <c r="A91" s="35"/>
      <c r="B91" s="350" t="s">
        <v>419</v>
      </c>
      <c r="C91" s="350"/>
      <c r="D91" s="531">
        <v>17.8</v>
      </c>
      <c r="E91" s="512"/>
      <c r="F91" s="531">
        <v>-20.3</v>
      </c>
      <c r="G91" s="512"/>
      <c r="H91" s="531">
        <v>5.6000000000000014</v>
      </c>
      <c r="I91" s="264"/>
      <c r="J91" s="531">
        <f t="shared" si="14"/>
        <v>3.5999999999999979</v>
      </c>
      <c r="K91" s="553"/>
      <c r="L91" s="531"/>
      <c r="M91" s="553"/>
      <c r="N91" s="531"/>
      <c r="O91" s="553"/>
      <c r="P91" s="531"/>
      <c r="Q91" s="553"/>
      <c r="R91" s="531"/>
      <c r="S91" s="553"/>
      <c r="T91" s="531"/>
      <c r="U91" s="553"/>
      <c r="V91" s="531"/>
      <c r="W91" s="553"/>
      <c r="X91" s="531"/>
      <c r="Y91" s="553"/>
      <c r="Z91" s="531"/>
      <c r="AA91" s="289"/>
      <c r="AB91" s="524"/>
      <c r="AC91" s="531">
        <v>6.7</v>
      </c>
      <c r="AD91" s="264"/>
      <c r="AE91" s="524" t="s">
        <v>103</v>
      </c>
      <c r="AF91" s="531">
        <v>55.3</v>
      </c>
      <c r="AG91" s="287"/>
      <c r="AH91" s="708"/>
      <c r="AI91" s="264">
        <f>ROUND(SUM(+AC91-AF91),1)</f>
        <v>-48.6</v>
      </c>
      <c r="AJ91" s="264"/>
      <c r="AK91" s="542">
        <f>ROUND(IF(AF91=0,1,AI91/ABS(AF91)),3)</f>
        <v>-0.879</v>
      </c>
      <c r="AL91" s="1783"/>
    </row>
    <row r="92" spans="1:38" ht="15" customHeight="1">
      <c r="A92" s="35"/>
      <c r="B92" s="350" t="s">
        <v>420</v>
      </c>
      <c r="C92" s="350"/>
      <c r="D92" s="531">
        <v>3.2</v>
      </c>
      <c r="E92" s="512"/>
      <c r="F92" s="531">
        <v>-0.5</v>
      </c>
      <c r="G92" s="512"/>
      <c r="H92" s="531">
        <v>-0.10000000000000009</v>
      </c>
      <c r="I92" s="264"/>
      <c r="J92" s="531">
        <f t="shared" si="14"/>
        <v>3.2</v>
      </c>
      <c r="K92" s="553"/>
      <c r="L92" s="531"/>
      <c r="M92" s="553"/>
      <c r="N92" s="531"/>
      <c r="O92" s="553"/>
      <c r="P92" s="531"/>
      <c r="Q92" s="553"/>
      <c r="R92" s="531"/>
      <c r="S92" s="553"/>
      <c r="T92" s="531"/>
      <c r="U92" s="553"/>
      <c r="V92" s="531"/>
      <c r="W92" s="553"/>
      <c r="X92" s="531"/>
      <c r="Y92" s="553"/>
      <c r="Z92" s="531"/>
      <c r="AA92" s="289"/>
      <c r="AB92" s="524"/>
      <c r="AC92" s="531">
        <v>5.8</v>
      </c>
      <c r="AD92" s="264"/>
      <c r="AE92" s="524" t="s">
        <v>103</v>
      </c>
      <c r="AF92" s="531">
        <v>1.7</v>
      </c>
      <c r="AG92" s="287"/>
      <c r="AH92" s="708"/>
      <c r="AI92" s="264">
        <f t="shared" si="18"/>
        <v>4.0999999999999996</v>
      </c>
      <c r="AJ92" s="264"/>
      <c r="AK92" s="542">
        <f>ROUND(IF(AF92=0,1,AI92/ABS(AF92)),3)</f>
        <v>2.4119999999999999</v>
      </c>
      <c r="AL92" s="1783"/>
    </row>
    <row r="93" spans="1:38" ht="15" customHeight="1">
      <c r="A93" s="35"/>
      <c r="B93" s="350" t="s">
        <v>421</v>
      </c>
      <c r="C93" s="350"/>
      <c r="D93" s="531">
        <v>0</v>
      </c>
      <c r="E93" s="512"/>
      <c r="F93" s="531">
        <v>0</v>
      </c>
      <c r="G93" s="512"/>
      <c r="H93" s="531">
        <v>0</v>
      </c>
      <c r="I93" s="264"/>
      <c r="J93" s="531">
        <f t="shared" si="14"/>
        <v>0.1</v>
      </c>
      <c r="K93" s="553"/>
      <c r="L93" s="531"/>
      <c r="M93" s="553"/>
      <c r="N93" s="531"/>
      <c r="O93" s="553"/>
      <c r="P93" s="531"/>
      <c r="Q93" s="553"/>
      <c r="R93" s="531"/>
      <c r="S93" s="553"/>
      <c r="T93" s="531"/>
      <c r="U93" s="553"/>
      <c r="V93" s="531"/>
      <c r="W93" s="553"/>
      <c r="X93" s="531"/>
      <c r="Y93" s="553"/>
      <c r="Z93" s="531"/>
      <c r="AA93" s="289"/>
      <c r="AB93" s="524"/>
      <c r="AC93" s="531">
        <v>0.1</v>
      </c>
      <c r="AD93" s="264"/>
      <c r="AE93" s="524" t="s">
        <v>103</v>
      </c>
      <c r="AF93" s="531">
        <v>0.1</v>
      </c>
      <c r="AG93" s="287"/>
      <c r="AH93" s="708"/>
      <c r="AI93" s="264">
        <f t="shared" si="18"/>
        <v>0</v>
      </c>
      <c r="AJ93" s="264"/>
      <c r="AK93" s="542">
        <f>ROUND(IF(AF93=0,0,AI93/ABS(AF93)),3)</f>
        <v>0</v>
      </c>
      <c r="AL93" s="1783"/>
    </row>
    <row r="94" spans="1:38" ht="15" customHeight="1">
      <c r="A94" s="35"/>
      <c r="B94" s="350" t="s">
        <v>422</v>
      </c>
      <c r="C94" s="350"/>
      <c r="D94" s="531">
        <v>0</v>
      </c>
      <c r="E94" s="512"/>
      <c r="F94" s="531">
        <v>0</v>
      </c>
      <c r="G94" s="512"/>
      <c r="H94" s="531">
        <v>0</v>
      </c>
      <c r="I94" s="264"/>
      <c r="J94" s="531">
        <f t="shared" si="14"/>
        <v>0</v>
      </c>
      <c r="K94" s="553"/>
      <c r="L94" s="531"/>
      <c r="M94" s="553"/>
      <c r="N94" s="531"/>
      <c r="O94" s="553"/>
      <c r="P94" s="531"/>
      <c r="Q94" s="553"/>
      <c r="R94" s="531"/>
      <c r="S94" s="553"/>
      <c r="T94" s="531"/>
      <c r="U94" s="553"/>
      <c r="V94" s="531"/>
      <c r="W94" s="553"/>
      <c r="X94" s="531"/>
      <c r="Y94" s="553"/>
      <c r="Z94" s="531"/>
      <c r="AA94" s="289"/>
      <c r="AB94" s="524"/>
      <c r="AC94" s="531">
        <v>0</v>
      </c>
      <c r="AD94" s="264"/>
      <c r="AE94" s="524" t="s">
        <v>103</v>
      </c>
      <c r="AF94" s="531">
        <v>0</v>
      </c>
      <c r="AG94" s="287"/>
      <c r="AH94" s="708"/>
      <c r="AI94" s="264">
        <f t="shared" si="18"/>
        <v>0</v>
      </c>
      <c r="AJ94" s="264"/>
      <c r="AK94" s="266">
        <f>ROUND(IF(AF94=0,0,AI94/ABS(AF94)),3)</f>
        <v>0</v>
      </c>
      <c r="AL94" s="1783"/>
    </row>
    <row r="95" spans="1:38" ht="15" customHeight="1">
      <c r="A95" s="35"/>
      <c r="B95" s="350" t="s">
        <v>423</v>
      </c>
      <c r="C95" s="350"/>
      <c r="D95" s="531">
        <v>-8.8000000000000007</v>
      </c>
      <c r="E95" s="512"/>
      <c r="F95" s="531">
        <v>-20.499999999999996</v>
      </c>
      <c r="G95" s="512"/>
      <c r="H95" s="531">
        <v>55.7</v>
      </c>
      <c r="I95" s="264"/>
      <c r="J95" s="531">
        <f t="shared" si="14"/>
        <v>4.6999999999999957</v>
      </c>
      <c r="K95" s="553"/>
      <c r="L95" s="531"/>
      <c r="M95" s="553"/>
      <c r="N95" s="531"/>
      <c r="O95" s="553"/>
      <c r="P95" s="531"/>
      <c r="Q95" s="553"/>
      <c r="R95" s="531"/>
      <c r="S95" s="553"/>
      <c r="T95" s="531"/>
      <c r="U95" s="553"/>
      <c r="V95" s="531"/>
      <c r="W95" s="553"/>
      <c r="X95" s="531"/>
      <c r="Y95" s="553"/>
      <c r="Z95" s="531"/>
      <c r="AA95" s="289"/>
      <c r="AB95" s="524"/>
      <c r="AC95" s="531">
        <v>31.1</v>
      </c>
      <c r="AD95" s="264"/>
      <c r="AE95" s="524" t="s">
        <v>103</v>
      </c>
      <c r="AF95" s="531">
        <v>70.099999999999994</v>
      </c>
      <c r="AG95" s="264"/>
      <c r="AH95" s="708"/>
      <c r="AI95" s="264">
        <f t="shared" si="18"/>
        <v>-39</v>
      </c>
      <c r="AJ95" s="264"/>
      <c r="AK95" s="542">
        <f>ROUND(IF(AF95=0,0,AI95/ABS(AF95)),3)</f>
        <v>-0.55600000000000005</v>
      </c>
      <c r="AL95" s="1783"/>
    </row>
    <row r="96" spans="1:38" ht="15" customHeight="1">
      <c r="A96" s="35"/>
      <c r="B96" s="350" t="s">
        <v>424</v>
      </c>
      <c r="C96" s="350"/>
      <c r="D96" s="531">
        <v>0</v>
      </c>
      <c r="E96" s="512"/>
      <c r="F96" s="531">
        <v>0.2</v>
      </c>
      <c r="G96" s="512"/>
      <c r="H96" s="531">
        <v>2.2999999999999998</v>
      </c>
      <c r="I96" s="264"/>
      <c r="J96" s="531">
        <f t="shared" si="14"/>
        <v>3.2</v>
      </c>
      <c r="K96" s="553"/>
      <c r="L96" s="531"/>
      <c r="M96" s="553"/>
      <c r="N96" s="531"/>
      <c r="O96" s="553"/>
      <c r="P96" s="531"/>
      <c r="Q96" s="553"/>
      <c r="R96" s="531"/>
      <c r="S96" s="553"/>
      <c r="T96" s="531"/>
      <c r="U96" s="553"/>
      <c r="V96" s="531"/>
      <c r="W96" s="553"/>
      <c r="X96" s="531"/>
      <c r="Y96" s="553"/>
      <c r="Z96" s="531"/>
      <c r="AA96" s="289"/>
      <c r="AB96" s="524"/>
      <c r="AC96" s="531">
        <v>5.7</v>
      </c>
      <c r="AD96" s="264"/>
      <c r="AE96" s="524" t="s">
        <v>103</v>
      </c>
      <c r="AF96" s="531">
        <v>0.1</v>
      </c>
      <c r="AG96" s="264"/>
      <c r="AH96" s="708"/>
      <c r="AI96" s="264">
        <f t="shared" si="18"/>
        <v>5.6</v>
      </c>
      <c r="AJ96" s="264"/>
      <c r="AK96" s="542">
        <f>ROUND(IF(AF96=0,0,AI96/ABS(AF96)),3)</f>
        <v>56</v>
      </c>
      <c r="AL96" s="1783"/>
    </row>
    <row r="97" spans="1:38" s="59" customFormat="1" ht="15" customHeight="1">
      <c r="A97" s="417"/>
      <c r="B97" s="83" t="s">
        <v>426</v>
      </c>
      <c r="C97" s="57"/>
      <c r="D97" s="672">
        <f>ROUND(SUM(D60:D96),1)</f>
        <v>490.4</v>
      </c>
      <c r="E97" s="418"/>
      <c r="F97" s="672">
        <f>ROUND(SUM(F60:F96),1)</f>
        <v>233.2</v>
      </c>
      <c r="G97" s="418"/>
      <c r="H97" s="672">
        <f>ROUND(SUM(H60:H96),1)</f>
        <v>414</v>
      </c>
      <c r="I97" s="13"/>
      <c r="J97" s="672">
        <f>ROUND(SUM(J60:J96),1)</f>
        <v>182.7</v>
      </c>
      <c r="K97" s="13"/>
      <c r="L97" s="672">
        <f>ROUND(SUM(L60:L96),1)</f>
        <v>0</v>
      </c>
      <c r="M97" s="13"/>
      <c r="N97" s="672">
        <f>ROUND(SUM(N60:N96),1)</f>
        <v>0</v>
      </c>
      <c r="O97" s="13"/>
      <c r="P97" s="672">
        <f>ROUND(SUM(P60:P96),1)</f>
        <v>0</v>
      </c>
      <c r="Q97" s="13"/>
      <c r="R97" s="672">
        <f>ROUND(SUM(R60:R96),1)</f>
        <v>0</v>
      </c>
      <c r="S97" s="13"/>
      <c r="T97" s="672">
        <f>ROUND(SUM(T60:T96),1)</f>
        <v>0</v>
      </c>
      <c r="U97" s="13"/>
      <c r="V97" s="672">
        <f>ROUND(SUM(V60:V96),1)</f>
        <v>0</v>
      </c>
      <c r="W97" s="13"/>
      <c r="X97" s="672">
        <f>ROUND(SUM(X60:X96),1)</f>
        <v>0</v>
      </c>
      <c r="Y97" s="13"/>
      <c r="Z97" s="672">
        <f>ROUND(SUM(Z60:Z96),1)</f>
        <v>0</v>
      </c>
      <c r="AA97" s="40"/>
      <c r="AB97" s="670"/>
      <c r="AC97" s="672">
        <f>ROUND(SUM(AC60:AC96),1)</f>
        <v>1320.3</v>
      </c>
      <c r="AD97" s="13"/>
      <c r="AE97" s="668" t="s">
        <v>103</v>
      </c>
      <c r="AF97" s="672">
        <f>ROUND(SUM(AF60:AF96),1)</f>
        <v>1499.7</v>
      </c>
      <c r="AG97" s="13"/>
      <c r="AH97" s="706"/>
      <c r="AI97" s="672">
        <f>ROUND(SUM(AI60:AI96),1)</f>
        <v>-179.4</v>
      </c>
      <c r="AJ97" s="13"/>
      <c r="AK97" s="922">
        <f>ROUND(SUM(+AI97/AF97),3)</f>
        <v>-0.12</v>
      </c>
      <c r="AL97" s="1783"/>
    </row>
    <row r="98" spans="1:38" s="59" customFormat="1" ht="8.25" customHeight="1">
      <c r="A98" s="417"/>
      <c r="B98" s="3"/>
      <c r="C98" s="57"/>
      <c r="D98" s="13"/>
      <c r="E98" s="418"/>
      <c r="F98" s="13"/>
      <c r="G98" s="418"/>
      <c r="H98" s="13"/>
      <c r="I98" s="13"/>
      <c r="J98" s="13"/>
      <c r="K98" s="13"/>
      <c r="L98" s="13"/>
      <c r="M98" s="13"/>
      <c r="N98" s="13"/>
      <c r="O98" s="13"/>
      <c r="P98" s="13"/>
      <c r="Q98" s="13"/>
      <c r="R98" s="13"/>
      <c r="S98" s="13"/>
      <c r="T98" s="13"/>
      <c r="U98" s="13"/>
      <c r="V98" s="13"/>
      <c r="W98" s="13"/>
      <c r="X98" s="13"/>
      <c r="Y98" s="13"/>
      <c r="Z98" s="13"/>
      <c r="AA98" s="40"/>
      <c r="AB98" s="670"/>
      <c r="AC98" s="13"/>
      <c r="AD98" s="13"/>
      <c r="AE98" s="668"/>
      <c r="AF98" s="13"/>
      <c r="AG98" s="13"/>
      <c r="AH98" s="706"/>
      <c r="AI98" s="13"/>
      <c r="AJ98" s="13"/>
      <c r="AK98" s="74"/>
      <c r="AL98" s="1783"/>
    </row>
    <row r="99" spans="1:38" ht="15" customHeight="1">
      <c r="A99" s="35"/>
      <c r="B99" s="291" t="s">
        <v>450</v>
      </c>
      <c r="C99" s="364"/>
      <c r="D99" s="531">
        <v>0</v>
      </c>
      <c r="E99" s="264"/>
      <c r="F99" s="531">
        <v>0</v>
      </c>
      <c r="G99" s="264"/>
      <c r="H99" s="531">
        <v>1.1000000000000001</v>
      </c>
      <c r="I99" s="264"/>
      <c r="J99" s="531">
        <f>$AC99-H99-F99-D99</f>
        <v>0.29999999999999982</v>
      </c>
      <c r="K99" s="553"/>
      <c r="L99" s="531"/>
      <c r="M99" s="553"/>
      <c r="N99" s="531"/>
      <c r="O99" s="553"/>
      <c r="P99" s="531"/>
      <c r="Q99" s="553"/>
      <c r="R99" s="531"/>
      <c r="S99" s="553"/>
      <c r="T99" s="531"/>
      <c r="U99" s="553"/>
      <c r="V99" s="531"/>
      <c r="W99" s="553"/>
      <c r="X99" s="531"/>
      <c r="Y99" s="553"/>
      <c r="Z99" s="531"/>
      <c r="AA99" s="289"/>
      <c r="AB99" s="524"/>
      <c r="AC99" s="531">
        <v>1.4</v>
      </c>
      <c r="AD99" s="264"/>
      <c r="AE99" s="524" t="s">
        <v>103</v>
      </c>
      <c r="AF99" s="531">
        <v>0.2</v>
      </c>
      <c r="AG99" s="264"/>
      <c r="AH99" s="705"/>
      <c r="AI99" s="382">
        <f>ROUND(SUM(+AC99-AF99),1)</f>
        <v>1.2</v>
      </c>
      <c r="AJ99" s="264"/>
      <c r="AK99" s="1021">
        <f>ROUND(IF(AF99=0,1,AI99/ABS(AF99)),3)</f>
        <v>6</v>
      </c>
      <c r="AL99" s="1783"/>
    </row>
    <row r="100" spans="1:38" ht="4.4000000000000004" customHeight="1">
      <c r="A100" s="35"/>
      <c r="B100" s="291"/>
      <c r="C100" s="364"/>
      <c r="D100" s="615"/>
      <c r="E100" s="264"/>
      <c r="F100" s="615"/>
      <c r="G100" s="264"/>
      <c r="H100" s="615"/>
      <c r="I100" s="264"/>
      <c r="J100" s="615"/>
      <c r="K100" s="264"/>
      <c r="L100" s="615"/>
      <c r="M100" s="264"/>
      <c r="N100" s="615"/>
      <c r="O100" s="264"/>
      <c r="P100" s="1022"/>
      <c r="Q100" s="264"/>
      <c r="R100" s="615"/>
      <c r="S100" s="264"/>
      <c r="T100" s="615"/>
      <c r="U100" s="264"/>
      <c r="V100" s="615"/>
      <c r="W100" s="264"/>
      <c r="X100" s="615"/>
      <c r="Y100" s="264"/>
      <c r="Z100" s="615"/>
      <c r="AA100" s="364"/>
      <c r="AB100" s="1019"/>
      <c r="AC100" s="615"/>
      <c r="AD100" s="264"/>
      <c r="AE100" s="524" t="s">
        <v>103</v>
      </c>
      <c r="AF100" s="615"/>
      <c r="AG100" s="264"/>
      <c r="AH100" s="705"/>
      <c r="AI100" s="264"/>
      <c r="AJ100" s="264"/>
      <c r="AK100" s="283"/>
      <c r="AL100" s="1783"/>
    </row>
    <row r="101" spans="1:38" ht="15" customHeight="1">
      <c r="A101" s="35"/>
      <c r="B101" s="3" t="s">
        <v>427</v>
      </c>
      <c r="C101" s="364"/>
      <c r="D101" s="357">
        <f>ROUND(SUM(D99+D97+D56),1)</f>
        <v>7649.5</v>
      </c>
      <c r="E101" s="13"/>
      <c r="F101" s="357">
        <f>ROUND(SUM(F99+F97+F56),1)</f>
        <v>3450.7</v>
      </c>
      <c r="G101" s="13"/>
      <c r="H101" s="357">
        <f>ROUND(SUM(H99+H97+H56),1)</f>
        <v>9416.9</v>
      </c>
      <c r="I101" s="13"/>
      <c r="J101" s="357">
        <f>ROUND(SUM(J99+J97+J56),1)</f>
        <v>3927.2</v>
      </c>
      <c r="K101" s="13"/>
      <c r="L101" s="357">
        <f>ROUND(SUM(L99+L97+L56),1)</f>
        <v>0</v>
      </c>
      <c r="M101" s="13"/>
      <c r="N101" s="357">
        <f>ROUND(SUM(N99+N97+N56),1)</f>
        <v>0</v>
      </c>
      <c r="O101" s="13"/>
      <c r="P101" s="357">
        <f>ROUND(SUM(P99+P97+P56),1)</f>
        <v>0</v>
      </c>
      <c r="Q101" s="13"/>
      <c r="R101" s="357">
        <f>ROUND(SUM(R99+R97+R56),1)</f>
        <v>0</v>
      </c>
      <c r="S101" s="13"/>
      <c r="T101" s="357">
        <f>ROUND(SUM(T99+T97+T56),1)</f>
        <v>0</v>
      </c>
      <c r="U101" s="13"/>
      <c r="V101" s="357">
        <f>ROUND(SUM(V99+V97+V56),1)</f>
        <v>0</v>
      </c>
      <c r="W101" s="13"/>
      <c r="X101" s="357">
        <f>ROUND(SUM(X99+X97+X56),1)</f>
        <v>0</v>
      </c>
      <c r="Y101" s="13"/>
      <c r="Z101" s="357">
        <f>ROUND(SUM(Z99+Z97+Z56),1)</f>
        <v>0</v>
      </c>
      <c r="AA101" s="40"/>
      <c r="AB101" s="670"/>
      <c r="AC101" s="357">
        <f>ROUND(SUM(AC99+AC97+AC56),1)</f>
        <v>24444.3</v>
      </c>
      <c r="AD101" s="13"/>
      <c r="AE101" s="668"/>
      <c r="AF101" s="357">
        <f>ROUND(SUM(AF99+AF97+AF56),1)</f>
        <v>21984</v>
      </c>
      <c r="AG101" s="13"/>
      <c r="AH101" s="706"/>
      <c r="AI101" s="357">
        <f>ROUND(SUM(AI99+AI97+AI56),1)</f>
        <v>2460.3000000000002</v>
      </c>
      <c r="AJ101" s="13"/>
      <c r="AK101" s="368">
        <f>ROUND(SUM(+AI101/AF101),3)</f>
        <v>0.112</v>
      </c>
      <c r="AL101" s="1783"/>
    </row>
    <row r="102" spans="1:38" ht="15" customHeight="1">
      <c r="A102" s="35"/>
      <c r="B102" s="291"/>
      <c r="C102" s="364"/>
      <c r="D102" s="264"/>
      <c r="E102" s="264"/>
      <c r="F102" s="264"/>
      <c r="G102" s="264"/>
      <c r="H102" s="264"/>
      <c r="I102" s="264"/>
      <c r="J102" s="264"/>
      <c r="K102" s="264"/>
      <c r="L102" s="615"/>
      <c r="M102" s="264"/>
      <c r="N102" s="615"/>
      <c r="O102" s="264"/>
      <c r="P102" s="264"/>
      <c r="Q102" s="264"/>
      <c r="R102" s="264"/>
      <c r="S102" s="264"/>
      <c r="T102" s="264"/>
      <c r="U102" s="264"/>
      <c r="V102" s="264"/>
      <c r="W102" s="264"/>
      <c r="X102" s="264"/>
      <c r="Y102" s="264"/>
      <c r="Z102" s="264"/>
      <c r="AA102" s="268"/>
      <c r="AB102" s="1019"/>
      <c r="AC102" s="264"/>
      <c r="AD102" s="264"/>
      <c r="AE102" s="524"/>
      <c r="AF102" s="264"/>
      <c r="AG102" s="264"/>
      <c r="AH102" s="705"/>
      <c r="AI102" s="264"/>
      <c r="AJ102" s="264"/>
      <c r="AK102" s="283"/>
      <c r="AL102" s="1783"/>
    </row>
    <row r="103" spans="1:38" ht="15" customHeight="1">
      <c r="A103" s="35"/>
      <c r="B103" s="3" t="s">
        <v>122</v>
      </c>
      <c r="C103" s="364"/>
      <c r="D103" s="264"/>
      <c r="E103" s="264"/>
      <c r="F103" s="264"/>
      <c r="G103" s="264"/>
      <c r="H103" s="264"/>
      <c r="I103" s="264"/>
      <c r="J103" s="264"/>
      <c r="K103" s="264"/>
      <c r="L103" s="264"/>
      <c r="M103" s="264"/>
      <c r="N103" s="264"/>
      <c r="O103" s="264"/>
      <c r="P103" s="264"/>
      <c r="Q103" s="264"/>
      <c r="R103" s="264"/>
      <c r="S103" s="264"/>
      <c r="T103" s="264"/>
      <c r="U103" s="264"/>
      <c r="V103" s="264"/>
      <c r="W103" s="264"/>
      <c r="X103" s="264"/>
      <c r="Y103" s="264"/>
      <c r="Z103" s="264"/>
      <c r="AA103" s="268"/>
      <c r="AB103" s="1019"/>
      <c r="AC103" s="264"/>
      <c r="AD103" s="264"/>
      <c r="AE103" s="524"/>
      <c r="AF103" s="264"/>
      <c r="AG103" s="264"/>
      <c r="AH103" s="705"/>
      <c r="AI103" s="264"/>
      <c r="AJ103" s="264"/>
      <c r="AK103" s="283"/>
      <c r="AL103" s="1783"/>
    </row>
    <row r="104" spans="1:38" ht="15" customHeight="1">
      <c r="A104" s="35"/>
      <c r="B104" s="291" t="s">
        <v>451</v>
      </c>
      <c r="C104" s="364"/>
      <c r="D104" s="264"/>
      <c r="E104" s="264"/>
      <c r="F104" s="264"/>
      <c r="G104" s="264"/>
      <c r="H104" s="264"/>
      <c r="I104" s="264"/>
      <c r="J104" s="264"/>
      <c r="K104" s="264"/>
      <c r="L104" s="264"/>
      <c r="M104" s="264"/>
      <c r="N104" s="264"/>
      <c r="O104" s="264"/>
      <c r="P104" s="264"/>
      <c r="Q104" s="264"/>
      <c r="R104" s="264"/>
      <c r="S104" s="264"/>
      <c r="T104" s="264"/>
      <c r="U104" s="264"/>
      <c r="V104" s="264"/>
      <c r="W104" s="264"/>
      <c r="X104" s="264"/>
      <c r="Y104" s="264"/>
      <c r="Z104" s="512"/>
      <c r="AA104" s="268"/>
      <c r="AB104" s="1019"/>
      <c r="AC104" s="288"/>
      <c r="AD104" s="264"/>
      <c r="AE104" s="524"/>
      <c r="AF104" s="288"/>
      <c r="AG104" s="709"/>
      <c r="AH104" s="705"/>
      <c r="AI104" s="264"/>
      <c r="AJ104" s="264"/>
      <c r="AK104" s="283"/>
      <c r="AL104" s="1783"/>
    </row>
    <row r="105" spans="1:38" ht="15" customHeight="1">
      <c r="A105" s="35"/>
      <c r="B105" s="384" t="s">
        <v>124</v>
      </c>
      <c r="C105" s="364"/>
      <c r="D105" s="531">
        <v>2528.3000000000002</v>
      </c>
      <c r="E105" s="512"/>
      <c r="F105" s="531">
        <v>5871.9999999999991</v>
      </c>
      <c r="G105" s="512"/>
      <c r="H105" s="531">
        <v>2744.5</v>
      </c>
      <c r="I105" s="264"/>
      <c r="J105" s="531">
        <f>$AC105-H105-F105-D105</f>
        <v>516.90000000000146</v>
      </c>
      <c r="K105" s="553"/>
      <c r="L105" s="531"/>
      <c r="M105" s="553"/>
      <c r="N105" s="531"/>
      <c r="O105" s="553"/>
      <c r="P105" s="531"/>
      <c r="Q105" s="553"/>
      <c r="R105" s="531"/>
      <c r="S105" s="553"/>
      <c r="T105" s="531"/>
      <c r="U105" s="553"/>
      <c r="V105" s="531"/>
      <c r="W105" s="553"/>
      <c r="X105" s="531"/>
      <c r="Y105" s="553"/>
      <c r="Z105" s="531"/>
      <c r="AA105" s="289"/>
      <c r="AB105" s="524"/>
      <c r="AC105" s="531">
        <v>11661.7</v>
      </c>
      <c r="AD105" s="264"/>
      <c r="AE105" s="524" t="s">
        <v>103</v>
      </c>
      <c r="AF105" s="531">
        <v>11598.7</v>
      </c>
      <c r="AG105" s="709"/>
      <c r="AH105" s="705"/>
      <c r="AI105" s="264">
        <f>ROUND(SUM(+AC105-AF105),1)</f>
        <v>63</v>
      </c>
      <c r="AJ105" s="264"/>
      <c r="AK105" s="266">
        <f>ROUND(IF(AF105=0,0,AI105/ABS(AF105)),3)</f>
        <v>5.0000000000000001E-3</v>
      </c>
      <c r="AL105" s="1783"/>
    </row>
    <row r="106" spans="1:38" ht="15" customHeight="1">
      <c r="A106" s="35"/>
      <c r="B106" s="384" t="s">
        <v>125</v>
      </c>
      <c r="C106" s="364"/>
      <c r="D106" s="531">
        <v>0.3</v>
      </c>
      <c r="E106" s="512"/>
      <c r="F106" s="531">
        <v>0.3</v>
      </c>
      <c r="G106" s="512"/>
      <c r="H106" s="531">
        <v>2.4000000000000004</v>
      </c>
      <c r="I106" s="264"/>
      <c r="J106" s="531">
        <f t="shared" ref="J106:J114" si="21">$AC106-H106-F106-D106</f>
        <v>0.79999999999999938</v>
      </c>
      <c r="K106" s="553"/>
      <c r="L106" s="531"/>
      <c r="M106" s="553"/>
      <c r="N106" s="531"/>
      <c r="O106" s="553"/>
      <c r="P106" s="531"/>
      <c r="Q106" s="553"/>
      <c r="R106" s="531"/>
      <c r="S106" s="553"/>
      <c r="T106" s="531"/>
      <c r="U106" s="553"/>
      <c r="V106" s="531"/>
      <c r="W106" s="553"/>
      <c r="X106" s="531"/>
      <c r="Y106" s="553"/>
      <c r="Z106" s="531"/>
      <c r="AA106" s="289"/>
      <c r="AB106" s="524"/>
      <c r="AC106" s="531">
        <v>3.8</v>
      </c>
      <c r="AD106" s="264"/>
      <c r="AE106" s="524" t="s">
        <v>103</v>
      </c>
      <c r="AF106" s="531">
        <v>0.7</v>
      </c>
      <c r="AG106" s="264"/>
      <c r="AH106" s="705"/>
      <c r="AI106" s="264">
        <f t="shared" ref="AI106:AI114" si="22">ROUND(SUM(+AC106-AF106),1)</f>
        <v>3.1</v>
      </c>
      <c r="AJ106" s="264"/>
      <c r="AK106" s="542">
        <f>ROUND(IF(AF106=0,1,AI106/ABS(AF106)),3)</f>
        <v>4.4290000000000003</v>
      </c>
      <c r="AL106" s="1783"/>
    </row>
    <row r="107" spans="1:38" ht="15" customHeight="1">
      <c r="A107" s="35"/>
      <c r="B107" s="384" t="s">
        <v>126</v>
      </c>
      <c r="C107" s="364"/>
      <c r="D107" s="531">
        <v>28.2</v>
      </c>
      <c r="E107" s="512"/>
      <c r="F107" s="531">
        <v>57</v>
      </c>
      <c r="G107" s="512"/>
      <c r="H107" s="531">
        <v>750.9</v>
      </c>
      <c r="I107" s="264"/>
      <c r="J107" s="531">
        <f t="shared" si="21"/>
        <v>57.099999999999952</v>
      </c>
      <c r="K107" s="553"/>
      <c r="L107" s="531"/>
      <c r="M107" s="553"/>
      <c r="N107" s="531"/>
      <c r="O107" s="553"/>
      <c r="P107" s="531"/>
      <c r="Q107" s="553"/>
      <c r="R107" s="531"/>
      <c r="S107" s="553"/>
      <c r="T107" s="531"/>
      <c r="U107" s="553"/>
      <c r="V107" s="531"/>
      <c r="W107" s="553"/>
      <c r="X107" s="531"/>
      <c r="Y107" s="553"/>
      <c r="Z107" s="531"/>
      <c r="AA107" s="289"/>
      <c r="AB107" s="524"/>
      <c r="AC107" s="531">
        <v>893.19999999999993</v>
      </c>
      <c r="AD107" s="264"/>
      <c r="AE107" s="524" t="s">
        <v>103</v>
      </c>
      <c r="AF107" s="531">
        <v>576.29999999999995</v>
      </c>
      <c r="AG107" s="264"/>
      <c r="AH107" s="705"/>
      <c r="AI107" s="264">
        <f t="shared" si="22"/>
        <v>316.89999999999998</v>
      </c>
      <c r="AJ107" s="264"/>
      <c r="AK107" s="266">
        <f>ROUND(IF(AF107=0,0,AI107/ABS(AF107)),3)</f>
        <v>0.55000000000000004</v>
      </c>
      <c r="AL107" s="1783"/>
    </row>
    <row r="108" spans="1:38" ht="15" customHeight="1">
      <c r="A108" s="35"/>
      <c r="B108" s="384" t="s">
        <v>127</v>
      </c>
      <c r="C108" s="364"/>
      <c r="D108" s="531"/>
      <c r="E108" s="512"/>
      <c r="F108" s="531"/>
      <c r="G108" s="512"/>
      <c r="H108" s="531"/>
      <c r="I108" s="264"/>
      <c r="J108" s="531"/>
      <c r="K108" s="553"/>
      <c r="L108" s="531"/>
      <c r="M108" s="553"/>
      <c r="N108" s="531"/>
      <c r="O108" s="553"/>
      <c r="P108" s="531"/>
      <c r="Q108" s="553"/>
      <c r="R108" s="531"/>
      <c r="S108" s="553"/>
      <c r="T108" s="531"/>
      <c r="U108" s="553"/>
      <c r="V108" s="531"/>
      <c r="W108" s="553"/>
      <c r="X108" s="531"/>
      <c r="Y108" s="553"/>
      <c r="Z108" s="531"/>
      <c r="AA108" s="289"/>
      <c r="AB108" s="524"/>
      <c r="AC108" s="512"/>
      <c r="AD108" s="264"/>
      <c r="AE108" s="524" t="s">
        <v>103</v>
      </c>
      <c r="AF108" s="512"/>
      <c r="AG108" s="264"/>
      <c r="AH108" s="705"/>
      <c r="AI108" s="264" t="s">
        <v>103</v>
      </c>
      <c r="AJ108" s="264"/>
      <c r="AK108" s="283" t="s">
        <v>103</v>
      </c>
      <c r="AL108" s="1783"/>
    </row>
    <row r="109" spans="1:38" ht="15" customHeight="1">
      <c r="A109" s="35"/>
      <c r="B109" s="1023" t="s">
        <v>128</v>
      </c>
      <c r="C109" s="364"/>
      <c r="D109" s="531">
        <v>4456.2</v>
      </c>
      <c r="E109" s="512"/>
      <c r="F109" s="531">
        <v>3787.5999999999995</v>
      </c>
      <c r="G109" s="512"/>
      <c r="H109" s="531">
        <v>1572.4000000000015</v>
      </c>
      <c r="I109" s="264"/>
      <c r="J109" s="531">
        <f t="shared" si="21"/>
        <v>3777.199999999998</v>
      </c>
      <c r="K109" s="553"/>
      <c r="L109" s="531"/>
      <c r="M109" s="553"/>
      <c r="N109" s="531"/>
      <c r="O109" s="553"/>
      <c r="P109" s="531"/>
      <c r="Q109" s="553"/>
      <c r="R109" s="531"/>
      <c r="S109" s="553"/>
      <c r="T109" s="531"/>
      <c r="U109" s="553"/>
      <c r="V109" s="531"/>
      <c r="W109" s="553"/>
      <c r="X109" s="531"/>
      <c r="Y109" s="553"/>
      <c r="Z109" s="531"/>
      <c r="AA109" s="289"/>
      <c r="AB109" s="524"/>
      <c r="AC109" s="531">
        <v>13593.4</v>
      </c>
      <c r="AD109" s="264"/>
      <c r="AE109" s="524" t="s">
        <v>103</v>
      </c>
      <c r="AF109" s="531">
        <v>12252.8</v>
      </c>
      <c r="AG109" s="264"/>
      <c r="AH109" s="705"/>
      <c r="AI109" s="264">
        <f t="shared" si="22"/>
        <v>1340.6</v>
      </c>
      <c r="AJ109" s="264"/>
      <c r="AK109" s="542">
        <f t="shared" ref="AK109:AK112" si="23">ROUND(IF(AF109=0,0,AI109/ABS(AF109)),3)</f>
        <v>0.109</v>
      </c>
      <c r="AL109" s="1783"/>
    </row>
    <row r="110" spans="1:38" ht="15" customHeight="1">
      <c r="A110" s="35"/>
      <c r="B110" s="384" t="s">
        <v>129</v>
      </c>
      <c r="C110" s="364"/>
      <c r="D110" s="531">
        <v>113.8</v>
      </c>
      <c r="E110" s="512"/>
      <c r="F110" s="531">
        <v>169.5</v>
      </c>
      <c r="G110" s="512"/>
      <c r="H110" s="531">
        <v>472.7</v>
      </c>
      <c r="I110" s="264"/>
      <c r="J110" s="531">
        <f t="shared" si="21"/>
        <v>325.99999999999994</v>
      </c>
      <c r="K110" s="553"/>
      <c r="L110" s="531"/>
      <c r="M110" s="553"/>
      <c r="N110" s="531"/>
      <c r="O110" s="553"/>
      <c r="P110" s="531"/>
      <c r="Q110" s="553"/>
      <c r="R110" s="531"/>
      <c r="S110" s="553"/>
      <c r="T110" s="531"/>
      <c r="U110" s="553"/>
      <c r="V110" s="531"/>
      <c r="W110" s="553"/>
      <c r="X110" s="531"/>
      <c r="Y110" s="553"/>
      <c r="Z110" s="531"/>
      <c r="AA110" s="289"/>
      <c r="AB110" s="524"/>
      <c r="AC110" s="531">
        <v>1082</v>
      </c>
      <c r="AD110" s="264"/>
      <c r="AE110" s="524" t="s">
        <v>103</v>
      </c>
      <c r="AF110" s="531">
        <v>1182.4000000000001</v>
      </c>
      <c r="AG110" s="264"/>
      <c r="AH110" s="705"/>
      <c r="AI110" s="264">
        <f t="shared" si="22"/>
        <v>-100.4</v>
      </c>
      <c r="AJ110" s="264"/>
      <c r="AK110" s="266">
        <f t="shared" si="23"/>
        <v>-8.5000000000000006E-2</v>
      </c>
      <c r="AL110" s="1783"/>
    </row>
    <row r="111" spans="1:38" ht="15" customHeight="1">
      <c r="A111" s="35"/>
      <c r="B111" s="384" t="s">
        <v>130</v>
      </c>
      <c r="C111" s="364"/>
      <c r="D111" s="531">
        <v>57.2</v>
      </c>
      <c r="E111" s="512"/>
      <c r="F111" s="531">
        <v>43.2</v>
      </c>
      <c r="G111" s="512"/>
      <c r="H111" s="531">
        <v>50.400000000000006</v>
      </c>
      <c r="I111" s="264"/>
      <c r="J111" s="531">
        <f t="shared" si="21"/>
        <v>39.5</v>
      </c>
      <c r="K111" s="553"/>
      <c r="L111" s="531"/>
      <c r="M111" s="553"/>
      <c r="N111" s="531"/>
      <c r="O111" s="553"/>
      <c r="P111" s="531"/>
      <c r="Q111" s="553"/>
      <c r="R111" s="531"/>
      <c r="S111" s="553"/>
      <c r="T111" s="531"/>
      <c r="U111" s="553"/>
      <c r="V111" s="531"/>
      <c r="W111" s="553"/>
      <c r="X111" s="531"/>
      <c r="Y111" s="553"/>
      <c r="Z111" s="531"/>
      <c r="AA111" s="289"/>
      <c r="AB111" s="524"/>
      <c r="AC111" s="531">
        <v>190.3</v>
      </c>
      <c r="AD111" s="264"/>
      <c r="AE111" s="524" t="s">
        <v>103</v>
      </c>
      <c r="AF111" s="531">
        <v>110.4</v>
      </c>
      <c r="AG111" s="264"/>
      <c r="AH111" s="705" t="s">
        <v>103</v>
      </c>
      <c r="AI111" s="264">
        <f t="shared" si="22"/>
        <v>79.900000000000006</v>
      </c>
      <c r="AJ111" s="264"/>
      <c r="AK111" s="266">
        <f t="shared" si="23"/>
        <v>0.72399999999999998</v>
      </c>
      <c r="AL111" s="1783"/>
    </row>
    <row r="112" spans="1:38" ht="15" customHeight="1">
      <c r="A112" s="35"/>
      <c r="B112" s="384" t="s">
        <v>131</v>
      </c>
      <c r="C112" s="364"/>
      <c r="D112" s="531">
        <v>209.6</v>
      </c>
      <c r="E112" s="512"/>
      <c r="F112" s="531">
        <v>182.79999999999998</v>
      </c>
      <c r="G112" s="512"/>
      <c r="H112" s="531">
        <v>534.4</v>
      </c>
      <c r="I112" s="264"/>
      <c r="J112" s="531">
        <f t="shared" si="21"/>
        <v>208.79999999999998</v>
      </c>
      <c r="K112" s="553"/>
      <c r="L112" s="531"/>
      <c r="M112" s="553"/>
      <c r="N112" s="531"/>
      <c r="O112" s="553"/>
      <c r="P112" s="531"/>
      <c r="Q112" s="553"/>
      <c r="R112" s="531"/>
      <c r="S112" s="553"/>
      <c r="T112" s="531"/>
      <c r="U112" s="553"/>
      <c r="V112" s="531"/>
      <c r="W112" s="553"/>
      <c r="X112" s="531"/>
      <c r="Y112" s="553"/>
      <c r="Z112" s="531"/>
      <c r="AA112" s="289"/>
      <c r="AB112" s="524"/>
      <c r="AC112" s="531">
        <v>1135.5999999999999</v>
      </c>
      <c r="AD112" s="264"/>
      <c r="AE112" s="524" t="s">
        <v>103</v>
      </c>
      <c r="AF112" s="531">
        <v>922.6</v>
      </c>
      <c r="AG112" s="264"/>
      <c r="AH112" s="705"/>
      <c r="AI112" s="264">
        <f t="shared" si="22"/>
        <v>213</v>
      </c>
      <c r="AJ112" s="264"/>
      <c r="AK112" s="266">
        <f t="shared" si="23"/>
        <v>0.23100000000000001</v>
      </c>
      <c r="AL112" s="1783"/>
    </row>
    <row r="113" spans="1:38" ht="15" customHeight="1">
      <c r="A113" s="35"/>
      <c r="B113" s="384" t="s">
        <v>132</v>
      </c>
      <c r="C113" s="364"/>
      <c r="D113" s="531">
        <v>21.5</v>
      </c>
      <c r="E113" s="512"/>
      <c r="F113" s="531">
        <v>21.9</v>
      </c>
      <c r="G113" s="512"/>
      <c r="H113" s="531">
        <v>26.800000000000004</v>
      </c>
      <c r="I113" s="264"/>
      <c r="J113" s="531">
        <f>$AC113-H113-F113-D113</f>
        <v>22.399999999999984</v>
      </c>
      <c r="K113" s="553"/>
      <c r="L113" s="531"/>
      <c r="M113" s="553"/>
      <c r="N113" s="531"/>
      <c r="O113" s="553"/>
      <c r="P113" s="531"/>
      <c r="Q113" s="553"/>
      <c r="R113" s="531"/>
      <c r="S113" s="553"/>
      <c r="T113" s="531"/>
      <c r="U113" s="553"/>
      <c r="V113" s="531"/>
      <c r="W113" s="553"/>
      <c r="X113" s="531"/>
      <c r="Y113" s="553"/>
      <c r="Z113" s="531"/>
      <c r="AA113" s="289"/>
      <c r="AB113" s="524"/>
      <c r="AC113" s="531">
        <v>92.6</v>
      </c>
      <c r="AD113" s="264"/>
      <c r="AE113" s="524" t="s">
        <v>103</v>
      </c>
      <c r="AF113" s="531">
        <v>83.9</v>
      </c>
      <c r="AG113" s="264"/>
      <c r="AH113" s="705"/>
      <c r="AI113" s="264">
        <f t="shared" si="22"/>
        <v>8.6999999999999993</v>
      </c>
      <c r="AJ113" s="264"/>
      <c r="AK113" s="542">
        <f>ROUND(IF(AF113=0,0,AI113/ABS(AF113)),3)</f>
        <v>0.104</v>
      </c>
      <c r="AL113" s="1783"/>
    </row>
    <row r="114" spans="1:38" ht="15" customHeight="1">
      <c r="A114" s="35"/>
      <c r="B114" s="384" t="s">
        <v>133</v>
      </c>
      <c r="C114" s="364"/>
      <c r="D114" s="531">
        <v>0.2</v>
      </c>
      <c r="E114" s="512"/>
      <c r="F114" s="531">
        <v>53.5</v>
      </c>
      <c r="G114" s="512"/>
      <c r="H114" s="531">
        <v>19.099999999999998</v>
      </c>
      <c r="I114" s="264"/>
      <c r="J114" s="531">
        <f t="shared" si="21"/>
        <v>0.20000000000000567</v>
      </c>
      <c r="K114" s="553"/>
      <c r="L114" s="531"/>
      <c r="M114" s="553"/>
      <c r="N114" s="531"/>
      <c r="O114" s="553"/>
      <c r="P114" s="531"/>
      <c r="Q114" s="553"/>
      <c r="R114" s="531"/>
      <c r="S114" s="553"/>
      <c r="T114" s="531"/>
      <c r="U114" s="553"/>
      <c r="V114" s="531"/>
      <c r="W114" s="553"/>
      <c r="X114" s="531"/>
      <c r="Y114" s="553"/>
      <c r="Z114" s="531"/>
      <c r="AA114" s="289"/>
      <c r="AB114" s="524"/>
      <c r="AC114" s="531">
        <v>73</v>
      </c>
      <c r="AD114" s="264"/>
      <c r="AE114" s="524" t="s">
        <v>103</v>
      </c>
      <c r="AF114" s="531">
        <v>114</v>
      </c>
      <c r="AG114" s="367"/>
      <c r="AH114" s="710"/>
      <c r="AI114" s="264">
        <f t="shared" si="22"/>
        <v>-41</v>
      </c>
      <c r="AJ114" s="367"/>
      <c r="AK114" s="542">
        <f>ROUND(IF(AF114=0,1,AI114/ABS(AF114)),3)</f>
        <v>-0.36</v>
      </c>
      <c r="AL114" s="1783"/>
    </row>
    <row r="115" spans="1:38" ht="15" customHeight="1">
      <c r="A115" s="35"/>
      <c r="B115" s="291" t="s">
        <v>452</v>
      </c>
      <c r="C115" s="364"/>
      <c r="D115" s="672">
        <f>ROUND(SUM(D105:D114),1)</f>
        <v>7415.3</v>
      </c>
      <c r="E115" s="13"/>
      <c r="F115" s="672">
        <f>ROUND(SUM(F105:F114),1)</f>
        <v>10187.799999999999</v>
      </c>
      <c r="G115" s="13"/>
      <c r="H115" s="672">
        <f>ROUND(SUM(H105:H114),1)</f>
        <v>6173.6</v>
      </c>
      <c r="I115" s="13"/>
      <c r="J115" s="672">
        <f>ROUND(SUM(J105:J114),1)</f>
        <v>4948.8999999999996</v>
      </c>
      <c r="K115" s="13"/>
      <c r="L115" s="672">
        <f>ROUND(SUM(L105:L114),1)</f>
        <v>0</v>
      </c>
      <c r="M115" s="13"/>
      <c r="N115" s="672">
        <f>ROUND(SUM(N105:N114),1)</f>
        <v>0</v>
      </c>
      <c r="O115" s="13"/>
      <c r="P115" s="672">
        <f>ROUND(SUM(P105:P114),1)</f>
        <v>0</v>
      </c>
      <c r="Q115" s="13"/>
      <c r="R115" s="672">
        <f>ROUND(SUM(R105:R114),1)</f>
        <v>0</v>
      </c>
      <c r="S115" s="13"/>
      <c r="T115" s="672">
        <f>ROUND(SUM(T105:T114),1)</f>
        <v>0</v>
      </c>
      <c r="U115" s="13"/>
      <c r="V115" s="672">
        <f>ROUND(SUM(V105:V114),1)</f>
        <v>0</v>
      </c>
      <c r="W115" s="13"/>
      <c r="X115" s="672">
        <f>ROUND(SUM(X105:X114),1)</f>
        <v>0</v>
      </c>
      <c r="Y115" s="13"/>
      <c r="Z115" s="672">
        <f>ROUND(SUM(Z105:Z114),1)</f>
        <v>0</v>
      </c>
      <c r="AA115" s="40"/>
      <c r="AB115" s="670"/>
      <c r="AC115" s="672">
        <f>ROUND(SUM(AC105:AC114),1)</f>
        <v>28725.599999999999</v>
      </c>
      <c r="AD115" s="13"/>
      <c r="AE115" s="668" t="s">
        <v>103</v>
      </c>
      <c r="AF115" s="672">
        <f>ROUND(SUM(AF105:AF114),1)</f>
        <v>26841.8</v>
      </c>
      <c r="AG115" s="13"/>
      <c r="AH115" s="706"/>
      <c r="AI115" s="672">
        <f>ROUND(SUM(+AC115-AF115),1)</f>
        <v>1883.8</v>
      </c>
      <c r="AJ115" s="13"/>
      <c r="AK115" s="1189">
        <f>ROUND(SUM(AI115/AF115),3)</f>
        <v>7.0000000000000007E-2</v>
      </c>
      <c r="AL115" s="1783"/>
    </row>
    <row r="116" spans="1:38" ht="15" customHeight="1">
      <c r="A116" s="35"/>
      <c r="B116" s="291" t="s">
        <v>453</v>
      </c>
      <c r="C116" s="364"/>
      <c r="D116" s="264"/>
      <c r="E116" s="264"/>
      <c r="F116" s="264"/>
      <c r="G116" s="264"/>
      <c r="H116" s="264"/>
      <c r="I116" s="264"/>
      <c r="J116" s="264"/>
      <c r="K116" s="264"/>
      <c r="L116" s="264"/>
      <c r="M116" s="264"/>
      <c r="N116" s="264"/>
      <c r="O116" s="264"/>
      <c r="P116" s="264"/>
      <c r="Q116" s="264"/>
      <c r="R116" s="264"/>
      <c r="S116" s="264"/>
      <c r="T116" s="264"/>
      <c r="U116" s="264"/>
      <c r="V116" s="264"/>
      <c r="W116" s="264"/>
      <c r="X116" s="264"/>
      <c r="Y116" s="264"/>
      <c r="Z116" s="264"/>
      <c r="AA116" s="268"/>
      <c r="AB116" s="1019"/>
      <c r="AC116" s="264"/>
      <c r="AD116" s="264"/>
      <c r="AE116" s="524"/>
      <c r="AF116" s="264"/>
      <c r="AG116" s="264"/>
      <c r="AH116" s="705"/>
      <c r="AI116" s="264"/>
      <c r="AJ116" s="264"/>
      <c r="AK116" s="283"/>
      <c r="AL116" s="1783"/>
    </row>
    <row r="117" spans="1:38" ht="15" customHeight="1">
      <c r="A117" s="35"/>
      <c r="B117" s="291" t="s">
        <v>454</v>
      </c>
      <c r="C117" s="364"/>
      <c r="D117" s="531">
        <v>1212.8</v>
      </c>
      <c r="E117" s="512"/>
      <c r="F117" s="531">
        <v>910.00000000000023</v>
      </c>
      <c r="G117" s="512"/>
      <c r="H117" s="531">
        <v>914.00000000000023</v>
      </c>
      <c r="I117" s="264"/>
      <c r="J117" s="531">
        <f>$AC117-H117-F117-D117</f>
        <v>1153.3000000000004</v>
      </c>
      <c r="K117" s="553"/>
      <c r="L117" s="531"/>
      <c r="M117" s="553"/>
      <c r="N117" s="531"/>
      <c r="O117" s="553"/>
      <c r="P117" s="531"/>
      <c r="Q117" s="553"/>
      <c r="R117" s="531"/>
      <c r="S117" s="553"/>
      <c r="T117" s="531"/>
      <c r="U117" s="553"/>
      <c r="V117" s="531"/>
      <c r="W117" s="553"/>
      <c r="X117" s="531"/>
      <c r="Y117" s="553"/>
      <c r="Z117" s="531"/>
      <c r="AA117" s="289"/>
      <c r="AB117" s="524"/>
      <c r="AC117" s="531">
        <v>4190.1000000000004</v>
      </c>
      <c r="AD117" s="264"/>
      <c r="AE117" s="524" t="s">
        <v>103</v>
      </c>
      <c r="AF117" s="531">
        <v>4154.6000000000004</v>
      </c>
      <c r="AG117" s="264"/>
      <c r="AH117" s="705"/>
      <c r="AI117" s="264">
        <f>ROUND(SUM(+AC117-AF117),1)</f>
        <v>35.5</v>
      </c>
      <c r="AJ117" s="264"/>
      <c r="AK117" s="266">
        <f>ROUND(IF(AF117=0,0,AI117/ABS(AF117)),3)</f>
        <v>8.9999999999999993E-3</v>
      </c>
      <c r="AL117" s="1783"/>
    </row>
    <row r="118" spans="1:38" ht="15" customHeight="1">
      <c r="A118" s="35"/>
      <c r="B118" s="412" t="s">
        <v>455</v>
      </c>
      <c r="C118" s="364"/>
      <c r="D118" s="531">
        <v>213.6</v>
      </c>
      <c r="E118" s="512"/>
      <c r="F118" s="531">
        <v>184.79999999999998</v>
      </c>
      <c r="G118" s="512"/>
      <c r="H118" s="531">
        <v>347.1</v>
      </c>
      <c r="I118" s="264"/>
      <c r="J118" s="531">
        <f t="shared" ref="J118:J119" si="24">$AC118-H118-F118-D118</f>
        <v>354.29999999999995</v>
      </c>
      <c r="K118" s="553"/>
      <c r="L118" s="531"/>
      <c r="M118" s="553"/>
      <c r="N118" s="531"/>
      <c r="O118" s="553"/>
      <c r="P118" s="531"/>
      <c r="Q118" s="553"/>
      <c r="R118" s="531"/>
      <c r="S118" s="553"/>
      <c r="T118" s="531"/>
      <c r="U118" s="553"/>
      <c r="V118" s="531"/>
      <c r="W118" s="553"/>
      <c r="X118" s="531"/>
      <c r="Y118" s="553"/>
      <c r="Z118" s="531"/>
      <c r="AA118" s="289"/>
      <c r="AB118" s="524"/>
      <c r="AC118" s="531">
        <v>1099.8</v>
      </c>
      <c r="AD118" s="264"/>
      <c r="AE118" s="524" t="s">
        <v>103</v>
      </c>
      <c r="AF118" s="531">
        <v>985.19999999999993</v>
      </c>
      <c r="AG118" s="264"/>
      <c r="AH118" s="705"/>
      <c r="AI118" s="264">
        <f>ROUND(SUM(+AC118-AF118),1)</f>
        <v>114.6</v>
      </c>
      <c r="AJ118" s="264"/>
      <c r="AK118" s="266">
        <f>ROUND(IF(AF118=0,0,AI118/ABS(AF118)),3)</f>
        <v>0.11600000000000001</v>
      </c>
      <c r="AL118" s="1783"/>
    </row>
    <row r="119" spans="1:38" ht="15" customHeight="1">
      <c r="A119" s="35"/>
      <c r="B119" s="412" t="s">
        <v>456</v>
      </c>
      <c r="C119" s="364"/>
      <c r="D119" s="531">
        <v>783.3</v>
      </c>
      <c r="E119" s="512"/>
      <c r="F119" s="531">
        <v>701.40000000000009</v>
      </c>
      <c r="G119" s="512"/>
      <c r="H119" s="531">
        <v>862.2</v>
      </c>
      <c r="I119" s="264"/>
      <c r="J119" s="531">
        <f t="shared" si="24"/>
        <v>734.8</v>
      </c>
      <c r="K119" s="553"/>
      <c r="L119" s="531"/>
      <c r="M119" s="553"/>
      <c r="N119" s="531"/>
      <c r="O119" s="553"/>
      <c r="P119" s="531"/>
      <c r="Q119" s="553"/>
      <c r="R119" s="531"/>
      <c r="S119" s="553"/>
      <c r="T119" s="531"/>
      <c r="U119" s="553"/>
      <c r="V119" s="531"/>
      <c r="W119" s="553"/>
      <c r="X119" s="531"/>
      <c r="Y119" s="553"/>
      <c r="Z119" s="531"/>
      <c r="AA119" s="289"/>
      <c r="AB119" s="524"/>
      <c r="AC119" s="531">
        <v>3081.7</v>
      </c>
      <c r="AD119" s="264"/>
      <c r="AE119" s="524" t="s">
        <v>103</v>
      </c>
      <c r="AF119" s="531">
        <v>2757.6</v>
      </c>
      <c r="AG119" s="264"/>
      <c r="AH119" s="705"/>
      <c r="AI119" s="382">
        <f>ROUND(SUM(+AC119-AF119),1)</f>
        <v>324.10000000000002</v>
      </c>
      <c r="AJ119" s="264"/>
      <c r="AK119" s="533">
        <f>ROUND(IF(AF119=0,0,AI119/ABS(AF119)),3)</f>
        <v>0.11799999999999999</v>
      </c>
      <c r="AL119" s="1783"/>
    </row>
    <row r="120" spans="1:38" ht="7.5" customHeight="1">
      <c r="A120" s="35"/>
      <c r="B120" s="291"/>
      <c r="C120" s="364"/>
      <c r="D120" s="615"/>
      <c r="E120" s="264"/>
      <c r="F120" s="615"/>
      <c r="G120" s="264"/>
      <c r="H120" s="615"/>
      <c r="I120" s="264"/>
      <c r="J120" s="615"/>
      <c r="K120" s="264"/>
      <c r="L120" s="615"/>
      <c r="M120" s="264"/>
      <c r="N120" s="615"/>
      <c r="O120" s="264"/>
      <c r="P120" s="615"/>
      <c r="Q120" s="264"/>
      <c r="R120" s="1022"/>
      <c r="S120" s="264"/>
      <c r="T120" s="615"/>
      <c r="U120" s="264"/>
      <c r="V120" s="615"/>
      <c r="W120" s="264"/>
      <c r="X120" s="615"/>
      <c r="Y120" s="264"/>
      <c r="Z120" s="615"/>
      <c r="AA120" s="268"/>
      <c r="AB120" s="1019"/>
      <c r="AC120" s="615"/>
      <c r="AD120" s="264"/>
      <c r="AE120" s="524"/>
      <c r="AF120" s="615"/>
      <c r="AG120" s="264"/>
      <c r="AH120" s="705"/>
      <c r="AI120" s="264"/>
      <c r="AJ120" s="264"/>
      <c r="AK120" s="283"/>
      <c r="AL120" s="1783"/>
    </row>
    <row r="121" spans="1:38" ht="15" customHeight="1">
      <c r="A121" s="35"/>
      <c r="B121" s="3" t="s">
        <v>457</v>
      </c>
      <c r="C121" s="364"/>
      <c r="D121" s="13">
        <f>ROUND(SUM(D117:D119)+D115,1)</f>
        <v>9625</v>
      </c>
      <c r="E121" s="13"/>
      <c r="F121" s="13">
        <f>ROUND(SUM(F117:F119)+F115,1)</f>
        <v>11984</v>
      </c>
      <c r="G121" s="13"/>
      <c r="H121" s="13">
        <f>ROUND(SUM(H117:H119)+H115,1)</f>
        <v>8296.9</v>
      </c>
      <c r="I121" s="13"/>
      <c r="J121" s="13">
        <f>ROUND(SUM(J117:J119)+J115,1)</f>
        <v>7191.3</v>
      </c>
      <c r="K121" s="13"/>
      <c r="L121" s="13">
        <f>ROUND(SUM(L117:L119)+L115,1)</f>
        <v>0</v>
      </c>
      <c r="M121" s="13"/>
      <c r="N121" s="13">
        <f>ROUND(SUM(N117:N119)+N115,1)</f>
        <v>0</v>
      </c>
      <c r="O121" s="13"/>
      <c r="P121" s="13">
        <f>ROUND(SUM(P117:P119)+P115,1)</f>
        <v>0</v>
      </c>
      <c r="Q121" s="13"/>
      <c r="R121" s="13">
        <f>ROUND(SUM(R117:R119)+R115,1)</f>
        <v>0</v>
      </c>
      <c r="S121" s="13"/>
      <c r="T121" s="13">
        <f>ROUND(SUM(T117:T119)+T115,1)</f>
        <v>0</v>
      </c>
      <c r="U121" s="13"/>
      <c r="V121" s="13">
        <f>ROUND(SUM(V117:V119)+V115,1)</f>
        <v>0</v>
      </c>
      <c r="W121" s="13"/>
      <c r="X121" s="13">
        <f>ROUND(SUM(X117:X119)+X115,1)</f>
        <v>0</v>
      </c>
      <c r="Y121" s="13"/>
      <c r="Z121" s="13">
        <f>ROUND(SUM(Z117:Z119)+Z115,1)</f>
        <v>0</v>
      </c>
      <c r="AA121" s="40"/>
      <c r="AB121" s="670"/>
      <c r="AC121" s="13">
        <f>ROUND(SUM(AC117:AC119)+AC115,1)</f>
        <v>37097.199999999997</v>
      </c>
      <c r="AD121" s="13"/>
      <c r="AE121" s="668"/>
      <c r="AF121" s="13">
        <f>ROUND(SUM(AF117:AF119)+AF115,1)</f>
        <v>34739.199999999997</v>
      </c>
      <c r="AG121" s="13"/>
      <c r="AH121" s="706"/>
      <c r="AI121" s="357">
        <f>ROUND(SUM(AI115:AI119),1)</f>
        <v>2358</v>
      </c>
      <c r="AJ121" s="13"/>
      <c r="AK121" s="1024">
        <f>ROUND(SUM(AI121/AF121),3)</f>
        <v>6.8000000000000005E-2</v>
      </c>
      <c r="AL121" s="1783"/>
    </row>
    <row r="122" spans="1:38" ht="15" customHeight="1">
      <c r="A122" s="35"/>
      <c r="B122" s="291"/>
      <c r="C122" s="364"/>
      <c r="D122" s="615"/>
      <c r="E122" s="264"/>
      <c r="F122" s="615"/>
      <c r="G122" s="264"/>
      <c r="H122" s="615"/>
      <c r="I122" s="264"/>
      <c r="J122" s="615"/>
      <c r="K122" s="264"/>
      <c r="L122" s="615"/>
      <c r="M122" s="264"/>
      <c r="N122" s="615"/>
      <c r="O122" s="264"/>
      <c r="P122" s="615"/>
      <c r="Q122" s="264"/>
      <c r="R122" s="615"/>
      <c r="S122" s="264"/>
      <c r="T122" s="615"/>
      <c r="U122" s="264"/>
      <c r="V122" s="615"/>
      <c r="W122" s="264"/>
      <c r="X122" s="615"/>
      <c r="Y122" s="264"/>
      <c r="Z122" s="615"/>
      <c r="AA122" s="268"/>
      <c r="AB122" s="1019"/>
      <c r="AC122" s="615"/>
      <c r="AD122" s="264"/>
      <c r="AE122" s="524"/>
      <c r="AF122" s="615"/>
      <c r="AG122" s="264"/>
      <c r="AH122" s="705"/>
      <c r="AI122" s="264"/>
      <c r="AJ122" s="264"/>
      <c r="AK122" s="283"/>
      <c r="AL122" s="1783"/>
    </row>
    <row r="123" spans="1:38" ht="15" customHeight="1">
      <c r="A123" s="35"/>
      <c r="B123" s="3" t="s">
        <v>458</v>
      </c>
      <c r="C123" s="364"/>
      <c r="D123" s="264"/>
      <c r="E123" s="264"/>
      <c r="F123" s="264"/>
      <c r="G123" s="264"/>
      <c r="H123" s="264"/>
      <c r="I123" s="264"/>
      <c r="J123" s="264"/>
      <c r="K123" s="264"/>
      <c r="L123" s="264"/>
      <c r="M123" s="264"/>
      <c r="N123" s="264"/>
      <c r="O123" s="264"/>
      <c r="P123" s="264"/>
      <c r="Q123" s="264"/>
      <c r="R123" s="264"/>
      <c r="S123" s="264"/>
      <c r="T123" s="264"/>
      <c r="U123" s="264"/>
      <c r="V123" s="264"/>
      <c r="W123" s="264"/>
      <c r="X123" s="264"/>
      <c r="Y123" s="264"/>
      <c r="Z123" s="264"/>
      <c r="AA123" s="268"/>
      <c r="AB123" s="1019"/>
      <c r="AC123" s="264"/>
      <c r="AD123" s="264"/>
      <c r="AE123" s="524"/>
      <c r="AF123" s="264"/>
      <c r="AG123" s="264"/>
      <c r="AH123" s="705"/>
      <c r="AI123" s="264"/>
      <c r="AJ123" s="264"/>
      <c r="AK123" s="283"/>
      <c r="AL123" s="1783"/>
    </row>
    <row r="124" spans="1:38" ht="15" customHeight="1">
      <c r="A124" s="35"/>
      <c r="B124" s="3" t="s">
        <v>144</v>
      </c>
      <c r="C124" s="364"/>
      <c r="D124" s="13">
        <f>ROUND(SUM(D101-D121),1)</f>
        <v>-1975.5</v>
      </c>
      <c r="E124" s="13"/>
      <c r="F124" s="13">
        <f>ROUND(SUM(F101-F121),1)</f>
        <v>-8533.2999999999993</v>
      </c>
      <c r="G124" s="13"/>
      <c r="H124" s="13">
        <f>ROUND(SUM(H101-H121),1)</f>
        <v>1120</v>
      </c>
      <c r="I124" s="13"/>
      <c r="J124" s="13">
        <f>ROUND(SUM(J101-J121),1)</f>
        <v>-3264.1</v>
      </c>
      <c r="K124" s="13"/>
      <c r="L124" s="13">
        <f>ROUND(SUM(L101-L121),1)</f>
        <v>0</v>
      </c>
      <c r="M124" s="13"/>
      <c r="N124" s="13">
        <f>ROUND(SUM(N101-N121),1)</f>
        <v>0</v>
      </c>
      <c r="O124" s="13"/>
      <c r="P124" s="13">
        <f>ROUND(SUM(P101-P121),1)</f>
        <v>0</v>
      </c>
      <c r="Q124" s="13"/>
      <c r="R124" s="13">
        <f>ROUND(SUM(R101-R121),1)</f>
        <v>0</v>
      </c>
      <c r="S124" s="13"/>
      <c r="T124" s="13">
        <f>ROUND(SUM(T101-T121),1)</f>
        <v>0</v>
      </c>
      <c r="U124" s="13"/>
      <c r="V124" s="13">
        <f>ROUND(SUM(V101-V121),1)</f>
        <v>0</v>
      </c>
      <c r="W124" s="13"/>
      <c r="X124" s="13">
        <f>ROUND(SUM(X101-X121),1)</f>
        <v>0</v>
      </c>
      <c r="Y124" s="13"/>
      <c r="Z124" s="13">
        <f>ROUND(SUM(Z101-Z121),1)</f>
        <v>0</v>
      </c>
      <c r="AA124" s="40"/>
      <c r="AB124" s="670"/>
      <c r="AC124" s="13">
        <f>ROUND(SUM(AC101-AC121),1)</f>
        <v>-12652.9</v>
      </c>
      <c r="AD124" s="13"/>
      <c r="AE124" s="668"/>
      <c r="AF124" s="13">
        <f>ROUND(SUM(AF101-AF121),1)</f>
        <v>-12755.2</v>
      </c>
      <c r="AG124" s="13"/>
      <c r="AH124" s="706"/>
      <c r="AI124" s="357">
        <f>ROUND(SUM(+AC124-AF124),1)</f>
        <v>102.3</v>
      </c>
      <c r="AJ124" s="13"/>
      <c r="AK124" s="611">
        <f>-ROUND(AI124/AF124,3)</f>
        <v>8.0000000000000002E-3</v>
      </c>
      <c r="AL124" s="1783"/>
    </row>
    <row r="125" spans="1:38" ht="15" customHeight="1">
      <c r="A125" s="35"/>
      <c r="B125" s="291"/>
      <c r="C125" s="364"/>
      <c r="D125" s="615"/>
      <c r="E125" s="264"/>
      <c r="F125" s="615"/>
      <c r="G125" s="264"/>
      <c r="H125" s="615"/>
      <c r="I125" s="264"/>
      <c r="J125" s="615"/>
      <c r="K125" s="264"/>
      <c r="L125" s="615"/>
      <c r="M125" s="264"/>
      <c r="N125" s="615"/>
      <c r="O125" s="264"/>
      <c r="P125" s="615"/>
      <c r="Q125" s="264"/>
      <c r="R125" s="615"/>
      <c r="S125" s="264"/>
      <c r="T125" s="615"/>
      <c r="U125" s="264"/>
      <c r="V125" s="615"/>
      <c r="W125" s="264"/>
      <c r="X125" s="615"/>
      <c r="Y125" s="264"/>
      <c r="Z125" s="615"/>
      <c r="AA125" s="268"/>
      <c r="AB125" s="1019"/>
      <c r="AC125" s="615"/>
      <c r="AD125" s="264"/>
      <c r="AE125" s="524"/>
      <c r="AF125" s="615"/>
      <c r="AG125" s="615"/>
      <c r="AH125" s="705"/>
      <c r="AI125" s="264"/>
      <c r="AJ125" s="264"/>
      <c r="AK125" s="283"/>
      <c r="AL125" s="1783"/>
    </row>
    <row r="126" spans="1:38" ht="15" customHeight="1">
      <c r="A126" s="35"/>
      <c r="B126" s="3" t="s">
        <v>145</v>
      </c>
      <c r="C126" s="364"/>
      <c r="D126" s="264"/>
      <c r="E126" s="264"/>
      <c r="F126" s="264"/>
      <c r="G126" s="264"/>
      <c r="H126" s="264"/>
      <c r="I126" s="264"/>
      <c r="J126" s="264"/>
      <c r="K126" s="264"/>
      <c r="L126" s="264"/>
      <c r="M126" s="264"/>
      <c r="N126" s="264"/>
      <c r="O126" s="264"/>
      <c r="P126" s="264"/>
      <c r="Q126" s="264"/>
      <c r="R126" s="264"/>
      <c r="S126" s="264"/>
      <c r="T126" s="264"/>
      <c r="U126" s="264"/>
      <c r="V126" s="264"/>
      <c r="W126" s="264"/>
      <c r="X126" s="264"/>
      <c r="Y126" s="264"/>
      <c r="Z126" s="264"/>
      <c r="AA126" s="268"/>
      <c r="AB126" s="1019"/>
      <c r="AC126" s="264"/>
      <c r="AD126" s="264"/>
      <c r="AE126" s="524"/>
      <c r="AF126" s="264"/>
      <c r="AG126" s="264"/>
      <c r="AH126" s="705"/>
      <c r="AI126" s="264"/>
      <c r="AJ126" s="264"/>
      <c r="AK126" s="283"/>
      <c r="AL126" s="1783"/>
    </row>
    <row r="127" spans="1:38" ht="15" customHeight="1">
      <c r="A127" s="35"/>
      <c r="B127" s="3"/>
      <c r="C127" s="364"/>
      <c r="D127" s="264"/>
      <c r="E127" s="264"/>
      <c r="F127" s="264"/>
      <c r="G127" s="264"/>
      <c r="H127" s="264"/>
      <c r="I127" s="264"/>
      <c r="J127" s="264"/>
      <c r="K127" s="264"/>
      <c r="L127" s="264"/>
      <c r="M127" s="264"/>
      <c r="N127" s="264"/>
      <c r="O127" s="264"/>
      <c r="P127" s="264"/>
      <c r="Q127" s="264"/>
      <c r="R127" s="264"/>
      <c r="S127" s="264"/>
      <c r="T127" s="264"/>
      <c r="U127" s="264"/>
      <c r="V127" s="264"/>
      <c r="W127" s="264"/>
      <c r="X127" s="264"/>
      <c r="Y127" s="264"/>
      <c r="Z127" s="264"/>
      <c r="AA127" s="268"/>
      <c r="AB127" s="1019"/>
      <c r="AC127" s="264"/>
      <c r="AD127" s="264"/>
      <c r="AE127" s="524"/>
      <c r="AF127" s="264"/>
      <c r="AG127" s="264"/>
      <c r="AH127" s="705"/>
      <c r="AI127" s="264"/>
      <c r="AJ127" s="264"/>
      <c r="AK127" s="283"/>
      <c r="AL127" s="1783"/>
    </row>
    <row r="128" spans="1:38" ht="15" customHeight="1">
      <c r="A128" s="35"/>
      <c r="B128" s="412" t="s">
        <v>459</v>
      </c>
      <c r="C128" s="364"/>
      <c r="D128" s="531">
        <v>5278.8</v>
      </c>
      <c r="E128" s="512"/>
      <c r="F128" s="531">
        <v>2135.1999999999998</v>
      </c>
      <c r="G128" s="512"/>
      <c r="H128" s="531">
        <v>5484.4999999999991</v>
      </c>
      <c r="I128" s="264"/>
      <c r="J128" s="531">
        <f>$AC128-H128-F128-D128</f>
        <v>2299.6000000000022</v>
      </c>
      <c r="K128" s="553"/>
      <c r="L128" s="531"/>
      <c r="M128" s="553"/>
      <c r="N128" s="531"/>
      <c r="O128" s="553"/>
      <c r="P128" s="531"/>
      <c r="Q128" s="553"/>
      <c r="R128" s="531"/>
      <c r="S128" s="553"/>
      <c r="T128" s="531"/>
      <c r="U128" s="553"/>
      <c r="V128" s="531"/>
      <c r="W128" s="553"/>
      <c r="X128" s="531"/>
      <c r="Y128" s="553"/>
      <c r="Z128" s="531"/>
      <c r="AA128" s="289"/>
      <c r="AB128" s="524"/>
      <c r="AC128" s="531">
        <v>15198.1</v>
      </c>
      <c r="AD128" s="264"/>
      <c r="AE128" s="524" t="s">
        <v>103</v>
      </c>
      <c r="AF128" s="531">
        <v>13736.3</v>
      </c>
      <c r="AG128" s="264"/>
      <c r="AH128" s="705"/>
      <c r="AI128" s="264">
        <f>ROUND(SUM(+AC128-AF128),1)</f>
        <v>1461.8</v>
      </c>
      <c r="AJ128" s="264"/>
      <c r="AK128" s="266">
        <f>ROUND(IF(AF128=0,0,AI128/ABS(AF128)),3)</f>
        <v>0.106</v>
      </c>
      <c r="AL128" s="1783"/>
    </row>
    <row r="129" spans="1:38" ht="15" customHeight="1">
      <c r="A129" s="35"/>
      <c r="B129" s="412" t="s">
        <v>460</v>
      </c>
      <c r="C129" s="364"/>
      <c r="D129" s="531">
        <v>706.3</v>
      </c>
      <c r="E129" s="512"/>
      <c r="F129" s="531">
        <v>715.90000000000009</v>
      </c>
      <c r="G129" s="512"/>
      <c r="H129" s="531">
        <v>1096.9999999999998</v>
      </c>
      <c r="I129" s="264"/>
      <c r="J129" s="531">
        <f t="shared" ref="J129:J135" si="25">$AC129-H129-F129-D129</f>
        <v>858.10000000000014</v>
      </c>
      <c r="K129" s="553"/>
      <c r="L129" s="531"/>
      <c r="M129" s="553"/>
      <c r="N129" s="531"/>
      <c r="O129" s="553"/>
      <c r="P129" s="531"/>
      <c r="Q129" s="553"/>
      <c r="R129" s="531"/>
      <c r="S129" s="553"/>
      <c r="T129" s="531"/>
      <c r="U129" s="553"/>
      <c r="V129" s="531"/>
      <c r="W129" s="553"/>
      <c r="X129" s="531"/>
      <c r="Y129" s="553"/>
      <c r="Z129" s="531"/>
      <c r="AA129" s="289"/>
      <c r="AB129" s="524"/>
      <c r="AC129" s="531">
        <v>3377.3</v>
      </c>
      <c r="AD129" s="264"/>
      <c r="AE129" s="524" t="s">
        <v>103</v>
      </c>
      <c r="AF129" s="531">
        <v>3169.8</v>
      </c>
      <c r="AG129" s="264"/>
      <c r="AH129" s="705"/>
      <c r="AI129" s="264">
        <f>ROUND(SUM(+AC129-AF129),1)</f>
        <v>207.5</v>
      </c>
      <c r="AJ129" s="264"/>
      <c r="AK129" s="266">
        <f>ROUND(IF(AF129=0,0,AI129/ABS(AF129)),3)</f>
        <v>6.5000000000000002E-2</v>
      </c>
      <c r="AL129" s="1783"/>
    </row>
    <row r="130" spans="1:38" ht="15" customHeight="1">
      <c r="A130" s="35"/>
      <c r="B130" s="412" t="s">
        <v>461</v>
      </c>
      <c r="C130" s="364"/>
      <c r="D130" s="531">
        <v>115.9</v>
      </c>
      <c r="E130" s="512"/>
      <c r="F130" s="531">
        <v>102.1</v>
      </c>
      <c r="G130" s="512"/>
      <c r="H130" s="531">
        <v>95.399999999999977</v>
      </c>
      <c r="I130" s="264"/>
      <c r="J130" s="531">
        <f t="shared" si="25"/>
        <v>111.60000000000002</v>
      </c>
      <c r="K130" s="553"/>
      <c r="L130" s="531"/>
      <c r="M130" s="553"/>
      <c r="N130" s="531"/>
      <c r="O130" s="553"/>
      <c r="P130" s="531"/>
      <c r="Q130" s="553"/>
      <c r="R130" s="531"/>
      <c r="S130" s="553"/>
      <c r="T130" s="531"/>
      <c r="U130" s="553"/>
      <c r="V130" s="531"/>
      <c r="W130" s="553"/>
      <c r="X130" s="531"/>
      <c r="Y130" s="553"/>
      <c r="Z130" s="531"/>
      <c r="AA130" s="289"/>
      <c r="AB130" s="524"/>
      <c r="AC130" s="531">
        <v>425</v>
      </c>
      <c r="AD130" s="264"/>
      <c r="AE130" s="524" t="s">
        <v>103</v>
      </c>
      <c r="AF130" s="531">
        <v>366.8</v>
      </c>
      <c r="AG130" s="264"/>
      <c r="AH130" s="705"/>
      <c r="AI130" s="264">
        <f>ROUND(SUM(+AC130-AF130),1)</f>
        <v>58.2</v>
      </c>
      <c r="AJ130" s="264"/>
      <c r="AK130" s="266">
        <f>ROUND(IF(AF130=0,0,AI130/ABS(AF130)),3)</f>
        <v>0.159</v>
      </c>
      <c r="AL130" s="1783"/>
    </row>
    <row r="131" spans="1:38" ht="15" customHeight="1">
      <c r="A131" s="35"/>
      <c r="B131" s="412" t="s">
        <v>462</v>
      </c>
      <c r="C131" s="364"/>
      <c r="D131" s="531">
        <v>256.89999999999964</v>
      </c>
      <c r="E131" s="512"/>
      <c r="F131" s="531">
        <v>159.10000000000093</v>
      </c>
      <c r="G131" s="512"/>
      <c r="H131" s="531">
        <v>206.20000000000016</v>
      </c>
      <c r="I131" s="264"/>
      <c r="J131" s="531">
        <f t="shared" si="25"/>
        <v>792.39999999999964</v>
      </c>
      <c r="K131" s="553"/>
      <c r="L131" s="531"/>
      <c r="M131" s="553"/>
      <c r="N131" s="531"/>
      <c r="O131" s="553"/>
      <c r="P131" s="531"/>
      <c r="Q131" s="553"/>
      <c r="R131" s="531"/>
      <c r="S131" s="553"/>
      <c r="T131" s="531"/>
      <c r="U131" s="553"/>
      <c r="V131" s="531"/>
      <c r="W131" s="553"/>
      <c r="X131" s="531"/>
      <c r="Y131" s="553"/>
      <c r="Z131" s="531"/>
      <c r="AA131" s="289"/>
      <c r="AB131" s="524"/>
      <c r="AC131" s="531">
        <v>1414.6000000000004</v>
      </c>
      <c r="AD131" s="264"/>
      <c r="AE131" s="524" t="s">
        <v>103</v>
      </c>
      <c r="AF131" s="531">
        <v>1031.5000000000014</v>
      </c>
      <c r="AG131" s="264"/>
      <c r="AH131" s="705"/>
      <c r="AI131" s="264">
        <f>ROUND(SUM(+AC131-AF131),1)</f>
        <v>383.1</v>
      </c>
      <c r="AJ131" s="264"/>
      <c r="AK131" s="542">
        <f>ROUND(IF(AF131=0,0,AI131/ABS(AF131)),3)</f>
        <v>0.371</v>
      </c>
      <c r="AL131" s="1783"/>
    </row>
    <row r="132" spans="1:38" ht="15" customHeight="1">
      <c r="A132" s="35" t="s">
        <v>103</v>
      </c>
      <c r="B132" s="291" t="s">
        <v>463</v>
      </c>
      <c r="C132" s="364"/>
      <c r="D132" s="531">
        <v>-441.4</v>
      </c>
      <c r="E132" s="512"/>
      <c r="F132" s="531">
        <v>-400.1</v>
      </c>
      <c r="G132" s="512"/>
      <c r="H132" s="531">
        <v>1164.8000000000002</v>
      </c>
      <c r="I132" s="264"/>
      <c r="J132" s="531">
        <f t="shared" si="25"/>
        <v>-1175.7000000000003</v>
      </c>
      <c r="K132" s="553"/>
      <c r="L132" s="531"/>
      <c r="M132" s="553"/>
      <c r="N132" s="531"/>
      <c r="O132" s="553"/>
      <c r="P132" s="531"/>
      <c r="Q132" s="553"/>
      <c r="R132" s="531"/>
      <c r="S132" s="553"/>
      <c r="T132" s="531"/>
      <c r="U132" s="553"/>
      <c r="V132" s="531"/>
      <c r="W132" s="553"/>
      <c r="X132" s="531"/>
      <c r="Y132" s="553"/>
      <c r="Z132" s="531"/>
      <c r="AA132" s="289"/>
      <c r="AB132" s="524"/>
      <c r="AC132" s="531">
        <v>-852.4</v>
      </c>
      <c r="AD132" s="264"/>
      <c r="AE132" s="524" t="s">
        <v>103</v>
      </c>
      <c r="AF132" s="531">
        <v>-1279.0999999999999</v>
      </c>
      <c r="AG132" s="264"/>
      <c r="AH132" s="705"/>
      <c r="AI132" s="264">
        <f>ROUND(SUM(+AC132-AF132)*-1,1)</f>
        <v>-426.7</v>
      </c>
      <c r="AJ132" s="264"/>
      <c r="AK132" s="542">
        <f t="shared" ref="AK132" si="26">ROUND(IF(AF132=0,0,AI132/ABS(AF132)),3)</f>
        <v>-0.33400000000000002</v>
      </c>
      <c r="AL132" s="1783"/>
    </row>
    <row r="133" spans="1:38" ht="15" customHeight="1">
      <c r="A133" s="35"/>
      <c r="B133" s="291" t="s">
        <v>464</v>
      </c>
      <c r="C133" s="364"/>
      <c r="D133" s="531">
        <v>0</v>
      </c>
      <c r="E133" s="512"/>
      <c r="F133" s="531">
        <v>0</v>
      </c>
      <c r="G133" s="512"/>
      <c r="H133" s="531">
        <v>-16.5</v>
      </c>
      <c r="I133" s="264"/>
      <c r="J133" s="531">
        <f t="shared" si="25"/>
        <v>-4.6000000000000014</v>
      </c>
      <c r="K133" s="553"/>
      <c r="L133" s="531"/>
      <c r="M133" s="553"/>
      <c r="N133" s="531"/>
      <c r="O133" s="553"/>
      <c r="P133" s="531"/>
      <c r="Q133" s="553"/>
      <c r="R133" s="531"/>
      <c r="S133" s="553"/>
      <c r="T133" s="531"/>
      <c r="U133" s="553"/>
      <c r="V133" s="531"/>
      <c r="W133" s="553"/>
      <c r="X133" s="531"/>
      <c r="Y133" s="553"/>
      <c r="Z133" s="531"/>
      <c r="AA133" s="289"/>
      <c r="AB133" s="524"/>
      <c r="AC133" s="531">
        <v>-21.1</v>
      </c>
      <c r="AD133" s="264"/>
      <c r="AE133" s="524" t="s">
        <v>103</v>
      </c>
      <c r="AF133" s="531">
        <v>-76.5</v>
      </c>
      <c r="AG133" s="264"/>
      <c r="AH133" s="705"/>
      <c r="AI133" s="264">
        <f>ROUND(SUM(+AC133-AF133)*-1,1)</f>
        <v>-55.4</v>
      </c>
      <c r="AJ133" s="264"/>
      <c r="AK133" s="266">
        <f>ROUND(IF(AF133=0,0,AI133/ABS(AF133)),3)</f>
        <v>-0.72399999999999998</v>
      </c>
      <c r="AL133" s="1783"/>
    </row>
    <row r="134" spans="1:38" ht="15" customHeight="1">
      <c r="A134" s="35"/>
      <c r="B134" s="291" t="s">
        <v>465</v>
      </c>
      <c r="C134" s="364"/>
      <c r="D134" s="531">
        <v>-7.4</v>
      </c>
      <c r="E134" s="512"/>
      <c r="F134" s="531">
        <v>0</v>
      </c>
      <c r="G134" s="512"/>
      <c r="H134" s="531">
        <v>0</v>
      </c>
      <c r="I134" s="264"/>
      <c r="J134" s="531">
        <f t="shared" si="25"/>
        <v>-48</v>
      </c>
      <c r="K134" s="553"/>
      <c r="L134" s="531"/>
      <c r="M134" s="553"/>
      <c r="N134" s="531"/>
      <c r="O134" s="553"/>
      <c r="P134" s="531"/>
      <c r="Q134" s="553"/>
      <c r="R134" s="531"/>
      <c r="S134" s="553"/>
      <c r="T134" s="531"/>
      <c r="U134" s="553"/>
      <c r="V134" s="531"/>
      <c r="W134" s="553"/>
      <c r="X134" s="531"/>
      <c r="Y134" s="553"/>
      <c r="Z134" s="531"/>
      <c r="AA134" s="289"/>
      <c r="AB134" s="524"/>
      <c r="AC134" s="531">
        <v>-55.4</v>
      </c>
      <c r="AD134" s="264"/>
      <c r="AE134" s="524" t="s">
        <v>103</v>
      </c>
      <c r="AF134" s="531">
        <v>-64.099999999999994</v>
      </c>
      <c r="AG134" s="264"/>
      <c r="AH134" s="705"/>
      <c r="AI134" s="264">
        <f>ROUND(SUM(+AC134-AF134)*-1,1)</f>
        <v>-8.6999999999999993</v>
      </c>
      <c r="AJ134" s="264"/>
      <c r="AK134" s="266">
        <f>ROUND(IF(AF134=0,0,AI134/ABS(AF134)),3)</f>
        <v>-0.13600000000000001</v>
      </c>
      <c r="AL134" s="1783"/>
    </row>
    <row r="135" spans="1:38" ht="15" customHeight="1">
      <c r="A135" s="35"/>
      <c r="B135" s="291" t="s">
        <v>466</v>
      </c>
      <c r="C135" s="364"/>
      <c r="D135" s="531">
        <v>-216.60000000000002</v>
      </c>
      <c r="E135" s="512"/>
      <c r="F135" s="531">
        <v>-412.0999999999998</v>
      </c>
      <c r="G135" s="512"/>
      <c r="H135" s="531">
        <v>-669.20000000000027</v>
      </c>
      <c r="I135" s="264"/>
      <c r="J135" s="531">
        <f t="shared" si="25"/>
        <v>-569.19999999999982</v>
      </c>
      <c r="K135" s="553"/>
      <c r="L135" s="531"/>
      <c r="M135" s="553"/>
      <c r="N135" s="531"/>
      <c r="O135" s="553"/>
      <c r="P135" s="531"/>
      <c r="Q135" s="553"/>
      <c r="R135" s="531"/>
      <c r="S135" s="553"/>
      <c r="T135" s="531"/>
      <c r="U135" s="553"/>
      <c r="V135" s="531"/>
      <c r="W135" s="553"/>
      <c r="X135" s="531"/>
      <c r="Y135" s="553"/>
      <c r="Z135" s="531"/>
      <c r="AA135" s="289"/>
      <c r="AB135" s="524"/>
      <c r="AC135" s="531">
        <v>-1867.1</v>
      </c>
      <c r="AD135" s="264"/>
      <c r="AE135" s="524" t="s">
        <v>103</v>
      </c>
      <c r="AF135" s="531">
        <v>-7720.9</v>
      </c>
      <c r="AG135" s="264"/>
      <c r="AH135" s="705"/>
      <c r="AI135" s="382">
        <f>ROUND(SUM(+AC135-AF135)*-1,1)</f>
        <v>-5853.8</v>
      </c>
      <c r="AJ135" s="264"/>
      <c r="AK135" s="533">
        <f>ROUND(IF(AF135=0,0,AI135/ABS(AF135)),3)</f>
        <v>-0.75800000000000001</v>
      </c>
      <c r="AL135" s="1783"/>
    </row>
    <row r="136" spans="1:38" ht="5.15" customHeight="1">
      <c r="A136" s="35"/>
      <c r="B136" s="291"/>
      <c r="C136" s="364"/>
      <c r="D136" s="615"/>
      <c r="E136" s="264"/>
      <c r="F136" s="615"/>
      <c r="G136" s="264"/>
      <c r="H136" s="615"/>
      <c r="I136" s="264"/>
      <c r="J136" s="615"/>
      <c r="K136" s="264"/>
      <c r="L136" s="615"/>
      <c r="M136" s="264"/>
      <c r="N136" s="615"/>
      <c r="O136" s="264"/>
      <c r="P136" s="615"/>
      <c r="Q136" s="264"/>
      <c r="R136" s="615"/>
      <c r="S136" s="264"/>
      <c r="T136" s="615"/>
      <c r="U136" s="264"/>
      <c r="V136" s="615"/>
      <c r="W136" s="264"/>
      <c r="X136" s="615"/>
      <c r="Y136" s="264"/>
      <c r="Z136" s="615"/>
      <c r="AA136" s="268"/>
      <c r="AB136" s="1019"/>
      <c r="AC136" s="615"/>
      <c r="AD136" s="264"/>
      <c r="AE136" s="524"/>
      <c r="AF136" s="615"/>
      <c r="AG136" s="264"/>
      <c r="AH136" s="705"/>
      <c r="AI136" s="264"/>
      <c r="AJ136" s="264"/>
      <c r="AK136" s="283"/>
      <c r="AL136" s="1783"/>
    </row>
    <row r="137" spans="1:38" ht="15" customHeight="1">
      <c r="A137" s="35"/>
      <c r="B137" s="3" t="s">
        <v>467</v>
      </c>
      <c r="C137" s="364"/>
      <c r="D137" s="264"/>
      <c r="E137" s="264"/>
      <c r="F137" s="264"/>
      <c r="G137" s="264"/>
      <c r="H137" s="264"/>
      <c r="I137" s="264"/>
      <c r="J137" s="264"/>
      <c r="K137" s="264"/>
      <c r="L137" s="264"/>
      <c r="M137" s="264"/>
      <c r="N137" s="264"/>
      <c r="O137" s="264"/>
      <c r="P137" s="264"/>
      <c r="Q137" s="264"/>
      <c r="R137" s="264"/>
      <c r="S137" s="264"/>
      <c r="T137" s="264"/>
      <c r="U137" s="264"/>
      <c r="V137" s="264"/>
      <c r="W137" s="264"/>
      <c r="X137" s="264"/>
      <c r="Y137" s="268"/>
      <c r="Z137" s="268"/>
      <c r="AA137" s="268"/>
      <c r="AB137" s="1019"/>
      <c r="AC137" s="264"/>
      <c r="AD137" s="264"/>
      <c r="AE137" s="524"/>
      <c r="AF137" s="264"/>
      <c r="AG137" s="264"/>
      <c r="AH137" s="705"/>
      <c r="AI137" s="264"/>
      <c r="AJ137" s="264"/>
      <c r="AK137" s="283"/>
      <c r="AL137" s="1783"/>
    </row>
    <row r="138" spans="1:38" ht="15" customHeight="1">
      <c r="A138" s="35"/>
      <c r="B138" s="3" t="s">
        <v>468</v>
      </c>
      <c r="C138" s="364"/>
      <c r="D138" s="13">
        <f>ROUND(SUM(D128:D136),1)</f>
        <v>5692.5</v>
      </c>
      <c r="E138" s="13"/>
      <c r="F138" s="13">
        <f>ROUND(SUM(F128:F136),1)</f>
        <v>2300.1</v>
      </c>
      <c r="G138" s="13"/>
      <c r="H138" s="13">
        <f>ROUND(SUM(H128:H136),1)</f>
        <v>7362.2</v>
      </c>
      <c r="I138" s="13"/>
      <c r="J138" s="13">
        <f>ROUND(SUM(J128:J135),1)</f>
        <v>2264.1999999999998</v>
      </c>
      <c r="K138" s="13"/>
      <c r="L138" s="13">
        <f>ROUND(SUM(L128:L135),1)</f>
        <v>0</v>
      </c>
      <c r="M138" s="13"/>
      <c r="N138" s="13">
        <f>ROUND(SUM(N128:N135),1)</f>
        <v>0</v>
      </c>
      <c r="O138" s="13"/>
      <c r="P138" s="13">
        <f>ROUND(SUM(P128:P135),1)</f>
        <v>0</v>
      </c>
      <c r="Q138" s="13"/>
      <c r="R138" s="13">
        <f>ROUND(SUM(R128:R135),1)</f>
        <v>0</v>
      </c>
      <c r="S138" s="13"/>
      <c r="T138" s="13">
        <f>ROUND(SUM(T128:T135),1)</f>
        <v>0</v>
      </c>
      <c r="U138" s="13"/>
      <c r="V138" s="13">
        <f>ROUND(SUM(V128:V135),1)</f>
        <v>0</v>
      </c>
      <c r="W138" s="13"/>
      <c r="X138" s="13">
        <f>ROUND(SUM(X128:X135),1)</f>
        <v>0</v>
      </c>
      <c r="Y138" s="40"/>
      <c r="Z138" s="13">
        <f>ROUND(SUM(Z128:Z135),1)</f>
        <v>0</v>
      </c>
      <c r="AA138" s="40"/>
      <c r="AB138" s="670"/>
      <c r="AC138" s="13">
        <f>ROUND(SUM(AC128:AC136),1)</f>
        <v>17619</v>
      </c>
      <c r="AD138" s="13"/>
      <c r="AE138" s="668"/>
      <c r="AF138" s="13">
        <f>ROUND(SUM(AF128:AF136),1)</f>
        <v>9163.7999999999993</v>
      </c>
      <c r="AG138" s="13"/>
      <c r="AH138" s="706"/>
      <c r="AI138" s="357">
        <f>ROUND(SUM(+AC138-AF138),1)</f>
        <v>8455.2000000000007</v>
      </c>
      <c r="AJ138" s="13"/>
      <c r="AK138" s="611">
        <f>ROUND(SUM(+AI138/AF138),3)</f>
        <v>0.92300000000000004</v>
      </c>
      <c r="AL138" s="1783"/>
    </row>
    <row r="139" spans="1:38" ht="15" customHeight="1">
      <c r="A139" s="35"/>
      <c r="B139" s="291"/>
      <c r="C139" s="364"/>
      <c r="D139" s="615"/>
      <c r="E139" s="264"/>
      <c r="F139" s="615"/>
      <c r="G139" s="264"/>
      <c r="H139" s="615"/>
      <c r="I139" s="264"/>
      <c r="J139" s="615"/>
      <c r="K139" s="264"/>
      <c r="L139" s="615"/>
      <c r="M139" s="264"/>
      <c r="N139" s="615"/>
      <c r="O139" s="264"/>
      <c r="P139" s="615"/>
      <c r="Q139" s="264"/>
      <c r="R139" s="615"/>
      <c r="S139" s="264"/>
      <c r="T139" s="615"/>
      <c r="U139" s="264"/>
      <c r="V139" s="615"/>
      <c r="W139" s="264"/>
      <c r="X139" s="615"/>
      <c r="Y139" s="268"/>
      <c r="Z139" s="1025"/>
      <c r="AA139" s="268"/>
      <c r="AB139" s="1019"/>
      <c r="AC139" s="615"/>
      <c r="AD139" s="264"/>
      <c r="AE139" s="524"/>
      <c r="AF139" s="615"/>
      <c r="AG139" s="264"/>
      <c r="AH139" s="705"/>
      <c r="AI139" s="422"/>
      <c r="AJ139" s="422"/>
      <c r="AK139" s="328"/>
      <c r="AL139" s="1783"/>
    </row>
    <row r="140" spans="1:38" ht="15" customHeight="1">
      <c r="A140" s="35"/>
      <c r="B140" s="3" t="s">
        <v>469</v>
      </c>
      <c r="C140" s="364"/>
      <c r="D140" s="264"/>
      <c r="E140" s="264"/>
      <c r="F140" s="264"/>
      <c r="G140" s="264"/>
      <c r="H140" s="264"/>
      <c r="I140" s="264"/>
      <c r="J140" s="264"/>
      <c r="K140" s="264"/>
      <c r="L140" s="264"/>
      <c r="M140" s="264"/>
      <c r="N140" s="264"/>
      <c r="O140" s="264"/>
      <c r="P140" s="264"/>
      <c r="Q140" s="264"/>
      <c r="R140" s="264"/>
      <c r="S140" s="264"/>
      <c r="T140" s="264"/>
      <c r="U140" s="264"/>
      <c r="V140" s="264"/>
      <c r="W140" s="264"/>
      <c r="X140" s="264"/>
      <c r="Y140" s="268"/>
      <c r="Z140" s="268"/>
      <c r="AA140" s="268"/>
      <c r="AB140" s="1019"/>
      <c r="AC140" s="264"/>
      <c r="AD140" s="264"/>
      <c r="AE140" s="524"/>
      <c r="AF140" s="264"/>
      <c r="AG140" s="264"/>
      <c r="AH140" s="705"/>
      <c r="AI140" s="422"/>
      <c r="AJ140" s="422"/>
      <c r="AK140" s="328"/>
      <c r="AL140" s="1783"/>
    </row>
    <row r="141" spans="1:38" ht="15" customHeight="1">
      <c r="A141" s="35"/>
      <c r="B141" s="3" t="s">
        <v>470</v>
      </c>
      <c r="C141" s="364"/>
      <c r="D141" s="264"/>
      <c r="E141" s="264"/>
      <c r="F141" s="264"/>
      <c r="G141" s="264"/>
      <c r="H141" s="264"/>
      <c r="I141" s="264"/>
      <c r="J141" s="264"/>
      <c r="K141" s="264"/>
      <c r="L141" s="264"/>
      <c r="M141" s="264"/>
      <c r="N141" s="264"/>
      <c r="O141" s="264"/>
      <c r="P141" s="264"/>
      <c r="Q141" s="264"/>
      <c r="R141" s="264"/>
      <c r="S141" s="264"/>
      <c r="T141" s="264"/>
      <c r="U141" s="264"/>
      <c r="V141" s="264"/>
      <c r="W141" s="264"/>
      <c r="X141" s="264"/>
      <c r="Y141" s="268"/>
      <c r="Z141" s="268"/>
      <c r="AA141" s="268"/>
      <c r="AB141" s="1019"/>
      <c r="AC141" s="264"/>
      <c r="AD141" s="264"/>
      <c r="AE141" s="524"/>
      <c r="AF141" s="264"/>
      <c r="AG141" s="264"/>
      <c r="AH141" s="705"/>
      <c r="AI141" s="422"/>
      <c r="AJ141" s="422"/>
      <c r="AK141" s="328"/>
      <c r="AL141" s="1783"/>
    </row>
    <row r="142" spans="1:38" ht="15" customHeight="1">
      <c r="A142" s="35"/>
      <c r="B142" s="3" t="s">
        <v>471</v>
      </c>
      <c r="C142" s="364"/>
      <c r="D142" s="13">
        <f>ROUND(SUM(D124+D138),1)</f>
        <v>3717</v>
      </c>
      <c r="E142" s="13"/>
      <c r="F142" s="13">
        <f>ROUND(SUM(F124+F138),1)</f>
        <v>-6233.2</v>
      </c>
      <c r="G142" s="13"/>
      <c r="H142" s="13">
        <f>ROUND(SUM(H124+H138),1)</f>
        <v>8482.2000000000007</v>
      </c>
      <c r="I142" s="13"/>
      <c r="J142" s="13">
        <f>ROUND(SUM(J124+J138),1)</f>
        <v>-999.9</v>
      </c>
      <c r="K142" s="13"/>
      <c r="L142" s="13">
        <f>ROUND(SUM(L124+L138),1)</f>
        <v>0</v>
      </c>
      <c r="M142" s="13"/>
      <c r="N142" s="13">
        <f>ROUND(SUM(N124+N138),1)</f>
        <v>0</v>
      </c>
      <c r="O142" s="13"/>
      <c r="P142" s="13">
        <f>ROUND(SUM(P124+P138),1)</f>
        <v>0</v>
      </c>
      <c r="Q142" s="13"/>
      <c r="R142" s="13">
        <f>ROUND(SUM(R124+R138),1)</f>
        <v>0</v>
      </c>
      <c r="S142" s="264"/>
      <c r="T142" s="13">
        <f>ROUND(SUM(T124+T138),1)</f>
        <v>0</v>
      </c>
      <c r="U142" s="264"/>
      <c r="V142" s="13">
        <f>ROUND(SUM(V124+V138),1)</f>
        <v>0</v>
      </c>
      <c r="W142" s="264"/>
      <c r="X142" s="13">
        <f>ROUND(SUM(X124+X138),1)</f>
        <v>0</v>
      </c>
      <c r="Y142" s="268"/>
      <c r="Z142" s="357">
        <f>ROUND(SUM(Z124+Z138),1)</f>
        <v>0</v>
      </c>
      <c r="AA142" s="268"/>
      <c r="AB142" s="1019"/>
      <c r="AC142" s="13">
        <f>ROUND(SUM(AC124+AC138),1)</f>
        <v>4966.1000000000004</v>
      </c>
      <c r="AD142" s="13"/>
      <c r="AE142" s="668"/>
      <c r="AF142" s="13">
        <f>ROUND(SUM(AF124+AF138),1)</f>
        <v>-3591.4</v>
      </c>
      <c r="AG142" s="13"/>
      <c r="AH142" s="706"/>
      <c r="AI142" s="357">
        <f>ROUND(SUM(+AC142-AF142),1)</f>
        <v>8557.5</v>
      </c>
      <c r="AJ142" s="711"/>
      <c r="AK142" s="611">
        <f>ROUND(SUM(AI142/ABS(AF142)),3)</f>
        <v>2.383</v>
      </c>
      <c r="AL142" s="1783"/>
    </row>
    <row r="143" spans="1:38" ht="9" customHeight="1">
      <c r="A143" s="35"/>
      <c r="B143" s="291"/>
      <c r="C143" s="364"/>
      <c r="D143" s="1025"/>
      <c r="E143" s="291"/>
      <c r="F143" s="1108"/>
      <c r="G143" s="291"/>
      <c r="H143" s="984"/>
      <c r="I143" s="291"/>
      <c r="J143" s="615"/>
      <c r="K143" s="291"/>
      <c r="L143" s="984"/>
      <c r="M143" s="291"/>
      <c r="N143" s="984"/>
      <c r="O143" s="291"/>
      <c r="P143" s="984"/>
      <c r="Q143" s="291"/>
      <c r="R143" s="984"/>
      <c r="S143" s="291"/>
      <c r="T143" s="984"/>
      <c r="U143" s="291"/>
      <c r="V143" s="984"/>
      <c r="W143" s="291"/>
      <c r="X143" s="984"/>
      <c r="Y143" s="291"/>
      <c r="Z143" s="364"/>
      <c r="AA143" s="364"/>
      <c r="AB143" s="1019"/>
      <c r="AC143" s="615"/>
      <c r="AD143" s="264"/>
      <c r="AE143" s="524"/>
      <c r="AF143" s="615"/>
      <c r="AG143" s="264"/>
      <c r="AH143" s="705"/>
      <c r="AI143" s="615"/>
      <c r="AJ143" s="422"/>
      <c r="AK143" s="1026"/>
      <c r="AL143" s="1783"/>
    </row>
    <row r="144" spans="1:38" ht="15" customHeight="1" thickBot="1">
      <c r="A144" s="35"/>
      <c r="B144" s="1211" t="s">
        <v>433</v>
      </c>
      <c r="C144" s="364"/>
      <c r="D144" s="70">
        <f>ROUND(SUM(D13+D142),1)</f>
        <v>59894.6</v>
      </c>
      <c r="E144" s="45"/>
      <c r="F144" s="70">
        <f>ROUND(SUM(F13+F142),1)</f>
        <v>53661.4</v>
      </c>
      <c r="G144" s="45"/>
      <c r="H144" s="70">
        <f>ROUND(SUM(H13+H142),1)</f>
        <v>62143.6</v>
      </c>
      <c r="I144" s="45"/>
      <c r="J144" s="70">
        <f>ROUND(SUM(J13+J142),1)</f>
        <v>61143.7</v>
      </c>
      <c r="K144" s="45"/>
      <c r="L144" s="70">
        <f>ROUND(SUM(L13+L142),1)</f>
        <v>0</v>
      </c>
      <c r="M144" s="45"/>
      <c r="N144" s="70">
        <f>ROUND(SUM(N13+N142),1)</f>
        <v>0</v>
      </c>
      <c r="O144" s="45"/>
      <c r="P144" s="70">
        <f>ROUND(SUM(P13+P142),1)</f>
        <v>0</v>
      </c>
      <c r="Q144" s="45"/>
      <c r="R144" s="70">
        <f>ROUND(SUM(R13+R142),1)</f>
        <v>0</v>
      </c>
      <c r="S144" s="45"/>
      <c r="T144" s="70">
        <f>ROUND(SUM(T13+T142),1)</f>
        <v>0</v>
      </c>
      <c r="U144" s="45"/>
      <c r="V144" s="70">
        <f>ROUND(SUM(V13+V142),1)</f>
        <v>0</v>
      </c>
      <c r="W144" s="45"/>
      <c r="X144" s="70">
        <f>ROUND(SUM(X13+X142),1)</f>
        <v>0</v>
      </c>
      <c r="Y144" s="45"/>
      <c r="Z144" s="70">
        <f>ROUND(SUM(Z13+Z142),1)</f>
        <v>0</v>
      </c>
      <c r="AA144" s="45"/>
      <c r="AB144" s="712"/>
      <c r="AC144" s="70">
        <f>ROUND(SUM(AC13+AC142),1)</f>
        <v>61143.7</v>
      </c>
      <c r="AD144" s="13"/>
      <c r="AE144" s="668"/>
      <c r="AF144" s="70">
        <f>ROUND(SUM(AF13+AF142),1)</f>
        <v>53324.4</v>
      </c>
      <c r="AG144" s="45"/>
      <c r="AH144" s="703"/>
      <c r="AI144" s="70">
        <f>ROUND(SUM(+AC144-AF144),1)</f>
        <v>7819.3</v>
      </c>
      <c r="AJ144" s="711"/>
      <c r="AK144" s="77">
        <f>ROUND(SUM(+AI144/AF144),3)</f>
        <v>0.14699999999999999</v>
      </c>
      <c r="AL144" s="1783"/>
    </row>
    <row r="145" spans="1:37" ht="15" customHeight="1" thickTop="1">
      <c r="A145" s="35"/>
      <c r="B145" s="291"/>
      <c r="C145" s="364"/>
      <c r="D145" s="364"/>
      <c r="E145" s="291"/>
      <c r="F145" s="384"/>
      <c r="G145" s="291"/>
      <c r="H145" s="364"/>
      <c r="I145" s="291"/>
      <c r="J145" s="264"/>
      <c r="K145" s="291"/>
      <c r="L145" s="364"/>
      <c r="M145" s="291"/>
      <c r="N145" s="364"/>
      <c r="O145" s="291"/>
      <c r="P145" s="364"/>
      <c r="Q145" s="291"/>
      <c r="R145" s="364"/>
      <c r="S145" s="291"/>
      <c r="T145" s="364"/>
      <c r="U145" s="291"/>
      <c r="V145" s="364"/>
      <c r="W145" s="291"/>
      <c r="X145" s="364"/>
      <c r="Y145" s="291"/>
      <c r="Z145" s="364"/>
      <c r="AA145" s="364"/>
      <c r="AB145" s="291"/>
      <c r="AC145" s="264"/>
      <c r="AD145" s="264"/>
      <c r="AE145" s="264"/>
      <c r="AF145" s="264"/>
      <c r="AG145" s="264"/>
      <c r="AH145" s="697"/>
      <c r="AI145" s="422"/>
      <c r="AJ145" s="422"/>
      <c r="AK145" s="328"/>
    </row>
    <row r="146" spans="1:37" ht="15" customHeight="1">
      <c r="A146" s="35"/>
      <c r="B146" s="291" t="s">
        <v>103</v>
      </c>
      <c r="C146" s="364"/>
      <c r="D146" s="364"/>
      <c r="E146" s="291"/>
      <c r="F146" s="384"/>
      <c r="G146" s="291"/>
      <c r="H146" s="364"/>
      <c r="I146" s="291"/>
      <c r="J146" s="264"/>
      <c r="K146" s="291"/>
      <c r="L146" s="364"/>
      <c r="M146" s="291"/>
      <c r="N146" s="364"/>
      <c r="O146" s="291"/>
      <c r="P146" s="364"/>
      <c r="Q146" s="291"/>
      <c r="R146" s="364"/>
      <c r="S146" s="291"/>
      <c r="T146" s="364"/>
      <c r="U146" s="291"/>
      <c r="V146" s="364"/>
      <c r="W146" s="291"/>
      <c r="X146" s="364"/>
      <c r="Y146" s="291"/>
      <c r="Z146" s="364"/>
      <c r="AA146" s="364"/>
      <c r="AB146" s="291"/>
      <c r="AC146" s="2017"/>
      <c r="AD146" s="264"/>
      <c r="AE146" s="264"/>
      <c r="AF146" s="264"/>
      <c r="AG146" s="264"/>
      <c r="AH146" s="697"/>
      <c r="AI146" s="422"/>
      <c r="AJ146" s="422"/>
      <c r="AK146" s="328"/>
    </row>
    <row r="147" spans="1:37" ht="15" customHeight="1">
      <c r="A147" s="35"/>
      <c r="B147" s="291"/>
      <c r="C147" s="364"/>
      <c r="D147" s="364"/>
      <c r="E147" s="291"/>
      <c r="F147" s="384"/>
      <c r="G147" s="291"/>
      <c r="H147" s="364"/>
      <c r="I147" s="291"/>
      <c r="J147" s="264"/>
      <c r="K147" s="291"/>
      <c r="L147" s="364"/>
      <c r="M147" s="291"/>
      <c r="N147" s="364"/>
      <c r="O147" s="291"/>
      <c r="P147" s="364"/>
      <c r="Q147" s="291"/>
      <c r="R147" s="364"/>
      <c r="S147" s="291"/>
      <c r="T147" s="364"/>
      <c r="U147" s="291"/>
      <c r="V147" s="364"/>
      <c r="W147" s="291"/>
      <c r="X147" s="364"/>
      <c r="Y147" s="291"/>
      <c r="Z147" s="364"/>
      <c r="AA147" s="364"/>
      <c r="AB147" s="291"/>
      <c r="AC147" s="1991"/>
      <c r="AD147" s="264"/>
      <c r="AE147" s="264"/>
      <c r="AF147" s="264"/>
      <c r="AG147" s="264"/>
      <c r="AH147" s="697"/>
      <c r="AI147" s="422"/>
      <c r="AJ147" s="422"/>
      <c r="AK147" s="328"/>
    </row>
    <row r="148" spans="1:37">
      <c r="B148" s="63"/>
      <c r="C148" s="63"/>
      <c r="D148" s="63"/>
      <c r="E148" s="63"/>
      <c r="F148" s="63"/>
      <c r="G148" s="63"/>
      <c r="H148" s="63"/>
      <c r="I148" s="63"/>
      <c r="J148" s="422"/>
      <c r="K148" s="63"/>
      <c r="L148" s="63"/>
      <c r="M148" s="63"/>
      <c r="N148" s="63"/>
      <c r="O148" s="63"/>
      <c r="P148" s="63"/>
      <c r="Q148" s="63"/>
      <c r="R148" s="63"/>
      <c r="S148" s="63"/>
      <c r="T148" s="63"/>
      <c r="U148" s="63"/>
      <c r="V148" s="63"/>
      <c r="W148" s="63"/>
      <c r="X148" s="63"/>
      <c r="Y148" s="63"/>
      <c r="Z148" s="63"/>
      <c r="AA148" s="63"/>
      <c r="AB148" s="63"/>
      <c r="AC148" s="63"/>
      <c r="AD148" s="63"/>
      <c r="AE148" s="63"/>
      <c r="AF148" s="63"/>
      <c r="AG148" s="63"/>
    </row>
  </sheetData>
  <mergeCells count="1">
    <mergeCell ref="AB9:AK9"/>
  </mergeCells>
  <printOptions horizontalCentered="1"/>
  <pageMargins left="0.25" right="0.25" top="0.5" bottom="0.25" header="0.3" footer="0.3"/>
  <pageSetup scale="38" firstPageNumber="20" fitToHeight="2" orientation="landscape" useFirstPageNumber="1" r:id="rId1"/>
  <headerFooter scaleWithDoc="0" alignWithMargins="0">
    <oddFooter>&amp;C&amp;8&amp;P</oddFooter>
  </headerFooter>
  <rowBreaks count="1" manualBreakCount="1">
    <brk id="90" min="1" max="36" man="1"/>
  </rowBreaks>
  <customProperties>
    <customPr name="SheetOptions" r:id="rId2"/>
  </customProperties>
  <ignoredErrors>
    <ignoredError sqref="AK134:AK135 AK122:AK123 AK125:AK132 AK18:AK22 AK107:AK112 AK97:AK98 AK115:AK117 AK100:AK105 AK119:AK120" unlockedFormula="1"/>
    <ignoredError sqref="AI21 D23 N23 P23 AK91 AK23:AK24 AK96 AK72:AK85 AK87:AK90 AK60 AK63:AK64 AK36:AK37 AK43:AK45 AK69 AK32:AK33 AK52:AK54 AK66 AK92:AK93 AK106" formula="1"/>
    <ignoredError sqref="AK65 AK46:AK51 AK25:AK31 AK67:AK68 AK38:AK42 AK34:AK35 AK61:AK62 AK55:AK59 AK86 AK70:AK71 AK94:AK95" formula="1" unlocked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dimension ref="A1:AN128"/>
  <sheetViews>
    <sheetView showGridLines="0" zoomScale="80" zoomScaleNormal="80" workbookViewId="0"/>
  </sheetViews>
  <sheetFormatPr defaultColWidth="8.84375" defaultRowHeight="15.5"/>
  <cols>
    <col min="1" max="1" width="1.84375" style="4" customWidth="1"/>
    <col min="2" max="2" width="45.4609375" style="4" customWidth="1"/>
    <col min="3" max="3" width="1.84375" style="4" customWidth="1"/>
    <col min="4" max="4" width="12.4609375" style="4" bestFit="1" customWidth="1"/>
    <col min="5" max="5" width="1.84375" customWidth="1"/>
    <col min="6" max="6" width="12.07421875" style="4" bestFit="1" customWidth="1"/>
    <col min="7" max="7" width="1.84375" customWidth="1"/>
    <col min="8" max="8" width="13.4609375" style="4" customWidth="1"/>
    <col min="9" max="9" width="1.84375" customWidth="1"/>
    <col min="10" max="10" width="16.07421875" style="4" customWidth="1"/>
    <col min="11" max="11" width="1.84375" customWidth="1"/>
    <col min="12" max="12" width="13.4609375" style="4" customWidth="1"/>
    <col min="13" max="13" width="1.84375" customWidth="1"/>
    <col min="14" max="14" width="14.07421875" style="4" customWidth="1"/>
    <col min="15" max="15" width="1.84375" customWidth="1"/>
    <col min="16" max="16" width="14.07421875" style="4" customWidth="1"/>
    <col min="17" max="17" width="1.84375" customWidth="1"/>
    <col min="18" max="18" width="14.07421875" style="4" customWidth="1"/>
    <col min="19" max="19" width="1.84375" customWidth="1"/>
    <col min="20" max="20" width="14.07421875" style="4" customWidth="1"/>
    <col min="21" max="21" width="1.84375" customWidth="1"/>
    <col min="22" max="22" width="14.07421875" style="4" customWidth="1"/>
    <col min="23" max="23" width="1.84375" customWidth="1"/>
    <col min="24" max="24" width="14.07421875" style="4" customWidth="1"/>
    <col min="25" max="25" width="1.84375" customWidth="1"/>
    <col min="26" max="26" width="14.07421875" style="4" customWidth="1"/>
    <col min="27" max="27" width="1.84375" style="4" customWidth="1"/>
    <col min="28" max="28" width="14.07421875" style="4" customWidth="1"/>
    <col min="29" max="30" width="0.84375" style="4" customWidth="1"/>
    <col min="31" max="31" width="12.53515625" style="4" bestFit="1" customWidth="1"/>
    <col min="32" max="32" width="1.4609375" style="4" customWidth="1"/>
    <col min="33" max="33" width="1.07421875" style="4" customWidth="1"/>
    <col min="34" max="34" width="12.53515625" style="4" bestFit="1" customWidth="1"/>
    <col min="35" max="36" width="1.07421875" style="4" customWidth="1"/>
    <col min="37" max="37" width="12.84375" style="4" customWidth="1"/>
    <col min="38" max="38" width="0.84375" style="4" customWidth="1"/>
    <col min="39" max="39" width="13.4609375" style="364" customWidth="1"/>
    <col min="40" max="16384" width="8.84375" style="4"/>
  </cols>
  <sheetData>
    <row r="1" spans="1:40">
      <c r="A1" s="364"/>
      <c r="B1" s="284" t="s">
        <v>97</v>
      </c>
      <c r="C1" s="364"/>
      <c r="D1" s="364"/>
      <c r="F1" s="364"/>
      <c r="H1" s="364"/>
      <c r="J1" s="364"/>
      <c r="L1" s="364"/>
      <c r="N1" s="364"/>
      <c r="P1" s="364"/>
      <c r="R1" s="364"/>
      <c r="T1" s="364"/>
      <c r="V1" s="364"/>
      <c r="X1" s="364"/>
      <c r="Z1" s="364"/>
      <c r="AA1" s="364"/>
      <c r="AB1" s="364"/>
      <c r="AC1" s="364"/>
      <c r="AD1" s="364"/>
      <c r="AE1" s="364"/>
      <c r="AF1" s="364"/>
      <c r="AG1" s="364"/>
      <c r="AH1" s="364"/>
      <c r="AI1" s="364"/>
      <c r="AJ1" s="364"/>
      <c r="AK1" s="364"/>
      <c r="AL1" s="364"/>
      <c r="AN1" s="364"/>
    </row>
    <row r="2" spans="1:40">
      <c r="A2" s="364"/>
      <c r="B2" s="364"/>
      <c r="C2" s="364"/>
      <c r="D2" s="364"/>
      <c r="F2" s="364"/>
      <c r="H2" s="364"/>
      <c r="J2" s="364"/>
      <c r="L2" s="364"/>
      <c r="N2" s="3"/>
      <c r="P2" s="364"/>
      <c r="R2" s="364"/>
      <c r="T2" s="364"/>
      <c r="V2" s="364"/>
      <c r="X2" s="364"/>
      <c r="Z2" s="364"/>
      <c r="AA2" s="364"/>
      <c r="AB2" s="364"/>
      <c r="AC2" s="364"/>
      <c r="AD2" s="364"/>
      <c r="AE2" s="364"/>
      <c r="AF2" s="364"/>
      <c r="AG2" s="364"/>
      <c r="AH2" s="364"/>
      <c r="AI2" s="364"/>
      <c r="AJ2" s="364"/>
      <c r="AK2" s="364"/>
      <c r="AL2" s="364"/>
      <c r="AN2" s="364"/>
    </row>
    <row r="3" spans="1:40" ht="18">
      <c r="A3" s="364"/>
      <c r="B3" s="65" t="s">
        <v>98</v>
      </c>
      <c r="C3" s="364"/>
      <c r="D3" s="364"/>
      <c r="F3" s="364"/>
      <c r="H3" s="364"/>
      <c r="J3" s="364"/>
      <c r="L3" s="364"/>
      <c r="N3" s="3"/>
      <c r="P3" s="364"/>
      <c r="R3" s="364"/>
      <c r="T3" s="364"/>
      <c r="V3" s="364"/>
      <c r="X3" s="364"/>
      <c r="Z3" s="364"/>
      <c r="AA3" s="364"/>
      <c r="AB3" s="364"/>
      <c r="AC3" s="364"/>
      <c r="AD3" s="364"/>
      <c r="AE3" s="364"/>
      <c r="AF3" s="291"/>
      <c r="AG3" s="291"/>
      <c r="AH3" s="291"/>
      <c r="AI3" s="291"/>
      <c r="AJ3" s="291"/>
      <c r="AK3" s="291"/>
      <c r="AL3" s="291"/>
      <c r="AM3" s="106" t="s">
        <v>472</v>
      </c>
      <c r="AN3" s="364"/>
    </row>
    <row r="4" spans="1:40" ht="18">
      <c r="A4" s="364"/>
      <c r="B4" s="65" t="s">
        <v>473</v>
      </c>
      <c r="C4" s="364"/>
      <c r="D4" s="364"/>
      <c r="F4" s="364"/>
      <c r="H4" s="364"/>
      <c r="J4" s="364"/>
      <c r="L4" s="3"/>
      <c r="N4" s="364"/>
      <c r="P4" s="364"/>
      <c r="R4" s="364"/>
      <c r="T4" s="364"/>
      <c r="V4" s="364"/>
      <c r="X4" s="364"/>
      <c r="Z4" s="364"/>
      <c r="AA4" s="364"/>
      <c r="AB4" s="364"/>
      <c r="AC4" s="364"/>
      <c r="AD4" s="364"/>
      <c r="AE4" s="364"/>
      <c r="AF4" s="364"/>
      <c r="AG4" s="364"/>
      <c r="AH4" s="364"/>
      <c r="AI4" s="364"/>
      <c r="AJ4" s="364"/>
      <c r="AK4" s="364"/>
      <c r="AL4" s="364"/>
      <c r="AN4" s="364"/>
    </row>
    <row r="5" spans="1:40" ht="18">
      <c r="A5" s="364"/>
      <c r="B5" s="540" t="s">
        <v>444</v>
      </c>
      <c r="C5" s="364"/>
      <c r="D5" s="364"/>
      <c r="F5" s="364"/>
      <c r="H5" s="364"/>
      <c r="J5" s="364"/>
      <c r="L5" s="291"/>
      <c r="N5" s="364"/>
      <c r="P5" s="364"/>
      <c r="R5" s="364"/>
      <c r="T5" s="364"/>
      <c r="V5" s="364"/>
      <c r="X5" s="405"/>
      <c r="Z5" s="364"/>
      <c r="AA5" s="364"/>
      <c r="AB5" s="364"/>
      <c r="AC5" s="364"/>
      <c r="AD5" s="364"/>
      <c r="AE5" s="364"/>
      <c r="AF5" s="364"/>
      <c r="AG5" s="364"/>
      <c r="AH5" s="364"/>
      <c r="AI5" s="364"/>
      <c r="AJ5" s="364"/>
      <c r="AK5" s="364"/>
      <c r="AL5" s="364"/>
      <c r="AN5" s="364"/>
    </row>
    <row r="6" spans="1:40" ht="20">
      <c r="A6" s="364"/>
      <c r="B6" s="540" t="str">
        <f>'Cashflow Governmental'!A6</f>
        <v>FISCAL YEAR 2026-2027</v>
      </c>
      <c r="C6" s="364"/>
      <c r="D6" s="364"/>
      <c r="F6" s="364"/>
      <c r="H6" s="364"/>
      <c r="J6" s="364"/>
      <c r="L6" s="291"/>
      <c r="N6" s="364"/>
      <c r="P6" s="364"/>
      <c r="R6" s="364"/>
      <c r="T6" s="364" t="s">
        <v>103</v>
      </c>
      <c r="V6" s="364"/>
      <c r="X6" s="364"/>
      <c r="Z6" s="364"/>
      <c r="AA6" s="364"/>
      <c r="AB6" s="364"/>
      <c r="AC6" s="364"/>
      <c r="AD6" s="364"/>
      <c r="AE6" s="364"/>
      <c r="AF6" s="364"/>
      <c r="AG6" s="364"/>
      <c r="AH6" s="364"/>
      <c r="AI6" s="364"/>
      <c r="AJ6" s="364"/>
      <c r="AK6" s="364"/>
      <c r="AL6" s="364"/>
      <c r="AM6" s="850"/>
      <c r="AN6" s="364"/>
    </row>
    <row r="7" spans="1:40" ht="18">
      <c r="A7" s="364"/>
      <c r="B7" s="65" t="s">
        <v>474</v>
      </c>
      <c r="C7" s="364"/>
      <c r="D7" s="364"/>
      <c r="F7" s="364"/>
      <c r="H7" s="364"/>
      <c r="J7" s="364"/>
      <c r="L7" s="364"/>
      <c r="N7" s="364"/>
      <c r="P7" s="364"/>
      <c r="R7" s="364"/>
      <c r="T7" s="364"/>
      <c r="V7" s="364"/>
      <c r="X7" s="364"/>
      <c r="Z7" s="364"/>
      <c r="AA7" s="364"/>
      <c r="AB7" s="364"/>
      <c r="AC7" s="364"/>
      <c r="AD7" s="364"/>
      <c r="AE7" s="364"/>
      <c r="AF7" s="364"/>
      <c r="AG7" s="364"/>
      <c r="AH7" s="364"/>
      <c r="AI7" s="364"/>
      <c r="AJ7" s="291"/>
      <c r="AK7" s="291"/>
      <c r="AL7" s="291"/>
      <c r="AM7" s="291"/>
      <c r="AN7" s="364"/>
    </row>
    <row r="8" spans="1:40">
      <c r="A8" s="364"/>
      <c r="B8" s="364"/>
      <c r="C8" s="364"/>
      <c r="D8" s="364"/>
      <c r="F8" s="364"/>
      <c r="H8" s="364"/>
      <c r="J8" s="364"/>
      <c r="L8" s="291"/>
      <c r="N8" s="291"/>
      <c r="P8" s="364"/>
      <c r="R8" s="364"/>
      <c r="T8" s="364"/>
      <c r="V8" s="364"/>
      <c r="X8" s="364"/>
      <c r="Z8" s="364"/>
      <c r="AA8" s="364"/>
      <c r="AB8" s="364"/>
      <c r="AC8" s="364"/>
      <c r="AD8" s="291"/>
      <c r="AE8" s="291"/>
      <c r="AF8" s="291"/>
      <c r="AG8" s="291"/>
      <c r="AH8" s="291"/>
      <c r="AI8" s="291"/>
      <c r="AJ8" s="291"/>
      <c r="AK8" s="291"/>
      <c r="AL8" s="291"/>
      <c r="AM8" s="291"/>
      <c r="AN8" s="364"/>
    </row>
    <row r="9" spans="1:40" s="63" customFormat="1" ht="19.5" customHeight="1">
      <c r="D9" s="63" t="s">
        <v>103</v>
      </c>
      <c r="E9" s="266" t="s">
        <v>103</v>
      </c>
      <c r="G9"/>
      <c r="I9"/>
      <c r="K9"/>
      <c r="L9" s="71"/>
      <c r="M9"/>
      <c r="N9" s="71"/>
      <c r="O9"/>
      <c r="Q9"/>
      <c r="S9"/>
      <c r="U9"/>
      <c r="W9"/>
      <c r="Y9"/>
      <c r="AB9" s="52" t="s">
        <v>475</v>
      </c>
      <c r="AC9" s="52"/>
      <c r="AD9" s="2063" t="str">
        <f>'Cashflow Governmental'!$AB$12</f>
        <v>4 Months Ended July 31</v>
      </c>
      <c r="AE9" s="2063"/>
      <c r="AF9" s="2063"/>
      <c r="AG9" s="2063"/>
      <c r="AH9" s="2063"/>
      <c r="AI9" s="2063"/>
      <c r="AJ9" s="2063"/>
      <c r="AK9" s="2063"/>
      <c r="AL9" s="2063"/>
      <c r="AM9" s="2063"/>
    </row>
    <row r="10" spans="1:40">
      <c r="A10" s="364"/>
      <c r="B10" s="364"/>
      <c r="C10" s="364"/>
      <c r="D10" s="314" t="str">
        <f>'Cashflow Governmental'!C13</f>
        <v>2026</v>
      </c>
      <c r="F10" s="3"/>
      <c r="H10" s="3"/>
      <c r="J10" s="3"/>
      <c r="L10" s="3"/>
      <c r="N10" s="3"/>
      <c r="P10" s="3"/>
      <c r="R10" s="3"/>
      <c r="T10" s="3"/>
      <c r="V10" s="314">
        <f>'Cashflow Governmental'!U13</f>
        <v>2027</v>
      </c>
      <c r="X10" s="3"/>
      <c r="Z10" s="3"/>
      <c r="AA10" s="3"/>
      <c r="AB10" s="52" t="s">
        <v>476</v>
      </c>
      <c r="AC10" s="52"/>
      <c r="AD10" s="3"/>
      <c r="AE10" s="57"/>
      <c r="AF10" s="57"/>
      <c r="AG10" s="57"/>
      <c r="AH10" s="57"/>
      <c r="AI10" s="57"/>
      <c r="AJ10" s="57"/>
      <c r="AK10" s="319" t="s">
        <v>110</v>
      </c>
      <c r="AL10" s="57"/>
      <c r="AM10" s="320" t="s">
        <v>111</v>
      </c>
      <c r="AN10" s="57"/>
    </row>
    <row r="11" spans="1:40">
      <c r="A11" s="364"/>
      <c r="B11" s="364"/>
      <c r="C11" s="364"/>
      <c r="D11" s="52" t="s">
        <v>329</v>
      </c>
      <c r="F11" s="52" t="s">
        <v>330</v>
      </c>
      <c r="H11" s="52" t="s">
        <v>331</v>
      </c>
      <c r="J11" s="52" t="s">
        <v>332</v>
      </c>
      <c r="L11" s="1212" t="s">
        <v>333</v>
      </c>
      <c r="N11" s="52" t="s">
        <v>445</v>
      </c>
      <c r="P11" s="52" t="s">
        <v>446</v>
      </c>
      <c r="R11" s="52" t="s">
        <v>336</v>
      </c>
      <c r="T11" s="52" t="s">
        <v>337</v>
      </c>
      <c r="V11" s="52" t="s">
        <v>338</v>
      </c>
      <c r="X11" s="52" t="s">
        <v>339</v>
      </c>
      <c r="Z11" s="52" t="s">
        <v>447</v>
      </c>
      <c r="AA11" s="52"/>
      <c r="AB11" s="1212" t="s">
        <v>477</v>
      </c>
      <c r="AC11" s="52"/>
      <c r="AD11" s="3"/>
      <c r="AE11" s="314" t="str">
        <f>'Cashflow Governmental'!AB14</f>
        <v>2026</v>
      </c>
      <c r="AF11" s="3" t="s">
        <v>103</v>
      </c>
      <c r="AG11" s="57"/>
      <c r="AH11" s="314" t="str">
        <f>'Cashflow Governmental'!AE14</f>
        <v>2025</v>
      </c>
      <c r="AI11" s="314"/>
      <c r="AJ11" s="57"/>
      <c r="AK11" s="1214" t="s">
        <v>112</v>
      </c>
      <c r="AL11" s="57"/>
      <c r="AM11" s="1214" t="s">
        <v>113</v>
      </c>
      <c r="AN11" s="57"/>
    </row>
    <row r="12" spans="1:40" ht="5.25" customHeight="1">
      <c r="A12" s="364"/>
      <c r="B12" s="364"/>
      <c r="C12" s="364"/>
      <c r="D12" s="984"/>
      <c r="F12" s="984"/>
      <c r="H12" s="984"/>
      <c r="J12" s="984"/>
      <c r="L12" s="984"/>
      <c r="N12" s="984"/>
      <c r="P12" s="984"/>
      <c r="R12" s="984"/>
      <c r="T12" s="984"/>
      <c r="V12" s="984"/>
      <c r="X12" s="984"/>
      <c r="Z12" s="984"/>
      <c r="AA12" s="364"/>
      <c r="AB12" s="364"/>
      <c r="AC12" s="364"/>
      <c r="AD12" s="364"/>
      <c r="AE12" s="984"/>
      <c r="AF12" s="364"/>
      <c r="AG12" s="364"/>
      <c r="AH12" s="984"/>
      <c r="AI12" s="364"/>
      <c r="AJ12" s="364"/>
      <c r="AK12" s="364"/>
      <c r="AL12" s="364"/>
      <c r="AN12" s="364"/>
    </row>
    <row r="13" spans="1:40" ht="15" customHeight="1">
      <c r="A13" s="291"/>
      <c r="B13" s="1211" t="s">
        <v>478</v>
      </c>
      <c r="C13" s="291"/>
      <c r="D13" s="20">
        <f>'Exhibit G State'!D13+'Exhibit G Federal'!D13</f>
        <v>21208.6</v>
      </c>
      <c r="F13" s="20">
        <f>D123</f>
        <v>23634.9</v>
      </c>
      <c r="G13" s="20"/>
      <c r="H13" s="20">
        <f>F123</f>
        <v>24449.5</v>
      </c>
      <c r="J13" s="20">
        <f>H123</f>
        <v>29556.6</v>
      </c>
      <c r="L13" s="20"/>
      <c r="N13" s="20"/>
      <c r="P13" s="20"/>
      <c r="R13" s="20"/>
      <c r="S13" s="20"/>
      <c r="T13" s="20"/>
      <c r="U13" s="20"/>
      <c r="V13" s="20"/>
      <c r="W13" s="20"/>
      <c r="X13" s="20"/>
      <c r="Y13" s="20"/>
      <c r="Z13" s="20"/>
      <c r="AA13" s="20"/>
      <c r="AB13" s="20">
        <v>0</v>
      </c>
      <c r="AC13" s="20"/>
      <c r="AD13" s="21"/>
      <c r="AE13" s="20">
        <f>D13</f>
        <v>21208.6</v>
      </c>
      <c r="AF13" s="20"/>
      <c r="AG13" s="21"/>
      <c r="AH13" s="82">
        <f>'Exhibit G State'!AF13+'Exhibit G Federal'!AF13</f>
        <v>18119.2</v>
      </c>
      <c r="AI13" s="73"/>
      <c r="AJ13" s="20"/>
      <c r="AK13" s="44">
        <f>AE13-AH13</f>
        <v>3089.3999999999978</v>
      </c>
      <c r="AL13" s="713"/>
      <c r="AM13" s="74">
        <f>(AE13-AH13)/AH13</f>
        <v>0.17050421652170061</v>
      </c>
      <c r="AN13" s="405"/>
    </row>
    <row r="14" spans="1:40" ht="15" customHeight="1">
      <c r="A14" s="291"/>
      <c r="B14" s="291"/>
      <c r="C14" s="291"/>
      <c r="D14" s="364"/>
      <c r="F14" s="364"/>
      <c r="G14" s="364"/>
      <c r="H14" s="364"/>
      <c r="J14" s="364"/>
      <c r="L14" s="364"/>
      <c r="N14" s="364"/>
      <c r="P14" s="364"/>
      <c r="R14" s="364"/>
      <c r="T14" s="364"/>
      <c r="V14" s="364"/>
      <c r="X14" s="364"/>
      <c r="Z14" s="364"/>
      <c r="AA14" s="364"/>
      <c r="AB14" s="364"/>
      <c r="AC14" s="364"/>
      <c r="AD14" s="1028"/>
      <c r="AE14" s="364"/>
      <c r="AF14" s="364"/>
      <c r="AG14" s="1028"/>
      <c r="AH14" s="364"/>
      <c r="AI14" s="1029"/>
      <c r="AJ14" s="364"/>
      <c r="AK14" s="364"/>
      <c r="AL14" s="364"/>
      <c r="AM14" s="283"/>
      <c r="AN14" s="405"/>
    </row>
    <row r="15" spans="1:40" ht="15" customHeight="1">
      <c r="A15" s="291"/>
      <c r="B15" s="3" t="s">
        <v>114</v>
      </c>
      <c r="C15" s="291"/>
      <c r="D15" s="264"/>
      <c r="F15" s="264"/>
      <c r="G15" s="264"/>
      <c r="H15" s="264"/>
      <c r="J15" s="264"/>
      <c r="L15" s="264"/>
      <c r="N15" s="264"/>
      <c r="P15" s="264"/>
      <c r="R15" s="264"/>
      <c r="T15" s="264"/>
      <c r="V15" s="264"/>
      <c r="X15" s="264"/>
      <c r="Z15" s="264"/>
      <c r="AA15" s="264"/>
      <c r="AB15" s="264"/>
      <c r="AC15" s="264"/>
      <c r="AD15" s="523"/>
      <c r="AE15" s="264"/>
      <c r="AF15" s="264"/>
      <c r="AG15" s="523"/>
      <c r="AH15" s="264"/>
      <c r="AI15" s="519"/>
      <c r="AJ15" s="264"/>
      <c r="AK15" s="264"/>
      <c r="AL15" s="364"/>
      <c r="AM15" s="283"/>
      <c r="AN15" s="405"/>
    </row>
    <row r="16" spans="1:40" ht="15" customHeight="1">
      <c r="A16" s="291"/>
      <c r="B16" s="1211" t="s">
        <v>342</v>
      </c>
      <c r="C16" s="291"/>
      <c r="D16" s="264"/>
      <c r="F16" s="264"/>
      <c r="G16" s="264"/>
      <c r="H16" s="264"/>
      <c r="J16" s="264"/>
      <c r="L16" s="264"/>
      <c r="N16" s="264"/>
      <c r="P16" s="264"/>
      <c r="R16" s="264"/>
      <c r="T16" s="264"/>
      <c r="V16" s="264"/>
      <c r="X16" s="264"/>
      <c r="Z16" s="264"/>
      <c r="AA16" s="264"/>
      <c r="AB16" s="264"/>
      <c r="AC16" s="264"/>
      <c r="AD16" s="523"/>
      <c r="AE16" s="264"/>
      <c r="AF16" s="264"/>
      <c r="AG16" s="523"/>
      <c r="AH16" s="264"/>
      <c r="AI16" s="519"/>
      <c r="AJ16" s="264"/>
      <c r="AK16" s="264"/>
      <c r="AL16" s="364"/>
      <c r="AM16" s="283"/>
      <c r="AN16" s="405"/>
    </row>
    <row r="17" spans="1:40" s="57" customFormat="1" ht="15" customHeight="1">
      <c r="A17" s="3"/>
      <c r="B17" s="412" t="s">
        <v>479</v>
      </c>
      <c r="C17" s="3"/>
      <c r="D17" s="264">
        <f>'Exhibit G State'!D17</f>
        <v>0</v>
      </c>
      <c r="E17" s="264"/>
      <c r="F17" s="264">
        <f>'Exhibit G State'!F17</f>
        <v>0</v>
      </c>
      <c r="G17" s="264"/>
      <c r="H17" s="264">
        <f>'Exhibit G State'!H17</f>
        <v>0</v>
      </c>
      <c r="I17"/>
      <c r="J17" s="264">
        <f>'Exhibit G State'!J17</f>
        <v>0</v>
      </c>
      <c r="K17"/>
      <c r="L17" s="264"/>
      <c r="M17"/>
      <c r="N17" s="264"/>
      <c r="O17"/>
      <c r="P17" s="264"/>
      <c r="Q17"/>
      <c r="R17" s="264"/>
      <c r="S17" s="264"/>
      <c r="T17" s="264"/>
      <c r="U17" s="264"/>
      <c r="V17" s="264"/>
      <c r="W17" s="264"/>
      <c r="X17" s="264"/>
      <c r="Y17" s="264"/>
      <c r="Z17" s="264"/>
      <c r="AA17" s="264"/>
      <c r="AB17" s="264">
        <v>0</v>
      </c>
      <c r="AC17" s="264"/>
      <c r="AD17" s="21"/>
      <c r="AE17" s="264">
        <f>ROUND(SUM(D17:Z17),1)</f>
        <v>0</v>
      </c>
      <c r="AF17" s="264"/>
      <c r="AG17" s="523"/>
      <c r="AH17" s="287">
        <f>'Exhibit G State'!AF17</f>
        <v>0</v>
      </c>
      <c r="AI17" s="519"/>
      <c r="AJ17" s="264"/>
      <c r="AK17" s="264">
        <f>ROUND(SUM(+AE17-AH17),1)</f>
        <v>0</v>
      </c>
      <c r="AL17" s="11"/>
      <c r="AM17" s="266">
        <f>ROUND(IF(AH17=0,0,AK17/ABS(AH17)),3)</f>
        <v>0</v>
      </c>
      <c r="AN17" s="405"/>
    </row>
    <row r="18" spans="1:40" s="57" customFormat="1" ht="6" customHeight="1">
      <c r="A18" s="3"/>
      <c r="B18" s="412"/>
      <c r="C18" s="3"/>
      <c r="D18" s="714"/>
      <c r="E18" s="714"/>
      <c r="F18" s="714"/>
      <c r="G18" s="714"/>
      <c r="H18" s="714"/>
      <c r="I18"/>
      <c r="J18" s="264"/>
      <c r="K18"/>
      <c r="L18" s="714"/>
      <c r="M18"/>
      <c r="N18" s="714"/>
      <c r="O18"/>
      <c r="P18" s="714"/>
      <c r="Q18"/>
      <c r="R18" s="714"/>
      <c r="S18" s="714"/>
      <c r="T18" s="714"/>
      <c r="U18" s="714"/>
      <c r="V18" s="264"/>
      <c r="W18"/>
      <c r="X18" s="264"/>
      <c r="Y18" s="714"/>
      <c r="Z18" s="714"/>
      <c r="AA18" s="714"/>
      <c r="AB18" s="20"/>
      <c r="AC18" s="20"/>
      <c r="AD18" s="21"/>
      <c r="AE18" s="274"/>
      <c r="AF18" s="274"/>
      <c r="AG18" s="431"/>
      <c r="AH18" s="276"/>
      <c r="AI18" s="886"/>
      <c r="AJ18" s="274"/>
      <c r="AK18" s="274"/>
      <c r="AL18" s="11"/>
      <c r="AM18" s="266"/>
      <c r="AN18" s="405"/>
    </row>
    <row r="19" spans="1:40" ht="15" customHeight="1">
      <c r="A19" s="291"/>
      <c r="B19" s="412" t="s">
        <v>354</v>
      </c>
      <c r="C19" s="291"/>
      <c r="D19" s="264"/>
      <c r="E19" s="264"/>
      <c r="F19" s="264"/>
      <c r="G19" s="264"/>
      <c r="H19" s="264"/>
      <c r="J19" s="264"/>
      <c r="L19" s="264"/>
      <c r="N19" s="264"/>
      <c r="P19" s="264"/>
      <c r="R19" s="264"/>
      <c r="S19" s="264"/>
      <c r="T19" s="264"/>
      <c r="U19" s="264"/>
      <c r="V19" s="264"/>
      <c r="X19" s="264"/>
      <c r="Y19" s="264"/>
      <c r="Z19" s="264"/>
      <c r="AA19" s="264"/>
      <c r="AB19" s="264"/>
      <c r="AC19" s="264"/>
      <c r="AD19" s="523"/>
      <c r="AE19" s="13"/>
      <c r="AF19" s="13"/>
      <c r="AG19" s="14"/>
      <c r="AH19" s="13"/>
      <c r="AI19" s="75"/>
      <c r="AJ19" s="13"/>
      <c r="AK19" s="13"/>
      <c r="AL19" s="57"/>
      <c r="AM19" s="74"/>
      <c r="AN19" s="405"/>
    </row>
    <row r="20" spans="1:40" ht="15" customHeight="1">
      <c r="A20" s="291"/>
      <c r="B20" s="421" t="s">
        <v>355</v>
      </c>
      <c r="C20" s="291"/>
      <c r="D20" s="264">
        <f>'Exhibit G State'!D20</f>
        <v>154.80000000000001</v>
      </c>
      <c r="E20" s="264"/>
      <c r="F20" s="264">
        <f>'Exhibit G State'!F20</f>
        <v>111.1</v>
      </c>
      <c r="G20" s="264"/>
      <c r="H20" s="264">
        <f>'Exhibit G State'!H20</f>
        <v>142.69999999999999</v>
      </c>
      <c r="J20" s="264">
        <f>'Exhibit G State'!J20</f>
        <v>120.19999999999999</v>
      </c>
      <c r="L20" s="264"/>
      <c r="N20" s="264"/>
      <c r="P20" s="264"/>
      <c r="R20" s="264"/>
      <c r="S20" s="264"/>
      <c r="T20" s="264"/>
      <c r="U20" s="264"/>
      <c r="V20" s="264"/>
      <c r="W20" s="264"/>
      <c r="X20" s="264"/>
      <c r="Y20" s="264"/>
      <c r="Z20" s="264"/>
      <c r="AA20" s="264"/>
      <c r="AB20" s="264">
        <v>0</v>
      </c>
      <c r="AC20" s="264"/>
      <c r="AD20" s="523"/>
      <c r="AE20" s="264">
        <f>ROUND(SUM(D20:Z20),1)</f>
        <v>528.79999999999995</v>
      </c>
      <c r="AF20" s="264"/>
      <c r="AG20" s="523"/>
      <c r="AH20" s="287">
        <f>'Exhibit G State'!AF20</f>
        <v>489</v>
      </c>
      <c r="AI20" s="519"/>
      <c r="AJ20" s="264"/>
      <c r="AK20" s="264">
        <f t="shared" ref="AK20:AK27" si="0">ROUND(SUM(+AE20-AH20),1)</f>
        <v>39.799999999999997</v>
      </c>
      <c r="AL20" s="11"/>
      <c r="AM20" s="266">
        <f t="shared" ref="AM20:AM26" si="1">ROUND(IF(AH20=0,0,AK20/ABS(AH20)),3)</f>
        <v>8.1000000000000003E-2</v>
      </c>
      <c r="AN20" s="405"/>
    </row>
    <row r="21" spans="1:40" ht="15" customHeight="1">
      <c r="A21" s="291"/>
      <c r="B21" s="421" t="s">
        <v>356</v>
      </c>
      <c r="C21" s="291"/>
      <c r="D21" s="264">
        <f>'Exhibit G State'!D21</f>
        <v>1.7</v>
      </c>
      <c r="E21" s="264"/>
      <c r="F21" s="264">
        <f>'Exhibit G State'!F21</f>
        <v>0</v>
      </c>
      <c r="G21" s="264"/>
      <c r="H21" s="264">
        <f>'Exhibit G State'!H21</f>
        <v>9</v>
      </c>
      <c r="J21" s="264">
        <f>'Exhibit G State'!J21</f>
        <v>0</v>
      </c>
      <c r="L21" s="264"/>
      <c r="N21" s="264"/>
      <c r="P21" s="264"/>
      <c r="R21" s="264"/>
      <c r="S21" s="264"/>
      <c r="T21" s="264"/>
      <c r="U21" s="264"/>
      <c r="V21" s="264"/>
      <c r="W21" s="264"/>
      <c r="X21" s="264"/>
      <c r="Y21" s="264"/>
      <c r="Z21" s="264"/>
      <c r="AA21" s="264"/>
      <c r="AB21" s="264">
        <v>0</v>
      </c>
      <c r="AC21" s="264"/>
      <c r="AD21" s="523"/>
      <c r="AE21" s="264">
        <f>ROUND(SUM(D21:Z21),1)</f>
        <v>10.7</v>
      </c>
      <c r="AF21" s="264"/>
      <c r="AG21" s="523"/>
      <c r="AH21" s="287">
        <f>'Exhibit G State'!AF21</f>
        <v>14</v>
      </c>
      <c r="AI21" s="519"/>
      <c r="AJ21" s="264"/>
      <c r="AK21" s="264">
        <f t="shared" si="0"/>
        <v>-3.3</v>
      </c>
      <c r="AL21" s="11"/>
      <c r="AM21" s="542">
        <f>ROUND(IF(AH21=0,1,AK21/ABS(AH21)),3)</f>
        <v>-0.23599999999999999</v>
      </c>
      <c r="AN21" s="405"/>
    </row>
    <row r="22" spans="1:40" ht="15" customHeight="1">
      <c r="A22" s="291"/>
      <c r="B22" s="421" t="s">
        <v>357</v>
      </c>
      <c r="C22" s="291"/>
      <c r="D22" s="264">
        <f>'Exhibit G State'!D22</f>
        <v>52.9</v>
      </c>
      <c r="E22" s="264"/>
      <c r="F22" s="264">
        <f>'Exhibit G State'!F22</f>
        <v>39.699999999999996</v>
      </c>
      <c r="G22" s="264"/>
      <c r="H22" s="264">
        <f>'Exhibit G State'!H22</f>
        <v>48.400000000000013</v>
      </c>
      <c r="J22" s="264">
        <f>'Exhibit G State'!J22</f>
        <v>45.400000000000013</v>
      </c>
      <c r="L22" s="264"/>
      <c r="N22" s="264"/>
      <c r="P22" s="264"/>
      <c r="R22" s="264"/>
      <c r="S22" s="264"/>
      <c r="T22" s="264"/>
      <c r="U22" s="264"/>
      <c r="V22" s="264"/>
      <c r="W22" s="264"/>
      <c r="X22" s="264"/>
      <c r="Y22" s="264"/>
      <c r="Z22" s="264"/>
      <c r="AA22" s="264"/>
      <c r="AB22" s="264">
        <v>0</v>
      </c>
      <c r="AC22" s="264"/>
      <c r="AD22" s="523"/>
      <c r="AE22" s="264">
        <f>ROUND(SUM(D22:Z22),1)</f>
        <v>186.4</v>
      </c>
      <c r="AF22" s="264"/>
      <c r="AG22" s="523"/>
      <c r="AH22" s="287">
        <f>'Exhibit G State'!AF22</f>
        <v>195.1</v>
      </c>
      <c r="AI22" s="519"/>
      <c r="AJ22" s="264"/>
      <c r="AK22" s="264">
        <f t="shared" si="0"/>
        <v>-8.6999999999999993</v>
      </c>
      <c r="AL22" s="11"/>
      <c r="AM22" s="266">
        <f t="shared" si="1"/>
        <v>-4.4999999999999998E-2</v>
      </c>
      <c r="AN22" s="405"/>
    </row>
    <row r="23" spans="1:40" ht="15" customHeight="1">
      <c r="A23" s="291"/>
      <c r="B23" s="284" t="s">
        <v>436</v>
      </c>
      <c r="C23" s="291"/>
      <c r="D23" s="264">
        <f>'Exhibit G State'!D23</f>
        <v>4.4000000000000004</v>
      </c>
      <c r="E23" s="264"/>
      <c r="F23" s="264">
        <f>'Exhibit G State'!F23</f>
        <v>1.5999999999999996</v>
      </c>
      <c r="G23" s="264"/>
      <c r="H23" s="264">
        <f>'Exhibit G State'!H23</f>
        <v>53.1</v>
      </c>
      <c r="J23" s="264">
        <f>'Exhibit G State'!J23</f>
        <v>4.1999999999999957</v>
      </c>
      <c r="L23" s="264"/>
      <c r="N23" s="264"/>
      <c r="P23" s="264"/>
      <c r="R23" s="264"/>
      <c r="S23" s="264"/>
      <c r="T23" s="264"/>
      <c r="U23" s="264"/>
      <c r="V23" s="264"/>
      <c r="W23" s="264"/>
      <c r="X23" s="264"/>
      <c r="Y23" s="264"/>
      <c r="Z23" s="264"/>
      <c r="AA23" s="264"/>
      <c r="AB23" s="264">
        <v>0</v>
      </c>
      <c r="AC23" s="264"/>
      <c r="AD23" s="523"/>
      <c r="AE23" s="264">
        <f t="shared" ref="AE23:AE27" si="2">ROUND(SUM(D23:Z23),1)</f>
        <v>63.3</v>
      </c>
      <c r="AF23" s="264"/>
      <c r="AG23" s="523"/>
      <c r="AH23" s="287">
        <f>'Exhibit G State'!AF23</f>
        <v>38.9</v>
      </c>
      <c r="AI23" s="519"/>
      <c r="AJ23" s="264"/>
      <c r="AK23" s="264">
        <f>ROUND(SUM(+AE23-AH23),1)</f>
        <v>24.4</v>
      </c>
      <c r="AL23" s="11"/>
      <c r="AM23" s="266">
        <f>ROUND(IF(AH23=0,1,AK23/ABS(AH23)),3)</f>
        <v>0.627</v>
      </c>
      <c r="AN23" s="405"/>
    </row>
    <row r="24" spans="1:40" ht="15" customHeight="1">
      <c r="A24" s="291"/>
      <c r="B24" s="421" t="s">
        <v>359</v>
      </c>
      <c r="C24" s="291"/>
      <c r="D24" s="264">
        <f>'Exhibit G State'!D24</f>
        <v>7.8</v>
      </c>
      <c r="E24" s="264"/>
      <c r="F24" s="264">
        <f>'Exhibit G State'!F24</f>
        <v>8.6999999999999993</v>
      </c>
      <c r="G24" s="264"/>
      <c r="H24" s="264">
        <f>'Exhibit G State'!H24</f>
        <v>9.5</v>
      </c>
      <c r="J24" s="264">
        <f>'Exhibit G State'!J24</f>
        <v>9</v>
      </c>
      <c r="L24" s="264"/>
      <c r="N24" s="264"/>
      <c r="P24" s="264"/>
      <c r="R24" s="264"/>
      <c r="S24" s="264"/>
      <c r="T24" s="264"/>
      <c r="U24" s="264"/>
      <c r="V24" s="264"/>
      <c r="W24" s="264"/>
      <c r="X24" s="264"/>
      <c r="Y24" s="264"/>
      <c r="Z24" s="264"/>
      <c r="AA24" s="264"/>
      <c r="AB24" s="264">
        <v>0</v>
      </c>
      <c r="AC24" s="264"/>
      <c r="AD24" s="523"/>
      <c r="AE24" s="264">
        <f>ROUND(SUM(D24:Z24),1)</f>
        <v>35</v>
      </c>
      <c r="AF24" s="264"/>
      <c r="AG24" s="523"/>
      <c r="AH24" s="287">
        <f>'Exhibit G State'!AF24</f>
        <v>34.4</v>
      </c>
      <c r="AI24" s="519"/>
      <c r="AJ24" s="264"/>
      <c r="AK24" s="264">
        <f t="shared" si="0"/>
        <v>0.6</v>
      </c>
      <c r="AL24" s="11"/>
      <c r="AM24" s="266">
        <f t="shared" si="1"/>
        <v>1.7000000000000001E-2</v>
      </c>
      <c r="AN24" s="405"/>
    </row>
    <row r="25" spans="1:40" ht="15" customHeight="1">
      <c r="A25" s="291"/>
      <c r="B25" s="421" t="s">
        <v>360</v>
      </c>
      <c r="C25" s="291"/>
      <c r="D25" s="264">
        <f>'Exhibit G State'!D25</f>
        <v>0</v>
      </c>
      <c r="E25" s="264"/>
      <c r="F25" s="264">
        <f>'Exhibit G State'!F25</f>
        <v>0</v>
      </c>
      <c r="G25" s="264"/>
      <c r="H25" s="264">
        <f>'Exhibit G State'!H25</f>
        <v>0</v>
      </c>
      <c r="J25" s="264">
        <f>'Exhibit G State'!J25</f>
        <v>0</v>
      </c>
      <c r="L25" s="264"/>
      <c r="N25" s="264"/>
      <c r="P25" s="264"/>
      <c r="R25" s="264"/>
      <c r="S25" s="264"/>
      <c r="T25" s="264"/>
      <c r="U25" s="264"/>
      <c r="V25" s="264"/>
      <c r="W25" s="264"/>
      <c r="X25" s="264"/>
      <c r="Y25" s="264"/>
      <c r="Z25" s="264"/>
      <c r="AA25" s="264"/>
      <c r="AB25" s="264">
        <v>0</v>
      </c>
      <c r="AC25" s="264"/>
      <c r="AD25" s="523"/>
      <c r="AE25" s="264">
        <f>ROUND(SUM(D25:Z25),1)</f>
        <v>0</v>
      </c>
      <c r="AF25" s="264"/>
      <c r="AG25" s="523"/>
      <c r="AH25" s="287">
        <f>'Exhibit G State'!AF25</f>
        <v>-0.1</v>
      </c>
      <c r="AI25" s="519"/>
      <c r="AJ25" s="264"/>
      <c r="AK25" s="264">
        <f t="shared" ref="AK25" si="3">ROUND(SUM(+AE25-AH25),1)</f>
        <v>0.1</v>
      </c>
      <c r="AL25" s="11"/>
      <c r="AM25" s="266">
        <f>ROUND(IF(AH25=0,1,(AK25)/ABS(AH25)),3)</f>
        <v>1</v>
      </c>
      <c r="AN25" s="405"/>
    </row>
    <row r="26" spans="1:40" ht="15" customHeight="1">
      <c r="A26" s="291"/>
      <c r="B26" s="421" t="s">
        <v>361</v>
      </c>
      <c r="C26" s="291"/>
      <c r="D26" s="264">
        <f>'Exhibit G State'!D26</f>
        <v>0</v>
      </c>
      <c r="E26" s="264"/>
      <c r="F26" s="264">
        <f>'Exhibit G State'!F26</f>
        <v>0</v>
      </c>
      <c r="G26" s="264"/>
      <c r="H26" s="264">
        <f>'Exhibit G State'!H26</f>
        <v>0</v>
      </c>
      <c r="J26" s="264">
        <f>'Exhibit G State'!J26</f>
        <v>0</v>
      </c>
      <c r="L26" s="264"/>
      <c r="N26" s="264"/>
      <c r="P26" s="264"/>
      <c r="R26" s="264"/>
      <c r="S26" s="264"/>
      <c r="T26" s="264"/>
      <c r="U26" s="264"/>
      <c r="V26" s="264"/>
      <c r="W26" s="264"/>
      <c r="X26" s="264"/>
      <c r="Y26" s="264"/>
      <c r="Z26" s="264"/>
      <c r="AA26" s="264"/>
      <c r="AB26" s="264">
        <v>0</v>
      </c>
      <c r="AC26" s="264"/>
      <c r="AD26" s="523"/>
      <c r="AE26" s="264">
        <f t="shared" si="2"/>
        <v>0</v>
      </c>
      <c r="AF26" s="264"/>
      <c r="AG26" s="523"/>
      <c r="AH26" s="287">
        <f>'Exhibit G State'!AF26</f>
        <v>0</v>
      </c>
      <c r="AI26" s="519"/>
      <c r="AJ26" s="264"/>
      <c r="AK26" s="264">
        <f t="shared" si="0"/>
        <v>0</v>
      </c>
      <c r="AL26" s="11"/>
      <c r="AM26" s="266">
        <f t="shared" si="1"/>
        <v>0</v>
      </c>
      <c r="AN26" s="405"/>
    </row>
    <row r="27" spans="1:40" ht="15" customHeight="1">
      <c r="A27" s="291"/>
      <c r="B27" s="421" t="s">
        <v>362</v>
      </c>
      <c r="C27" s="291"/>
      <c r="D27" s="264">
        <f>'Exhibit G State'!D27</f>
        <v>0</v>
      </c>
      <c r="E27" s="264"/>
      <c r="F27" s="264">
        <f>'Exhibit G State'!F27</f>
        <v>0.1</v>
      </c>
      <c r="G27" s="264"/>
      <c r="H27" s="264">
        <f>'Exhibit G State'!H27</f>
        <v>0</v>
      </c>
      <c r="J27" s="264">
        <f>'Exhibit G State'!J27</f>
        <v>9.9999999999999978E-2</v>
      </c>
      <c r="L27" s="264"/>
      <c r="N27" s="264"/>
      <c r="P27" s="264"/>
      <c r="R27" s="264"/>
      <c r="S27" s="264"/>
      <c r="T27" s="264"/>
      <c r="U27" s="264"/>
      <c r="V27" s="264"/>
      <c r="W27" s="264"/>
      <c r="X27" s="264"/>
      <c r="Y27" s="264"/>
      <c r="Z27" s="264"/>
      <c r="AA27" s="264"/>
      <c r="AB27" s="264">
        <v>0</v>
      </c>
      <c r="AC27" s="264"/>
      <c r="AD27" s="523"/>
      <c r="AE27" s="264">
        <f t="shared" si="2"/>
        <v>0.2</v>
      </c>
      <c r="AF27" s="264"/>
      <c r="AG27" s="523"/>
      <c r="AH27" s="287">
        <f>'Exhibit G State'!AF27</f>
        <v>0.2</v>
      </c>
      <c r="AI27" s="519"/>
      <c r="AJ27" s="264"/>
      <c r="AK27" s="264">
        <f t="shared" si="0"/>
        <v>0</v>
      </c>
      <c r="AL27" s="11"/>
      <c r="AM27" s="542">
        <f>ROUND(IF(AH27=0,1,AK27/ABS(AH27)),3)</f>
        <v>0</v>
      </c>
      <c r="AN27" s="405"/>
    </row>
    <row r="28" spans="1:40" ht="15" customHeight="1">
      <c r="A28" s="291"/>
      <c r="B28" s="284" t="s">
        <v>437</v>
      </c>
      <c r="C28" s="291"/>
      <c r="D28" s="264">
        <f>'Exhibit G State'!D28</f>
        <v>0.3</v>
      </c>
      <c r="E28" s="264"/>
      <c r="F28" s="264">
        <f>'Exhibit G State'!F28</f>
        <v>0</v>
      </c>
      <c r="G28" s="264"/>
      <c r="H28" s="264">
        <f>'Exhibit G State'!H28</f>
        <v>4.6000000000000005</v>
      </c>
      <c r="J28" s="264">
        <f>'Exhibit G State'!J28</f>
        <v>9.9999999999999478E-2</v>
      </c>
      <c r="L28" s="264"/>
      <c r="N28" s="264"/>
      <c r="P28" s="264"/>
      <c r="R28" s="264"/>
      <c r="S28" s="264"/>
      <c r="T28" s="264"/>
      <c r="U28" s="264"/>
      <c r="V28" s="264"/>
      <c r="W28" s="264"/>
      <c r="X28" s="264"/>
      <c r="Y28" s="264"/>
      <c r="Z28" s="264"/>
      <c r="AA28" s="264"/>
      <c r="AB28" s="264">
        <v>0</v>
      </c>
      <c r="AC28" s="264"/>
      <c r="AD28" s="523"/>
      <c r="AE28" s="264">
        <f t="shared" ref="AE28" si="4">ROUND(SUM(D28:Z28),1)</f>
        <v>5</v>
      </c>
      <c r="AF28" s="264"/>
      <c r="AG28" s="523"/>
      <c r="AH28" s="287">
        <f>'Exhibit G State'!AF28</f>
        <v>5</v>
      </c>
      <c r="AI28" s="519"/>
      <c r="AJ28" s="264"/>
      <c r="AK28" s="264">
        <f t="shared" ref="AK28" si="5">ROUND(SUM(+AE28-AH28),1)</f>
        <v>0</v>
      </c>
      <c r="AL28" s="11"/>
      <c r="AM28" s="542">
        <f>ROUND(IF(AH28=0,1,AK28/ABS(AH28)),3)</f>
        <v>0</v>
      </c>
      <c r="AN28" s="405"/>
    </row>
    <row r="29" spans="1:40" s="57" customFormat="1" ht="15" customHeight="1">
      <c r="A29" s="3"/>
      <c r="B29" s="3" t="s">
        <v>480</v>
      </c>
      <c r="C29" s="3"/>
      <c r="D29" s="672">
        <f>ROUND(SUM(D20:D28),1)</f>
        <v>221.9</v>
      </c>
      <c r="E29"/>
      <c r="F29" s="672">
        <f>ROUND(SUM(F20:F28),1)</f>
        <v>161.19999999999999</v>
      </c>
      <c r="G29"/>
      <c r="H29" s="672">
        <f>ROUND(SUM(H20:H28),1)</f>
        <v>267.3</v>
      </c>
      <c r="I29"/>
      <c r="J29" s="672">
        <f>ROUND(SUM(J20:J28),1)</f>
        <v>179</v>
      </c>
      <c r="K29"/>
      <c r="L29" s="672">
        <f>ROUND(SUM(L20:L28),1)</f>
        <v>0</v>
      </c>
      <c r="M29"/>
      <c r="N29" s="672">
        <f>ROUND(SUM(N20:N28),1)</f>
        <v>0</v>
      </c>
      <c r="O29"/>
      <c r="P29" s="672">
        <f>ROUND(SUM(P20:P28),1)</f>
        <v>0</v>
      </c>
      <c r="Q29"/>
      <c r="R29" s="672">
        <f>ROUND(SUM(R20:R28),1)</f>
        <v>0</v>
      </c>
      <c r="S29"/>
      <c r="T29" s="672">
        <f>ROUND(SUM(T20:T28),1)</f>
        <v>0</v>
      </c>
      <c r="U29"/>
      <c r="V29" s="672">
        <f>ROUND(SUM(V20:V28),1)</f>
        <v>0</v>
      </c>
      <c r="W29"/>
      <c r="X29" s="672">
        <f>ROUND(SUM(X20:X28),1)</f>
        <v>0</v>
      </c>
      <c r="Y29"/>
      <c r="Z29" s="672">
        <f>ROUND(SUM(Z20:Z28),1)</f>
        <v>0</v>
      </c>
      <c r="AA29" s="13"/>
      <c r="AB29" s="672">
        <f>ROUND(SUM(AB20:AB28),1)</f>
        <v>0</v>
      </c>
      <c r="AC29" s="13"/>
      <c r="AD29" s="14"/>
      <c r="AE29" s="672">
        <f>ROUND(SUM(AE20:AE28),1)</f>
        <v>829.4</v>
      </c>
      <c r="AF29" s="13"/>
      <c r="AG29" s="14"/>
      <c r="AH29" s="672">
        <f>ROUND(SUM(AH20:AH28),1)</f>
        <v>776.5</v>
      </c>
      <c r="AI29" s="75"/>
      <c r="AJ29" s="13"/>
      <c r="AK29" s="672">
        <f>ROUND(SUM(AK20:AK28),1)</f>
        <v>52.9</v>
      </c>
      <c r="AM29" s="922">
        <f>ROUND(SUM(+AK29/AH29),3)</f>
        <v>6.8000000000000005E-2</v>
      </c>
      <c r="AN29" s="405"/>
    </row>
    <row r="30" spans="1:40" ht="15" customHeight="1">
      <c r="A30" s="291"/>
      <c r="B30" s="412" t="s">
        <v>366</v>
      </c>
      <c r="C30" s="291"/>
      <c r="D30" s="264"/>
      <c r="F30" s="264"/>
      <c r="H30" s="264"/>
      <c r="J30" s="264"/>
      <c r="L30" s="264"/>
      <c r="N30" s="264"/>
      <c r="P30" s="264"/>
      <c r="R30" s="264"/>
      <c r="T30" s="264"/>
      <c r="V30" s="264"/>
      <c r="X30" s="264"/>
      <c r="Z30" s="264"/>
      <c r="AA30" s="264"/>
      <c r="AB30" s="264"/>
      <c r="AC30" s="264"/>
      <c r="AD30" s="523"/>
      <c r="AE30" s="264"/>
      <c r="AF30" s="264"/>
      <c r="AG30" s="523"/>
      <c r="AH30" s="264"/>
      <c r="AI30" s="519"/>
      <c r="AJ30" s="264"/>
      <c r="AK30" s="264"/>
      <c r="AL30" s="364"/>
      <c r="AM30" s="283"/>
      <c r="AN30" s="405"/>
    </row>
    <row r="31" spans="1:40" ht="15" customHeight="1">
      <c r="A31" s="291"/>
      <c r="B31" s="421" t="s">
        <v>367</v>
      </c>
      <c r="C31" s="291"/>
      <c r="D31" s="264">
        <f>'Exhibit G State'!D31</f>
        <v>299.2</v>
      </c>
      <c r="E31" s="264"/>
      <c r="F31" s="264">
        <f>'Exhibit G State'!F31</f>
        <v>96.800000000000011</v>
      </c>
      <c r="G31" s="264"/>
      <c r="H31" s="264">
        <f>'Exhibit G State'!H31</f>
        <v>457.09999999999997</v>
      </c>
      <c r="J31" s="264">
        <f>'Exhibit G State'!J31</f>
        <v>55.200000000000102</v>
      </c>
      <c r="L31" s="264"/>
      <c r="N31" s="264"/>
      <c r="P31" s="264"/>
      <c r="R31" s="264"/>
      <c r="S31" s="264"/>
      <c r="T31" s="264"/>
      <c r="U31" s="264"/>
      <c r="V31" s="264"/>
      <c r="W31" s="264"/>
      <c r="X31" s="264"/>
      <c r="Y31" s="264"/>
      <c r="Z31" s="264"/>
      <c r="AA31" s="264"/>
      <c r="AB31" s="264">
        <v>0</v>
      </c>
      <c r="AC31" s="264"/>
      <c r="AD31" s="523"/>
      <c r="AE31" s="264">
        <f>ROUND(SUM(D31:Z31),1)</f>
        <v>908.3</v>
      </c>
      <c r="AF31" s="264"/>
      <c r="AG31" s="523"/>
      <c r="AH31" s="264">
        <f>'Exhibit G State'!AF31</f>
        <v>650.9</v>
      </c>
      <c r="AI31" s="519"/>
      <c r="AJ31" s="264"/>
      <c r="AK31" s="264">
        <f>ROUND(SUM(+AE31-AH31),1)</f>
        <v>257.39999999999998</v>
      </c>
      <c r="AL31" s="11"/>
      <c r="AM31" s="266">
        <f>ROUND(IF(AH31=0,0,AK31/ABS(AH31)),3)</f>
        <v>0.39500000000000002</v>
      </c>
      <c r="AN31" s="405"/>
    </row>
    <row r="32" spans="1:40" ht="15" customHeight="1">
      <c r="A32" s="291"/>
      <c r="B32" s="421" t="s">
        <v>368</v>
      </c>
      <c r="C32" s="291"/>
      <c r="D32" s="264">
        <f>'Exhibit G State'!D32</f>
        <v>15.4</v>
      </c>
      <c r="E32" s="264"/>
      <c r="F32" s="264">
        <f>'Exhibit G State'!F32</f>
        <v>1.0999999999999996</v>
      </c>
      <c r="G32" s="264"/>
      <c r="H32" s="264">
        <f>'Exhibit G State'!H32</f>
        <v>21.5</v>
      </c>
      <c r="J32" s="264">
        <f>'Exhibit G State'!J32</f>
        <v>2.7999999999999954</v>
      </c>
      <c r="L32" s="264"/>
      <c r="N32" s="264"/>
      <c r="P32" s="264"/>
      <c r="R32" s="264"/>
      <c r="S32" s="264"/>
      <c r="T32" s="264"/>
      <c r="U32" s="264"/>
      <c r="V32" s="264"/>
      <c r="W32" s="264"/>
      <c r="X32" s="264"/>
      <c r="Y32" s="264"/>
      <c r="Z32" s="264"/>
      <c r="AA32" s="264"/>
      <c r="AB32" s="264">
        <v>0</v>
      </c>
      <c r="AC32" s="264"/>
      <c r="AD32" s="523"/>
      <c r="AE32" s="264">
        <f>ROUND(SUM(D32:Z32),1)</f>
        <v>40.799999999999997</v>
      </c>
      <c r="AF32" s="264"/>
      <c r="AG32" s="523"/>
      <c r="AH32" s="264">
        <f>'Exhibit G State'!AF32</f>
        <v>42.1</v>
      </c>
      <c r="AI32" s="519"/>
      <c r="AJ32" s="264"/>
      <c r="AK32" s="264">
        <f>ROUND(SUM(+AE32-AH32),1)</f>
        <v>-1.3</v>
      </c>
      <c r="AL32" s="11"/>
      <c r="AM32" s="266">
        <f>ROUND(IF(AH32=0,0,AK32/ABS(AH32)),3)</f>
        <v>-3.1E-2</v>
      </c>
      <c r="AN32" s="405"/>
    </row>
    <row r="33" spans="1:40" ht="15" customHeight="1">
      <c r="A33" s="291"/>
      <c r="B33" s="421" t="s">
        <v>369</v>
      </c>
      <c r="C33" s="291"/>
      <c r="D33" s="264">
        <f>'Exhibit G State'!D33</f>
        <v>3.9</v>
      </c>
      <c r="E33" s="264"/>
      <c r="F33" s="264">
        <f>'Exhibit G State'!F33</f>
        <v>0.50000000000000044</v>
      </c>
      <c r="G33" s="264"/>
      <c r="H33" s="264">
        <f>'Exhibit G State'!H33</f>
        <v>52.300000000000004</v>
      </c>
      <c r="J33" s="264">
        <f>'Exhibit G State'!J33</f>
        <v>-0.6000000000000032</v>
      </c>
      <c r="L33" s="264"/>
      <c r="N33" s="264"/>
      <c r="P33" s="264"/>
      <c r="R33" s="264"/>
      <c r="S33" s="264"/>
      <c r="T33" s="264"/>
      <c r="U33" s="264"/>
      <c r="V33" s="264"/>
      <c r="W33" s="264"/>
      <c r="X33" s="264"/>
      <c r="Y33" s="264"/>
      <c r="Z33" s="264"/>
      <c r="AA33" s="264"/>
      <c r="AB33" s="264">
        <v>0</v>
      </c>
      <c r="AC33" s="264"/>
      <c r="AD33" s="523"/>
      <c r="AE33" s="264">
        <f>ROUND(SUM(D33:Z33),1)</f>
        <v>56.1</v>
      </c>
      <c r="AF33" s="264"/>
      <c r="AG33" s="523"/>
      <c r="AH33" s="264">
        <f>'Exhibit G State'!AF33</f>
        <v>57</v>
      </c>
      <c r="AI33" s="519"/>
      <c r="AJ33" s="264"/>
      <c r="AK33" s="264">
        <f>ROUND(SUM(+AE33-AH33),1)</f>
        <v>-0.9</v>
      </c>
      <c r="AL33" s="11"/>
      <c r="AM33" s="542">
        <f>ROUND(IF(AH33=0,0,AK33/ABS(AH33)),3)</f>
        <v>-1.6E-2</v>
      </c>
      <c r="AN33" s="405"/>
    </row>
    <row r="34" spans="1:40" ht="15" customHeight="1">
      <c r="A34" s="291"/>
      <c r="B34" s="421" t="s">
        <v>370</v>
      </c>
      <c r="C34" s="291"/>
      <c r="D34" s="264">
        <f>'Exhibit G State'!D34</f>
        <v>-0.8</v>
      </c>
      <c r="E34" s="264"/>
      <c r="F34" s="264">
        <f>'Exhibit G State'!F34</f>
        <v>0</v>
      </c>
      <c r="G34" s="264"/>
      <c r="H34" s="264">
        <f>'Exhibit G State'!H34</f>
        <v>0</v>
      </c>
      <c r="J34" s="264">
        <f>'Exhibit G State'!J34</f>
        <v>0</v>
      </c>
      <c r="L34" s="264"/>
      <c r="N34" s="264"/>
      <c r="P34" s="264"/>
      <c r="R34" s="264"/>
      <c r="S34" s="264"/>
      <c r="T34" s="264"/>
      <c r="U34" s="264"/>
      <c r="V34" s="264"/>
      <c r="W34" s="264"/>
      <c r="X34" s="264"/>
      <c r="Y34" s="264"/>
      <c r="Z34" s="264"/>
      <c r="AA34" s="264"/>
      <c r="AB34" s="264">
        <v>0</v>
      </c>
      <c r="AC34" s="264"/>
      <c r="AD34" s="523"/>
      <c r="AE34" s="264">
        <f>ROUND(SUM(D34:Z34),1)</f>
        <v>-0.8</v>
      </c>
      <c r="AF34" s="264"/>
      <c r="AG34" s="523"/>
      <c r="AH34" s="264">
        <f>'Exhibit G State'!AF34</f>
        <v>-2.4</v>
      </c>
      <c r="AI34" s="519"/>
      <c r="AJ34" s="264"/>
      <c r="AK34" s="264">
        <f>ROUND(SUM(+AE34-AH34),1)</f>
        <v>1.6</v>
      </c>
      <c r="AL34" s="11"/>
      <c r="AM34" s="542">
        <f>ROUND(IF(AH34=0,1,AK34/ABS(AH34)),3)</f>
        <v>0.66700000000000004</v>
      </c>
      <c r="AN34" s="405"/>
    </row>
    <row r="35" spans="1:40" ht="15" customHeight="1">
      <c r="A35" s="291"/>
      <c r="B35" s="421" t="s">
        <v>372</v>
      </c>
      <c r="C35" s="291"/>
      <c r="D35" s="264">
        <f>'Exhibit G State'!D35</f>
        <v>32.700000000000003</v>
      </c>
      <c r="E35" s="264"/>
      <c r="F35" s="264">
        <f>'Exhibit G State'!F35</f>
        <v>34.399999999999991</v>
      </c>
      <c r="G35" s="264"/>
      <c r="H35" s="264">
        <f>'Exhibit G State'!H35</f>
        <v>39.100000000000009</v>
      </c>
      <c r="J35" s="264">
        <f>'Exhibit G State'!J35</f>
        <v>43.600000000000009</v>
      </c>
      <c r="L35" s="264"/>
      <c r="N35" s="264"/>
      <c r="P35" s="264"/>
      <c r="R35" s="264"/>
      <c r="S35" s="264"/>
      <c r="T35" s="264"/>
      <c r="U35" s="264"/>
      <c r="V35" s="264"/>
      <c r="W35" s="264"/>
      <c r="X35" s="264"/>
      <c r="Y35" s="264"/>
      <c r="Z35" s="264"/>
      <c r="AA35" s="264"/>
      <c r="AB35" s="264">
        <v>0</v>
      </c>
      <c r="AC35" s="264"/>
      <c r="AD35" s="523"/>
      <c r="AE35" s="264">
        <f>ROUND(SUM(D35:Z35),1)</f>
        <v>149.80000000000001</v>
      </c>
      <c r="AF35" s="264"/>
      <c r="AG35" s="523"/>
      <c r="AH35" s="264">
        <f>'Exhibit G State'!AF35</f>
        <v>149.69999999999999</v>
      </c>
      <c r="AI35" s="519"/>
      <c r="AJ35" s="264"/>
      <c r="AK35" s="264">
        <f>ROUND(SUM(+AE35-AH35),1)</f>
        <v>0.1</v>
      </c>
      <c r="AL35" s="11"/>
      <c r="AM35" s="266">
        <f>ROUND(IF(AH35=0,0,AK35/ABS(AH35)),3)</f>
        <v>1E-3</v>
      </c>
      <c r="AN35" s="405"/>
    </row>
    <row r="36" spans="1:40" s="57" customFormat="1" ht="15" customHeight="1">
      <c r="A36" s="3"/>
      <c r="B36" s="3" t="s">
        <v>481</v>
      </c>
      <c r="C36" s="3"/>
      <c r="D36" s="672">
        <f t="shared" ref="D36:F36" si="6">ROUND(SUM(D31:D35),1)</f>
        <v>350.4</v>
      </c>
      <c r="E36"/>
      <c r="F36" s="672">
        <f t="shared" si="6"/>
        <v>132.80000000000001</v>
      </c>
      <c r="G36"/>
      <c r="H36" s="672">
        <f>ROUND(SUM(H31:H35),1)</f>
        <v>570</v>
      </c>
      <c r="I36"/>
      <c r="J36" s="672">
        <f>ROUND(SUM(J31:J35),1)</f>
        <v>101</v>
      </c>
      <c r="K36"/>
      <c r="L36" s="672">
        <f>ROUND(SUM(L31:L35),1)</f>
        <v>0</v>
      </c>
      <c r="M36"/>
      <c r="N36" s="672">
        <f>ROUND(SUM(N31:N35),1)</f>
        <v>0</v>
      </c>
      <c r="O36"/>
      <c r="P36" s="672">
        <f>ROUND(SUM(P31:P35),1)</f>
        <v>0</v>
      </c>
      <c r="Q36"/>
      <c r="R36" s="672">
        <f>ROUND(SUM(R31:R35),1)</f>
        <v>0</v>
      </c>
      <c r="S36"/>
      <c r="T36" s="672">
        <f>ROUND(SUM(T31:T35),1)</f>
        <v>0</v>
      </c>
      <c r="U36"/>
      <c r="V36" s="672">
        <f>ROUND(SUM(V31:V35),1)</f>
        <v>0</v>
      </c>
      <c r="W36"/>
      <c r="X36" s="672">
        <f>ROUND(SUM(X31:X35),1)</f>
        <v>0</v>
      </c>
      <c r="Y36"/>
      <c r="Z36" s="672">
        <f>ROUND(SUM(Z31:Z35),1)</f>
        <v>0</v>
      </c>
      <c r="AA36" s="13"/>
      <c r="AB36" s="672">
        <f>SUM(AB31:AB35)</f>
        <v>0</v>
      </c>
      <c r="AC36" s="13"/>
      <c r="AD36" s="14"/>
      <c r="AE36" s="672">
        <f>ROUND(SUM(AE31:AE35),1)</f>
        <v>1154.2</v>
      </c>
      <c r="AF36" s="13"/>
      <c r="AG36" s="14"/>
      <c r="AH36" s="672">
        <f>ROUND(SUM(AH31:AH35),1)</f>
        <v>897.3</v>
      </c>
      <c r="AI36" s="75"/>
      <c r="AJ36" s="13"/>
      <c r="AK36" s="672">
        <f>ROUND(SUM(AK31:AK35),1)</f>
        <v>256.89999999999998</v>
      </c>
      <c r="AM36" s="922">
        <f>ROUND(SUM(+AK36/AH36),3)</f>
        <v>0.28599999999999998</v>
      </c>
      <c r="AN36" s="405"/>
    </row>
    <row r="37" spans="1:40" ht="15" customHeight="1">
      <c r="A37" s="291"/>
      <c r="B37"/>
      <c r="C37" s="291"/>
      <c r="D37" s="264"/>
      <c r="F37" s="264"/>
      <c r="H37" s="264"/>
      <c r="J37" s="264"/>
      <c r="L37" s="264"/>
      <c r="N37" s="264"/>
      <c r="P37" s="264"/>
      <c r="R37" s="264"/>
      <c r="T37" s="264"/>
      <c r="V37" s="264"/>
      <c r="X37" s="264"/>
      <c r="Z37" s="264"/>
      <c r="AA37" s="264"/>
      <c r="AB37" s="264"/>
      <c r="AC37" s="264"/>
      <c r="AD37" s="523"/>
      <c r="AE37" s="264"/>
      <c r="AF37" s="264"/>
      <c r="AG37" s="523"/>
      <c r="AH37" s="264"/>
      <c r="AI37" s="519"/>
      <c r="AJ37" s="264"/>
      <c r="AK37" s="264"/>
      <c r="AL37" s="364"/>
      <c r="AM37" s="283"/>
      <c r="AN37" s="405"/>
    </row>
    <row r="38" spans="1:40" ht="15" customHeight="1">
      <c r="A38" s="291"/>
      <c r="B38" s="3" t="s">
        <v>482</v>
      </c>
      <c r="C38" s="291"/>
      <c r="D38" s="357">
        <f>ROUND(SUM(D17+D29+D36),1)</f>
        <v>572.29999999999995</v>
      </c>
      <c r="F38" s="357">
        <f>ROUND(SUM(F17+F29+F36),1)</f>
        <v>294</v>
      </c>
      <c r="H38" s="357">
        <f>ROUND(SUM(H17+H29+H36),1)</f>
        <v>837.3</v>
      </c>
      <c r="J38" s="357">
        <f>ROUND(SUM(J17+J29+J36),1)</f>
        <v>280</v>
      </c>
      <c r="L38" s="357">
        <f>ROUND(SUM(L17+L29+L36),1)</f>
        <v>0</v>
      </c>
      <c r="N38" s="357">
        <f>ROUND(SUM(N17+N29+N36),1)</f>
        <v>0</v>
      </c>
      <c r="P38" s="357">
        <f>ROUND(SUM(P17+P29+P36),1)</f>
        <v>0</v>
      </c>
      <c r="R38" s="357">
        <f>ROUND(SUM(R17+R29+R36),1)</f>
        <v>0</v>
      </c>
      <c r="T38" s="357">
        <f>ROUND(SUM(T17+T29+T36),1)</f>
        <v>0</v>
      </c>
      <c r="V38" s="357">
        <f>ROUND(SUM(V17+V29+V36),1)</f>
        <v>0</v>
      </c>
      <c r="X38" s="357">
        <f>ROUND(SUM(X17+X29+X36),1)</f>
        <v>0</v>
      </c>
      <c r="Z38" s="357">
        <f>ROUND(SUM(Z17+Z29+Z36),1)</f>
        <v>0</v>
      </c>
      <c r="AA38" s="13"/>
      <c r="AB38" s="357">
        <f>ROUND(SUM(AB17+AB29+AB36),1)</f>
        <v>0</v>
      </c>
      <c r="AC38" s="13"/>
      <c r="AD38" s="523"/>
      <c r="AE38" s="357">
        <f>ROUND(SUM(AE17+AE29+AE36),1)</f>
        <v>1983.6</v>
      </c>
      <c r="AF38" s="264"/>
      <c r="AG38" s="523"/>
      <c r="AH38" s="357">
        <f>ROUND(SUM(AH17+AH29+AH36),1)</f>
        <v>1673.8</v>
      </c>
      <c r="AI38" s="519"/>
      <c r="AJ38" s="264"/>
      <c r="AK38" s="357">
        <f>ROUND(SUM(AK17+AK29+AK36),1)</f>
        <v>309.8</v>
      </c>
      <c r="AL38" s="364"/>
      <c r="AM38" s="368">
        <f>ROUND(SUM(+AK38/AH38),3)</f>
        <v>0.185</v>
      </c>
      <c r="AN38" s="405"/>
    </row>
    <row r="39" spans="1:40" ht="15" customHeight="1">
      <c r="A39" s="291"/>
      <c r="B39" s="291"/>
      <c r="C39" s="291"/>
      <c r="D39" s="11"/>
      <c r="F39" s="11"/>
      <c r="H39" s="287"/>
      <c r="J39" s="287"/>
      <c r="L39" s="287"/>
      <c r="N39" s="287"/>
      <c r="P39" s="287"/>
      <c r="R39" s="287"/>
      <c r="T39" s="287"/>
      <c r="V39" s="287"/>
      <c r="X39" s="287"/>
      <c r="Z39" s="287"/>
      <c r="AA39" s="11"/>
      <c r="AB39" s="264"/>
      <c r="AC39" s="264"/>
      <c r="AD39" s="523"/>
      <c r="AE39" s="264"/>
      <c r="AF39" s="264"/>
      <c r="AG39" s="523"/>
      <c r="AH39" s="288"/>
      <c r="AI39" s="1030"/>
      <c r="AJ39" s="264"/>
      <c r="AK39" s="264"/>
      <c r="AL39" s="11"/>
      <c r="AM39" s="283"/>
      <c r="AN39" s="405"/>
    </row>
    <row r="40" spans="1:40" ht="15" customHeight="1">
      <c r="A40" s="291"/>
      <c r="B40" s="1211" t="s">
        <v>383</v>
      </c>
      <c r="C40" s="291"/>
      <c r="D40" s="11"/>
      <c r="F40" s="11"/>
      <c r="H40" s="287"/>
      <c r="J40" s="287"/>
      <c r="L40" s="287"/>
      <c r="N40" s="287"/>
      <c r="P40" s="287"/>
      <c r="R40" s="287"/>
      <c r="T40" s="287"/>
      <c r="V40" s="287"/>
      <c r="X40" s="287"/>
      <c r="Z40" s="287"/>
      <c r="AA40" s="11"/>
      <c r="AB40" s="264"/>
      <c r="AC40" s="264"/>
      <c r="AD40" s="523"/>
      <c r="AE40" s="264"/>
      <c r="AF40" s="264"/>
      <c r="AG40" s="523"/>
      <c r="AH40" s="288"/>
      <c r="AI40" s="1030"/>
      <c r="AJ40" s="264"/>
      <c r="AK40" s="264"/>
      <c r="AL40" s="11"/>
      <c r="AM40" s="283"/>
      <c r="AN40" s="405"/>
    </row>
    <row r="41" spans="1:40" ht="15" customHeight="1">
      <c r="A41" s="291"/>
      <c r="B41" s="350" t="s">
        <v>384</v>
      </c>
      <c r="C41" s="291"/>
      <c r="D41" s="11"/>
      <c r="F41" s="11"/>
      <c r="H41" s="287"/>
      <c r="J41" s="287"/>
      <c r="L41" s="287"/>
      <c r="N41" s="287"/>
      <c r="P41" s="287"/>
      <c r="R41" s="287"/>
      <c r="T41" s="287"/>
      <c r="V41" s="287"/>
      <c r="X41" s="287"/>
      <c r="Z41" s="287"/>
      <c r="AA41" s="11"/>
      <c r="AB41" s="264"/>
      <c r="AC41" s="264"/>
      <c r="AD41" s="523"/>
      <c r="AE41" s="264"/>
      <c r="AF41" s="264"/>
      <c r="AG41" s="523"/>
      <c r="AH41" s="288"/>
      <c r="AI41" s="1030"/>
      <c r="AJ41" s="264"/>
      <c r="AK41" s="264"/>
      <c r="AL41" s="11"/>
      <c r="AM41" s="283"/>
      <c r="AN41" s="405"/>
    </row>
    <row r="42" spans="1:40" ht="15" customHeight="1">
      <c r="A42" s="291"/>
      <c r="B42" s="350" t="s">
        <v>1367</v>
      </c>
      <c r="C42" s="291"/>
      <c r="D42" s="287">
        <f>'Exhibit G State'!D42+'Exhibit G Federal'!D19</f>
        <v>1.4</v>
      </c>
      <c r="E42" s="287"/>
      <c r="F42" s="287">
        <f>'Exhibit G State'!F42+'Exhibit G Federal'!F19</f>
        <v>1.1000000000000001</v>
      </c>
      <c r="G42" s="287"/>
      <c r="H42" s="287">
        <f>'Exhibit G State'!H42+'Exhibit G Federal'!H19</f>
        <v>2.2000000000000002</v>
      </c>
      <c r="J42" s="287">
        <f>'Exhibit G State'!J42+'Exhibit G Federal'!J19</f>
        <v>1.8999999999999995</v>
      </c>
      <c r="L42" s="287"/>
      <c r="N42" s="287"/>
      <c r="P42" s="287"/>
      <c r="R42" s="287"/>
      <c r="S42" s="287"/>
      <c r="T42" s="287"/>
      <c r="U42" s="287"/>
      <c r="V42" s="287"/>
      <c r="W42" s="287"/>
      <c r="X42" s="287"/>
      <c r="Y42" s="287"/>
      <c r="Z42" s="287"/>
      <c r="AA42" s="287"/>
      <c r="AB42" s="264">
        <v>0</v>
      </c>
      <c r="AC42" s="264"/>
      <c r="AD42" s="523"/>
      <c r="AE42" s="264">
        <f t="shared" ref="AE42:AE83" si="7">ROUND(SUM(D42:Z42),1)</f>
        <v>6.6</v>
      </c>
      <c r="AF42" s="264"/>
      <c r="AG42" s="523"/>
      <c r="AH42" s="287">
        <f>'Exhibit G State'!AF42+'Exhibit G Federal'!AF19</f>
        <v>5.9</v>
      </c>
      <c r="AI42" s="1030"/>
      <c r="AJ42" s="264"/>
      <c r="AK42" s="264">
        <f>ROUND(SUM(+AE42-AH42),1)</f>
        <v>0.7</v>
      </c>
      <c r="AL42" s="11"/>
      <c r="AM42" s="266">
        <f>ROUND(IF(AH42=0,0,AK42/ABS(AH42)),3)</f>
        <v>0.11899999999999999</v>
      </c>
      <c r="AN42" s="405"/>
    </row>
    <row r="43" spans="1:40" ht="15" customHeight="1">
      <c r="A43" s="291"/>
      <c r="B43" s="350" t="s">
        <v>387</v>
      </c>
      <c r="C43" s="291"/>
      <c r="D43" s="287"/>
      <c r="E43" s="287"/>
      <c r="F43" s="287"/>
      <c r="G43" s="287"/>
      <c r="H43" s="287"/>
      <c r="J43" s="287"/>
      <c r="L43" s="287"/>
      <c r="N43" s="287"/>
      <c r="P43" s="287"/>
      <c r="R43" s="287"/>
      <c r="S43" s="264"/>
      <c r="T43" s="287"/>
      <c r="U43" s="264"/>
      <c r="V43" s="287"/>
      <c r="W43" s="264"/>
      <c r="X43" s="287"/>
      <c r="Y43" s="264"/>
      <c r="Z43" s="287"/>
      <c r="AA43" s="287"/>
      <c r="AB43" s="264"/>
      <c r="AC43" s="264"/>
      <c r="AD43" s="523"/>
      <c r="AE43" s="264"/>
      <c r="AF43" s="264"/>
      <c r="AG43" s="523"/>
      <c r="AH43" s="287"/>
      <c r="AI43" s="1030"/>
      <c r="AJ43" s="264"/>
      <c r="AK43" s="264"/>
      <c r="AL43" s="11"/>
      <c r="AM43" s="283"/>
      <c r="AN43" s="405"/>
    </row>
    <row r="44" spans="1:40" ht="15" customHeight="1">
      <c r="A44" s="291"/>
      <c r="B44" s="350" t="s">
        <v>483</v>
      </c>
      <c r="C44" s="291"/>
      <c r="D44" s="287">
        <f>'Exhibit G State'!D44+'Exhibit G Federal'!D21</f>
        <v>131.6</v>
      </c>
      <c r="E44" s="287"/>
      <c r="F44" s="287">
        <f>'Exhibit G State'!F44+'Exhibit G Federal'!F21</f>
        <v>98</v>
      </c>
      <c r="G44" s="287"/>
      <c r="H44" s="287">
        <f>'Exhibit G State'!H44+'Exhibit G Federal'!H21</f>
        <v>91</v>
      </c>
      <c r="J44" s="287">
        <f>'Exhibit G State'!J44+'Exhibit G Federal'!J21</f>
        <v>123.29999999999997</v>
      </c>
      <c r="L44" s="287"/>
      <c r="N44" s="287"/>
      <c r="P44" s="287"/>
      <c r="R44" s="287"/>
      <c r="S44" s="287"/>
      <c r="T44" s="287"/>
      <c r="U44" s="287"/>
      <c r="V44" s="287"/>
      <c r="W44" s="287"/>
      <c r="X44" s="287"/>
      <c r="Y44" s="287"/>
      <c r="Z44" s="287"/>
      <c r="AA44" s="287"/>
      <c r="AB44" s="264">
        <v>0</v>
      </c>
      <c r="AC44" s="264"/>
      <c r="AD44" s="523"/>
      <c r="AE44" s="264">
        <f>ROUND(SUM(D44:Z44),1)</f>
        <v>443.9</v>
      </c>
      <c r="AF44" s="264"/>
      <c r="AG44" s="523"/>
      <c r="AH44" s="287">
        <f>'Exhibit G State'!AF44+'Exhibit G Federal'!AF21</f>
        <v>306.10000000000002</v>
      </c>
      <c r="AI44" s="1030"/>
      <c r="AJ44" s="264"/>
      <c r="AK44" s="264">
        <f>ROUND(SUM(+AE44-AH44),1)</f>
        <v>137.80000000000001</v>
      </c>
      <c r="AL44" s="11"/>
      <c r="AM44" s="266">
        <f>ROUND(IF(AH44=0,0,AK44/ABS(AH44)),3)</f>
        <v>0.45</v>
      </c>
      <c r="AN44" s="405"/>
    </row>
    <row r="45" spans="1:40" ht="15" customHeight="1">
      <c r="A45" s="291"/>
      <c r="B45" s="350" t="s">
        <v>1369</v>
      </c>
      <c r="C45" s="291"/>
      <c r="D45" s="287">
        <f>'Exhibit G State'!D45+'Exhibit G Federal'!D22</f>
        <v>653.4</v>
      </c>
      <c r="E45" s="287"/>
      <c r="F45" s="287">
        <f>'Exhibit G State'!F45+'Exhibit G Federal'!F22</f>
        <v>793.00000000000011</v>
      </c>
      <c r="G45" s="287"/>
      <c r="H45" s="287">
        <f>'Exhibit G State'!H45+'Exhibit G Federal'!H22</f>
        <v>884.6</v>
      </c>
      <c r="J45" s="287">
        <f>'Exhibit G State'!J45+'Exhibit G Federal'!J22</f>
        <v>767.69999999999993</v>
      </c>
      <c r="L45" s="287"/>
      <c r="N45" s="287"/>
      <c r="P45" s="287"/>
      <c r="R45" s="287"/>
      <c r="S45" s="287"/>
      <c r="T45" s="287"/>
      <c r="U45" s="287"/>
      <c r="V45" s="287"/>
      <c r="W45" s="287"/>
      <c r="X45" s="287"/>
      <c r="Y45" s="287"/>
      <c r="Z45" s="287"/>
      <c r="AA45" s="287"/>
      <c r="AB45" s="264">
        <v>0</v>
      </c>
      <c r="AC45" s="264"/>
      <c r="AD45" s="523"/>
      <c r="AE45" s="264">
        <f t="shared" si="7"/>
        <v>3098.7</v>
      </c>
      <c r="AF45" s="264"/>
      <c r="AG45" s="523"/>
      <c r="AH45" s="287">
        <f>'Exhibit G State'!AF45+'Exhibit G Federal'!AF22</f>
        <v>2727.8</v>
      </c>
      <c r="AI45" s="1030"/>
      <c r="AJ45" s="264"/>
      <c r="AK45" s="264">
        <f>ROUND(SUM(+AE45-AH45),1)</f>
        <v>370.9</v>
      </c>
      <c r="AL45" s="11"/>
      <c r="AM45" s="266">
        <f>ROUND(IF(AH45=0,0,AK45/ABS(AH45)),3)</f>
        <v>0.13600000000000001</v>
      </c>
      <c r="AN45" s="405"/>
    </row>
    <row r="46" spans="1:40" ht="15" customHeight="1">
      <c r="A46" s="291"/>
      <c r="B46" s="350" t="s">
        <v>1370</v>
      </c>
      <c r="C46" s="291"/>
      <c r="D46" s="287">
        <f>'Exhibit G State'!D46+'Exhibit G Federal'!D23</f>
        <v>2.9</v>
      </c>
      <c r="E46" s="287"/>
      <c r="F46" s="287">
        <f>'Exhibit G State'!F46+'Exhibit G Federal'!F23</f>
        <v>0</v>
      </c>
      <c r="G46" s="287"/>
      <c r="H46" s="287">
        <f>'Exhibit G State'!H46+'Exhibit G Federal'!H23</f>
        <v>0.70000000000000018</v>
      </c>
      <c r="J46" s="287">
        <f>'Exhibit G State'!J46+'Exhibit G Federal'!J23</f>
        <v>0.29999999999999982</v>
      </c>
      <c r="L46" s="287"/>
      <c r="N46" s="287"/>
      <c r="P46" s="287"/>
      <c r="R46" s="287"/>
      <c r="S46" s="287"/>
      <c r="T46" s="287"/>
      <c r="U46" s="287"/>
      <c r="V46" s="287"/>
      <c r="W46" s="287"/>
      <c r="X46" s="287"/>
      <c r="Y46" s="287"/>
      <c r="Z46" s="287"/>
      <c r="AA46" s="287"/>
      <c r="AB46" s="264">
        <v>0</v>
      </c>
      <c r="AC46" s="264"/>
      <c r="AD46" s="523"/>
      <c r="AE46" s="264">
        <f t="shared" si="7"/>
        <v>3.9</v>
      </c>
      <c r="AF46" s="264"/>
      <c r="AG46" s="523"/>
      <c r="AH46" s="287">
        <f>'Exhibit G State'!AF46+'Exhibit G Federal'!AF23</f>
        <v>2.1</v>
      </c>
      <c r="AI46" s="1030"/>
      <c r="AJ46" s="264"/>
      <c r="AK46" s="264">
        <f>ROUND(SUM(+AE46-AH46),1)</f>
        <v>1.8</v>
      </c>
      <c r="AL46" s="11"/>
      <c r="AM46" s="542">
        <f>ROUND(IF(AH46=0,0,AK46/ABS(AH46)),3)</f>
        <v>0.85699999999999998</v>
      </c>
      <c r="AN46" s="405"/>
    </row>
    <row r="47" spans="1:40" ht="15" customHeight="1">
      <c r="A47" s="291"/>
      <c r="B47" s="350" t="s">
        <v>484</v>
      </c>
      <c r="C47" s="291"/>
      <c r="D47" s="287">
        <f>'Exhibit G State'!D47+'Exhibit G Federal'!D24</f>
        <v>0</v>
      </c>
      <c r="E47" s="287"/>
      <c r="F47" s="287">
        <f>'Exhibit G State'!F47+'Exhibit G Federal'!F24</f>
        <v>1005.1</v>
      </c>
      <c r="G47" s="287"/>
      <c r="H47" s="287">
        <f>'Exhibit G State'!H47+'Exhibit G Federal'!H24</f>
        <v>0.10000000000002274</v>
      </c>
      <c r="J47" s="287">
        <f>'Exhibit G State'!J47+'Exhibit G Federal'!J24</f>
        <v>611.4</v>
      </c>
      <c r="L47" s="287"/>
      <c r="N47" s="287"/>
      <c r="P47" s="287"/>
      <c r="R47" s="287"/>
      <c r="S47" s="287"/>
      <c r="T47" s="287"/>
      <c r="U47" s="287"/>
      <c r="V47" s="287"/>
      <c r="W47" s="287"/>
      <c r="X47" s="287"/>
      <c r="Y47" s="287"/>
      <c r="Z47" s="287"/>
      <c r="AA47" s="287"/>
      <c r="AB47" s="264">
        <v>0</v>
      </c>
      <c r="AC47" s="264"/>
      <c r="AD47" s="523"/>
      <c r="AE47" s="264">
        <f t="shared" si="7"/>
        <v>1616.6</v>
      </c>
      <c r="AF47" s="264"/>
      <c r="AG47" s="523"/>
      <c r="AH47" s="287">
        <f>'Exhibit G State'!AF47+'Exhibit G Federal'!AF24</f>
        <v>0.1</v>
      </c>
      <c r="AI47" s="1030"/>
      <c r="AJ47" s="264"/>
      <c r="AK47" s="264">
        <f>ROUND(SUM(+AE47-AH47),1)</f>
        <v>1616.5</v>
      </c>
      <c r="AL47" s="11"/>
      <c r="AM47" s="542">
        <f>ROUND(IF(AH47=0,0,AK47/ABS(AH47)),3)</f>
        <v>16165</v>
      </c>
      <c r="AN47" s="405"/>
    </row>
    <row r="48" spans="1:40" ht="15" customHeight="1">
      <c r="A48" s="291"/>
      <c r="B48" s="350" t="s">
        <v>392</v>
      </c>
      <c r="C48" s="291"/>
      <c r="D48" s="287"/>
      <c r="E48" s="287"/>
      <c r="F48" s="287"/>
      <c r="G48" s="287"/>
      <c r="H48" s="287"/>
      <c r="J48" s="287"/>
      <c r="L48" s="287"/>
      <c r="N48" s="287"/>
      <c r="P48" s="287"/>
      <c r="R48" s="287"/>
      <c r="S48" s="264"/>
      <c r="T48" s="287"/>
      <c r="U48" s="264"/>
      <c r="V48" s="287"/>
      <c r="W48" s="264"/>
      <c r="X48" s="287"/>
      <c r="Y48" s="264"/>
      <c r="Z48" s="287"/>
      <c r="AA48" s="287"/>
      <c r="AB48" s="264"/>
      <c r="AC48" s="264"/>
      <c r="AD48" s="523"/>
      <c r="AE48" s="264"/>
      <c r="AF48" s="264"/>
      <c r="AG48" s="523"/>
      <c r="AH48" s="287"/>
      <c r="AI48" s="1030"/>
      <c r="AJ48" s="264"/>
      <c r="AK48" s="264"/>
      <c r="AL48" s="11"/>
      <c r="AM48" s="283"/>
      <c r="AN48" s="405"/>
    </row>
    <row r="49" spans="1:40" ht="15" customHeight="1">
      <c r="A49" s="291"/>
      <c r="B49" s="350" t="s">
        <v>485</v>
      </c>
      <c r="C49" s="291"/>
      <c r="D49" s="287">
        <f>'Exhibit G State'!D49</f>
        <v>0</v>
      </c>
      <c r="E49" s="287"/>
      <c r="F49" s="287">
        <f>'Exhibit G State'!F49+'Exhibit G Federal'!F26</f>
        <v>0</v>
      </c>
      <c r="G49" s="287"/>
      <c r="H49" s="287">
        <f>'Exhibit G State'!H49</f>
        <v>0.1</v>
      </c>
      <c r="J49" s="287">
        <f>'Exhibit G State'!J49</f>
        <v>2.4</v>
      </c>
      <c r="L49" s="287"/>
      <c r="N49" s="287"/>
      <c r="P49" s="287"/>
      <c r="R49" s="287"/>
      <c r="S49" s="287"/>
      <c r="T49" s="287"/>
      <c r="U49" s="287"/>
      <c r="V49" s="287"/>
      <c r="W49" s="287"/>
      <c r="X49" s="287"/>
      <c r="Y49" s="287"/>
      <c r="Z49" s="287"/>
      <c r="AA49" s="287"/>
      <c r="AB49" s="264">
        <v>0</v>
      </c>
      <c r="AC49" s="264"/>
      <c r="AD49" s="523"/>
      <c r="AE49" s="264">
        <f>ROUND(SUM(D49:Z49),1)</f>
        <v>2.5</v>
      </c>
      <c r="AF49" s="264"/>
      <c r="AG49" s="523"/>
      <c r="AH49" s="287">
        <f>'Exhibit G State'!AF49</f>
        <v>2.4</v>
      </c>
      <c r="AI49" s="1030"/>
      <c r="AJ49" s="264"/>
      <c r="AK49" s="264">
        <f>ROUND(SUM(+AE49-AH49),1)</f>
        <v>0.1</v>
      </c>
      <c r="AL49" s="11"/>
      <c r="AM49" s="266">
        <f>ROUND(IF(AH49=0,0,AK49/ABS(AH49)),3)</f>
        <v>4.2000000000000003E-2</v>
      </c>
      <c r="AN49" s="405"/>
    </row>
    <row r="50" spans="1:40" ht="15" customHeight="1">
      <c r="A50" s="291"/>
      <c r="B50" s="350" t="s">
        <v>1372</v>
      </c>
      <c r="C50" s="291"/>
      <c r="D50" s="287">
        <f>'Exhibit G State'!D50+'Exhibit G Federal'!D26</f>
        <v>53.4</v>
      </c>
      <c r="E50" s="287"/>
      <c r="F50" s="287">
        <f>'Exhibit G State'!F50+'Exhibit G Federal'!F27</f>
        <v>41.9</v>
      </c>
      <c r="G50" s="287"/>
      <c r="H50" s="287">
        <f>'Exhibit G State'!H50+'Exhibit G Federal'!H26</f>
        <v>105.5</v>
      </c>
      <c r="J50" s="287">
        <f>'Exhibit G State'!J50+'Exhibit G Federal'!J26</f>
        <v>53.29999999999999</v>
      </c>
      <c r="L50" s="287"/>
      <c r="N50" s="287"/>
      <c r="P50" s="287"/>
      <c r="R50" s="287"/>
      <c r="S50" s="287"/>
      <c r="T50" s="287"/>
      <c r="U50" s="287"/>
      <c r="V50" s="287"/>
      <c r="W50" s="287"/>
      <c r="X50" s="287"/>
      <c r="Y50" s="287"/>
      <c r="Z50" s="287"/>
      <c r="AA50" s="287"/>
      <c r="AB50" s="264">
        <v>0</v>
      </c>
      <c r="AC50" s="264"/>
      <c r="AD50" s="523"/>
      <c r="AE50" s="264">
        <f t="shared" si="7"/>
        <v>254.1</v>
      </c>
      <c r="AF50" s="264"/>
      <c r="AG50" s="523"/>
      <c r="AH50" s="287">
        <f>'Exhibit G State'!AF50+'Exhibit G Federal'!AF26</f>
        <v>224.7</v>
      </c>
      <c r="AI50" s="1030"/>
      <c r="AJ50" s="264"/>
      <c r="AK50" s="264">
        <f t="shared" ref="AK50:AK55" si="8">ROUND(SUM(+AE50-AH50),1)</f>
        <v>29.4</v>
      </c>
      <c r="AL50" s="11"/>
      <c r="AM50" s="266">
        <f t="shared" ref="AM50:AM55" si="9">ROUND(IF(AH50=0,0,AK50/ABS(AH50)),3)</f>
        <v>0.13100000000000001</v>
      </c>
      <c r="AN50" s="405"/>
    </row>
    <row r="51" spans="1:40" ht="15" customHeight="1">
      <c r="A51" s="291"/>
      <c r="B51" s="350" t="s">
        <v>487</v>
      </c>
      <c r="C51" s="291"/>
      <c r="D51" s="287">
        <f>'Exhibit G State'!D51+'Exhibit G Federal'!D27</f>
        <v>3.9</v>
      </c>
      <c r="E51" s="287"/>
      <c r="F51" s="287">
        <f>'Exhibit G State'!F51+'Exhibit G Federal'!F28</f>
        <v>3.8000000000000003</v>
      </c>
      <c r="G51" s="287"/>
      <c r="H51" s="287">
        <f>'Exhibit G State'!H51+'Exhibit G Federal'!H27</f>
        <v>4.9999999999999982</v>
      </c>
      <c r="J51" s="287">
        <f>'Exhibit G State'!J51+'Exhibit G Federal'!J27</f>
        <v>4</v>
      </c>
      <c r="L51" s="287"/>
      <c r="N51" s="287"/>
      <c r="P51" s="287"/>
      <c r="R51" s="287"/>
      <c r="S51" s="287"/>
      <c r="T51" s="287"/>
      <c r="U51" s="287"/>
      <c r="V51" s="287"/>
      <c r="W51" s="287"/>
      <c r="X51" s="287"/>
      <c r="Y51" s="287"/>
      <c r="Z51" s="287"/>
      <c r="AA51" s="287"/>
      <c r="AB51" s="264">
        <v>0</v>
      </c>
      <c r="AC51" s="264"/>
      <c r="AD51" s="523"/>
      <c r="AE51" s="264">
        <f t="shared" si="7"/>
        <v>16.7</v>
      </c>
      <c r="AF51" s="264"/>
      <c r="AG51" s="523"/>
      <c r="AH51" s="287">
        <f>'Exhibit G State'!AF51+'Exhibit G Federal'!AF27</f>
        <v>17.8</v>
      </c>
      <c r="AI51" s="1030"/>
      <c r="AJ51" s="264"/>
      <c r="AK51" s="264">
        <f t="shared" si="8"/>
        <v>-1.1000000000000001</v>
      </c>
      <c r="AL51" s="11"/>
      <c r="AM51" s="266">
        <f t="shared" si="9"/>
        <v>-6.2E-2</v>
      </c>
      <c r="AN51" s="405"/>
    </row>
    <row r="52" spans="1:40" ht="15" customHeight="1">
      <c r="A52" s="291"/>
      <c r="B52" s="350" t="s">
        <v>488</v>
      </c>
      <c r="C52" s="291"/>
      <c r="D52" s="287">
        <f>'Exhibit G State'!D52+'Exhibit G Federal'!D28</f>
        <v>0</v>
      </c>
      <c r="E52" s="287"/>
      <c r="F52" s="287">
        <f>'Exhibit G State'!F52+'Exhibit G Federal'!F29</f>
        <v>0.7</v>
      </c>
      <c r="G52" s="287"/>
      <c r="H52" s="287">
        <f>'Exhibit G State'!H52+'Exhibit G Federal'!H28</f>
        <v>0</v>
      </c>
      <c r="J52" s="287">
        <f>'Exhibit G State'!J52+'Exhibit G Federal'!J28</f>
        <v>1.9000000000000001</v>
      </c>
      <c r="L52" s="287"/>
      <c r="N52" s="287"/>
      <c r="P52" s="287"/>
      <c r="R52" s="287"/>
      <c r="S52" s="287"/>
      <c r="T52" s="287"/>
      <c r="U52" s="287"/>
      <c r="V52" s="287"/>
      <c r="W52" s="287"/>
      <c r="X52" s="287"/>
      <c r="Y52" s="287"/>
      <c r="Z52" s="287"/>
      <c r="AA52" s="287"/>
      <c r="AB52" s="264">
        <v>0</v>
      </c>
      <c r="AC52" s="264"/>
      <c r="AD52" s="523"/>
      <c r="AE52" s="264">
        <f>ROUND(SUM(D52:Z52),1)</f>
        <v>2.6</v>
      </c>
      <c r="AF52" s="264"/>
      <c r="AG52" s="523"/>
      <c r="AH52" s="287">
        <f>'Exhibit G State'!AF52+'Exhibit G Federal'!AF28</f>
        <v>1.2</v>
      </c>
      <c r="AI52" s="1030"/>
      <c r="AJ52" s="264"/>
      <c r="AK52" s="264">
        <f t="shared" si="8"/>
        <v>1.4</v>
      </c>
      <c r="AL52" s="11"/>
      <c r="AM52" s="266">
        <f>ROUND(IF(AH52=0,0,AK52/ABS(AH52)),3)</f>
        <v>1.167</v>
      </c>
      <c r="AN52" s="405"/>
    </row>
    <row r="53" spans="1:40" ht="15" customHeight="1">
      <c r="A53" s="291"/>
      <c r="B53" s="350" t="s">
        <v>1373</v>
      </c>
      <c r="C53" s="291"/>
      <c r="D53" s="287">
        <f>'Exhibit G State'!D53+'Exhibit G Federal'!D29</f>
        <v>14.1</v>
      </c>
      <c r="E53" s="287"/>
      <c r="F53" s="287">
        <f>'Exhibit G State'!F53+'Exhibit G Federal'!F30</f>
        <v>17.899999999999999</v>
      </c>
      <c r="G53" s="287"/>
      <c r="H53" s="287">
        <f>'Exhibit G State'!H53+'Exhibit G Federal'!H29</f>
        <v>24.1</v>
      </c>
      <c r="J53" s="287">
        <f>'Exhibit G State'!J53+'Exhibit G Federal'!J29</f>
        <v>28.499999999999993</v>
      </c>
      <c r="L53" s="287"/>
      <c r="N53" s="287"/>
      <c r="P53" s="287"/>
      <c r="R53" s="287"/>
      <c r="S53" s="287"/>
      <c r="T53" s="287"/>
      <c r="U53" s="287"/>
      <c r="V53" s="287"/>
      <c r="W53" s="287"/>
      <c r="X53" s="287"/>
      <c r="Y53" s="287"/>
      <c r="Z53" s="287"/>
      <c r="AA53" s="287"/>
      <c r="AB53" s="264">
        <v>0</v>
      </c>
      <c r="AC53" s="264"/>
      <c r="AD53" s="523"/>
      <c r="AE53" s="264">
        <f t="shared" si="7"/>
        <v>84.6</v>
      </c>
      <c r="AF53" s="264"/>
      <c r="AG53" s="523"/>
      <c r="AH53" s="287">
        <f>'Exhibit G State'!AF53+'Exhibit G Federal'!AF29</f>
        <v>107.3</v>
      </c>
      <c r="AI53" s="1030"/>
      <c r="AJ53" s="264"/>
      <c r="AK53" s="264">
        <f t="shared" si="8"/>
        <v>-22.7</v>
      </c>
      <c r="AL53" s="11"/>
      <c r="AM53" s="266">
        <f t="shared" si="9"/>
        <v>-0.21199999999999999</v>
      </c>
      <c r="AN53" s="405"/>
    </row>
    <row r="54" spans="1:40" ht="15" customHeight="1">
      <c r="A54" s="291"/>
      <c r="B54" s="350" t="s">
        <v>1374</v>
      </c>
      <c r="C54" s="291"/>
      <c r="D54" s="287">
        <f>'Exhibit G State'!D54+'Exhibit G Federal'!D30</f>
        <v>91</v>
      </c>
      <c r="E54" s="287"/>
      <c r="F54" s="287">
        <f>'Exhibit G State'!F54+'Exhibit G Federal'!F30</f>
        <v>78.599999999999994</v>
      </c>
      <c r="G54" s="287"/>
      <c r="H54" s="287">
        <f>'Exhibit G State'!H54+'Exhibit G Federal'!H30</f>
        <v>65.599999999999994</v>
      </c>
      <c r="J54" s="287">
        <f>'Exhibit G State'!J54+'Exhibit G Federal'!J30</f>
        <v>67.100000000000023</v>
      </c>
      <c r="L54" s="287"/>
      <c r="N54" s="287"/>
      <c r="P54" s="287"/>
      <c r="R54" s="287"/>
      <c r="S54" s="287"/>
      <c r="T54" s="287"/>
      <c r="U54" s="287"/>
      <c r="V54" s="287"/>
      <c r="W54" s="287"/>
      <c r="X54" s="287"/>
      <c r="Y54" s="287"/>
      <c r="Z54" s="287"/>
      <c r="AA54" s="287"/>
      <c r="AB54" s="264">
        <v>0</v>
      </c>
      <c r="AC54" s="264"/>
      <c r="AD54" s="523"/>
      <c r="AE54" s="264">
        <f t="shared" si="7"/>
        <v>302.3</v>
      </c>
      <c r="AF54" s="264"/>
      <c r="AG54" s="523"/>
      <c r="AH54" s="287">
        <f>'Exhibit G State'!AF54+'Exhibit G Federal'!AF30</f>
        <v>272.39999999999998</v>
      </c>
      <c r="AI54" s="1030"/>
      <c r="AJ54" s="264"/>
      <c r="AK54" s="264">
        <f t="shared" si="8"/>
        <v>29.9</v>
      </c>
      <c r="AL54" s="11"/>
      <c r="AM54" s="266">
        <f t="shared" si="9"/>
        <v>0.11</v>
      </c>
      <c r="AN54" s="405"/>
    </row>
    <row r="55" spans="1:40" ht="15" customHeight="1">
      <c r="A55" s="291"/>
      <c r="B55" s="350" t="s">
        <v>1375</v>
      </c>
      <c r="C55" s="291"/>
      <c r="D55" s="287">
        <f>'Exhibit G State'!D55+'Exhibit G Federal'!D31</f>
        <v>45.099999999999994</v>
      </c>
      <c r="E55" s="287"/>
      <c r="F55" s="287">
        <f>'Exhibit G State'!F55+'Exhibit G Federal'!F31</f>
        <v>7.5000000000000053</v>
      </c>
      <c r="G55" s="287"/>
      <c r="H55" s="287">
        <f>'Exhibit G State'!H55+'Exhibit G Federal'!H31</f>
        <v>4.9999999999999956</v>
      </c>
      <c r="J55" s="287">
        <f>'Exhibit G State'!J55+'Exhibit G Federal'!J31</f>
        <v>13.200000000000008</v>
      </c>
      <c r="L55" s="287"/>
      <c r="N55" s="287"/>
      <c r="P55" s="287"/>
      <c r="R55" s="287"/>
      <c r="S55" s="287"/>
      <c r="T55" s="287"/>
      <c r="U55" s="287"/>
      <c r="V55" s="287"/>
      <c r="W55" s="287"/>
      <c r="X55" s="287"/>
      <c r="Y55" s="287"/>
      <c r="Z55" s="287"/>
      <c r="AA55" s="287"/>
      <c r="AB55" s="264">
        <v>0</v>
      </c>
      <c r="AC55" s="264"/>
      <c r="AD55" s="523"/>
      <c r="AE55" s="264">
        <f>ROUND(SUM(D55:Z55),1)</f>
        <v>70.8</v>
      </c>
      <c r="AF55" s="264"/>
      <c r="AG55" s="523"/>
      <c r="AH55" s="287">
        <f>'Exhibit G State'!AF55+'Exhibit G Federal'!AF31</f>
        <v>82.1</v>
      </c>
      <c r="AI55" s="1030"/>
      <c r="AJ55" s="264"/>
      <c r="AK55" s="264">
        <f t="shared" si="8"/>
        <v>-11.3</v>
      </c>
      <c r="AL55" s="11"/>
      <c r="AM55" s="542">
        <f t="shared" si="9"/>
        <v>-0.13800000000000001</v>
      </c>
      <c r="AN55" s="405"/>
    </row>
    <row r="56" spans="1:40" ht="15" customHeight="1">
      <c r="A56" s="291"/>
      <c r="B56" s="350" t="s">
        <v>401</v>
      </c>
      <c r="C56" s="291"/>
      <c r="D56" s="287"/>
      <c r="E56" s="287"/>
      <c r="F56" s="287"/>
      <c r="G56" s="287"/>
      <c r="H56" s="287"/>
      <c r="J56" s="287"/>
      <c r="L56" s="287"/>
      <c r="N56" s="287"/>
      <c r="P56" s="287"/>
      <c r="R56" s="287"/>
      <c r="S56" s="287"/>
      <c r="T56" s="287"/>
      <c r="U56" s="287"/>
      <c r="V56" s="287"/>
      <c r="W56" s="287"/>
      <c r="X56" s="287"/>
      <c r="Y56" s="287"/>
      <c r="Z56" s="287"/>
      <c r="AA56" s="287"/>
      <c r="AB56" s="264"/>
      <c r="AC56" s="264"/>
      <c r="AD56" s="523"/>
      <c r="AE56" s="264"/>
      <c r="AF56" s="264"/>
      <c r="AG56" s="523"/>
      <c r="AH56" s="287"/>
      <c r="AI56" s="1030"/>
      <c r="AJ56" s="264"/>
      <c r="AK56" s="264"/>
      <c r="AL56" s="11"/>
      <c r="AM56" s="283"/>
      <c r="AN56" s="405"/>
    </row>
    <row r="57" spans="1:40" ht="15" customHeight="1">
      <c r="A57" s="291"/>
      <c r="B57" s="350" t="s">
        <v>491</v>
      </c>
      <c r="C57" s="291"/>
      <c r="D57" s="287">
        <f>'Exhibit G State'!D57</f>
        <v>57.6</v>
      </c>
      <c r="E57" s="287"/>
      <c r="F57" s="287">
        <f>'Exhibit G State'!F57+'Exhibit G Federal'!F34</f>
        <v>56.999999999999993</v>
      </c>
      <c r="G57" s="287"/>
      <c r="H57" s="287">
        <f>'Exhibit G State'!H57</f>
        <v>25.999999999999993</v>
      </c>
      <c r="J57" s="287">
        <f>'Exhibit G State'!J57</f>
        <v>45.800000000000004</v>
      </c>
      <c r="L57" s="287"/>
      <c r="N57" s="287"/>
      <c r="P57" s="287"/>
      <c r="R57" s="287"/>
      <c r="S57" s="287"/>
      <c r="T57" s="287"/>
      <c r="U57" s="287"/>
      <c r="V57" s="287"/>
      <c r="W57" s="287"/>
      <c r="X57" s="287"/>
      <c r="Y57" s="287"/>
      <c r="Z57" s="287"/>
      <c r="AA57" s="287"/>
      <c r="AB57" s="264">
        <v>0</v>
      </c>
      <c r="AC57" s="264"/>
      <c r="AD57" s="523"/>
      <c r="AE57" s="264">
        <f t="shared" si="7"/>
        <v>186.4</v>
      </c>
      <c r="AF57" s="264"/>
      <c r="AG57" s="523"/>
      <c r="AH57" s="287">
        <f>'Exhibit G State'!AF57</f>
        <v>119.2</v>
      </c>
      <c r="AI57" s="1030"/>
      <c r="AJ57" s="264"/>
      <c r="AK57" s="264">
        <f t="shared" ref="AK57:AK62" si="10">ROUND(SUM(+AE57-AH57),1)</f>
        <v>67.2</v>
      </c>
      <c r="AL57" s="11"/>
      <c r="AM57" s="542">
        <f>ROUND(IF(AH57=0,1,AK57/ABS(AH57)),3)</f>
        <v>0.56399999999999995</v>
      </c>
      <c r="AN57" s="405"/>
    </row>
    <row r="58" spans="1:40" ht="15" customHeight="1">
      <c r="A58" s="291"/>
      <c r="B58" s="350" t="s">
        <v>492</v>
      </c>
      <c r="C58" s="291"/>
      <c r="D58" s="287">
        <f>'Exhibit G State'!D58</f>
        <v>218.6</v>
      </c>
      <c r="E58" s="287"/>
      <c r="F58" s="287">
        <f>'Exhibit G State'!F58+'Exhibit G Federal'!F35</f>
        <v>177.9</v>
      </c>
      <c r="G58" s="287"/>
      <c r="H58" s="287">
        <f>'Exhibit G State'!H58</f>
        <v>175.79999999999998</v>
      </c>
      <c r="J58" s="287">
        <f>'Exhibit G State'!J58</f>
        <v>219.40000000000012</v>
      </c>
      <c r="L58" s="287"/>
      <c r="N58" s="287"/>
      <c r="P58" s="287"/>
      <c r="R58" s="287"/>
      <c r="S58" s="287"/>
      <c r="T58" s="287"/>
      <c r="U58" s="287"/>
      <c r="V58" s="287"/>
      <c r="W58" s="287"/>
      <c r="X58" s="287"/>
      <c r="Y58" s="287"/>
      <c r="Z58" s="287"/>
      <c r="AA58" s="287"/>
      <c r="AB58" s="264">
        <v>0</v>
      </c>
      <c r="AC58" s="264"/>
      <c r="AD58" s="523"/>
      <c r="AE58" s="264">
        <f t="shared" si="7"/>
        <v>791.7</v>
      </c>
      <c r="AF58" s="264"/>
      <c r="AG58" s="523"/>
      <c r="AH58" s="287">
        <f>'Exhibit G State'!AF58</f>
        <v>787.3</v>
      </c>
      <c r="AI58" s="1030"/>
      <c r="AJ58" s="264"/>
      <c r="AK58" s="264">
        <f t="shared" si="10"/>
        <v>4.4000000000000004</v>
      </c>
      <c r="AL58" s="11"/>
      <c r="AM58" s="266">
        <f>ROUND(IF(AH58=0,0,AK58/ABS(AH58)),3)</f>
        <v>6.0000000000000001E-3</v>
      </c>
      <c r="AN58" s="405"/>
    </row>
    <row r="59" spans="1:40" ht="15" customHeight="1">
      <c r="A59" s="291"/>
      <c r="B59" s="350" t="s">
        <v>448</v>
      </c>
      <c r="C59" s="291"/>
      <c r="D59" s="287">
        <f>'Exhibit G State'!D59</f>
        <v>117.4</v>
      </c>
      <c r="E59" s="287"/>
      <c r="F59" s="287">
        <f>'Exhibit G State'!F59+'Exhibit G Federal'!F36</f>
        <v>109.79999999999998</v>
      </c>
      <c r="G59" s="287"/>
      <c r="H59" s="287">
        <f>'Exhibit G State'!H59</f>
        <v>39</v>
      </c>
      <c r="J59" s="287">
        <f>'Exhibit G State'!J59</f>
        <v>123.80000000000001</v>
      </c>
      <c r="L59" s="287"/>
      <c r="N59" s="287"/>
      <c r="P59" s="287"/>
      <c r="R59" s="287"/>
      <c r="S59" s="287"/>
      <c r="T59" s="287"/>
      <c r="U59" s="287"/>
      <c r="V59" s="287"/>
      <c r="W59" s="287"/>
      <c r="X59" s="287"/>
      <c r="Y59" s="287"/>
      <c r="Z59" s="287"/>
      <c r="AA59" s="287"/>
      <c r="AB59" s="264">
        <v>0</v>
      </c>
      <c r="AC59" s="264"/>
      <c r="AD59" s="523"/>
      <c r="AE59" s="264">
        <f t="shared" si="7"/>
        <v>390</v>
      </c>
      <c r="AF59" s="264"/>
      <c r="AG59" s="523"/>
      <c r="AH59" s="287">
        <f>'Exhibit G State'!AF59</f>
        <v>393.2</v>
      </c>
      <c r="AI59" s="1030"/>
      <c r="AJ59" s="264"/>
      <c r="AK59" s="264">
        <f t="shared" si="10"/>
        <v>-3.2</v>
      </c>
      <c r="AL59" s="11"/>
      <c r="AM59" s="266">
        <f>ROUND(IF(AH59=0,1,AK59/ABS(AH59)),3)</f>
        <v>-8.0000000000000002E-3</v>
      </c>
      <c r="AN59" s="405"/>
    </row>
    <row r="60" spans="1:40" ht="15" customHeight="1">
      <c r="A60" s="291"/>
      <c r="B60" s="350" t="s">
        <v>493</v>
      </c>
      <c r="C60" s="291"/>
      <c r="D60" s="287">
        <f>'Exhibit G State'!D60</f>
        <v>103</v>
      </c>
      <c r="E60" s="287"/>
      <c r="F60" s="287">
        <f>'Exhibit G State'!F60+'Exhibit G Federal'!F37</f>
        <v>47.400000000000006</v>
      </c>
      <c r="G60" s="287"/>
      <c r="H60" s="287">
        <f>'Exhibit G State'!H60</f>
        <v>48.299999999999983</v>
      </c>
      <c r="J60" s="287">
        <f>'Exhibit G State'!J60</f>
        <v>59.100000000000023</v>
      </c>
      <c r="L60" s="287"/>
      <c r="N60" s="287"/>
      <c r="P60" s="287"/>
      <c r="R60" s="287"/>
      <c r="S60" s="287"/>
      <c r="T60" s="287"/>
      <c r="U60" s="287"/>
      <c r="V60" s="287"/>
      <c r="W60" s="287"/>
      <c r="X60" s="287"/>
      <c r="Y60" s="287"/>
      <c r="Z60" s="287"/>
      <c r="AA60" s="287"/>
      <c r="AB60" s="264">
        <v>0</v>
      </c>
      <c r="AC60" s="264"/>
      <c r="AD60" s="523"/>
      <c r="AE60" s="264">
        <f t="shared" si="7"/>
        <v>257.8</v>
      </c>
      <c r="AF60" s="264"/>
      <c r="AG60" s="523"/>
      <c r="AH60" s="287">
        <f>'Exhibit G State'!AF60</f>
        <v>367.5</v>
      </c>
      <c r="AI60" s="1030"/>
      <c r="AJ60" s="264"/>
      <c r="AK60" s="264">
        <f t="shared" si="10"/>
        <v>-109.7</v>
      </c>
      <c r="AL60" s="11"/>
      <c r="AM60" s="542">
        <f>ROUND(IF(AH60=0,1,AK60/ABS(AH60)),3)</f>
        <v>-0.29899999999999999</v>
      </c>
      <c r="AN60" s="405"/>
    </row>
    <row r="61" spans="1:40" ht="15" customHeight="1">
      <c r="A61" s="291"/>
      <c r="B61" s="350" t="s">
        <v>406</v>
      </c>
      <c r="C61" s="291"/>
      <c r="D61" s="287">
        <f>'Exhibit G State'!D61+'Exhibit G Federal'!D32</f>
        <v>93.5</v>
      </c>
      <c r="E61" s="287"/>
      <c r="F61" s="287">
        <f>'Exhibit G State'!F61+'Exhibit G Federal'!F32</f>
        <v>87.4</v>
      </c>
      <c r="G61" s="287"/>
      <c r="H61" s="287">
        <f>'Exhibit G State'!H61+'Exhibit G Federal'!H32</f>
        <v>103.4</v>
      </c>
      <c r="J61" s="287">
        <f>'Exhibit G State'!J61+'Exhibit G Federal'!J32</f>
        <v>99.699999999999989</v>
      </c>
      <c r="L61" s="287"/>
      <c r="N61" s="287"/>
      <c r="P61" s="287"/>
      <c r="R61" s="287"/>
      <c r="S61" s="287"/>
      <c r="T61" s="287"/>
      <c r="U61" s="287"/>
      <c r="V61" s="287"/>
      <c r="W61" s="287"/>
      <c r="X61" s="287"/>
      <c r="Y61" s="287"/>
      <c r="Z61" s="287"/>
      <c r="AA61" s="287"/>
      <c r="AB61" s="264">
        <v>0</v>
      </c>
      <c r="AC61" s="264"/>
      <c r="AD61" s="523"/>
      <c r="AE61" s="264">
        <f>ROUND(SUM(D61:Z61),1)</f>
        <v>384</v>
      </c>
      <c r="AF61" s="264"/>
      <c r="AG61" s="523"/>
      <c r="AH61" s="287">
        <f>'Exhibit G State'!AF61+'Exhibit G Federal'!AF32</f>
        <v>387.8</v>
      </c>
      <c r="AI61" s="1030"/>
      <c r="AJ61" s="264"/>
      <c r="AK61" s="264">
        <f t="shared" si="10"/>
        <v>-3.8</v>
      </c>
      <c r="AL61" s="11"/>
      <c r="AM61" s="542">
        <f>ROUND(IF(AH61=0,0,AK61/ABS(AH61)),3)</f>
        <v>-0.01</v>
      </c>
      <c r="AN61" s="405"/>
    </row>
    <row r="62" spans="1:40" ht="15" customHeight="1">
      <c r="A62" s="291"/>
      <c r="B62" s="350" t="s">
        <v>1376</v>
      </c>
      <c r="C62" s="291"/>
      <c r="D62" s="287">
        <f>'Exhibit G State'!D62+'Exhibit G Federal'!D33</f>
        <v>7.3</v>
      </c>
      <c r="E62" s="287"/>
      <c r="F62" s="287">
        <f>'Exhibit G State'!F62+'Exhibit G Federal'!F39</f>
        <v>0.60000000000000053</v>
      </c>
      <c r="G62" s="287"/>
      <c r="H62" s="287">
        <f>'Exhibit G State'!H62+'Exhibit G Federal'!H33</f>
        <v>8</v>
      </c>
      <c r="J62" s="287">
        <f>'Exhibit G State'!J62+'Exhibit G Federal'!J33</f>
        <v>2.9999999999999973</v>
      </c>
      <c r="L62" s="287"/>
      <c r="N62" s="287"/>
      <c r="P62" s="287"/>
      <c r="R62" s="287"/>
      <c r="S62" s="287"/>
      <c r="T62" s="287"/>
      <c r="U62" s="287"/>
      <c r="V62" s="287"/>
      <c r="W62" s="287"/>
      <c r="X62" s="287"/>
      <c r="Y62" s="287"/>
      <c r="Z62" s="287"/>
      <c r="AA62" s="287"/>
      <c r="AB62" s="264">
        <v>0</v>
      </c>
      <c r="AC62" s="264"/>
      <c r="AD62" s="523"/>
      <c r="AE62" s="264">
        <f>ROUND(SUM(D62:Z62),1)</f>
        <v>18.899999999999999</v>
      </c>
      <c r="AF62" s="264"/>
      <c r="AG62" s="523"/>
      <c r="AH62" s="287">
        <f>'Exhibit G State'!AF62+'Exhibit G Federal'!AF33</f>
        <v>16.3</v>
      </c>
      <c r="AI62" s="1030"/>
      <c r="AJ62" s="264"/>
      <c r="AK62" s="264">
        <f t="shared" si="10"/>
        <v>2.6</v>
      </c>
      <c r="AL62" s="11"/>
      <c r="AM62" s="266">
        <f>ROUND(IF(AH62=0,0,AK62/ABS(AH62)),3)</f>
        <v>0.16</v>
      </c>
      <c r="AN62" s="405"/>
    </row>
    <row r="63" spans="1:40" ht="15" customHeight="1">
      <c r="A63" s="291"/>
      <c r="B63" s="350" t="s">
        <v>408</v>
      </c>
      <c r="C63" s="291"/>
      <c r="D63" s="287"/>
      <c r="E63" s="287"/>
      <c r="F63" s="287"/>
      <c r="G63" s="287"/>
      <c r="H63" s="287"/>
      <c r="J63" s="287"/>
      <c r="L63" s="287"/>
      <c r="N63" s="287"/>
      <c r="P63" s="287"/>
      <c r="R63" s="287"/>
      <c r="S63" s="287"/>
      <c r="T63" s="287"/>
      <c r="U63" s="287"/>
      <c r="V63" s="287"/>
      <c r="W63" s="287"/>
      <c r="X63" s="287"/>
      <c r="Y63" s="287"/>
      <c r="Z63" s="287"/>
      <c r="AA63" s="287"/>
      <c r="AB63" s="264"/>
      <c r="AC63" s="264"/>
      <c r="AD63" s="523"/>
      <c r="AE63" s="264"/>
      <c r="AF63" s="264"/>
      <c r="AG63" s="523"/>
      <c r="AH63" s="287"/>
      <c r="AI63" s="1030"/>
      <c r="AJ63" s="264"/>
      <c r="AK63" s="264"/>
      <c r="AL63" s="11"/>
      <c r="AM63" s="283"/>
      <c r="AN63" s="405"/>
    </row>
    <row r="64" spans="1:40" ht="15" customHeight="1">
      <c r="A64" s="291"/>
      <c r="B64" s="350" t="s">
        <v>494</v>
      </c>
      <c r="C64" s="291"/>
      <c r="D64" s="287">
        <f>'Exhibit G State'!D64+'Exhibit G Federal'!D35</f>
        <v>0</v>
      </c>
      <c r="E64" s="287"/>
      <c r="F64" s="287">
        <f>'Exhibit G State'!F64+'Exhibit G Federal'!F41</f>
        <v>0</v>
      </c>
      <c r="G64" s="287"/>
      <c r="H64" s="287">
        <f>'Exhibit G State'!H64+'Exhibit G Federal'!H35</f>
        <v>0</v>
      </c>
      <c r="J64" s="287">
        <f>'Exhibit G State'!J64+'Exhibit G Federal'!J35</f>
        <v>0</v>
      </c>
      <c r="L64" s="287"/>
      <c r="N64" s="287"/>
      <c r="P64" s="287"/>
      <c r="R64" s="287"/>
      <c r="S64" s="287"/>
      <c r="T64" s="287"/>
      <c r="U64" s="287"/>
      <c r="V64" s="287"/>
      <c r="W64" s="287"/>
      <c r="X64" s="287"/>
      <c r="Y64" s="287"/>
      <c r="Z64" s="287"/>
      <c r="AA64" s="287"/>
      <c r="AB64" s="264">
        <v>0</v>
      </c>
      <c r="AC64" s="264"/>
      <c r="AD64" s="523"/>
      <c r="AE64" s="264">
        <f t="shared" si="7"/>
        <v>0</v>
      </c>
      <c r="AF64" s="264"/>
      <c r="AG64" s="523"/>
      <c r="AH64" s="287">
        <f>'Exhibit G State'!AF64+'Exhibit G Federal'!AF35</f>
        <v>0</v>
      </c>
      <c r="AI64" s="1030"/>
      <c r="AJ64" s="264"/>
      <c r="AK64" s="264">
        <f t="shared" ref="AK64:AK68" si="11">ROUND(SUM(+AE64-AH64),1)</f>
        <v>0</v>
      </c>
      <c r="AL64" s="11"/>
      <c r="AM64" s="266">
        <f>ROUND(IF(AH64=0,0,AK64/ABS(AH64)),3)</f>
        <v>0</v>
      </c>
      <c r="AN64" s="405"/>
    </row>
    <row r="65" spans="1:40" ht="15" customHeight="1">
      <c r="A65" s="291"/>
      <c r="B65" s="350" t="s">
        <v>495</v>
      </c>
      <c r="C65" s="291"/>
      <c r="D65" s="287">
        <f>'Exhibit G State'!D65+'Exhibit G Federal'!D36</f>
        <v>0.4</v>
      </c>
      <c r="E65" s="287"/>
      <c r="F65" s="287">
        <f>'Exhibit G State'!F65+'Exhibit G Federal'!F42</f>
        <v>0</v>
      </c>
      <c r="G65" s="287"/>
      <c r="H65" s="287">
        <f>'Exhibit G State'!H65+'Exhibit G Federal'!H36</f>
        <v>0</v>
      </c>
      <c r="J65" s="287">
        <f>'Exhibit G State'!J65+'Exhibit G Federal'!J36</f>
        <v>0</v>
      </c>
      <c r="L65" s="287"/>
      <c r="N65" s="287"/>
      <c r="P65" s="287"/>
      <c r="R65" s="287"/>
      <c r="S65" s="287"/>
      <c r="T65" s="287"/>
      <c r="U65" s="287"/>
      <c r="V65" s="287"/>
      <c r="W65" s="287"/>
      <c r="X65" s="287"/>
      <c r="Y65" s="287"/>
      <c r="Z65" s="287"/>
      <c r="AA65" s="287"/>
      <c r="AB65" s="264">
        <v>0</v>
      </c>
      <c r="AC65" s="264"/>
      <c r="AD65" s="523"/>
      <c r="AE65" s="264">
        <f t="shared" si="7"/>
        <v>0.4</v>
      </c>
      <c r="AF65" s="264"/>
      <c r="AG65" s="523"/>
      <c r="AH65" s="287">
        <f>'Exhibit G State'!AF65+'Exhibit G Federal'!AF36</f>
        <v>13.1</v>
      </c>
      <c r="AI65" s="1030"/>
      <c r="AJ65" s="264"/>
      <c r="AK65" s="264">
        <f t="shared" si="11"/>
        <v>-12.7</v>
      </c>
      <c r="AL65" s="11"/>
      <c r="AM65" s="542">
        <f>ROUND(IF(AH65=0,1,AK65/ABS(AH65)),3)</f>
        <v>-0.96899999999999997</v>
      </c>
      <c r="AN65" s="405"/>
    </row>
    <row r="66" spans="1:40" ht="15" customHeight="1">
      <c r="A66" s="291"/>
      <c r="B66" s="350" t="s">
        <v>1377</v>
      </c>
      <c r="C66" s="291"/>
      <c r="D66" s="287">
        <f>'Exhibit G State'!D66+'Exhibit G Federal'!D37</f>
        <v>0</v>
      </c>
      <c r="E66" s="287"/>
      <c r="F66" s="287">
        <f>'Exhibit G State'!F66+'Exhibit G Federal'!F43</f>
        <v>1.2</v>
      </c>
      <c r="G66" s="287"/>
      <c r="H66" s="287">
        <f>'Exhibit G State'!H66+'Exhibit G Federal'!H37</f>
        <v>0.30000000000000004</v>
      </c>
      <c r="J66" s="287">
        <f>'Exhibit G State'!J66+'Exhibit G Federal'!J37</f>
        <v>4.9000000000000004</v>
      </c>
      <c r="L66" s="287"/>
      <c r="N66" s="287"/>
      <c r="P66" s="287"/>
      <c r="R66" s="287"/>
      <c r="S66" s="287"/>
      <c r="T66" s="287"/>
      <c r="U66" s="287"/>
      <c r="V66" s="287"/>
      <c r="W66" s="287"/>
      <c r="X66" s="287"/>
      <c r="Y66" s="287"/>
      <c r="Z66" s="287"/>
      <c r="AA66" s="287"/>
      <c r="AB66" s="264">
        <v>0</v>
      </c>
      <c r="AC66" s="264"/>
      <c r="AD66" s="523"/>
      <c r="AE66" s="264">
        <f t="shared" si="7"/>
        <v>6.4</v>
      </c>
      <c r="AF66" s="264"/>
      <c r="AG66" s="523"/>
      <c r="AH66" s="287">
        <f>'Exhibit G State'!AF66+'Exhibit G Federal'!AF37</f>
        <v>7.2</v>
      </c>
      <c r="AI66" s="1030"/>
      <c r="AJ66" s="264"/>
      <c r="AK66" s="264">
        <f t="shared" si="11"/>
        <v>-0.8</v>
      </c>
      <c r="AL66" s="11"/>
      <c r="AM66" s="542">
        <f t="shared" ref="AM66:AM68" si="12">ROUND(IF(AH66=0,0,AK66/ABS(AH66)),3)</f>
        <v>-0.111</v>
      </c>
      <c r="AN66" s="405"/>
    </row>
    <row r="67" spans="1:40" ht="15" customHeight="1">
      <c r="A67" s="291"/>
      <c r="B67" s="350" t="s">
        <v>497</v>
      </c>
      <c r="C67" s="291"/>
      <c r="D67" s="287">
        <f>'Exhibit G State'!D67+'Exhibit G Federal'!D38</f>
        <v>4.7</v>
      </c>
      <c r="E67" s="287"/>
      <c r="F67" s="287">
        <f>'Exhibit G State'!F67+'Exhibit G Federal'!F44</f>
        <v>4.4999999999999991</v>
      </c>
      <c r="G67" s="287"/>
      <c r="H67" s="287">
        <f>'Exhibit G State'!H67+'Exhibit G Federal'!H38</f>
        <v>4.4999999999999991</v>
      </c>
      <c r="J67" s="287">
        <f>'Exhibit G State'!J67+'Exhibit G Federal'!J38</f>
        <v>6.3</v>
      </c>
      <c r="L67" s="287"/>
      <c r="N67" s="287"/>
      <c r="P67" s="287"/>
      <c r="R67" s="287"/>
      <c r="S67" s="287"/>
      <c r="T67" s="287"/>
      <c r="U67" s="287"/>
      <c r="V67" s="287"/>
      <c r="W67" s="287"/>
      <c r="X67" s="287"/>
      <c r="Y67" s="287"/>
      <c r="Z67" s="287"/>
      <c r="AA67" s="287"/>
      <c r="AB67" s="264">
        <v>0</v>
      </c>
      <c r="AC67" s="264"/>
      <c r="AD67" s="523"/>
      <c r="AE67" s="264">
        <f t="shared" si="7"/>
        <v>20</v>
      </c>
      <c r="AF67" s="264"/>
      <c r="AG67" s="523"/>
      <c r="AH67" s="287">
        <f>'Exhibit G State'!AF67+'Exhibit G Federal'!AF38</f>
        <v>16.2</v>
      </c>
      <c r="AI67" s="1030"/>
      <c r="AJ67" s="264"/>
      <c r="AK67" s="264">
        <f t="shared" si="11"/>
        <v>3.8</v>
      </c>
      <c r="AL67" s="11"/>
      <c r="AM67" s="542">
        <f t="shared" si="12"/>
        <v>0.23499999999999999</v>
      </c>
      <c r="AN67" s="405"/>
    </row>
    <row r="68" spans="1:40" ht="15" customHeight="1">
      <c r="A68" s="291"/>
      <c r="B68" s="350" t="s">
        <v>413</v>
      </c>
      <c r="C68" s="291"/>
      <c r="D68" s="287">
        <f>'Exhibit G State'!D68+'Exhibit G Federal'!D39</f>
        <v>59.6</v>
      </c>
      <c r="E68" s="287"/>
      <c r="F68" s="287">
        <f>'Exhibit G State'!F68+'Exhibit G Federal'!F45</f>
        <v>24.4</v>
      </c>
      <c r="G68" s="287"/>
      <c r="H68" s="287">
        <f>'Exhibit G State'!H68+'Exhibit G Federal'!H39</f>
        <v>0.5</v>
      </c>
      <c r="J68" s="287">
        <f>'Exhibit G State'!J68+'Exhibit G Federal'!J39</f>
        <v>0.90000000000000568</v>
      </c>
      <c r="L68" s="287"/>
      <c r="N68" s="287"/>
      <c r="P68" s="287"/>
      <c r="R68" s="287"/>
      <c r="S68" s="287"/>
      <c r="T68" s="287"/>
      <c r="U68" s="287"/>
      <c r="V68" s="287"/>
      <c r="W68" s="287"/>
      <c r="X68" s="287"/>
      <c r="Y68" s="287"/>
      <c r="Z68" s="287"/>
      <c r="AA68" s="287"/>
      <c r="AB68" s="264">
        <v>0</v>
      </c>
      <c r="AC68" s="264"/>
      <c r="AD68" s="523"/>
      <c r="AE68" s="264">
        <f t="shared" si="7"/>
        <v>85.4</v>
      </c>
      <c r="AF68" s="264"/>
      <c r="AG68" s="523"/>
      <c r="AH68" s="287">
        <f>'Exhibit G State'!AF68+'Exhibit G Federal'!AF39</f>
        <v>89.6</v>
      </c>
      <c r="AI68" s="1030"/>
      <c r="AJ68" s="264"/>
      <c r="AK68" s="264">
        <f t="shared" si="11"/>
        <v>-4.2</v>
      </c>
      <c r="AL68" s="11"/>
      <c r="AM68" s="542">
        <f t="shared" si="12"/>
        <v>-4.7E-2</v>
      </c>
      <c r="AN68" s="405"/>
    </row>
    <row r="69" spans="1:40" ht="15" customHeight="1">
      <c r="A69" s="291"/>
      <c r="B69" s="350" t="s">
        <v>414</v>
      </c>
      <c r="C69" s="291"/>
      <c r="D69" s="287"/>
      <c r="E69" s="287"/>
      <c r="F69" s="287"/>
      <c r="G69" s="287"/>
      <c r="H69" s="287"/>
      <c r="J69" s="287"/>
      <c r="L69" s="287"/>
      <c r="N69" s="287"/>
      <c r="P69" s="287"/>
      <c r="R69" s="287"/>
      <c r="S69" s="287"/>
      <c r="T69" s="287"/>
      <c r="U69" s="287"/>
      <c r="V69" s="287"/>
      <c r="W69" s="287"/>
      <c r="X69" s="287"/>
      <c r="Y69" s="287"/>
      <c r="Z69" s="287"/>
      <c r="AA69" s="287"/>
      <c r="AB69" s="264"/>
      <c r="AC69" s="264"/>
      <c r="AD69" s="523"/>
      <c r="AE69" s="264"/>
      <c r="AF69" s="264"/>
      <c r="AG69" s="523"/>
      <c r="AH69" s="287"/>
      <c r="AI69" s="1030"/>
      <c r="AJ69" s="264"/>
      <c r="AK69" s="264"/>
      <c r="AL69" s="11"/>
      <c r="AM69" s="283"/>
      <c r="AN69" s="405"/>
    </row>
    <row r="70" spans="1:40" ht="15" customHeight="1">
      <c r="A70" s="291"/>
      <c r="B70" s="350" t="s">
        <v>1378</v>
      </c>
      <c r="C70" s="291"/>
      <c r="D70" s="287">
        <f>'Exhibit G State'!D70+'Exhibit G Federal'!D41</f>
        <v>0.3</v>
      </c>
      <c r="E70" s="287"/>
      <c r="F70" s="287">
        <f>'Exhibit G State'!F70+'Exhibit G Federal'!F47</f>
        <v>18.099999999999998</v>
      </c>
      <c r="G70" s="287"/>
      <c r="H70" s="287">
        <f>'Exhibit G State'!H70+'Exhibit G Federal'!H41</f>
        <v>27</v>
      </c>
      <c r="J70" s="287">
        <f>'Exhibit G State'!J70+'Exhibit G Federal'!J41</f>
        <v>9.2000000000000028</v>
      </c>
      <c r="L70" s="287"/>
      <c r="N70" s="287"/>
      <c r="P70" s="287"/>
      <c r="R70" s="287"/>
      <c r="S70" s="287"/>
      <c r="T70" s="287"/>
      <c r="U70" s="287"/>
      <c r="V70" s="287"/>
      <c r="W70" s="287"/>
      <c r="X70" s="287"/>
      <c r="Y70" s="287"/>
      <c r="Z70" s="287"/>
      <c r="AA70" s="287"/>
      <c r="AB70" s="264">
        <v>0</v>
      </c>
      <c r="AC70" s="264"/>
      <c r="AD70" s="523"/>
      <c r="AE70" s="264">
        <f t="shared" si="7"/>
        <v>54.6</v>
      </c>
      <c r="AF70" s="264"/>
      <c r="AG70" s="523"/>
      <c r="AH70" s="287">
        <f>'Exhibit G State'!AF70+'Exhibit G Federal'!AF41</f>
        <v>53</v>
      </c>
      <c r="AI70" s="1030"/>
      <c r="AJ70" s="264"/>
      <c r="AK70" s="264">
        <f t="shared" ref="AK70:AK80" si="13">ROUND(SUM(+AE70-AH70),1)</f>
        <v>1.6</v>
      </c>
      <c r="AL70" s="11"/>
      <c r="AM70" s="542">
        <f>ROUND(IF(AH70=0,0,AK70/ABS(AH70)),3)</f>
        <v>0.03</v>
      </c>
      <c r="AN70" s="405"/>
    </row>
    <row r="71" spans="1:40" ht="15" customHeight="1">
      <c r="A71" s="291"/>
      <c r="B71" s="350" t="s">
        <v>499</v>
      </c>
      <c r="C71" s="291"/>
      <c r="D71" s="287">
        <f>'Exhibit G State'!D71+'Exhibit G Federal'!D42</f>
        <v>1.3</v>
      </c>
      <c r="E71" s="287"/>
      <c r="F71" s="287">
        <f>'Exhibit G State'!F71+'Exhibit G Federal'!F48</f>
        <v>1.2</v>
      </c>
      <c r="G71" s="287"/>
      <c r="H71" s="287">
        <f>'Exhibit G State'!H71+'Exhibit G Federal'!H42</f>
        <v>0.69999999999999973</v>
      </c>
      <c r="J71" s="287">
        <f>'Exhibit G State'!J71+'Exhibit G Federal'!J42</f>
        <v>0.50000000000000044</v>
      </c>
      <c r="L71" s="287"/>
      <c r="N71" s="287"/>
      <c r="P71" s="287"/>
      <c r="R71" s="287"/>
      <c r="S71" s="287"/>
      <c r="T71" s="287"/>
      <c r="U71" s="287"/>
      <c r="V71" s="287"/>
      <c r="W71" s="287"/>
      <c r="X71" s="287"/>
      <c r="Y71" s="287"/>
      <c r="Z71" s="287"/>
      <c r="AA71" s="287"/>
      <c r="AB71" s="264">
        <v>0</v>
      </c>
      <c r="AC71" s="264"/>
      <c r="AD71" s="523"/>
      <c r="AE71" s="264">
        <f t="shared" si="7"/>
        <v>3.7</v>
      </c>
      <c r="AF71" s="264"/>
      <c r="AG71" s="523"/>
      <c r="AH71" s="287">
        <f>'Exhibit G State'!AF71+'Exhibit G Federal'!AF42</f>
        <v>1.8</v>
      </c>
      <c r="AI71" s="1030"/>
      <c r="AJ71" s="264"/>
      <c r="AK71" s="264">
        <f t="shared" si="13"/>
        <v>1.9</v>
      </c>
      <c r="AL71" s="11"/>
      <c r="AM71" s="542">
        <f>ROUND(IF(AH71=0,1,AK71/ABS(AH71)),3)</f>
        <v>1.056</v>
      </c>
      <c r="AN71" s="405"/>
    </row>
    <row r="72" spans="1:40" ht="15" customHeight="1">
      <c r="A72" s="291"/>
      <c r="B72" s="350" t="s">
        <v>1379</v>
      </c>
      <c r="C72" s="291"/>
      <c r="D72" s="287">
        <f>'Exhibit G State'!D72+'Exhibit G Federal'!D43</f>
        <v>6.5</v>
      </c>
      <c r="E72" s="287"/>
      <c r="F72" s="287">
        <f>'Exhibit G State'!F72+'Exhibit G Federal'!F49</f>
        <v>11.899999999999999</v>
      </c>
      <c r="G72" s="287"/>
      <c r="H72" s="287">
        <f>'Exhibit G State'!H72+'Exhibit G Federal'!H43</f>
        <v>2.3999999999999986</v>
      </c>
      <c r="J72" s="287">
        <f>'Exhibit G State'!J72+'Exhibit G Federal'!J43</f>
        <v>0.40000000000000213</v>
      </c>
      <c r="L72" s="287"/>
      <c r="N72" s="287"/>
      <c r="P72" s="287"/>
      <c r="R72" s="287"/>
      <c r="S72" s="287"/>
      <c r="T72" s="287"/>
      <c r="U72" s="287"/>
      <c r="V72" s="287"/>
      <c r="W72" s="287"/>
      <c r="X72" s="287"/>
      <c r="Y72" s="287"/>
      <c r="Z72" s="287"/>
      <c r="AA72" s="287"/>
      <c r="AB72" s="264">
        <v>0</v>
      </c>
      <c r="AC72" s="264"/>
      <c r="AD72" s="523"/>
      <c r="AE72" s="264">
        <f t="shared" si="7"/>
        <v>21.2</v>
      </c>
      <c r="AF72" s="264"/>
      <c r="AG72" s="523"/>
      <c r="AH72" s="287">
        <f>'Exhibit G State'!AF72+'Exhibit G Federal'!AF43</f>
        <v>8.5</v>
      </c>
      <c r="AI72" s="1030"/>
      <c r="AJ72" s="264"/>
      <c r="AK72" s="264">
        <f t="shared" si="13"/>
        <v>12.7</v>
      </c>
      <c r="AL72" s="11"/>
      <c r="AM72" s="542">
        <f t="shared" ref="AM72:AM75" si="14">ROUND(IF(AH72=0,0,AK72/ABS(AH72)),3)</f>
        <v>1.494</v>
      </c>
      <c r="AN72" s="405"/>
    </row>
    <row r="73" spans="1:40" ht="15" customHeight="1">
      <c r="A73" s="291"/>
      <c r="B73" s="350" t="s">
        <v>1380</v>
      </c>
      <c r="C73" s="291"/>
      <c r="D73" s="287">
        <f>'Exhibit G State'!D73+'Exhibit G Federal'!D44</f>
        <v>-0.2</v>
      </c>
      <c r="E73" s="287"/>
      <c r="F73" s="287">
        <f>'Exhibit G State'!F73+'Exhibit G Federal'!F50</f>
        <v>0.4</v>
      </c>
      <c r="G73" s="287"/>
      <c r="H73" s="287">
        <f>'Exhibit G State'!H73+'Exhibit G Federal'!H44</f>
        <v>1</v>
      </c>
      <c r="J73" s="287">
        <f>'Exhibit G State'!J73+'Exhibit G Federal'!J44</f>
        <v>2.7</v>
      </c>
      <c r="L73" s="287"/>
      <c r="N73" s="287"/>
      <c r="P73" s="287"/>
      <c r="R73" s="287"/>
      <c r="S73" s="287"/>
      <c r="T73" s="287"/>
      <c r="U73" s="287"/>
      <c r="V73" s="287"/>
      <c r="W73" s="287"/>
      <c r="X73" s="287"/>
      <c r="Y73" s="287"/>
      <c r="Z73" s="287"/>
      <c r="AA73" s="287"/>
      <c r="AB73" s="264">
        <v>0</v>
      </c>
      <c r="AC73" s="264"/>
      <c r="AD73" s="523"/>
      <c r="AE73" s="264">
        <f t="shared" si="7"/>
        <v>3.9</v>
      </c>
      <c r="AF73" s="264"/>
      <c r="AG73" s="523"/>
      <c r="AH73" s="287">
        <f>'Exhibit G State'!AF73+'Exhibit G Federal'!AF44</f>
        <v>0.6</v>
      </c>
      <c r="AI73" s="1030"/>
      <c r="AJ73" s="264"/>
      <c r="AK73" s="264">
        <f t="shared" si="13"/>
        <v>3.3</v>
      </c>
      <c r="AL73" s="11"/>
      <c r="AM73" s="542">
        <f>ROUND(IF(AH73=0,1,AK73/ABS(AH73)),3)</f>
        <v>5.5</v>
      </c>
      <c r="AN73" s="405"/>
    </row>
    <row r="74" spans="1:40" ht="15" customHeight="1">
      <c r="A74" s="291"/>
      <c r="B74" s="350" t="s">
        <v>1381</v>
      </c>
      <c r="C74" s="291"/>
      <c r="D74" s="287">
        <f>'Exhibit G State'!D74+'Exhibit G Federal'!D45</f>
        <v>337</v>
      </c>
      <c r="E74" s="287"/>
      <c r="F74" s="287">
        <f>'Exhibit G State'!F74+'Exhibit G Federal'!F51</f>
        <v>291.89999999999998</v>
      </c>
      <c r="G74" s="287"/>
      <c r="H74" s="287">
        <f>'Exhibit G State'!H74+'Exhibit G Federal'!H45</f>
        <v>298.60000000000002</v>
      </c>
      <c r="J74" s="287">
        <f>'Exhibit G State'!J74+'Exhibit G Federal'!J45</f>
        <v>365.09999999999991</v>
      </c>
      <c r="L74" s="287"/>
      <c r="N74" s="287"/>
      <c r="P74" s="287"/>
      <c r="R74" s="287"/>
      <c r="S74" s="287"/>
      <c r="T74" s="287"/>
      <c r="U74" s="287"/>
      <c r="V74" s="287"/>
      <c r="W74" s="287"/>
      <c r="X74" s="287"/>
      <c r="Y74" s="287"/>
      <c r="Z74" s="287"/>
      <c r="AA74" s="287"/>
      <c r="AB74" s="264">
        <v>0</v>
      </c>
      <c r="AC74" s="264"/>
      <c r="AD74" s="523"/>
      <c r="AE74" s="264">
        <f t="shared" si="7"/>
        <v>1292.5999999999999</v>
      </c>
      <c r="AF74" s="264"/>
      <c r="AG74" s="523"/>
      <c r="AH74" s="287">
        <f>'Exhibit G State'!AF74+'Exhibit G Federal'!AF45</f>
        <v>1199.5999999999999</v>
      </c>
      <c r="AI74" s="1030"/>
      <c r="AJ74" s="264"/>
      <c r="AK74" s="264">
        <f t="shared" si="13"/>
        <v>93</v>
      </c>
      <c r="AL74" s="11"/>
      <c r="AM74" s="542">
        <f>ROUND(IF(AH74=0,0,AK74/ABS(AH74)),3)</f>
        <v>7.8E-2</v>
      </c>
      <c r="AN74" s="405"/>
    </row>
    <row r="75" spans="1:40" ht="15" customHeight="1">
      <c r="A75" s="291"/>
      <c r="B75" s="350" t="s">
        <v>503</v>
      </c>
      <c r="C75" s="291"/>
      <c r="D75" s="287">
        <f>'Exhibit G State'!D75+'Exhibit G Federal'!D46</f>
        <v>9.8000000000000007</v>
      </c>
      <c r="E75" s="287"/>
      <c r="F75" s="287">
        <f>'Exhibit G State'!F75+'Exhibit G Federal'!F46</f>
        <v>10.700000000000001</v>
      </c>
      <c r="G75" s="287"/>
      <c r="H75" s="287">
        <f>'Exhibit G State'!H75+'Exhibit G Federal'!H46</f>
        <v>11.799999999999995</v>
      </c>
      <c r="J75" s="287">
        <f>'Exhibit G State'!J75+'Exhibit G Federal'!J46</f>
        <v>12.799999999999999</v>
      </c>
      <c r="L75" s="287"/>
      <c r="N75" s="287"/>
      <c r="P75" s="287"/>
      <c r="R75" s="287"/>
      <c r="S75" s="287"/>
      <c r="T75" s="287"/>
      <c r="U75" s="287"/>
      <c r="V75" s="287"/>
      <c r="W75" s="287"/>
      <c r="X75" s="287"/>
      <c r="Y75" s="287"/>
      <c r="Z75" s="287"/>
      <c r="AA75" s="287"/>
      <c r="AB75" s="264">
        <v>0</v>
      </c>
      <c r="AC75" s="264"/>
      <c r="AD75" s="523"/>
      <c r="AE75" s="264">
        <f t="shared" si="7"/>
        <v>45.1</v>
      </c>
      <c r="AF75" s="264"/>
      <c r="AG75" s="523"/>
      <c r="AH75" s="287">
        <f>'Exhibit G State'!AF75+'Exhibit G Federal'!AF46</f>
        <v>50.5</v>
      </c>
      <c r="AI75" s="1030"/>
      <c r="AJ75" s="264"/>
      <c r="AK75" s="264">
        <f t="shared" si="13"/>
        <v>-5.4</v>
      </c>
      <c r="AL75" s="11"/>
      <c r="AM75" s="266">
        <f t="shared" si="14"/>
        <v>-0.107</v>
      </c>
      <c r="AN75" s="405"/>
    </row>
    <row r="76" spans="1:40" ht="15" customHeight="1">
      <c r="A76" s="291"/>
      <c r="B76" s="350" t="s">
        <v>1382</v>
      </c>
      <c r="C76" s="291"/>
      <c r="D76" s="287">
        <f>'Exhibit G State'!D76+'Exhibit G Federal'!D47</f>
        <v>21.8</v>
      </c>
      <c r="E76" s="287"/>
      <c r="F76" s="287">
        <f>'Exhibit G State'!F76+'Exhibit G Federal'!F53</f>
        <v>0.80000000000000071</v>
      </c>
      <c r="G76" s="287"/>
      <c r="H76" s="287">
        <f>'Exhibit G State'!H76+'Exhibit G Federal'!H47</f>
        <v>2.1999999999999993</v>
      </c>
      <c r="J76" s="287">
        <f>'Exhibit G State'!J76+'Exhibit G Federal'!J47</f>
        <v>65.7</v>
      </c>
      <c r="L76" s="287"/>
      <c r="N76" s="287"/>
      <c r="P76" s="287"/>
      <c r="R76" s="287"/>
      <c r="S76" s="287"/>
      <c r="T76" s="287"/>
      <c r="U76" s="287"/>
      <c r="V76" s="287"/>
      <c r="W76" s="287"/>
      <c r="X76" s="287"/>
      <c r="Y76" s="287"/>
      <c r="Z76" s="287"/>
      <c r="AA76" s="287"/>
      <c r="AB76" s="264">
        <v>0</v>
      </c>
      <c r="AC76" s="264"/>
      <c r="AD76" s="523"/>
      <c r="AE76" s="264">
        <f t="shared" si="7"/>
        <v>90.5</v>
      </c>
      <c r="AF76" s="264"/>
      <c r="AG76" s="523"/>
      <c r="AH76" s="287">
        <f>'Exhibit G State'!AF76+'Exhibit G Federal'!AF47</f>
        <v>20.3</v>
      </c>
      <c r="AI76" s="1030"/>
      <c r="AJ76" s="264"/>
      <c r="AK76" s="264">
        <f t="shared" si="13"/>
        <v>70.2</v>
      </c>
      <c r="AL76" s="11"/>
      <c r="AM76" s="542">
        <f>ROUND(IF(AH76=0,1,AK76/ABS(AH76)),3)</f>
        <v>3.4580000000000002</v>
      </c>
      <c r="AN76" s="405"/>
    </row>
    <row r="77" spans="1:40" ht="15" customHeight="1">
      <c r="A77" s="291"/>
      <c r="B77" s="350" t="s">
        <v>1409</v>
      </c>
      <c r="C77" s="291"/>
      <c r="D77" s="287">
        <f>'Exhibit G State'!D77+'Exhibit G Federal'!D48</f>
        <v>1</v>
      </c>
      <c r="E77" s="287"/>
      <c r="F77" s="287">
        <f>'Exhibit G State'!F77+'Exhibit G Federal'!F48</f>
        <v>1.1000000000000001</v>
      </c>
      <c r="G77" s="287"/>
      <c r="H77" s="287">
        <f>'Exhibit G State'!H77+'Exhibit G Federal'!H48</f>
        <v>1</v>
      </c>
      <c r="J77" s="287">
        <f>'Exhibit G State'!J77+'Exhibit G Federal'!J48</f>
        <v>0.99999999999999956</v>
      </c>
      <c r="L77" s="287"/>
      <c r="N77" s="287"/>
      <c r="P77" s="287"/>
      <c r="R77" s="287"/>
      <c r="S77" s="287"/>
      <c r="T77" s="287"/>
      <c r="U77" s="287"/>
      <c r="V77" s="287"/>
      <c r="W77" s="287"/>
      <c r="X77" s="287"/>
      <c r="Y77" s="287"/>
      <c r="Z77" s="287"/>
      <c r="AA77" s="287"/>
      <c r="AB77" s="264">
        <v>0</v>
      </c>
      <c r="AC77" s="264"/>
      <c r="AD77" s="523"/>
      <c r="AE77" s="264">
        <f t="shared" si="7"/>
        <v>4.0999999999999996</v>
      </c>
      <c r="AF77" s="264"/>
      <c r="AG77" s="523"/>
      <c r="AH77" s="287">
        <f>'Exhibit G State'!AF77+'Exhibit G Federal'!AF48</f>
        <v>4.9000000000000004</v>
      </c>
      <c r="AI77" s="1030"/>
      <c r="AJ77" s="264"/>
      <c r="AK77" s="264">
        <f t="shared" si="13"/>
        <v>-0.8</v>
      </c>
      <c r="AL77" s="11"/>
      <c r="AM77" s="266">
        <f>ROUND(IF(AH77=0,0,AK77/ABS(AH77)),3)</f>
        <v>-0.16300000000000001</v>
      </c>
      <c r="AN77" s="405"/>
    </row>
    <row r="78" spans="1:40" ht="15" customHeight="1">
      <c r="A78" s="291"/>
      <c r="B78" s="350" t="s">
        <v>505</v>
      </c>
      <c r="C78" s="291"/>
      <c r="D78" s="287">
        <f>'Exhibit G State'!D78+'Exhibit G Federal'!D49</f>
        <v>30.1</v>
      </c>
      <c r="E78" s="287"/>
      <c r="F78" s="287">
        <f>'Exhibit G State'!F78+'Exhibit G Federal'!F55</f>
        <v>80.5</v>
      </c>
      <c r="G78" s="287"/>
      <c r="H78" s="287">
        <f>'Exhibit G State'!H78+'Exhibit G Federal'!H49</f>
        <v>46.099999999999994</v>
      </c>
      <c r="J78" s="287">
        <f>'Exhibit G State'!J78+'Exhibit G Federal'!J49</f>
        <v>48.800000000000011</v>
      </c>
      <c r="L78" s="287"/>
      <c r="N78" s="287"/>
      <c r="P78" s="287"/>
      <c r="R78" s="287"/>
      <c r="S78" s="287"/>
      <c r="T78" s="287"/>
      <c r="U78" s="287"/>
      <c r="V78" s="287"/>
      <c r="W78" s="287"/>
      <c r="X78" s="287"/>
      <c r="Y78" s="287"/>
      <c r="Z78" s="287"/>
      <c r="AA78" s="287"/>
      <c r="AB78" s="264">
        <v>0</v>
      </c>
      <c r="AC78" s="264"/>
      <c r="AD78" s="523"/>
      <c r="AE78" s="264">
        <f t="shared" si="7"/>
        <v>205.5</v>
      </c>
      <c r="AF78" s="264"/>
      <c r="AG78" s="523"/>
      <c r="AH78" s="287">
        <f>'Exhibit G State'!AF78+'Exhibit G Federal'!AF49</f>
        <v>236.70000000000002</v>
      </c>
      <c r="AI78" s="1030"/>
      <c r="AJ78" s="264"/>
      <c r="AK78" s="264">
        <f t="shared" si="13"/>
        <v>-31.2</v>
      </c>
      <c r="AL78" s="11"/>
      <c r="AM78" s="542">
        <f>ROUND(IF(AH78=0,0,AK78/ABS(AH78)),3)</f>
        <v>-0.13200000000000001</v>
      </c>
      <c r="AN78" s="405"/>
    </row>
    <row r="79" spans="1:40" ht="15" customHeight="1">
      <c r="A79" s="291"/>
      <c r="B79" s="350" t="s">
        <v>424</v>
      </c>
      <c r="C79" s="291"/>
      <c r="D79" s="287">
        <f>'Exhibit G State'!D79+'Exhibit G Federal'!D50</f>
        <v>1.3</v>
      </c>
      <c r="E79" s="287"/>
      <c r="F79" s="287">
        <f>'Exhibit G State'!F79+'Exhibit G Federal'!F50</f>
        <v>1.3</v>
      </c>
      <c r="G79" s="287"/>
      <c r="H79" s="287">
        <f>'Exhibit G State'!H79+'Exhibit G Federal'!H50</f>
        <v>1.2999999999999996</v>
      </c>
      <c r="J79" s="287">
        <f>'Exhibit G State'!J79+'Exhibit G Federal'!J50</f>
        <v>3.4000000000000004</v>
      </c>
      <c r="L79" s="287"/>
      <c r="N79" s="287"/>
      <c r="P79" s="287"/>
      <c r="R79" s="287"/>
      <c r="S79" s="287"/>
      <c r="T79" s="287"/>
      <c r="U79" s="287"/>
      <c r="V79" s="287"/>
      <c r="W79" s="287"/>
      <c r="X79" s="287"/>
      <c r="Y79" s="287"/>
      <c r="Z79" s="287"/>
      <c r="AA79" s="287"/>
      <c r="AB79" s="264">
        <v>0</v>
      </c>
      <c r="AC79" s="264"/>
      <c r="AD79" s="523"/>
      <c r="AE79" s="264">
        <f t="shared" si="7"/>
        <v>7.3</v>
      </c>
      <c r="AF79" s="264"/>
      <c r="AG79" s="523"/>
      <c r="AH79" s="287">
        <f>'Exhibit G State'!AF79+'Exhibit G Federal'!AF50</f>
        <v>6.2</v>
      </c>
      <c r="AI79" s="1030"/>
      <c r="AJ79" s="264"/>
      <c r="AK79" s="264">
        <f t="shared" si="13"/>
        <v>1.1000000000000001</v>
      </c>
      <c r="AL79" s="11"/>
      <c r="AM79" s="266">
        <f>ROUND(IF(AH79=0,0,AK79/ABS(AH79)),3)</f>
        <v>0.17699999999999999</v>
      </c>
      <c r="AN79" s="405"/>
    </row>
    <row r="80" spans="1:40" ht="15" customHeight="1">
      <c r="A80" s="291"/>
      <c r="B80" s="350" t="s">
        <v>1383</v>
      </c>
      <c r="C80" s="291"/>
      <c r="D80" s="287">
        <f>'Exhibit G State'!D80+'Exhibit G Federal'!D51</f>
        <v>36.4</v>
      </c>
      <c r="E80" s="287"/>
      <c r="F80" s="287">
        <f>'Exhibit G State'!F80+'Exhibit G Federal'!F57</f>
        <v>41.000000000000007</v>
      </c>
      <c r="G80" s="287"/>
      <c r="H80" s="287">
        <f>'Exhibit G State'!H80+'Exhibit G Federal'!H51</f>
        <v>26.700000000000003</v>
      </c>
      <c r="J80" s="287">
        <f>'Exhibit G State'!J80+'Exhibit G Federal'!J51</f>
        <v>49.899999999999984</v>
      </c>
      <c r="L80" s="287"/>
      <c r="N80" s="287"/>
      <c r="P80" s="287"/>
      <c r="R80" s="287"/>
      <c r="S80" s="287"/>
      <c r="T80" s="287"/>
      <c r="U80" s="287"/>
      <c r="V80" s="287"/>
      <c r="W80" s="287"/>
      <c r="X80" s="287"/>
      <c r="Y80" s="287"/>
      <c r="Z80" s="287"/>
      <c r="AA80" s="287"/>
      <c r="AB80" s="264">
        <v>0</v>
      </c>
      <c r="AC80" s="264"/>
      <c r="AD80" s="523"/>
      <c r="AE80" s="264">
        <f t="shared" si="7"/>
        <v>154</v>
      </c>
      <c r="AF80" s="264"/>
      <c r="AG80" s="523"/>
      <c r="AH80" s="287">
        <f>'Exhibit G State'!AF80+'Exhibit G Federal'!AF51</f>
        <v>155.4</v>
      </c>
      <c r="AI80" s="1030"/>
      <c r="AJ80" s="264"/>
      <c r="AK80" s="264">
        <f t="shared" si="13"/>
        <v>-1.4</v>
      </c>
      <c r="AL80" s="11"/>
      <c r="AM80" s="266">
        <f>ROUND(IF(AH80=0,0,AK80/ABS(AH80)),3)</f>
        <v>-8.9999999999999993E-3</v>
      </c>
      <c r="AN80" s="405"/>
    </row>
    <row r="81" spans="1:40" s="57" customFormat="1" ht="15" customHeight="1">
      <c r="A81" s="3"/>
      <c r="B81" s="83" t="s">
        <v>506</v>
      </c>
      <c r="C81" s="3"/>
      <c r="D81" s="672">
        <f>ROUND(SUM(D42:D80),1)</f>
        <v>2104.1999999999998</v>
      </c>
      <c r="E81"/>
      <c r="F81" s="672">
        <f>ROUND(SUM(F42:F80),1)</f>
        <v>3016.7</v>
      </c>
      <c r="G81"/>
      <c r="H81" s="672">
        <f>ROUND(SUM(H42:H80),1)</f>
        <v>2008.5</v>
      </c>
      <c r="I81"/>
      <c r="J81" s="672">
        <f>ROUND(SUM(J42:J80),1)</f>
        <v>2797.4</v>
      </c>
      <c r="K81"/>
      <c r="L81" s="672">
        <f>ROUND(SUM(L42:L80),1)</f>
        <v>0</v>
      </c>
      <c r="M81"/>
      <c r="N81" s="672">
        <f>ROUND(SUM(N42:N80),1)</f>
        <v>0</v>
      </c>
      <c r="O81"/>
      <c r="P81" s="672">
        <f>ROUND(SUM(P42:P80),1)</f>
        <v>0</v>
      </c>
      <c r="Q81"/>
      <c r="R81" s="672">
        <f>ROUND(SUM(R42:R80),1)</f>
        <v>0</v>
      </c>
      <c r="S81"/>
      <c r="T81" s="672">
        <f>ROUND(SUM(T42:T80),1)</f>
        <v>0</v>
      </c>
      <c r="U81"/>
      <c r="V81" s="672">
        <f>ROUND(SUM(V42:V80),1)</f>
        <v>0</v>
      </c>
      <c r="W81"/>
      <c r="X81" s="672">
        <f>ROUND(SUM(X42:X80),1)</f>
        <v>0</v>
      </c>
      <c r="Y81"/>
      <c r="Z81" s="672">
        <f>ROUND(SUM(Z42:Z80),1)</f>
        <v>0</v>
      </c>
      <c r="AA81" s="13"/>
      <c r="AB81" s="672">
        <f>SUM(AB42:AB80)</f>
        <v>0</v>
      </c>
      <c r="AC81" s="13"/>
      <c r="AD81" s="14"/>
      <c r="AE81" s="672">
        <f>ROUND(SUM(AE42:AE80),1)</f>
        <v>9926.7999999999993</v>
      </c>
      <c r="AF81" s="13"/>
      <c r="AG81" s="14"/>
      <c r="AH81" s="672">
        <f>ROUND(SUM(AH42:AH80),1)</f>
        <v>7684.8</v>
      </c>
      <c r="AI81" s="75"/>
      <c r="AJ81" s="13"/>
      <c r="AK81" s="672">
        <f>ROUND(SUM(AK42:AK80),1)</f>
        <v>2242</v>
      </c>
      <c r="AL81" s="202"/>
      <c r="AM81" s="922">
        <f>ROUND(SUM(+AK81/AH81),3)</f>
        <v>0.29199999999999998</v>
      </c>
      <c r="AN81" s="405"/>
    </row>
    <row r="82" spans="1:40" ht="15" customHeight="1">
      <c r="A82" s="291"/>
      <c r="B82" s="350"/>
      <c r="C82" s="291"/>
      <c r="D82" s="11"/>
      <c r="F82" s="11"/>
      <c r="H82" s="11"/>
      <c r="J82" s="264"/>
      <c r="L82" s="264"/>
      <c r="N82" s="264"/>
      <c r="P82" s="264"/>
      <c r="R82" s="264"/>
      <c r="T82" s="264"/>
      <c r="V82" s="287"/>
      <c r="X82" s="287"/>
      <c r="Z82" s="287"/>
      <c r="AA82" s="11"/>
      <c r="AB82" s="264"/>
      <c r="AC82" s="1227"/>
      <c r="AD82" s="264"/>
      <c r="AE82" s="264"/>
      <c r="AF82" s="264"/>
      <c r="AG82" s="523"/>
      <c r="AH82" s="264"/>
      <c r="AI82" s="519"/>
      <c r="AJ82" s="264"/>
      <c r="AK82" s="264"/>
      <c r="AL82" s="11"/>
      <c r="AM82" s="283"/>
      <c r="AN82" s="405"/>
    </row>
    <row r="83" spans="1:40" ht="15" customHeight="1">
      <c r="A83" s="291"/>
      <c r="B83" s="1031" t="s">
        <v>507</v>
      </c>
      <c r="C83" s="291"/>
      <c r="D83" s="287">
        <f>'Exhibit G State'!D83+'Exhibit G Federal'!D54</f>
        <v>8995.3000000000011</v>
      </c>
      <c r="E83" s="287"/>
      <c r="F83" s="287">
        <f>'Exhibit G State'!F83+'Exhibit G Federal'!F54</f>
        <v>7002.1999999999989</v>
      </c>
      <c r="G83" s="287"/>
      <c r="H83" s="287">
        <f>'Exhibit G State'!H83+'Exhibit G Federal'!H54</f>
        <v>13528.3</v>
      </c>
      <c r="J83" s="287">
        <f>'Exhibit G State'!J83+'Exhibit G Federal'!J54</f>
        <v>8640.5</v>
      </c>
      <c r="L83" s="287"/>
      <c r="N83" s="287"/>
      <c r="P83" s="287"/>
      <c r="R83" s="287"/>
      <c r="S83" s="287"/>
      <c r="T83" s="287"/>
      <c r="U83" s="287"/>
      <c r="V83" s="287"/>
      <c r="W83" s="287"/>
      <c r="X83" s="287"/>
      <c r="Z83" s="287"/>
      <c r="AA83" s="287"/>
      <c r="AB83" s="382">
        <v>0</v>
      </c>
      <c r="AC83" s="1227"/>
      <c r="AD83" s="264"/>
      <c r="AE83" s="264">
        <f t="shared" si="7"/>
        <v>38166.300000000003</v>
      </c>
      <c r="AF83" s="264"/>
      <c r="AG83" s="523"/>
      <c r="AH83" s="287">
        <f>'Exhibit G State'!AF83+'Exhibit G Federal'!AF54</f>
        <v>33196.5</v>
      </c>
      <c r="AI83" s="519"/>
      <c r="AJ83" s="264"/>
      <c r="AK83" s="264">
        <f>ROUND(SUM(+AE83-AH83),1)</f>
        <v>4969.8</v>
      </c>
      <c r="AL83" s="11"/>
      <c r="AM83" s="266">
        <f>ROUND(IF(AH83=0,0,AK83/ABS(AH83)),3)</f>
        <v>0.15</v>
      </c>
      <c r="AN83" s="405"/>
    </row>
    <row r="84" spans="1:40" ht="15" customHeight="1">
      <c r="A84" s="291"/>
      <c r="B84" s="291"/>
      <c r="C84" s="291"/>
      <c r="D84" s="615"/>
      <c r="F84" s="615"/>
      <c r="H84" s="615"/>
      <c r="J84" s="615"/>
      <c r="L84" s="615"/>
      <c r="N84" s="615"/>
      <c r="P84" s="615"/>
      <c r="R84" s="615"/>
      <c r="T84" s="615"/>
      <c r="V84" s="615"/>
      <c r="X84" s="615"/>
      <c r="Z84" s="615"/>
      <c r="AA84" s="264"/>
      <c r="AB84" s="264"/>
      <c r="AC84" s="1227"/>
      <c r="AD84" s="264"/>
      <c r="AE84" s="615"/>
      <c r="AF84" s="264"/>
      <c r="AG84" s="523"/>
      <c r="AH84" s="615"/>
      <c r="AI84" s="519"/>
      <c r="AJ84" s="264"/>
      <c r="AK84" s="1032"/>
      <c r="AL84" s="364"/>
      <c r="AM84" s="1033"/>
      <c r="AN84" s="405"/>
    </row>
    <row r="85" spans="1:40" ht="15" customHeight="1">
      <c r="A85" s="291"/>
      <c r="B85" s="3" t="s">
        <v>427</v>
      </c>
      <c r="C85" s="291"/>
      <c r="D85" s="13">
        <f>ROUND(SUM(D83+D81+D38),1)</f>
        <v>11671.8</v>
      </c>
      <c r="F85" s="13">
        <f>ROUND(SUM(F83+F81+F38),1)</f>
        <v>10312.9</v>
      </c>
      <c r="H85" s="13">
        <f>ROUND(SUM(H83+H81+H38),1)</f>
        <v>16374.1</v>
      </c>
      <c r="J85" s="13">
        <f>ROUND(SUM(J83+J81+J38),1)</f>
        <v>11717.9</v>
      </c>
      <c r="L85" s="13">
        <f>ROUND(SUM(L83+L81+L38),1)</f>
        <v>0</v>
      </c>
      <c r="N85" s="13">
        <f>ROUND(SUM(N83+N81+N38),1)</f>
        <v>0</v>
      </c>
      <c r="P85" s="13">
        <f>ROUND(SUM(P83+P81+P38),1)</f>
        <v>0</v>
      </c>
      <c r="R85" s="13">
        <f>ROUND(SUM(R83+R81+R38),1)</f>
        <v>0</v>
      </c>
      <c r="T85" s="13">
        <f>ROUND(SUM(T83+T81+T38),1)</f>
        <v>0</v>
      </c>
      <c r="V85" s="13">
        <f>ROUND(SUM(V83+V81+V38),1)</f>
        <v>0</v>
      </c>
      <c r="X85" s="13">
        <f>ROUND(SUM(X83+X81+X38),1)</f>
        <v>0</v>
      </c>
      <c r="Z85" s="13">
        <f>ROUND(SUM(Z83+Z81+Z38),1)</f>
        <v>0</v>
      </c>
      <c r="AA85" s="13"/>
      <c r="AB85" s="357">
        <f>ROUND(SUM(AB83+AB81+AB38),1)</f>
        <v>0</v>
      </c>
      <c r="AC85" s="1229"/>
      <c r="AD85" s="13"/>
      <c r="AE85" s="13">
        <f>ROUND(SUM(AE83+AE81+AE38),1)</f>
        <v>50076.7</v>
      </c>
      <c r="AF85" s="13"/>
      <c r="AG85" s="14"/>
      <c r="AH85" s="13">
        <f>ROUND(SUM(AH83+AH81+AH38),1)</f>
        <v>42555.1</v>
      </c>
      <c r="AI85" s="75"/>
      <c r="AJ85" s="13"/>
      <c r="AK85" s="357">
        <f>ROUND(SUM(AK83+AK81+AK38),1)</f>
        <v>7521.6</v>
      </c>
      <c r="AL85" s="76"/>
      <c r="AM85" s="368">
        <f>ROUND(SUM(+AK85/AH85),3)</f>
        <v>0.17699999999999999</v>
      </c>
      <c r="AN85" s="405"/>
    </row>
    <row r="86" spans="1:40" ht="15" customHeight="1">
      <c r="A86" s="291"/>
      <c r="B86" s="291"/>
      <c r="C86" s="291"/>
      <c r="D86" s="615"/>
      <c r="F86" s="615"/>
      <c r="H86" s="615"/>
      <c r="J86" s="615"/>
      <c r="L86" s="615"/>
      <c r="N86" s="615"/>
      <c r="P86" s="615"/>
      <c r="R86" s="615"/>
      <c r="T86" s="615"/>
      <c r="V86" s="615"/>
      <c r="X86" s="615"/>
      <c r="Z86" s="615"/>
      <c r="AA86" s="264"/>
      <c r="AB86" s="264"/>
      <c r="AC86" s="264"/>
      <c r="AD86" s="523"/>
      <c r="AE86" s="615"/>
      <c r="AF86" s="264"/>
      <c r="AG86" s="523"/>
      <c r="AH86" s="615"/>
      <c r="AI86" s="519"/>
      <c r="AJ86" s="264"/>
      <c r="AK86" s="264"/>
      <c r="AL86" s="364"/>
      <c r="AM86" s="283"/>
      <c r="AN86" s="405"/>
    </row>
    <row r="87" spans="1:40" ht="15" customHeight="1">
      <c r="A87" s="291"/>
      <c r="B87" s="1211" t="s">
        <v>122</v>
      </c>
      <c r="C87" s="291"/>
      <c r="D87" s="264"/>
      <c r="F87" s="264"/>
      <c r="H87" s="264"/>
      <c r="J87" s="264"/>
      <c r="L87" s="264"/>
      <c r="N87" s="264"/>
      <c r="P87" s="264"/>
      <c r="R87" s="264"/>
      <c r="T87" s="264"/>
      <c r="V87" s="264"/>
      <c r="X87" s="264"/>
      <c r="Z87" s="264"/>
      <c r="AA87" s="264"/>
      <c r="AB87" s="264"/>
      <c r="AC87" s="264"/>
      <c r="AD87" s="523"/>
      <c r="AE87" s="264"/>
      <c r="AF87" s="1227"/>
      <c r="AG87" s="524"/>
      <c r="AH87" s="264"/>
      <c r="AI87" s="519"/>
      <c r="AJ87" s="264"/>
      <c r="AK87" s="264"/>
      <c r="AL87" s="364"/>
      <c r="AM87" s="283"/>
      <c r="AN87" s="405"/>
    </row>
    <row r="88" spans="1:40" ht="15" customHeight="1">
      <c r="A88" s="291"/>
      <c r="B88" s="291" t="s">
        <v>451</v>
      </c>
      <c r="C88" s="291"/>
      <c r="D88" s="11"/>
      <c r="F88" s="11"/>
      <c r="H88" s="11"/>
      <c r="J88" s="264"/>
      <c r="L88" s="264"/>
      <c r="N88" s="264"/>
      <c r="P88" s="264"/>
      <c r="R88" s="264"/>
      <c r="T88" s="264"/>
      <c r="V88" s="264"/>
      <c r="X88" s="264"/>
      <c r="Z88" s="287"/>
      <c r="AA88" s="11"/>
      <c r="AB88" s="264"/>
      <c r="AC88" s="264"/>
      <c r="AD88" s="523"/>
      <c r="AE88" s="264"/>
      <c r="AF88" s="264"/>
      <c r="AG88" s="523"/>
      <c r="AH88" s="264"/>
      <c r="AI88" s="519"/>
      <c r="AJ88" s="264"/>
      <c r="AK88" s="264"/>
      <c r="AL88" s="364"/>
      <c r="AM88" s="283"/>
      <c r="AN88" s="405"/>
    </row>
    <row r="89" spans="1:40" ht="15" customHeight="1">
      <c r="A89" s="291"/>
      <c r="B89" s="384" t="s">
        <v>124</v>
      </c>
      <c r="C89" s="291"/>
      <c r="D89" s="287">
        <f>'Exhibit G State'!D89+'Exhibit G Federal'!D60</f>
        <v>489.1</v>
      </c>
      <c r="E89" s="287"/>
      <c r="F89" s="287">
        <f>'Exhibit G State'!F89+'Exhibit G Federal'!F60</f>
        <v>361.39999999999992</v>
      </c>
      <c r="G89" s="287"/>
      <c r="H89" s="287">
        <f>'Exhibit G State'!H89+'Exhibit G Federal'!H60</f>
        <v>1050.7</v>
      </c>
      <c r="J89" s="287">
        <f>'Exhibit G State'!J89+'Exhibit G Federal'!J60</f>
        <v>428.9</v>
      </c>
      <c r="L89" s="287"/>
      <c r="N89" s="287"/>
      <c r="P89" s="287"/>
      <c r="R89" s="287"/>
      <c r="S89" s="287"/>
      <c r="T89" s="287"/>
      <c r="U89" s="287"/>
      <c r="V89" s="287"/>
      <c r="W89" s="287"/>
      <c r="X89" s="287"/>
      <c r="Y89" s="287"/>
      <c r="Z89" s="287"/>
      <c r="AA89" s="287"/>
      <c r="AB89" s="264">
        <v>0</v>
      </c>
      <c r="AC89" s="264"/>
      <c r="AD89" s="523"/>
      <c r="AE89" s="264">
        <f>ROUND(SUM(D89:Z89),1)</f>
        <v>2330.1</v>
      </c>
      <c r="AF89" s="264"/>
      <c r="AG89" s="523"/>
      <c r="AH89" s="287">
        <f>'Exhibit G State'!AF89+'Exhibit G Federal'!AF60</f>
        <v>2017.9</v>
      </c>
      <c r="AI89" s="519"/>
      <c r="AJ89" s="264"/>
      <c r="AK89" s="264">
        <f>ROUND(SUM(+AE89-AH89),1)</f>
        <v>312.2</v>
      </c>
      <c r="AL89" s="11"/>
      <c r="AM89" s="266">
        <f>ROUND(IF(AH89=0,0,AK89/ABS(AH89)),3)</f>
        <v>0.155</v>
      </c>
      <c r="AN89" s="405"/>
    </row>
    <row r="90" spans="1:40" ht="15" customHeight="1">
      <c r="A90" s="291"/>
      <c r="B90" s="384" t="s">
        <v>1385</v>
      </c>
      <c r="C90" s="291"/>
      <c r="D90" s="287">
        <f>'Exhibit G State'!D90+'Exhibit G Federal'!D61</f>
        <v>0.1</v>
      </c>
      <c r="E90" s="287"/>
      <c r="F90" s="287">
        <f>'Exhibit G State'!F90+'Exhibit G Federal'!F61</f>
        <v>0.2</v>
      </c>
      <c r="G90" s="287"/>
      <c r="H90" s="287">
        <f>'Exhibit G State'!H90+'Exhibit G Federal'!H61</f>
        <v>0.19999999999999998</v>
      </c>
      <c r="J90" s="287">
        <f>'Exhibit G State'!J90+'Exhibit G Federal'!J61</f>
        <v>2.2000000000000002</v>
      </c>
      <c r="L90" s="287"/>
      <c r="N90" s="287"/>
      <c r="P90" s="287"/>
      <c r="R90" s="287"/>
      <c r="S90" s="287"/>
      <c r="T90" s="287"/>
      <c r="U90" s="287"/>
      <c r="V90" s="287"/>
      <c r="W90" s="287"/>
      <c r="X90" s="287"/>
      <c r="Y90" s="287"/>
      <c r="Z90" s="287"/>
      <c r="AA90" s="287"/>
      <c r="AB90" s="264">
        <v>0</v>
      </c>
      <c r="AC90" s="264"/>
      <c r="AD90" s="523"/>
      <c r="AE90" s="264">
        <f>ROUND(SUM(D90:Z90),1)</f>
        <v>2.7</v>
      </c>
      <c r="AF90" s="264"/>
      <c r="AG90" s="523"/>
      <c r="AH90" s="287">
        <f>'Exhibit G State'!AF90+'Exhibit G Federal'!AF61</f>
        <v>2.4</v>
      </c>
      <c r="AI90" s="519"/>
      <c r="AJ90" s="264"/>
      <c r="AK90" s="264">
        <f>ROUND(SUM(+AE90-AH90),1)</f>
        <v>0.3</v>
      </c>
      <c r="AL90" s="11"/>
      <c r="AM90" s="542">
        <f>ROUND(IF(AH90=0,1,AK90/ABS(AH90)),3)</f>
        <v>0.125</v>
      </c>
      <c r="AN90" s="405"/>
    </row>
    <row r="91" spans="1:40" ht="15" customHeight="1">
      <c r="A91" s="291"/>
      <c r="B91" s="384" t="s">
        <v>1384</v>
      </c>
      <c r="C91" s="291"/>
      <c r="D91" s="287">
        <f>'Exhibit G State'!D91+'Exhibit G Federal'!D62</f>
        <v>20.2</v>
      </c>
      <c r="E91" s="287"/>
      <c r="F91" s="287">
        <f>'Exhibit G State'!F91+'Exhibit G Federal'!F62</f>
        <v>41.7</v>
      </c>
      <c r="G91" s="287"/>
      <c r="H91" s="287">
        <f>'Exhibit G State'!H91+'Exhibit G Federal'!H62</f>
        <v>45.5</v>
      </c>
      <c r="J91" s="287">
        <f>'Exhibit G State'!J91+'Exhibit G Federal'!J62</f>
        <v>33.6</v>
      </c>
      <c r="L91" s="287"/>
      <c r="N91" s="287"/>
      <c r="P91" s="287"/>
      <c r="R91" s="287"/>
      <c r="S91" s="287"/>
      <c r="T91" s="287"/>
      <c r="U91" s="287"/>
      <c r="V91" s="287"/>
      <c r="W91" s="287"/>
      <c r="X91" s="287"/>
      <c r="Y91" s="287"/>
      <c r="Z91" s="287"/>
      <c r="AA91" s="287"/>
      <c r="AB91" s="264">
        <v>0</v>
      </c>
      <c r="AC91" s="264"/>
      <c r="AD91" s="523"/>
      <c r="AE91" s="264">
        <f>ROUND(SUM(D91:Z91),1)</f>
        <v>141</v>
      </c>
      <c r="AF91" s="264"/>
      <c r="AG91" s="523"/>
      <c r="AH91" s="287">
        <f>'Exhibit G State'!AF91+'Exhibit G Federal'!AF62</f>
        <v>71.5</v>
      </c>
      <c r="AI91" s="519"/>
      <c r="AJ91" s="264"/>
      <c r="AK91" s="264">
        <f>ROUND(SUM(+AE91-AH91),1)</f>
        <v>69.5</v>
      </c>
      <c r="AL91" s="11"/>
      <c r="AM91" s="542">
        <f>ROUND(IF(AH91=0,0,AK91/ABS(AH91)),3)</f>
        <v>0.97199999999999998</v>
      </c>
      <c r="AN91" s="405"/>
    </row>
    <row r="92" spans="1:40" ht="15" customHeight="1">
      <c r="A92" s="291"/>
      <c r="B92" s="384" t="s">
        <v>127</v>
      </c>
      <c r="C92" s="291"/>
      <c r="D92" s="264"/>
      <c r="E92" s="264"/>
      <c r="F92" s="264"/>
      <c r="G92" s="264"/>
      <c r="H92" s="264"/>
      <c r="J92" s="287"/>
      <c r="L92" s="264"/>
      <c r="N92" s="264"/>
      <c r="P92" s="264"/>
      <c r="R92" s="264"/>
      <c r="S92" s="264"/>
      <c r="T92" s="287"/>
      <c r="U92" s="264"/>
      <c r="V92" s="264"/>
      <c r="W92" s="264"/>
      <c r="X92" s="287"/>
      <c r="Y92" s="264"/>
      <c r="Z92" s="264"/>
      <c r="AA92" s="264"/>
      <c r="AB92" s="264" t="s">
        <v>103</v>
      </c>
      <c r="AC92" s="264"/>
      <c r="AD92" s="523"/>
      <c r="AE92" s="264"/>
      <c r="AF92" s="264"/>
      <c r="AG92" s="523"/>
      <c r="AH92" s="264"/>
      <c r="AI92" s="519"/>
      <c r="AJ92" s="264"/>
      <c r="AK92" s="264" t="s">
        <v>103</v>
      </c>
      <c r="AL92" s="268" t="s">
        <v>103</v>
      </c>
      <c r="AM92" s="283" t="s">
        <v>103</v>
      </c>
      <c r="AN92" s="405"/>
    </row>
    <row r="93" spans="1:40" ht="15" customHeight="1">
      <c r="A93" s="291"/>
      <c r="B93" s="1023" t="s">
        <v>128</v>
      </c>
      <c r="C93" s="291"/>
      <c r="D93" s="287">
        <f>'Exhibit G State'!D93+'Exhibit G Federal'!D64</f>
        <v>5391.0999999999995</v>
      </c>
      <c r="E93" s="287"/>
      <c r="F93" s="287">
        <f>'Exhibit G State'!F93+'Exhibit G Federal'!F64</f>
        <v>5059.9999999999991</v>
      </c>
      <c r="G93" s="287"/>
      <c r="H93" s="287">
        <f>'Exhibit G State'!H93+'Exhibit G Federal'!H64</f>
        <v>5277.7000000000016</v>
      </c>
      <c r="J93" s="287">
        <f>'Exhibit G State'!J93+'Exhibit G Federal'!J64</f>
        <v>5964.2000000000016</v>
      </c>
      <c r="L93" s="287"/>
      <c r="N93" s="287"/>
      <c r="P93" s="287"/>
      <c r="R93" s="287"/>
      <c r="S93" s="287"/>
      <c r="T93" s="287"/>
      <c r="U93" s="287"/>
      <c r="V93" s="287"/>
      <c r="W93" s="287"/>
      <c r="X93" s="287"/>
      <c r="Y93" s="287"/>
      <c r="Z93" s="287"/>
      <c r="AA93" s="287"/>
      <c r="AB93" s="264">
        <v>0</v>
      </c>
      <c r="AC93" s="264"/>
      <c r="AD93" s="523"/>
      <c r="AE93" s="264">
        <f t="shared" ref="AE93:AE98" si="15">ROUND(SUM(D93:Z93),1)</f>
        <v>21693</v>
      </c>
      <c r="AF93" s="264"/>
      <c r="AG93" s="523"/>
      <c r="AH93" s="287">
        <f>'Exhibit G State'!AF93+'Exhibit G Federal'!AF64</f>
        <v>20749.399999999998</v>
      </c>
      <c r="AI93" s="519"/>
      <c r="AJ93" s="264"/>
      <c r="AK93" s="264">
        <f t="shared" ref="AK93:AK98" si="16">ROUND(SUM(+AE93-AH93),1)</f>
        <v>943.6</v>
      </c>
      <c r="AL93" s="11"/>
      <c r="AM93" s="266">
        <f>ROUND(IF(AH93=0,0,AK93/ABS(AH93)),3)</f>
        <v>4.4999999999999998E-2</v>
      </c>
      <c r="AN93" s="405"/>
    </row>
    <row r="94" spans="1:40" ht="15" customHeight="1">
      <c r="A94" s="291"/>
      <c r="B94" s="384" t="s">
        <v>129</v>
      </c>
      <c r="C94" s="291"/>
      <c r="D94" s="287">
        <f>'Exhibit G State'!D94+'Exhibit G Federal'!D65</f>
        <v>1385.6000000000001</v>
      </c>
      <c r="E94" s="287"/>
      <c r="F94" s="287">
        <f>'Exhibit G State'!F94+'Exhibit G Federal'!F65</f>
        <v>1396.7999999999997</v>
      </c>
      <c r="G94" s="287"/>
      <c r="H94" s="287">
        <f>'Exhibit G State'!H94+'Exhibit G Federal'!H65</f>
        <v>1932.2000000000003</v>
      </c>
      <c r="J94" s="287">
        <f>'Exhibit G State'!J94+'Exhibit G Federal'!J65</f>
        <v>1191.1999999999994</v>
      </c>
      <c r="L94" s="287"/>
      <c r="N94" s="287"/>
      <c r="P94" s="287"/>
      <c r="R94" s="287"/>
      <c r="S94" s="287"/>
      <c r="T94" s="287"/>
      <c r="U94" s="287"/>
      <c r="V94" s="287"/>
      <c r="W94" s="287"/>
      <c r="X94" s="287"/>
      <c r="Y94" s="287"/>
      <c r="Z94" s="287"/>
      <c r="AA94" s="287"/>
      <c r="AB94" s="264">
        <v>0</v>
      </c>
      <c r="AC94" s="264"/>
      <c r="AD94" s="523"/>
      <c r="AE94" s="264">
        <f t="shared" si="15"/>
        <v>5905.8</v>
      </c>
      <c r="AF94" s="264"/>
      <c r="AG94" s="523"/>
      <c r="AH94" s="287">
        <f>'Exhibit G State'!AF94+'Exhibit G Federal'!AF65</f>
        <v>6491.4</v>
      </c>
      <c r="AI94" s="519"/>
      <c r="AJ94" s="264"/>
      <c r="AK94" s="264">
        <f t="shared" si="16"/>
        <v>-585.6</v>
      </c>
      <c r="AL94" s="11"/>
      <c r="AM94" s="266">
        <f t="shared" ref="AM94:AM98" si="17">ROUND(IF(AH94=0,0,AK94/ABS(AH94)),3)</f>
        <v>-0.09</v>
      </c>
      <c r="AN94" s="405"/>
    </row>
    <row r="95" spans="1:40" ht="15" customHeight="1">
      <c r="A95" s="291"/>
      <c r="B95" s="384" t="s">
        <v>130</v>
      </c>
      <c r="C95" s="291"/>
      <c r="D95" s="287">
        <f>'Exhibit G State'!D95+'Exhibit G Federal'!D66</f>
        <v>383.5</v>
      </c>
      <c r="E95" s="287"/>
      <c r="F95" s="287">
        <f>'Exhibit G State'!F95+'Exhibit G Federal'!F66</f>
        <v>987.8</v>
      </c>
      <c r="G95" s="287"/>
      <c r="H95" s="287">
        <f>'Exhibit G State'!H95+'Exhibit G Federal'!H66</f>
        <v>504.79999999999995</v>
      </c>
      <c r="J95" s="287">
        <f>'Exhibit G State'!J95+'Exhibit G Federal'!J66</f>
        <v>418.4</v>
      </c>
      <c r="L95" s="287"/>
      <c r="N95" s="287"/>
      <c r="P95" s="287"/>
      <c r="R95" s="287"/>
      <c r="S95" s="287"/>
      <c r="T95" s="287"/>
      <c r="U95" s="287"/>
      <c r="V95" s="287"/>
      <c r="W95" s="287"/>
      <c r="X95" s="287"/>
      <c r="Y95" s="287"/>
      <c r="Z95" s="287"/>
      <c r="AA95" s="287"/>
      <c r="AB95" s="264">
        <v>0</v>
      </c>
      <c r="AC95" s="264"/>
      <c r="AD95" s="523"/>
      <c r="AE95" s="264">
        <f t="shared" si="15"/>
        <v>2294.5</v>
      </c>
      <c r="AF95" s="264"/>
      <c r="AG95" s="523"/>
      <c r="AH95" s="287">
        <f>'Exhibit G State'!AF95+'Exhibit G Federal'!AF66</f>
        <v>1743.6</v>
      </c>
      <c r="AI95" s="519"/>
      <c r="AJ95" s="264"/>
      <c r="AK95" s="264">
        <f t="shared" si="16"/>
        <v>550.9</v>
      </c>
      <c r="AL95" s="11"/>
      <c r="AM95" s="542">
        <f t="shared" si="17"/>
        <v>0.316</v>
      </c>
      <c r="AN95" s="405"/>
    </row>
    <row r="96" spans="1:40" ht="15" customHeight="1">
      <c r="A96" s="291"/>
      <c r="B96" s="384" t="s">
        <v>131</v>
      </c>
      <c r="C96" s="291"/>
      <c r="D96" s="287">
        <f>'Exhibit G State'!D96+'Exhibit G Federal'!D67</f>
        <v>399.1</v>
      </c>
      <c r="E96" s="287"/>
      <c r="F96" s="287">
        <f>'Exhibit G State'!F96+'Exhibit G Federal'!F67</f>
        <v>431.69999999999993</v>
      </c>
      <c r="G96" s="287"/>
      <c r="H96" s="287">
        <f>'Exhibit G State'!H96+'Exhibit G Federal'!H67</f>
        <v>896.59999999999991</v>
      </c>
      <c r="J96" s="287">
        <f>'Exhibit G State'!J96+'Exhibit G Federal'!J67</f>
        <v>493.7000000000001</v>
      </c>
      <c r="L96" s="287"/>
      <c r="N96" s="287"/>
      <c r="P96" s="287"/>
      <c r="R96" s="287"/>
      <c r="S96" s="287"/>
      <c r="T96" s="287"/>
      <c r="U96" s="287"/>
      <c r="V96" s="287"/>
      <c r="W96" s="287"/>
      <c r="X96" s="287"/>
      <c r="Y96" s="287"/>
      <c r="Z96" s="287"/>
      <c r="AA96" s="287"/>
      <c r="AB96" s="264">
        <v>0</v>
      </c>
      <c r="AC96" s="264"/>
      <c r="AD96" s="523"/>
      <c r="AE96" s="264">
        <f t="shared" si="15"/>
        <v>2221.1</v>
      </c>
      <c r="AF96" s="264"/>
      <c r="AG96" s="523"/>
      <c r="AH96" s="287">
        <f>'Exhibit G State'!AF96+'Exhibit G Federal'!AF67</f>
        <v>2325.3000000000002</v>
      </c>
      <c r="AI96" s="519"/>
      <c r="AJ96" s="264"/>
      <c r="AK96" s="264">
        <f t="shared" si="16"/>
        <v>-104.2</v>
      </c>
      <c r="AL96" s="11"/>
      <c r="AM96" s="266">
        <f t="shared" si="17"/>
        <v>-4.4999999999999998E-2</v>
      </c>
      <c r="AN96" s="405"/>
    </row>
    <row r="97" spans="1:40" ht="15" customHeight="1">
      <c r="A97" s="291"/>
      <c r="B97" s="384" t="s">
        <v>132</v>
      </c>
      <c r="C97" s="291"/>
      <c r="D97" s="287">
        <f>'Exhibit G State'!D97+'Exhibit G Federal'!D68</f>
        <v>0.2</v>
      </c>
      <c r="E97" s="287"/>
      <c r="F97" s="287">
        <f>'Exhibit G State'!F97+'Exhibit G Federal'!F68</f>
        <v>1.5</v>
      </c>
      <c r="G97" s="287"/>
      <c r="H97" s="287">
        <f>'Exhibit G State'!H97+'Exhibit G Federal'!H68</f>
        <v>1.9000000000000001</v>
      </c>
      <c r="J97" s="287">
        <f>'Exhibit G State'!J97+'Exhibit G Federal'!J68</f>
        <v>2.1999999999999993</v>
      </c>
      <c r="L97" s="287"/>
      <c r="N97" s="287"/>
      <c r="P97" s="287"/>
      <c r="R97" s="287"/>
      <c r="S97" s="287"/>
      <c r="T97" s="287"/>
      <c r="U97" s="287"/>
      <c r="V97" s="287"/>
      <c r="W97" s="287"/>
      <c r="X97" s="287"/>
      <c r="Y97" s="287"/>
      <c r="Z97" s="287"/>
      <c r="AA97" s="287"/>
      <c r="AB97" s="264">
        <v>0</v>
      </c>
      <c r="AC97" s="264"/>
      <c r="AD97" s="523"/>
      <c r="AE97" s="264">
        <f t="shared" si="15"/>
        <v>5.8</v>
      </c>
      <c r="AF97" s="264"/>
      <c r="AG97" s="523"/>
      <c r="AH97" s="287">
        <f>'Exhibit G State'!AF97+'Exhibit G Federal'!AF68</f>
        <v>183.20000000000002</v>
      </c>
      <c r="AI97" s="519"/>
      <c r="AJ97" s="264"/>
      <c r="AK97" s="264">
        <f t="shared" si="16"/>
        <v>-177.4</v>
      </c>
      <c r="AL97" s="11"/>
      <c r="AM97" s="542">
        <f>ROUND(IF(AH97=0,0,AK97/ABS(AH97)),3)</f>
        <v>-0.96799999999999997</v>
      </c>
      <c r="AN97" s="405"/>
    </row>
    <row r="98" spans="1:40" ht="15" customHeight="1">
      <c r="A98" s="291"/>
      <c r="B98" s="384" t="s">
        <v>133</v>
      </c>
      <c r="C98" s="291"/>
      <c r="D98" s="287">
        <f>'Exhibit G State'!D98+'Exhibit G Federal'!D69</f>
        <v>88.7</v>
      </c>
      <c r="E98" s="287"/>
      <c r="F98" s="287">
        <f>'Exhibit G State'!F98+'Exhibit G Federal'!F69</f>
        <v>641</v>
      </c>
      <c r="G98" s="287"/>
      <c r="H98" s="287">
        <f>'Exhibit G State'!H98+'Exhibit G Federal'!H69</f>
        <v>433.8</v>
      </c>
      <c r="J98" s="287">
        <f>'Exhibit G State'!J98+'Exhibit G Federal'!J69</f>
        <v>416.40000000000015</v>
      </c>
      <c r="L98" s="287"/>
      <c r="N98" s="287"/>
      <c r="P98" s="287"/>
      <c r="R98" s="287"/>
      <c r="S98" s="287"/>
      <c r="T98" s="287"/>
      <c r="U98" s="287"/>
      <c r="V98" s="287"/>
      <c r="W98" s="287"/>
      <c r="X98" s="287"/>
      <c r="Y98" s="287"/>
      <c r="Z98" s="287"/>
      <c r="AA98" s="287"/>
      <c r="AB98" s="264">
        <v>0</v>
      </c>
      <c r="AC98" s="264"/>
      <c r="AD98" s="523"/>
      <c r="AE98" s="264">
        <f t="shared" si="15"/>
        <v>1579.9</v>
      </c>
      <c r="AF98" s="264"/>
      <c r="AG98" s="523"/>
      <c r="AH98" s="287">
        <f>'Exhibit G State'!AF98+'Exhibit G Federal'!AF69</f>
        <v>1735.1000000000001</v>
      </c>
      <c r="AI98" s="519"/>
      <c r="AJ98" s="264"/>
      <c r="AK98" s="264">
        <f t="shared" si="16"/>
        <v>-155.19999999999999</v>
      </c>
      <c r="AL98" s="11"/>
      <c r="AM98" s="533">
        <f t="shared" si="17"/>
        <v>-8.8999999999999996E-2</v>
      </c>
      <c r="AN98" s="405"/>
    </row>
    <row r="99" spans="1:40" ht="15" customHeight="1">
      <c r="A99" s="291"/>
      <c r="B99" s="3" t="s">
        <v>508</v>
      </c>
      <c r="C99" s="291"/>
      <c r="D99" s="672">
        <f>ROUND(SUM(D89:D98),1)</f>
        <v>8157.6</v>
      </c>
      <c r="F99" s="672">
        <f>ROUND(SUM(F89:F98),1)</f>
        <v>8922.1</v>
      </c>
      <c r="H99" s="672">
        <f>ROUND(SUM(H89:H98),1)</f>
        <v>10143.4</v>
      </c>
      <c r="J99" s="672">
        <f>ROUND(SUM(J89:J98),1)</f>
        <v>8950.7999999999993</v>
      </c>
      <c r="L99" s="672">
        <f>ROUND(SUM(L89:L98),1)</f>
        <v>0</v>
      </c>
      <c r="N99" s="672">
        <f>ROUND(SUM(N89:N98),1)</f>
        <v>0</v>
      </c>
      <c r="P99" s="672">
        <f>ROUND(SUM(P89:P98),1)</f>
        <v>0</v>
      </c>
      <c r="R99" s="672">
        <f>ROUND(SUM(R89:R98),1)</f>
        <v>0</v>
      </c>
      <c r="T99" s="672">
        <f>ROUND(SUM(T89:T98),1)</f>
        <v>0</v>
      </c>
      <c r="V99" s="672">
        <f>ROUND(SUM(V89:V98),1)</f>
        <v>0</v>
      </c>
      <c r="X99" s="672">
        <f>ROUND(SUM(X89:X98),1)</f>
        <v>0</v>
      </c>
      <c r="Z99" s="672">
        <f>ROUND(SUM(Z89:Z98),1)</f>
        <v>0</v>
      </c>
      <c r="AA99" s="13"/>
      <c r="AB99" s="672">
        <f>ROUND(SUM(AB89:AB98),1)</f>
        <v>0</v>
      </c>
      <c r="AC99" s="13"/>
      <c r="AD99" s="14"/>
      <c r="AE99" s="672">
        <f>ROUND(SUM(AE89:AE98),1)</f>
        <v>36173.9</v>
      </c>
      <c r="AF99" s="13"/>
      <c r="AG99" s="14"/>
      <c r="AH99" s="672">
        <f>ROUND(SUM(AH89:AH98),1)</f>
        <v>35319.800000000003</v>
      </c>
      <c r="AI99" s="75"/>
      <c r="AJ99" s="13"/>
      <c r="AK99" s="672">
        <f>ROUND(SUM(AK89:AK98),1)</f>
        <v>854.1</v>
      </c>
      <c r="AL99" s="40"/>
      <c r="AM99" s="368">
        <f>ROUND(SUM(+AK99/AH99),3)</f>
        <v>2.4E-2</v>
      </c>
      <c r="AN99" s="405"/>
    </row>
    <row r="100" spans="1:40" ht="15" customHeight="1">
      <c r="A100" s="291"/>
      <c r="B100" s="291" t="s">
        <v>509</v>
      </c>
      <c r="C100" s="291"/>
      <c r="D100" s="264"/>
      <c r="F100" s="264"/>
      <c r="H100" s="264"/>
      <c r="J100" s="264"/>
      <c r="L100" s="264"/>
      <c r="N100" s="264"/>
      <c r="P100" s="264"/>
      <c r="R100" s="264"/>
      <c r="T100" s="264"/>
      <c r="V100" s="264"/>
      <c r="X100" s="264"/>
      <c r="Z100" s="264"/>
      <c r="AA100" s="264"/>
      <c r="AB100" s="264"/>
      <c r="AC100" s="264"/>
      <c r="AD100" s="523"/>
      <c r="AE100" s="264"/>
      <c r="AF100" s="264"/>
      <c r="AG100" s="523"/>
      <c r="AH100" s="264"/>
      <c r="AI100" s="519"/>
      <c r="AJ100" s="264"/>
      <c r="AK100" s="264"/>
      <c r="AL100" s="364"/>
      <c r="AM100" s="283"/>
      <c r="AN100" s="405"/>
    </row>
    <row r="101" spans="1:40" ht="15" customHeight="1">
      <c r="A101" s="291"/>
      <c r="B101" s="291" t="s">
        <v>454</v>
      </c>
      <c r="C101" s="291"/>
      <c r="D101" s="287">
        <f>'Exhibit G State'!D101+'Exhibit G Federal'!D72</f>
        <v>622.69999999999993</v>
      </c>
      <c r="E101" s="287"/>
      <c r="F101" s="287">
        <f>'Exhibit G State'!F101+'Exhibit G Federal'!F72</f>
        <v>575.4</v>
      </c>
      <c r="G101" s="287"/>
      <c r="H101" s="287">
        <f>'Exhibit G State'!H101+'Exhibit G Federal'!H72</f>
        <v>535.29999999999995</v>
      </c>
      <c r="J101" s="287">
        <f>'Exhibit G State'!J101+'Exhibit G Federal'!J72</f>
        <v>839.50000000000023</v>
      </c>
      <c r="L101" s="287"/>
      <c r="N101" s="287"/>
      <c r="P101" s="287"/>
      <c r="R101" s="287"/>
      <c r="S101" s="287"/>
      <c r="T101" s="287"/>
      <c r="U101" s="287"/>
      <c r="V101" s="287"/>
      <c r="W101" s="287"/>
      <c r="X101" s="287"/>
      <c r="Y101" s="287"/>
      <c r="Z101" s="287"/>
      <c r="AA101" s="287"/>
      <c r="AB101" s="264">
        <v>0</v>
      </c>
      <c r="AC101" s="264"/>
      <c r="AD101" s="523"/>
      <c r="AE101" s="264">
        <f>ROUND(SUM(D101:Z101),1)</f>
        <v>2572.9</v>
      </c>
      <c r="AF101" s="264"/>
      <c r="AG101" s="523"/>
      <c r="AH101" s="287">
        <f>'Exhibit G State'!AF101+'Exhibit G Federal'!AF72</f>
        <v>2582.4</v>
      </c>
      <c r="AI101" s="519"/>
      <c r="AJ101" s="264"/>
      <c r="AK101" s="264">
        <f>ROUND(SUM(+AE101-AH101),1)</f>
        <v>-9.5</v>
      </c>
      <c r="AL101" s="11"/>
      <c r="AM101" s="266">
        <f>ROUND(IF(AH101=0,0,AK101/ABS(AH101)),3)</f>
        <v>-4.0000000000000001E-3</v>
      </c>
      <c r="AN101" s="405"/>
    </row>
    <row r="102" spans="1:40" ht="15" customHeight="1">
      <c r="A102" s="291"/>
      <c r="B102" s="291" t="s">
        <v>510</v>
      </c>
      <c r="C102" s="291"/>
      <c r="D102" s="287">
        <f>'Exhibit G State'!D102+'Exhibit G Federal'!D73</f>
        <v>398.4</v>
      </c>
      <c r="E102" s="287"/>
      <c r="F102" s="287">
        <f>'Exhibit G State'!F102+'Exhibit G Federal'!F73</f>
        <v>356.9</v>
      </c>
      <c r="G102" s="287"/>
      <c r="H102" s="287">
        <f>'Exhibit G State'!H102+'Exhibit G Federal'!H73</f>
        <v>630.9</v>
      </c>
      <c r="J102" s="287">
        <f>'Exhibit G State'!J102+'Exhibit G Federal'!J73</f>
        <v>464.09999999999997</v>
      </c>
      <c r="L102" s="287"/>
      <c r="N102" s="287"/>
      <c r="P102" s="287"/>
      <c r="R102" s="287"/>
      <c r="S102" s="287"/>
      <c r="T102" s="287"/>
      <c r="U102" s="287"/>
      <c r="V102" s="287"/>
      <c r="W102" s="287"/>
      <c r="X102" s="287"/>
      <c r="Y102" s="287"/>
      <c r="Z102" s="287"/>
      <c r="AA102" s="287"/>
      <c r="AB102" s="264">
        <v>0</v>
      </c>
      <c r="AC102" s="264"/>
      <c r="AD102" s="523"/>
      <c r="AE102" s="264">
        <f>ROUND(SUM(D102:Z102),1)</f>
        <v>1850.3</v>
      </c>
      <c r="AF102" s="264"/>
      <c r="AG102" s="523"/>
      <c r="AH102" s="287">
        <f>'Exhibit G State'!AF102+'Exhibit G Federal'!AF73</f>
        <v>1709.8999999999999</v>
      </c>
      <c r="AI102" s="519"/>
      <c r="AJ102" s="264"/>
      <c r="AK102" s="264">
        <f>ROUND(SUM(+AE102-AH102),1)</f>
        <v>140.4</v>
      </c>
      <c r="AL102" s="11"/>
      <c r="AM102" s="266">
        <f>ROUND(IF(AH102=0,0,AK102/ABS(AH102)),3)</f>
        <v>8.2000000000000003E-2</v>
      </c>
      <c r="AN102" s="405"/>
    </row>
    <row r="103" spans="1:40" ht="15" customHeight="1">
      <c r="A103" s="291"/>
      <c r="B103" s="291" t="s">
        <v>511</v>
      </c>
      <c r="C103" s="291"/>
      <c r="D103" s="287">
        <f>'Exhibit G State'!D103+'Exhibit G Federal'!D74</f>
        <v>34.5</v>
      </c>
      <c r="E103" s="287"/>
      <c r="F103" s="287">
        <f>'Exhibit G State'!F103+'Exhibit G Federal'!F74</f>
        <v>36.099999999999994</v>
      </c>
      <c r="G103" s="287"/>
      <c r="H103" s="287">
        <f>'Exhibit G State'!H103+'Exhibit G Federal'!H74</f>
        <v>345.7</v>
      </c>
      <c r="J103" s="287">
        <f>'Exhibit G State'!J103+'Exhibit G Federal'!J74</f>
        <v>224.40000000000003</v>
      </c>
      <c r="L103" s="287"/>
      <c r="N103" s="287"/>
      <c r="P103" s="287"/>
      <c r="R103" s="287"/>
      <c r="S103" s="287"/>
      <c r="T103" s="287"/>
      <c r="U103" s="287"/>
      <c r="V103" s="287"/>
      <c r="W103" s="287"/>
      <c r="X103" s="287"/>
      <c r="Y103" s="287"/>
      <c r="Z103" s="287"/>
      <c r="AA103" s="287"/>
      <c r="AB103" s="264">
        <v>0</v>
      </c>
      <c r="AC103" s="264"/>
      <c r="AD103" s="523"/>
      <c r="AE103" s="264">
        <f>ROUND(SUM(D103:Z103),1)</f>
        <v>640.70000000000005</v>
      </c>
      <c r="AF103" s="264"/>
      <c r="AG103" s="523"/>
      <c r="AH103" s="287">
        <f>'Exhibit G State'!AF103+'Exhibit G Federal'!AF74</f>
        <v>526.9</v>
      </c>
      <c r="AI103" s="519"/>
      <c r="AJ103" s="264"/>
      <c r="AK103" s="264">
        <f>ROUND(SUM(+AE103-AH103),1)</f>
        <v>113.8</v>
      </c>
      <c r="AL103" s="11"/>
      <c r="AM103" s="266">
        <f>ROUND(IF(AH103=0,0,AK103/ABS(AH103)),3)</f>
        <v>0.216</v>
      </c>
      <c r="AN103" s="405"/>
    </row>
    <row r="104" spans="1:40" ht="15" customHeight="1">
      <c r="A104" s="291"/>
      <c r="B104" s="62" t="s">
        <v>1386</v>
      </c>
      <c r="C104" s="291"/>
      <c r="D104" s="287"/>
      <c r="E104" s="287"/>
      <c r="F104" s="287"/>
      <c r="G104" s="287"/>
      <c r="H104" s="287"/>
      <c r="J104" s="287"/>
      <c r="L104" s="287"/>
      <c r="N104" s="287"/>
      <c r="P104" s="287"/>
      <c r="R104" s="287"/>
      <c r="S104" s="287"/>
      <c r="T104" s="287"/>
      <c r="U104" s="287"/>
      <c r="V104" s="287"/>
      <c r="W104" s="287"/>
      <c r="X104" s="287"/>
      <c r="Y104" s="287"/>
      <c r="Z104" s="287"/>
      <c r="AA104" s="287"/>
      <c r="AB104" s="264"/>
      <c r="AC104" s="264"/>
      <c r="AD104" s="523"/>
      <c r="AE104" s="264"/>
      <c r="AF104" s="264"/>
      <c r="AG104" s="523"/>
      <c r="AH104" s="287"/>
      <c r="AI104" s="519"/>
      <c r="AJ104" s="264"/>
      <c r="AK104" s="264"/>
      <c r="AL104" s="11"/>
      <c r="AM104" s="266"/>
      <c r="AN104" s="405"/>
    </row>
    <row r="105" spans="1:40" ht="15" customHeight="1">
      <c r="A105" s="291"/>
      <c r="B105" s="62" t="s">
        <v>1425</v>
      </c>
      <c r="C105" s="291"/>
      <c r="D105" s="287">
        <f>'Exhibit G Federal'!D76</f>
        <v>0</v>
      </c>
      <c r="E105" s="287"/>
      <c r="F105" s="287">
        <f>'Exhibit G Federal'!F76</f>
        <v>0</v>
      </c>
      <c r="G105" s="287"/>
      <c r="H105" s="287">
        <f>'Exhibit G Federal'!H76</f>
        <v>0</v>
      </c>
      <c r="J105" s="287">
        <f>'Exhibit G Federal'!J76</f>
        <v>0</v>
      </c>
      <c r="L105" s="287"/>
      <c r="N105" s="287"/>
      <c r="P105" s="287"/>
      <c r="R105" s="287"/>
      <c r="S105" s="287"/>
      <c r="T105" s="287"/>
      <c r="U105" s="287"/>
      <c r="V105" s="287"/>
      <c r="W105" s="287"/>
      <c r="X105" s="287"/>
      <c r="Y105" s="287"/>
      <c r="Z105" s="287"/>
      <c r="AA105" s="287"/>
      <c r="AB105" s="264">
        <v>0</v>
      </c>
      <c r="AC105" s="264"/>
      <c r="AD105" s="523"/>
      <c r="AE105" s="264">
        <f>ROUND(SUM(D105:Z105),1)</f>
        <v>0</v>
      </c>
      <c r="AF105" s="264"/>
      <c r="AG105" s="523"/>
      <c r="AH105" s="287">
        <f>'Exhibit G Federal'!AF76</f>
        <v>0</v>
      </c>
      <c r="AI105" s="519"/>
      <c r="AJ105" s="264"/>
      <c r="AK105" s="264">
        <f>ROUND(SUM(+AE105-AH105),1)</f>
        <v>0</v>
      </c>
      <c r="AL105" s="11"/>
      <c r="AM105" s="266">
        <f>ROUND(IF(AH105=0,0,AK105/ABS(AH105)),3)</f>
        <v>0</v>
      </c>
      <c r="AN105" s="405"/>
    </row>
    <row r="106" spans="1:40" ht="15" customHeight="1">
      <c r="A106" s="291"/>
      <c r="B106" s="291" t="s">
        <v>513</v>
      </c>
      <c r="C106" s="291"/>
      <c r="D106" s="287">
        <f>'Exhibit G State'!D104+'Exhibit G Federal'!D77</f>
        <v>0</v>
      </c>
      <c r="E106" s="287"/>
      <c r="F106" s="287">
        <f>'Exhibit G State'!F104+'Exhibit G Federal'!F77</f>
        <v>0</v>
      </c>
      <c r="G106" s="287"/>
      <c r="H106" s="287">
        <f>'Exhibit G State'!H104+'Exhibit G Federal'!H77</f>
        <v>0</v>
      </c>
      <c r="J106" s="287">
        <f>'Exhibit G State'!J104+'Exhibit G Federal'!J77</f>
        <v>0</v>
      </c>
      <c r="L106" s="287"/>
      <c r="N106" s="287"/>
      <c r="P106" s="287"/>
      <c r="R106" s="287"/>
      <c r="S106" s="287"/>
      <c r="T106" s="287"/>
      <c r="U106" s="287"/>
      <c r="V106" s="287"/>
      <c r="W106" s="287"/>
      <c r="X106" s="287"/>
      <c r="Y106" s="287"/>
      <c r="Z106" s="287"/>
      <c r="AA106" s="287"/>
      <c r="AB106" s="382">
        <v>0</v>
      </c>
      <c r="AC106" s="1526"/>
      <c r="AD106" s="523"/>
      <c r="AE106" s="264">
        <f>ROUND(SUM(D106:Z106),1)</f>
        <v>0</v>
      </c>
      <c r="AF106" s="264"/>
      <c r="AG106" s="523"/>
      <c r="AH106" s="287">
        <f>'Exhibit G State'!AF104+'Exhibit G Federal'!AF77</f>
        <v>0</v>
      </c>
      <c r="AI106" s="519"/>
      <c r="AJ106" s="264"/>
      <c r="AK106" s="264">
        <f>ROUND(SUM(+AE106-AH106),1)</f>
        <v>0</v>
      </c>
      <c r="AL106" s="11"/>
      <c r="AM106" s="266">
        <f>ROUND(IF(AH106=0,0,AK106/ABS(AH106)),3)</f>
        <v>0</v>
      </c>
      <c r="AN106" s="405"/>
    </row>
    <row r="107" spans="1:40" ht="15" customHeight="1">
      <c r="A107" s="291"/>
      <c r="B107" s="291"/>
      <c r="C107" s="291"/>
      <c r="D107" s="615"/>
      <c r="F107" s="615"/>
      <c r="H107" s="615"/>
      <c r="J107" s="615"/>
      <c r="L107" s="615"/>
      <c r="N107" s="615"/>
      <c r="P107" s="615"/>
      <c r="R107" s="615"/>
      <c r="T107" s="615"/>
      <c r="V107" s="615"/>
      <c r="X107" s="615"/>
      <c r="Z107" s="615"/>
      <c r="AA107" s="264"/>
      <c r="AB107" s="264"/>
      <c r="AC107" s="1526"/>
      <c r="AD107" s="523"/>
      <c r="AE107" s="615"/>
      <c r="AF107" s="264"/>
      <c r="AG107" s="523"/>
      <c r="AH107" s="615"/>
      <c r="AI107" s="519"/>
      <c r="AJ107" s="264"/>
      <c r="AK107" s="1032"/>
      <c r="AL107" s="364"/>
      <c r="AM107" s="1033"/>
      <c r="AN107" s="405"/>
    </row>
    <row r="108" spans="1:40" ht="15" customHeight="1">
      <c r="A108" s="291"/>
      <c r="B108" s="3" t="s">
        <v>457</v>
      </c>
      <c r="C108" s="291"/>
      <c r="D108" s="13">
        <f>ROUND(SUM(D99:D106),1)</f>
        <v>9213.2000000000007</v>
      </c>
      <c r="F108" s="13">
        <f>ROUND(SUM(F99:F106),1)</f>
        <v>9890.5</v>
      </c>
      <c r="H108" s="13">
        <f>ROUND(SUM(H99:H106),1)</f>
        <v>11655.3</v>
      </c>
      <c r="J108" s="13">
        <f>ROUND(SUM(J99:J106),1)</f>
        <v>10478.799999999999</v>
      </c>
      <c r="L108" s="13">
        <f>ROUND(SUM(L99:L106),1)</f>
        <v>0</v>
      </c>
      <c r="N108" s="13">
        <f>ROUND(SUM(N99:N106),1)</f>
        <v>0</v>
      </c>
      <c r="P108" s="13">
        <f>ROUND(SUM(P99:P106),1)</f>
        <v>0</v>
      </c>
      <c r="R108" s="13">
        <f>ROUND(SUM(R99:R106),1)</f>
        <v>0</v>
      </c>
      <c r="T108" s="13">
        <f>ROUND(SUM(T99:T106),1)</f>
        <v>0</v>
      </c>
      <c r="V108" s="13">
        <f>ROUND(SUM(V99:V106),1)</f>
        <v>0</v>
      </c>
      <c r="X108" s="13">
        <f>ROUND(SUM(X99:X106),1)</f>
        <v>0</v>
      </c>
      <c r="Z108" s="13">
        <f>ROUND(SUM(Z99:Z106),1)</f>
        <v>0</v>
      </c>
      <c r="AA108" s="13"/>
      <c r="AB108" s="357">
        <v>0</v>
      </c>
      <c r="AC108" s="1527"/>
      <c r="AD108" s="14"/>
      <c r="AE108" s="13">
        <f>ROUND(SUM(AE99:AE106),1)</f>
        <v>41237.800000000003</v>
      </c>
      <c r="AF108" s="13"/>
      <c r="AG108" s="14"/>
      <c r="AH108" s="13">
        <f>ROUND(SUM(AH99:AH106),1)</f>
        <v>40139</v>
      </c>
      <c r="AI108" s="75"/>
      <c r="AJ108" s="13"/>
      <c r="AK108" s="357">
        <f>ROUND(SUM(AK99:AK106),1)</f>
        <v>1098.8</v>
      </c>
      <c r="AL108" s="57"/>
      <c r="AM108" s="368">
        <f>ROUND(SUM(+AK108/AH108),3)</f>
        <v>2.7E-2</v>
      </c>
      <c r="AN108" s="405"/>
    </row>
    <row r="109" spans="1:40" ht="15" customHeight="1">
      <c r="A109" s="291"/>
      <c r="B109" s="291"/>
      <c r="C109" s="291"/>
      <c r="D109" s="615"/>
      <c r="F109" s="615"/>
      <c r="H109" s="615"/>
      <c r="J109" s="615"/>
      <c r="L109" s="615"/>
      <c r="N109" s="615"/>
      <c r="P109" s="615"/>
      <c r="R109" s="615"/>
      <c r="T109" s="615"/>
      <c r="V109" s="615"/>
      <c r="X109" s="615"/>
      <c r="Z109" s="615"/>
      <c r="AA109" s="264"/>
      <c r="AB109" s="264"/>
      <c r="AC109" s="1526"/>
      <c r="AD109" s="523"/>
      <c r="AE109" s="615"/>
      <c r="AF109" s="264"/>
      <c r="AG109" s="523"/>
      <c r="AH109" s="615"/>
      <c r="AI109" s="519"/>
      <c r="AJ109" s="264"/>
      <c r="AK109" s="264"/>
      <c r="AL109" s="364"/>
      <c r="AM109" s="283"/>
      <c r="AN109" s="405"/>
    </row>
    <row r="110" spans="1:40" ht="15" customHeight="1">
      <c r="A110" s="291"/>
      <c r="B110" s="3" t="s">
        <v>458</v>
      </c>
      <c r="C110" s="291"/>
      <c r="D110" s="264"/>
      <c r="F110" s="264"/>
      <c r="H110" s="264"/>
      <c r="J110" s="264"/>
      <c r="L110" s="264"/>
      <c r="N110" s="264"/>
      <c r="P110" s="264"/>
      <c r="R110" s="264"/>
      <c r="T110" s="264"/>
      <c r="V110" s="264"/>
      <c r="X110" s="264"/>
      <c r="Z110" s="264"/>
      <c r="AA110" s="264"/>
      <c r="AB110" s="264"/>
      <c r="AC110" s="1526"/>
      <c r="AD110" s="523"/>
      <c r="AE110" s="264" t="s">
        <v>514</v>
      </c>
      <c r="AF110" s="881"/>
      <c r="AG110" s="882"/>
      <c r="AH110" s="264"/>
      <c r="AI110" s="887"/>
      <c r="AJ110" s="12"/>
      <c r="AK110" s="264"/>
      <c r="AL110" s="364"/>
      <c r="AM110" s="283"/>
      <c r="AN110" s="405"/>
    </row>
    <row r="111" spans="1:40" ht="15" customHeight="1">
      <c r="A111" s="291"/>
      <c r="B111" s="3" t="s">
        <v>144</v>
      </c>
      <c r="C111" s="291"/>
      <c r="D111" s="13">
        <f>ROUND(SUM(D85-D108),1)</f>
        <v>2458.6</v>
      </c>
      <c r="F111" s="13">
        <f>ROUND(SUM(F85-F108),1)</f>
        <v>422.4</v>
      </c>
      <c r="G111" s="13"/>
      <c r="H111" s="13">
        <f>ROUND(SUM(H85-H108),1)</f>
        <v>4718.8</v>
      </c>
      <c r="J111" s="13">
        <f>ROUND(SUM(J85-J108),1)</f>
        <v>1239.0999999999999</v>
      </c>
      <c r="L111" s="13">
        <f>ROUND(SUM(L85-L108),1)</f>
        <v>0</v>
      </c>
      <c r="N111" s="13">
        <f>ROUND(SUM(N85-N108),1)</f>
        <v>0</v>
      </c>
      <c r="P111" s="13">
        <f>ROUND(SUM(P85-P108),1)</f>
        <v>0</v>
      </c>
      <c r="R111" s="13">
        <f>ROUND(SUM(R85-R108),1)</f>
        <v>0</v>
      </c>
      <c r="T111" s="13">
        <f>ROUND(SUM(T85-T108),1)</f>
        <v>0</v>
      </c>
      <c r="V111" s="13">
        <f>ROUND(SUM(V85-V108),1)</f>
        <v>0</v>
      </c>
      <c r="X111" s="13">
        <f>ROUND(SUM(X85-X108),1)</f>
        <v>0</v>
      </c>
      <c r="Z111" s="13">
        <f>ROUND(SUM(Z85-Z108),1)</f>
        <v>0</v>
      </c>
      <c r="AA111" s="13"/>
      <c r="AB111" s="357">
        <v>0</v>
      </c>
      <c r="AC111" s="1527"/>
      <c r="AD111" s="14"/>
      <c r="AE111" s="13">
        <f>ROUND(SUM(AE85-AE108),1)</f>
        <v>8838.9</v>
      </c>
      <c r="AF111" s="13"/>
      <c r="AG111" s="14"/>
      <c r="AH111" s="13">
        <f>ROUND(SUM(AH85-AH108),1)</f>
        <v>2416.1</v>
      </c>
      <c r="AI111" s="75"/>
      <c r="AJ111" s="13"/>
      <c r="AK111" s="357">
        <f>ROUND(SUM(AK85-AK108),1)</f>
        <v>6422.8</v>
      </c>
      <c r="AL111" s="57"/>
      <c r="AM111" s="611">
        <f>ROUND(SUM(+AK111/ABS(AH111)),3)</f>
        <v>2.6579999999999999</v>
      </c>
      <c r="AN111" s="405"/>
    </row>
    <row r="112" spans="1:40" ht="15" customHeight="1">
      <c r="A112" s="291"/>
      <c r="B112" s="291"/>
      <c r="C112" s="291"/>
      <c r="D112" s="615"/>
      <c r="F112" s="615"/>
      <c r="H112" s="615"/>
      <c r="J112" s="615"/>
      <c r="L112" s="615"/>
      <c r="N112" s="615"/>
      <c r="P112" s="615"/>
      <c r="R112" s="615"/>
      <c r="T112" s="615"/>
      <c r="V112" s="615"/>
      <c r="X112" s="615"/>
      <c r="Z112" s="615"/>
      <c r="AA112" s="264"/>
      <c r="AB112" s="264"/>
      <c r="AC112" s="1526"/>
      <c r="AD112" s="523"/>
      <c r="AE112" s="615"/>
      <c r="AF112" s="264"/>
      <c r="AG112" s="523"/>
      <c r="AH112" s="615"/>
      <c r="AI112" s="519"/>
      <c r="AJ112" s="264"/>
      <c r="AK112" s="264"/>
      <c r="AL112" s="364"/>
      <c r="AM112" s="283"/>
      <c r="AN112" s="405"/>
    </row>
    <row r="113" spans="1:40" ht="15" customHeight="1">
      <c r="A113" s="291"/>
      <c r="B113" s="3" t="s">
        <v>145</v>
      </c>
      <c r="C113" s="291"/>
      <c r="D113" s="264"/>
      <c r="F113" s="264"/>
      <c r="H113" s="264"/>
      <c r="J113" s="264"/>
      <c r="L113" s="264"/>
      <c r="N113" s="264"/>
      <c r="P113" s="264"/>
      <c r="R113" s="264"/>
      <c r="T113" s="264"/>
      <c r="V113" s="264"/>
      <c r="X113" s="264"/>
      <c r="Z113" s="264"/>
      <c r="AA113" s="264"/>
      <c r="AB113" s="264"/>
      <c r="AC113" s="1526"/>
      <c r="AD113" s="523"/>
      <c r="AE113" s="264"/>
      <c r="AF113" s="264"/>
      <c r="AG113" s="523"/>
      <c r="AH113" s="264"/>
      <c r="AI113" s="519"/>
      <c r="AJ113" s="264"/>
      <c r="AK113" s="264"/>
      <c r="AL113" s="364"/>
      <c r="AM113" s="283"/>
      <c r="AN113" s="405"/>
    </row>
    <row r="114" spans="1:40" s="1112" customFormat="1" ht="15" customHeight="1">
      <c r="A114" s="372"/>
      <c r="B114" s="1196" t="s">
        <v>515</v>
      </c>
      <c r="C114" s="1196"/>
      <c r="D114" s="1204">
        <f>+'Exhibit G State'!D112+'Exhibit G Federal'!D85</f>
        <v>243.1</v>
      </c>
      <c r="E114" s="1204"/>
      <c r="F114" s="1204">
        <f>+'Exhibit G State'!F112+'Exhibit G Federal'!F85</f>
        <v>433.1</v>
      </c>
      <c r="G114" s="1204"/>
      <c r="H114" s="1204">
        <f>+'Exhibit G State'!H112+'Exhibit G Federal'!H85</f>
        <v>748.59999999999991</v>
      </c>
      <c r="I114" s="1115"/>
      <c r="J114" s="1204">
        <f>+'Exhibit G State'!J112+'Exhibit G Federal'!J85</f>
        <v>857.80000000000007</v>
      </c>
      <c r="K114" s="1114"/>
      <c r="L114" s="1204"/>
      <c r="M114" s="1114"/>
      <c r="N114" s="1204"/>
      <c r="O114" s="1114"/>
      <c r="P114" s="1204"/>
      <c r="Q114" s="1114"/>
      <c r="R114" s="287"/>
      <c r="S114" s="1115"/>
      <c r="T114" s="287"/>
      <c r="U114" s="1116"/>
      <c r="V114" s="287"/>
      <c r="W114" s="1115"/>
      <c r="X114" s="287"/>
      <c r="Y114" s="1115"/>
      <c r="Z114" s="287"/>
      <c r="AA114" s="1117"/>
      <c r="AB114" s="1187">
        <v>-397.1</v>
      </c>
      <c r="AC114" s="1780"/>
      <c r="AD114" s="1118"/>
      <c r="AE114" s="1188">
        <f>ROUND(SUM(D114:AB114),1)</f>
        <v>1885.5</v>
      </c>
      <c r="AF114" s="610"/>
      <c r="AG114" s="1118"/>
      <c r="AH114" s="1190">
        <f>'Exhibit G State'!AF112+'Exhibit G Federal'!AF85-208.9</f>
        <v>1749.1999999999998</v>
      </c>
      <c r="AI114" s="1120"/>
      <c r="AJ114" s="610"/>
      <c r="AK114" s="881">
        <f>ROUND(SUM(+AE114-AH114),1)</f>
        <v>136.30000000000001</v>
      </c>
      <c r="AL114" s="1121"/>
      <c r="AM114" s="266">
        <f>ROUND(IF(AH114=0,0,AK114/ABS(AH114)),3)</f>
        <v>7.8E-2</v>
      </c>
      <c r="AN114" s="1486"/>
    </row>
    <row r="115" spans="1:40" ht="15" customHeight="1">
      <c r="A115" s="291"/>
      <c r="B115" s="291" t="s">
        <v>516</v>
      </c>
      <c r="C115" s="291"/>
      <c r="D115" s="1034">
        <f>+'Exhibit G State'!D113+'Exhibit G Federal'!D86</f>
        <v>-275.39999999999998</v>
      </c>
      <c r="E115" s="1034"/>
      <c r="F115" s="1034">
        <f>+'Exhibit G State'!F113+'Exhibit G Federal'!F86</f>
        <v>-40.900000000000006</v>
      </c>
      <c r="G115" s="1034"/>
      <c r="H115" s="1034">
        <f>+'Exhibit G State'!H113+'Exhibit G Federal'!H86</f>
        <v>-360.3</v>
      </c>
      <c r="J115" s="1204">
        <f>+'Exhibit G State'!J113+'Exhibit G Federal'!J86</f>
        <v>-1031.8</v>
      </c>
      <c r="L115" s="1034"/>
      <c r="N115" s="1034"/>
      <c r="P115" s="1034"/>
      <c r="R115" s="287"/>
      <c r="S115" s="1034"/>
      <c r="T115" s="287"/>
      <c r="U115" s="1035"/>
      <c r="V115" s="287"/>
      <c r="W115" s="1034"/>
      <c r="X115" s="287"/>
      <c r="Y115" s="1034"/>
      <c r="Z115" s="287"/>
      <c r="AA115" s="288"/>
      <c r="AB115" s="981">
        <v>397.1</v>
      </c>
      <c r="AC115" s="1781"/>
      <c r="AD115" s="523"/>
      <c r="AE115" s="264">
        <f>ROUND(SUM(D115:AB115),1)</f>
        <v>-1311.3</v>
      </c>
      <c r="AF115" s="264"/>
      <c r="AG115" s="523"/>
      <c r="AH115" s="287">
        <f>'Exhibit G State'!AF113+'Exhibit G Federal'!AF86+208.9</f>
        <v>-1079.8</v>
      </c>
      <c r="AI115" s="519"/>
      <c r="AJ115" s="264"/>
      <c r="AK115" s="264">
        <f>ROUND(SUM(+AE115-AH115)*-1,1)</f>
        <v>231.5</v>
      </c>
      <c r="AL115" s="11"/>
      <c r="AM115" s="266">
        <f>ROUND(IF(AH115=0,0,AK115/ABS(AH115)),3)</f>
        <v>0.214</v>
      </c>
      <c r="AN115" s="1486"/>
    </row>
    <row r="116" spans="1:40" ht="15" customHeight="1">
      <c r="A116" s="291"/>
      <c r="B116" s="291"/>
      <c r="C116" s="291"/>
      <c r="D116" s="615"/>
      <c r="F116" s="615"/>
      <c r="H116" s="615"/>
      <c r="J116" s="615"/>
      <c r="L116" s="615"/>
      <c r="N116" s="615"/>
      <c r="P116" s="615"/>
      <c r="R116" s="615"/>
      <c r="T116" s="615"/>
      <c r="V116" s="615"/>
      <c r="X116" s="615"/>
      <c r="Z116" s="615"/>
      <c r="AA116" s="264"/>
      <c r="AB116" s="264"/>
      <c r="AC116" s="1526"/>
      <c r="AD116" s="523"/>
      <c r="AE116" s="615"/>
      <c r="AF116" s="264"/>
      <c r="AG116" s="523"/>
      <c r="AH116" s="615"/>
      <c r="AI116" s="519"/>
      <c r="AJ116" s="264"/>
      <c r="AK116" s="1032"/>
      <c r="AL116" s="364"/>
      <c r="AM116" s="1033"/>
      <c r="AN116" s="405"/>
    </row>
    <row r="117" spans="1:40" ht="15" customHeight="1">
      <c r="A117" s="291"/>
      <c r="B117" s="3" t="s">
        <v>517</v>
      </c>
      <c r="C117" s="291"/>
      <c r="D117" s="13">
        <f>ROUND(SUM(D114:D115),1)</f>
        <v>-32.299999999999997</v>
      </c>
      <c r="F117" s="13">
        <f>ROUND(SUM(F114:F115),1)</f>
        <v>392.2</v>
      </c>
      <c r="H117" s="13">
        <f>ROUND(SUM(H114:H115),1)</f>
        <v>388.3</v>
      </c>
      <c r="J117" s="13">
        <f>ROUND(SUM(J114:J115),1)</f>
        <v>-174</v>
      </c>
      <c r="L117" s="13">
        <f>ROUND(SUM(L114:L115),1)</f>
        <v>0</v>
      </c>
      <c r="N117" s="13">
        <f>ROUND(SUM(N114:N115),1)</f>
        <v>0</v>
      </c>
      <c r="P117" s="13">
        <f>ROUND(SUM(P114:P115),1)</f>
        <v>0</v>
      </c>
      <c r="R117" s="13">
        <f>ROUND(SUM(R114:R115),1)</f>
        <v>0</v>
      </c>
      <c r="T117" s="13">
        <f>ROUND(SUM(T114:T115),1)</f>
        <v>0</v>
      </c>
      <c r="V117" s="13">
        <f>ROUND(SUM(V114:V115),1)</f>
        <v>0</v>
      </c>
      <c r="X117" s="13">
        <f>ROUND(SUM(X114:X115),1)</f>
        <v>0</v>
      </c>
      <c r="Z117" s="13">
        <f>ROUND(SUM(Z114:Z115),1)</f>
        <v>0</v>
      </c>
      <c r="AA117" s="13"/>
      <c r="AB117" s="357">
        <f>ROUND(SUM(AB114:AB115),1)</f>
        <v>0</v>
      </c>
      <c r="AC117" s="1527"/>
      <c r="AD117" s="14"/>
      <c r="AE117" s="13">
        <f>ROUND(SUM(AE114:AE115),1)</f>
        <v>574.20000000000005</v>
      </c>
      <c r="AF117" s="13"/>
      <c r="AG117" s="14"/>
      <c r="AH117" s="13">
        <f>ROUND(SUM(AH114:AH115),1)</f>
        <v>669.4</v>
      </c>
      <c r="AI117" s="75"/>
      <c r="AJ117" s="13"/>
      <c r="AK117" s="357">
        <f>ROUND(SUM(AE117-AH117),1)</f>
        <v>-95.2</v>
      </c>
      <c r="AL117" s="40"/>
      <c r="AM117" s="368">
        <f>ROUND(SUM(+AK117/AH117),3)</f>
        <v>-0.14199999999999999</v>
      </c>
      <c r="AN117" s="405"/>
    </row>
    <row r="118" spans="1:40" ht="15" customHeight="1">
      <c r="A118" s="291"/>
      <c r="B118" s="291"/>
      <c r="C118" s="291"/>
      <c r="D118" s="615"/>
      <c r="F118" s="615"/>
      <c r="H118" s="615"/>
      <c r="J118" s="615"/>
      <c r="L118" s="615"/>
      <c r="N118" s="615"/>
      <c r="P118" s="615"/>
      <c r="R118" s="615"/>
      <c r="T118" s="615"/>
      <c r="V118" s="615"/>
      <c r="X118" s="615"/>
      <c r="Z118" s="615"/>
      <c r="AA118" s="264"/>
      <c r="AB118" s="264"/>
      <c r="AC118" s="1526"/>
      <c r="AD118" s="523"/>
      <c r="AE118" s="615"/>
      <c r="AF118" s="264"/>
      <c r="AG118" s="523"/>
      <c r="AH118" s="615"/>
      <c r="AI118" s="519"/>
      <c r="AJ118" s="264"/>
      <c r="AK118" s="264"/>
      <c r="AL118" s="364"/>
      <c r="AM118" s="283"/>
      <c r="AN118" s="405"/>
    </row>
    <row r="119" spans="1:40" ht="15" customHeight="1">
      <c r="A119" s="291"/>
      <c r="B119" s="3" t="s">
        <v>469</v>
      </c>
      <c r="C119" s="291"/>
      <c r="D119" s="264"/>
      <c r="F119" s="264"/>
      <c r="H119" s="264"/>
      <c r="J119" s="264"/>
      <c r="L119" s="264"/>
      <c r="N119" s="264"/>
      <c r="P119" s="264"/>
      <c r="R119" s="264"/>
      <c r="T119" s="264"/>
      <c r="V119" s="264"/>
      <c r="X119" s="264"/>
      <c r="Z119" s="264"/>
      <c r="AA119" s="264"/>
      <c r="AB119" s="264"/>
      <c r="AC119" s="1526"/>
      <c r="AD119" s="523"/>
      <c r="AE119" s="264"/>
      <c r="AF119" s="264"/>
      <c r="AG119" s="523"/>
      <c r="AH119" s="264"/>
      <c r="AI119" s="519"/>
      <c r="AJ119" s="264"/>
      <c r="AK119" s="264"/>
      <c r="AL119" s="364"/>
      <c r="AM119" s="283"/>
      <c r="AN119" s="405"/>
    </row>
    <row r="120" spans="1:40" ht="15" customHeight="1">
      <c r="A120" s="291"/>
      <c r="B120" s="3" t="s">
        <v>1413</v>
      </c>
      <c r="C120" s="291"/>
      <c r="D120" s="264"/>
      <c r="F120" s="264"/>
      <c r="H120" s="264"/>
      <c r="J120" s="264"/>
      <c r="L120" s="264"/>
      <c r="N120" s="264"/>
      <c r="P120" s="264"/>
      <c r="R120" s="264"/>
      <c r="T120" s="264"/>
      <c r="V120" s="264"/>
      <c r="X120" s="264"/>
      <c r="Z120" s="264"/>
      <c r="AA120" s="264"/>
      <c r="AB120" s="264"/>
      <c r="AC120" s="1526"/>
      <c r="AD120" s="523"/>
      <c r="AE120" s="264"/>
      <c r="AF120" s="264"/>
      <c r="AG120" s="523"/>
      <c r="AH120" s="264"/>
      <c r="AI120" s="519"/>
      <c r="AJ120" s="264"/>
      <c r="AK120" s="264"/>
      <c r="AL120" s="364"/>
      <c r="AM120" s="283"/>
      <c r="AN120" s="405"/>
    </row>
    <row r="121" spans="1:40" ht="15" customHeight="1">
      <c r="A121" s="291"/>
      <c r="B121" s="3" t="s">
        <v>518</v>
      </c>
      <c r="C121" s="291"/>
      <c r="D121" s="13">
        <f>ROUND(SUM(D111+D117),1)</f>
        <v>2426.3000000000002</v>
      </c>
      <c r="F121" s="13">
        <f>ROUND(SUM(F111+F117),1)</f>
        <v>814.6</v>
      </c>
      <c r="H121" s="13">
        <f>ROUND(SUM(H111+H117),1)</f>
        <v>5107.1000000000004</v>
      </c>
      <c r="J121" s="13">
        <f>ROUND(SUM(J111+J117),1)</f>
        <v>1065.0999999999999</v>
      </c>
      <c r="L121" s="13">
        <f>ROUND(SUM(L111+L117),1)</f>
        <v>0</v>
      </c>
      <c r="N121" s="13">
        <f>ROUND(SUM(N111+N117),1)</f>
        <v>0</v>
      </c>
      <c r="P121" s="13">
        <f>ROUND(SUM(P111+P117),1)</f>
        <v>0</v>
      </c>
      <c r="R121" s="13">
        <f>ROUND(SUM(R111+R117),1)</f>
        <v>0</v>
      </c>
      <c r="T121" s="13">
        <f>ROUND(SUM(T111+T117),1)</f>
        <v>0</v>
      </c>
      <c r="V121" s="13">
        <f>ROUND(SUM(V111+V117),1)</f>
        <v>0</v>
      </c>
      <c r="X121" s="13">
        <f>ROUND(SUM(X111+X117),1)</f>
        <v>0</v>
      </c>
      <c r="Z121" s="13">
        <f>ROUND(SUM(Z111+Z117),1)</f>
        <v>0</v>
      </c>
      <c r="AA121" s="13"/>
      <c r="AB121" s="357">
        <f>ROUND(SUM(AB111+AB117),1)</f>
        <v>0</v>
      </c>
      <c r="AC121" s="1527"/>
      <c r="AD121" s="14"/>
      <c r="AE121" s="13">
        <f>ROUND(SUM(AE111+AE117),1)</f>
        <v>9413.1</v>
      </c>
      <c r="AF121" s="13"/>
      <c r="AG121" s="14"/>
      <c r="AH121" s="13">
        <f>ROUND(SUM(AH111+AH117),1)</f>
        <v>3085.5</v>
      </c>
      <c r="AI121" s="75"/>
      <c r="AJ121" s="13"/>
      <c r="AK121" s="357">
        <f>ROUND(SUM(AE121-AH121),1)</f>
        <v>6327.6</v>
      </c>
      <c r="AL121" s="57"/>
      <c r="AM121" s="611">
        <f>ROUND(SUM(AK121/ABS(AH121)),3)</f>
        <v>2.0510000000000002</v>
      </c>
      <c r="AN121" s="405"/>
    </row>
    <row r="122" spans="1:40" ht="15" customHeight="1">
      <c r="A122" s="291"/>
      <c r="B122" s="291"/>
      <c r="C122" s="291"/>
      <c r="D122" s="984"/>
      <c r="F122" s="984"/>
      <c r="H122" s="984"/>
      <c r="J122" s="984"/>
      <c r="L122" s="984"/>
      <c r="N122" s="984"/>
      <c r="P122" s="984"/>
      <c r="R122" s="984"/>
      <c r="T122" s="984"/>
      <c r="V122" s="984"/>
      <c r="X122" s="984"/>
      <c r="Z122" s="984"/>
      <c r="AA122" s="364"/>
      <c r="AB122" s="364"/>
      <c r="AC122" s="1528"/>
      <c r="AD122" s="1028"/>
      <c r="AE122" s="984"/>
      <c r="AF122" s="364"/>
      <c r="AG122" s="1028"/>
      <c r="AH122" s="984"/>
      <c r="AI122" s="1029"/>
      <c r="AJ122" s="364"/>
      <c r="AK122" s="364"/>
      <c r="AL122" s="364"/>
      <c r="AM122" s="283"/>
      <c r="AN122" s="405"/>
    </row>
    <row r="123" spans="1:40" ht="15" customHeight="1" thickBot="1">
      <c r="A123" s="291"/>
      <c r="B123" s="3" t="s">
        <v>519</v>
      </c>
      <c r="C123" s="291"/>
      <c r="D123" s="20">
        <f>ROUND(SUM(D13+D121),1)</f>
        <v>23634.9</v>
      </c>
      <c r="F123" s="20">
        <f>ROUND(SUM(F13+F121),1)</f>
        <v>24449.5</v>
      </c>
      <c r="H123" s="20">
        <f>ROUND(SUM(H13+H121),1)</f>
        <v>29556.6</v>
      </c>
      <c r="J123" s="20">
        <f>ROUND(SUM(J13+J121),1)</f>
        <v>30621.7</v>
      </c>
      <c r="L123" s="20">
        <f>ROUND(SUM(L13+L121),1)</f>
        <v>0</v>
      </c>
      <c r="N123" s="20">
        <f>ROUND(SUM(N13+N121),1)</f>
        <v>0</v>
      </c>
      <c r="P123" s="20">
        <f>ROUND(SUM(P13+P121),1)</f>
        <v>0</v>
      </c>
      <c r="R123" s="20">
        <f>ROUND(SUM(R13+R121),1)</f>
        <v>0</v>
      </c>
      <c r="T123" s="20">
        <f>ROUND(SUM(T13+T121),1)</f>
        <v>0</v>
      </c>
      <c r="V123" s="20">
        <f>ROUND(SUM(V13+V121),1)</f>
        <v>0</v>
      </c>
      <c r="X123" s="20">
        <f>ROUND(SUM(X13+X121),1)</f>
        <v>0</v>
      </c>
      <c r="Z123" s="20">
        <f>ROUND(SUM(Z13+Z121),1)</f>
        <v>0</v>
      </c>
      <c r="AA123" s="20"/>
      <c r="AB123" s="1525">
        <f>ROUND(SUM(AB13+AB121),1)</f>
        <v>0</v>
      </c>
      <c r="AC123" s="1529"/>
      <c r="AD123" s="21"/>
      <c r="AE123" s="20">
        <f>ROUND(SUM(AE13+AE121),1)</f>
        <v>30621.7</v>
      </c>
      <c r="AF123" s="20"/>
      <c r="AG123" s="21"/>
      <c r="AH123" s="70">
        <f>ROUND(SUM(AH13+AH121),1)</f>
        <v>21204.7</v>
      </c>
      <c r="AI123" s="73"/>
      <c r="AJ123" s="20"/>
      <c r="AK123" s="70">
        <f>ROUND(SUM(AE123-AH123),1)</f>
        <v>9417</v>
      </c>
      <c r="AL123" s="45"/>
      <c r="AM123" s="77">
        <f>ROUND(SUM(+AK123/AH123),3)</f>
        <v>0.44400000000000001</v>
      </c>
      <c r="AN123" s="405"/>
    </row>
    <row r="124" spans="1:40" ht="15" customHeight="1" thickTop="1">
      <c r="A124" s="291"/>
      <c r="B124" s="291"/>
      <c r="C124" s="291"/>
      <c r="D124" s="1036"/>
      <c r="F124" s="1036"/>
      <c r="H124" s="1036"/>
      <c r="J124" s="1036"/>
      <c r="L124" s="1036"/>
      <c r="N124" s="1036"/>
      <c r="P124" s="1036"/>
      <c r="R124" s="1036"/>
      <c r="T124" s="1036"/>
      <c r="V124" s="1036"/>
      <c r="X124" s="1036"/>
      <c r="Z124" s="1036"/>
      <c r="AA124" s="405"/>
      <c r="AB124" s="405"/>
      <c r="AC124" s="405"/>
      <c r="AD124" s="405"/>
      <c r="AE124" s="1036"/>
      <c r="AF124" s="405"/>
      <c r="AG124" s="405"/>
      <c r="AH124" s="405"/>
      <c r="AI124" s="405"/>
      <c r="AJ124" s="405"/>
      <c r="AK124" s="405"/>
      <c r="AL124" s="405"/>
      <c r="AM124" s="283"/>
      <c r="AN124" s="405"/>
    </row>
    <row r="125" spans="1:40" ht="15" customHeight="1">
      <c r="A125" s="291"/>
      <c r="B125" s="291"/>
      <c r="C125" s="291"/>
      <c r="D125" s="405"/>
      <c r="F125" s="405"/>
      <c r="H125" s="405"/>
      <c r="J125" s="405"/>
      <c r="L125" s="405"/>
      <c r="N125" s="405"/>
      <c r="P125" s="405"/>
      <c r="R125" s="405"/>
      <c r="T125" s="405"/>
      <c r="V125" s="405"/>
      <c r="X125" s="405"/>
      <c r="Z125" s="405"/>
      <c r="AA125" s="405"/>
      <c r="AB125" s="405" t="s">
        <v>103</v>
      </c>
      <c r="AC125" s="405"/>
      <c r="AD125" s="405"/>
      <c r="AE125" s="405"/>
      <c r="AF125" s="405"/>
      <c r="AG125" s="405"/>
      <c r="AH125" s="405"/>
      <c r="AI125" s="405"/>
      <c r="AJ125" s="405"/>
      <c r="AK125" s="405"/>
      <c r="AL125" s="405"/>
      <c r="AM125" s="283"/>
      <c r="AN125" s="405"/>
    </row>
    <row r="126" spans="1:40" ht="15" customHeight="1">
      <c r="A126" s="364"/>
      <c r="B126" s="364" t="s">
        <v>520</v>
      </c>
      <c r="C126" s="364"/>
      <c r="D126" s="405"/>
      <c r="F126" s="405"/>
      <c r="H126" s="405"/>
      <c r="J126" s="405"/>
      <c r="L126" s="405"/>
      <c r="N126" s="405"/>
      <c r="P126" s="405"/>
      <c r="R126" s="405"/>
      <c r="T126" s="405"/>
      <c r="V126" s="405"/>
      <c r="X126" s="405"/>
      <c r="Z126" s="405"/>
      <c r="AA126" s="405"/>
      <c r="AB126" s="405" t="s">
        <v>103</v>
      </c>
      <c r="AC126" s="405"/>
      <c r="AD126" s="405"/>
      <c r="AE126" s="405"/>
      <c r="AF126" s="405"/>
      <c r="AG126" s="405"/>
      <c r="AH126" s="405"/>
      <c r="AI126" s="405"/>
      <c r="AJ126" s="405"/>
      <c r="AK126" s="405"/>
      <c r="AL126" s="405"/>
      <c r="AM126" s="283"/>
      <c r="AN126" s="405"/>
    </row>
    <row r="127" spans="1:40" ht="15" customHeight="1">
      <c r="A127" s="364"/>
      <c r="B127" s="58"/>
      <c r="C127" s="364"/>
      <c r="D127" s="405"/>
      <c r="F127" s="405"/>
      <c r="H127" s="405"/>
      <c r="J127" s="405"/>
      <c r="L127" s="405"/>
      <c r="N127" s="405"/>
      <c r="P127" s="405"/>
      <c r="R127" s="405"/>
      <c r="T127" s="405"/>
      <c r="V127" s="405"/>
      <c r="X127" s="405"/>
      <c r="Z127" s="405"/>
      <c r="AA127" s="405"/>
      <c r="AB127" s="405"/>
      <c r="AC127" s="405"/>
      <c r="AD127" s="405"/>
      <c r="AE127" s="405"/>
      <c r="AF127" s="405"/>
      <c r="AG127" s="405"/>
      <c r="AH127" s="405"/>
      <c r="AI127" s="405"/>
      <c r="AJ127" s="405"/>
      <c r="AK127" s="405"/>
      <c r="AL127" s="405"/>
      <c r="AM127" s="283"/>
      <c r="AN127" s="405"/>
    </row>
    <row r="128" spans="1:40" ht="15" customHeight="1">
      <c r="H128" s="364"/>
      <c r="J128" s="364"/>
      <c r="L128" s="364"/>
      <c r="N128" s="364"/>
      <c r="P128" s="364"/>
      <c r="R128" s="364"/>
      <c r="T128" s="364"/>
      <c r="V128" s="364"/>
      <c r="X128" s="364"/>
      <c r="Z128" s="364"/>
      <c r="AA128" s="364"/>
      <c r="AB128" s="364"/>
      <c r="AC128" s="364"/>
      <c r="AD128" s="364"/>
      <c r="AE128" s="364"/>
      <c r="AF128" s="364"/>
      <c r="AG128" s="364"/>
      <c r="AH128" s="364"/>
      <c r="AI128" s="364"/>
      <c r="AJ128" s="364"/>
      <c r="AK128" s="364"/>
      <c r="AL128" s="364"/>
      <c r="AM128" s="283"/>
    </row>
  </sheetData>
  <mergeCells count="1">
    <mergeCell ref="AD9:AM9"/>
  </mergeCells>
  <printOptions horizontalCentered="1"/>
  <pageMargins left="0.25" right="0.25" top="0.5" bottom="0.25" header="0" footer="0.25"/>
  <pageSetup scale="36" firstPageNumber="22" fitToHeight="2" orientation="landscape" useFirstPageNumber="1" r:id="rId1"/>
  <headerFooter scaleWithDoc="0" alignWithMargins="0">
    <oddFooter>&amp;C&amp;8&amp;P</oddFooter>
  </headerFooter>
  <rowBreaks count="1" manualBreakCount="1">
    <brk id="86" min="1" max="38" man="1"/>
  </rowBreaks>
  <customProperties>
    <customPr name="SheetOptions" r:id="rId2"/>
  </customProperties>
  <ignoredErrors>
    <ignoredError sqref="AM19:AM20" unlockedFormula="1"/>
    <ignoredError sqref="AM24 AM48 AM94:AM96 AM61 AM58 AM66:AM69 AM53:AM56 AM22 AM35:AM46 AM92 AM63 AM116 AM29:AM33 AM107 AM112:AM114 AM100:AM103 AM86:AM89 AM77:AM84 AM26 AM50:AM51 AM124 AM122 AM118:AM120 AM109:AM110" formula="1" unlockedFormula="1"/>
    <ignoredError sqref="AK23:AM23 AM21 AM111 AM121 AM123 AM52 AM27:AM28 AM85 AM90:AM91 AM104:AM106 AM115 AM108 AM34 AM117 AM64:AM65 AM93 AM47 AM57 AM70:AM76 AM59:AM60 AM62 AM97:AM99 AM49 AM25"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AJ106"/>
  <sheetViews>
    <sheetView showGridLines="0" zoomScale="80" zoomScaleNormal="85" workbookViewId="0"/>
  </sheetViews>
  <sheetFormatPr defaultColWidth="8.84375" defaultRowHeight="10"/>
  <cols>
    <col min="1" max="1" width="35.07421875" style="1335" customWidth="1"/>
    <col min="2" max="2" width="9.07421875" style="1335" customWidth="1"/>
    <col min="3" max="3" width="5.53515625" style="1335" customWidth="1"/>
    <col min="4" max="4" width="12.84375" style="1335" bestFit="1" customWidth="1"/>
    <col min="5" max="5" width="1.84375" style="1335" customWidth="1"/>
    <col min="6" max="6" width="13.4609375" style="1335" customWidth="1"/>
    <col min="7" max="7" width="2.07421875" style="1335" customWidth="1"/>
    <col min="8" max="8" width="12.84375" style="1335" bestFit="1" customWidth="1"/>
    <col min="9" max="9" width="1.84375" style="1335" customWidth="1"/>
    <col min="10" max="10" width="13.84375" style="1335" customWidth="1"/>
    <col min="11" max="11" width="1.84375" style="1335" customWidth="1"/>
    <col min="12" max="12" width="11.84375" style="1335" customWidth="1"/>
    <col min="13" max="13" width="2" style="1335" customWidth="1"/>
    <col min="14" max="14" width="13.84375" style="1335" customWidth="1"/>
    <col min="15" max="15" width="1.84375" style="1335" customWidth="1"/>
    <col min="16" max="16" width="13" style="1335" customWidth="1"/>
    <col min="17" max="17" width="1.84375" style="1335" customWidth="1"/>
    <col min="18" max="18" width="13.07421875" style="1335" customWidth="1"/>
    <col min="19" max="21" width="1.07421875" style="1335" customWidth="1"/>
    <col min="22" max="22" width="12.84375" style="1335" bestFit="1" customWidth="1"/>
    <col min="23" max="23" width="1.84375" style="1335" customWidth="1"/>
    <col min="24" max="24" width="13.84375" style="1335" customWidth="1"/>
    <col min="25" max="27" width="1.07421875" style="1335" customWidth="1"/>
    <col min="28" max="28" width="12.07421875" style="1335" customWidth="1"/>
    <col min="29" max="29" width="1.84375" style="1335" customWidth="1"/>
    <col min="30" max="30" width="13.84375" style="1335" customWidth="1"/>
    <col min="31" max="32" width="1" style="1335" customWidth="1"/>
    <col min="33" max="33" width="13.07421875" style="1335" bestFit="1" customWidth="1"/>
    <col min="34" max="34" width="1.84375" style="1335" customWidth="1"/>
    <col min="35" max="35" width="12.84375" style="1336" customWidth="1"/>
    <col min="36" max="36" width="19.07421875" style="1948" customWidth="1"/>
    <col min="37" max="16384" width="8.84375" style="1337"/>
  </cols>
  <sheetData>
    <row r="1" spans="1:36" ht="15.5">
      <c r="A1" s="1334" t="s">
        <v>97</v>
      </c>
    </row>
    <row r="2" spans="1:36" ht="15.5">
      <c r="A2" s="1334"/>
    </row>
    <row r="3" spans="1:36" ht="20">
      <c r="A3" s="1338" t="s">
        <v>98</v>
      </c>
      <c r="B3" s="1339"/>
      <c r="C3" s="1339"/>
      <c r="D3" s="1339"/>
      <c r="E3" s="1339"/>
      <c r="F3" s="1339"/>
      <c r="G3" s="1339"/>
      <c r="H3" s="1339"/>
      <c r="I3" s="1339"/>
      <c r="J3" s="1339"/>
      <c r="K3" s="1339"/>
      <c r="L3" s="1339"/>
      <c r="M3" s="1339"/>
      <c r="N3" s="1339"/>
      <c r="O3" s="1339"/>
      <c r="P3" s="1339"/>
      <c r="Q3" s="1339"/>
      <c r="R3" s="1339"/>
      <c r="S3" s="1339"/>
      <c r="T3" s="1339"/>
      <c r="U3" s="1339"/>
      <c r="V3" s="1339"/>
      <c r="W3" s="1339"/>
      <c r="X3" s="1339"/>
      <c r="Y3" s="1339"/>
      <c r="Z3" s="1339"/>
      <c r="AA3" s="1339"/>
      <c r="AB3" s="1339"/>
      <c r="AC3" s="1339"/>
      <c r="AD3" s="1339"/>
      <c r="AE3" s="1339"/>
      <c r="AF3" s="1339"/>
      <c r="AG3" s="1339"/>
      <c r="AH3" s="1339"/>
      <c r="AI3" s="1340" t="s">
        <v>99</v>
      </c>
      <c r="AJ3" s="1949"/>
    </row>
    <row r="4" spans="1:36" ht="20.25" customHeight="1">
      <c r="A4" s="1985" t="s">
        <v>100</v>
      </c>
      <c r="B4" s="1186"/>
      <c r="C4" s="1186"/>
      <c r="D4" s="1186"/>
      <c r="E4" s="1186"/>
      <c r="F4" s="1186"/>
      <c r="G4" s="1186"/>
      <c r="H4" s="1186"/>
      <c r="I4" s="1186"/>
      <c r="J4" s="1186"/>
      <c r="K4" s="1186"/>
      <c r="L4" s="1186"/>
      <c r="M4" s="1186"/>
      <c r="N4" s="1186"/>
      <c r="O4" s="1186"/>
      <c r="P4" s="1186"/>
      <c r="Q4" s="1186"/>
      <c r="R4" s="1186"/>
      <c r="S4" s="1186"/>
      <c r="T4" s="1186"/>
      <c r="U4" s="1186"/>
      <c r="V4" s="1186"/>
      <c r="W4" s="1186"/>
      <c r="X4" s="1186"/>
      <c r="Y4" s="1186"/>
      <c r="Z4" s="1186"/>
      <c r="AA4" s="1186"/>
      <c r="AB4" s="1186"/>
      <c r="AC4" s="1186"/>
      <c r="AD4" s="1186"/>
      <c r="AE4" s="1186"/>
      <c r="AF4" s="1186"/>
      <c r="AG4" s="1186"/>
      <c r="AH4" s="1186"/>
      <c r="AI4" s="1186"/>
      <c r="AJ4" s="1949"/>
    </row>
    <row r="5" spans="1:36" ht="20">
      <c r="A5" s="1985" t="s">
        <v>101</v>
      </c>
      <c r="B5" s="1986"/>
      <c r="C5" s="1986"/>
      <c r="D5" s="1986"/>
      <c r="E5" s="1986"/>
      <c r="F5" s="1986"/>
      <c r="G5" s="1986"/>
      <c r="H5" s="1986"/>
      <c r="I5" s="1986"/>
      <c r="J5" s="1986"/>
      <c r="K5" s="1986"/>
      <c r="L5" s="1986"/>
      <c r="M5" s="1986"/>
      <c r="N5" s="1986"/>
      <c r="O5" s="1986"/>
      <c r="P5" s="1986"/>
      <c r="Q5" s="1986"/>
      <c r="R5" s="1986"/>
      <c r="S5" s="1986"/>
      <c r="T5" s="1986"/>
      <c r="U5" s="1986"/>
      <c r="V5" s="1986"/>
      <c r="W5" s="1986"/>
      <c r="X5" s="1986"/>
      <c r="Y5" s="1986"/>
      <c r="Z5" s="1986"/>
      <c r="AA5" s="1986"/>
      <c r="AB5" s="1986"/>
      <c r="AC5" s="1986"/>
      <c r="AD5" s="1986"/>
      <c r="AE5" s="1186"/>
      <c r="AF5" s="1186"/>
      <c r="AG5" s="1186"/>
      <c r="AH5" s="1186"/>
      <c r="AI5" s="1186"/>
      <c r="AJ5" s="1949"/>
    </row>
    <row r="6" spans="1:36" ht="21" customHeight="1">
      <c r="A6" s="1985" t="s">
        <v>102</v>
      </c>
      <c r="B6" s="1186"/>
      <c r="C6" s="1186"/>
      <c r="D6" s="1186"/>
      <c r="E6" s="1186"/>
      <c r="F6" s="1186"/>
      <c r="G6" s="1186"/>
      <c r="H6" s="1186"/>
      <c r="I6" s="1186"/>
      <c r="J6" s="1186"/>
      <c r="K6" s="1186"/>
      <c r="L6" s="1186"/>
      <c r="M6" s="1186"/>
      <c r="N6" s="1186"/>
      <c r="O6" s="1186"/>
      <c r="P6" s="1186"/>
      <c r="Q6" s="1186"/>
      <c r="R6" s="1186"/>
      <c r="S6" s="1186"/>
      <c r="T6" s="1186"/>
      <c r="U6" s="1186"/>
      <c r="V6" s="1186"/>
      <c r="W6" s="1186"/>
      <c r="X6" s="1186"/>
      <c r="Y6" s="1186"/>
      <c r="Z6" s="1186"/>
      <c r="AA6" s="1186"/>
      <c r="AB6" s="1186"/>
      <c r="AC6" s="1186"/>
      <c r="AD6" s="1186"/>
      <c r="AE6" s="1186"/>
      <c r="AF6" s="1186"/>
      <c r="AG6" s="1186"/>
      <c r="AH6" s="1186"/>
      <c r="AI6" s="1186"/>
      <c r="AJ6" s="1949"/>
    </row>
    <row r="7" spans="1:36" ht="15.5">
      <c r="A7" s="1341"/>
      <c r="B7" s="1341"/>
      <c r="C7" s="1341"/>
      <c r="D7" s="1341"/>
      <c r="E7" s="1341"/>
      <c r="F7" s="1341"/>
      <c r="G7" s="1341"/>
      <c r="H7" s="1342"/>
      <c r="I7" s="1342"/>
      <c r="J7" s="1342"/>
      <c r="K7" s="1342"/>
      <c r="L7" s="1342"/>
      <c r="M7" s="1341"/>
      <c r="N7" s="1342"/>
      <c r="O7" s="1342"/>
      <c r="P7" s="1342"/>
      <c r="Q7" s="1342"/>
      <c r="R7" s="1342"/>
      <c r="S7" s="1341"/>
      <c r="T7" s="1341"/>
      <c r="U7" s="1341"/>
      <c r="V7" s="1341"/>
      <c r="W7" s="1341"/>
      <c r="X7" s="1341"/>
      <c r="Y7" s="1341"/>
      <c r="Z7" s="1341"/>
      <c r="AA7" s="1341"/>
      <c r="AB7" s="1341"/>
      <c r="AC7" s="1341"/>
      <c r="AD7" s="1343"/>
      <c r="AE7" s="1343"/>
      <c r="AF7" s="1343"/>
      <c r="AG7" s="1343"/>
      <c r="AJ7" s="1949"/>
    </row>
    <row r="8" spans="1:36" ht="16.399999999999999" customHeight="1">
      <c r="A8" s="1342"/>
      <c r="B8" s="1341"/>
      <c r="C8" s="1341"/>
      <c r="D8" s="1342"/>
      <c r="E8" s="1341"/>
      <c r="F8" s="1341"/>
      <c r="G8" s="1341"/>
      <c r="H8" s="1342"/>
      <c r="I8" s="1342"/>
      <c r="J8" s="1342"/>
      <c r="K8" s="1342"/>
      <c r="L8" s="1342"/>
      <c r="M8" s="1341"/>
      <c r="N8" s="1342"/>
      <c r="O8" s="1342"/>
      <c r="P8" s="1342"/>
      <c r="Q8" s="1342"/>
      <c r="R8" s="1342"/>
      <c r="S8" s="1341"/>
      <c r="T8" s="1341"/>
      <c r="U8" s="1341"/>
      <c r="V8" s="1341"/>
      <c r="W8" s="1341"/>
      <c r="X8" s="1341" t="s">
        <v>103</v>
      </c>
      <c r="Y8" s="1341"/>
      <c r="Z8" s="1341"/>
      <c r="AA8" s="1341"/>
      <c r="AB8" s="1341"/>
      <c r="AC8" s="1341"/>
      <c r="AD8" s="1344"/>
      <c r="AE8" s="1344"/>
      <c r="AF8" s="1345"/>
      <c r="AG8" s="1345"/>
      <c r="AI8" s="1334"/>
      <c r="AJ8" s="1949"/>
    </row>
    <row r="9" spans="1:36" ht="16.399999999999999" customHeight="1">
      <c r="A9" s="1341"/>
      <c r="B9" s="1341"/>
      <c r="C9" s="1341"/>
      <c r="D9" s="1341"/>
      <c r="E9" s="1341"/>
      <c r="F9" s="1341"/>
      <c r="G9" s="1341"/>
      <c r="H9" s="1342"/>
      <c r="I9" s="1342"/>
      <c r="J9" s="1342"/>
      <c r="K9" s="1342"/>
      <c r="L9" s="1342"/>
      <c r="M9" s="1341"/>
      <c r="N9" s="1342"/>
      <c r="O9" s="1342"/>
      <c r="P9" s="1342"/>
      <c r="Q9" s="1342"/>
      <c r="R9" s="1342"/>
      <c r="S9" s="1341"/>
      <c r="T9" s="1341"/>
      <c r="U9" s="1341"/>
      <c r="V9" s="1341"/>
      <c r="W9" s="1341"/>
      <c r="X9" s="1341"/>
      <c r="Y9" s="1341"/>
      <c r="Z9" s="1341"/>
      <c r="AA9" s="1341"/>
      <c r="AB9" s="1341"/>
      <c r="AC9" s="1341"/>
      <c r="AD9" s="1346"/>
      <c r="AE9" s="1346"/>
      <c r="AF9" s="1346"/>
      <c r="AG9" s="1346"/>
      <c r="AI9" s="1334"/>
      <c r="AJ9" s="1949"/>
    </row>
    <row r="10" spans="1:36" ht="16.399999999999999" customHeight="1">
      <c r="A10" s="1347"/>
      <c r="B10" s="1347"/>
      <c r="C10" s="1347"/>
      <c r="D10" s="1348" t="s">
        <v>104</v>
      </c>
      <c r="E10" s="1348"/>
      <c r="F10" s="1348"/>
      <c r="G10" s="1346"/>
      <c r="H10" s="1348" t="s">
        <v>105</v>
      </c>
      <c r="I10" s="1348"/>
      <c r="J10" s="1348"/>
      <c r="K10" s="1346"/>
      <c r="L10" s="1348" t="s">
        <v>106</v>
      </c>
      <c r="M10" s="1348"/>
      <c r="N10" s="1348"/>
      <c r="O10" s="1346"/>
      <c r="P10" s="1348" t="s">
        <v>107</v>
      </c>
      <c r="Q10" s="1348"/>
      <c r="R10" s="1348"/>
      <c r="S10" s="1346"/>
      <c r="T10" s="1346"/>
      <c r="U10" s="1346"/>
      <c r="V10" s="2049" t="s">
        <v>108</v>
      </c>
      <c r="W10" s="2050"/>
      <c r="X10" s="2050"/>
      <c r="Y10" s="2050"/>
      <c r="Z10" s="2050"/>
      <c r="AA10" s="2050"/>
      <c r="AB10" s="2050"/>
      <c r="AC10" s="2050"/>
      <c r="AD10" s="2050"/>
      <c r="AE10" s="2050"/>
      <c r="AF10" s="2050"/>
      <c r="AG10" s="2050"/>
      <c r="AH10" s="2050"/>
      <c r="AI10" s="2050"/>
      <c r="AJ10" s="1949"/>
    </row>
    <row r="11" spans="1:36" ht="16.399999999999999" customHeight="1">
      <c r="A11" s="1347"/>
      <c r="B11" s="1347"/>
      <c r="C11" s="1347"/>
      <c r="D11" s="1345" t="s">
        <v>109</v>
      </c>
      <c r="E11" s="1345"/>
      <c r="F11" s="1349" t="s">
        <v>1495</v>
      </c>
      <c r="G11" s="1345"/>
      <c r="H11" s="1345" t="s">
        <v>109</v>
      </c>
      <c r="I11" s="1345"/>
      <c r="J11" s="1345" t="str">
        <f>F11</f>
        <v>4 MOS. ENDED</v>
      </c>
      <c r="K11" s="1345"/>
      <c r="L11" s="1345" t="s">
        <v>109</v>
      </c>
      <c r="M11" s="1345"/>
      <c r="N11" s="1345" t="str">
        <f>F11</f>
        <v>4 MOS. ENDED</v>
      </c>
      <c r="O11" s="1345"/>
      <c r="P11" s="1345" t="s">
        <v>109</v>
      </c>
      <c r="Q11" s="1345"/>
      <c r="R11" s="1345" t="str">
        <f>J11</f>
        <v>4 MOS. ENDED</v>
      </c>
      <c r="S11" s="1345"/>
      <c r="T11" s="1345"/>
      <c r="U11" s="1350"/>
      <c r="V11" s="1345" t="s">
        <v>109</v>
      </c>
      <c r="W11" s="1345"/>
      <c r="X11" s="1345" t="str">
        <f>F11</f>
        <v>4 MOS. ENDED</v>
      </c>
      <c r="Y11" s="1345"/>
      <c r="Z11" s="1345"/>
      <c r="AA11" s="1345"/>
      <c r="AB11" s="1345" t="s">
        <v>109</v>
      </c>
      <c r="AC11" s="1345"/>
      <c r="AD11" s="1345" t="str">
        <f>F11</f>
        <v>4 MOS. ENDED</v>
      </c>
      <c r="AE11" s="1345"/>
      <c r="AF11" s="1345"/>
      <c r="AG11" s="1345" t="s">
        <v>110</v>
      </c>
      <c r="AH11" s="1334"/>
      <c r="AI11" s="1345" t="s">
        <v>111</v>
      </c>
      <c r="AJ11" s="1949"/>
    </row>
    <row r="12" spans="1:36" ht="16.399999999999999" customHeight="1">
      <c r="A12" s="1347"/>
      <c r="B12" s="1347"/>
      <c r="C12" s="1347"/>
      <c r="D12" s="1803" t="s">
        <v>1493</v>
      </c>
      <c r="E12" s="1345"/>
      <c r="F12" s="1806" t="s">
        <v>1494</v>
      </c>
      <c r="G12" s="1345"/>
      <c r="H12" s="1352" t="str">
        <f>D12</f>
        <v>JULY 2026</v>
      </c>
      <c r="I12" s="1345"/>
      <c r="J12" s="1352" t="str">
        <f>F12</f>
        <v>JULY 31, 2026</v>
      </c>
      <c r="K12" s="1345"/>
      <c r="L12" s="1352" t="str">
        <f>D12</f>
        <v>JULY 2026</v>
      </c>
      <c r="M12" s="1345"/>
      <c r="N12" s="1352" t="str">
        <f>F12</f>
        <v>JULY 31, 2026</v>
      </c>
      <c r="O12" s="1345"/>
      <c r="P12" s="1352" t="str">
        <f>D12</f>
        <v>JULY 2026</v>
      </c>
      <c r="Q12" s="1345"/>
      <c r="R12" s="1352" t="str">
        <f>J12</f>
        <v>JULY 31, 2026</v>
      </c>
      <c r="S12" s="1345"/>
      <c r="T12" s="1345"/>
      <c r="U12" s="1350"/>
      <c r="V12" s="1352" t="str">
        <f>D12</f>
        <v>JULY 2026</v>
      </c>
      <c r="W12" s="1345"/>
      <c r="X12" s="1352" t="str">
        <f>F12</f>
        <v>JULY 31, 2026</v>
      </c>
      <c r="Y12" s="1345"/>
      <c r="Z12" s="1345"/>
      <c r="AA12" s="1345"/>
      <c r="AB12" s="1351" t="str">
        <f>_xlfn.CONCAT(_xlfn.TEXTBEFORE(D12," ")," ",RIGHT(D12,4)-1)</f>
        <v>JULY 2025</v>
      </c>
      <c r="AC12" s="1345"/>
      <c r="AD12" s="2022" t="str">
        <f>UPPER(TEXT(DATE(YEAR(_xlfn.TEXTAFTER('Exh D Governmental  '!A6," ",4))-1,MONTH(_xlfn.TEXTAFTER('Exh D Governmental  '!A6," ",4)),DAY(_xlfn.TEXTAFTER('Exh D Governmental  '!A6," ",4))),"MMMM dd, yyyy"))</f>
        <v>JULY 31, 2025</v>
      </c>
      <c r="AE12" s="1349"/>
      <c r="AF12" s="1349"/>
      <c r="AG12" s="1352" t="s">
        <v>112</v>
      </c>
      <c r="AH12" s="1334"/>
      <c r="AI12" s="1351" t="s">
        <v>113</v>
      </c>
      <c r="AJ12" s="1949"/>
    </row>
    <row r="13" spans="1:36" ht="16.399999999999999" customHeight="1">
      <c r="A13" s="1346" t="s">
        <v>114</v>
      </c>
      <c r="B13" s="1347"/>
      <c r="C13" s="1347"/>
      <c r="D13" s="1347" t="s">
        <v>103</v>
      </c>
      <c r="E13" s="1347"/>
      <c r="F13" s="1347"/>
      <c r="G13" s="1347"/>
      <c r="H13" s="1347" t="s">
        <v>103</v>
      </c>
      <c r="I13" s="1347"/>
      <c r="J13" s="1347"/>
      <c r="K13" s="1347"/>
      <c r="L13" s="1347" t="s">
        <v>103</v>
      </c>
      <c r="M13" s="1347"/>
      <c r="N13" s="1347"/>
      <c r="O13" s="1347"/>
      <c r="P13" s="1347" t="s">
        <v>103</v>
      </c>
      <c r="Q13" s="1347"/>
      <c r="R13" s="1347"/>
      <c r="S13" s="1353"/>
      <c r="T13" s="1353"/>
      <c r="U13" s="1347"/>
      <c r="V13" s="1347"/>
      <c r="W13" s="1347"/>
      <c r="X13" s="1347"/>
      <c r="Y13" s="1353"/>
      <c r="Z13" s="1354"/>
      <c r="AA13" s="1347"/>
      <c r="AB13" s="1347"/>
      <c r="AC13" s="1347"/>
      <c r="AD13" s="1347"/>
      <c r="AE13" s="1347"/>
      <c r="AF13" s="1355"/>
      <c r="AG13" s="1347"/>
      <c r="AI13" s="1334"/>
      <c r="AJ13" s="1949"/>
    </row>
    <row r="14" spans="1:36" ht="18" customHeight="1">
      <c r="A14" s="1347" t="s">
        <v>115</v>
      </c>
      <c r="B14" s="1356"/>
      <c r="C14" s="1347"/>
      <c r="D14" s="1998">
        <f>'Exhibit F'!J27</f>
        <v>2391.4</v>
      </c>
      <c r="E14" s="1357" t="s">
        <v>103</v>
      </c>
      <c r="F14" s="1998">
        <f>'Exhibit F'!AC27</f>
        <v>12834.5</v>
      </c>
      <c r="G14" s="1357"/>
      <c r="H14" s="1998">
        <f>'Exhibit G'!J17</f>
        <v>0</v>
      </c>
      <c r="I14" s="2035"/>
      <c r="J14" s="1998">
        <f>'Exhibit G'!AE17</f>
        <v>0</v>
      </c>
      <c r="K14" s="1357"/>
      <c r="L14" s="2036">
        <f>'Exhibit H'!H17</f>
        <v>2391.3999999999987</v>
      </c>
      <c r="M14" s="1998"/>
      <c r="N14" s="1998">
        <f>'Exhibit H'!AA17</f>
        <v>12834.5</v>
      </c>
      <c r="O14" s="1998"/>
      <c r="P14" s="2037">
        <v>0</v>
      </c>
      <c r="Q14" s="1998"/>
      <c r="R14" s="2037">
        <v>0</v>
      </c>
      <c r="S14" s="2038"/>
      <c r="T14" s="2038"/>
      <c r="U14" s="1998"/>
      <c r="V14" s="1998">
        <f>ROUND(SUM(D14)+SUM(H14)+SUM(L14)+SUM(P14),1)</f>
        <v>4782.8</v>
      </c>
      <c r="W14" s="1998" t="s">
        <v>103</v>
      </c>
      <c r="X14" s="1998">
        <f>ROUND(SUM(F14)+SUM(J14)+SUM(N14)+SUM(R14),1)</f>
        <v>25669</v>
      </c>
      <c r="Y14" s="1358"/>
      <c r="Z14" s="1359"/>
      <c r="AA14" s="1357"/>
      <c r="AB14" s="1993">
        <v>4496.5</v>
      </c>
      <c r="AC14" s="1357"/>
      <c r="AD14" s="1357">
        <f>'Exhibit F'!AF27+'Exhibit G'!AH17+'Exhibit H'!AD17</f>
        <v>23705.8</v>
      </c>
      <c r="AE14" s="1357"/>
      <c r="AF14" s="1360"/>
      <c r="AG14" s="1357">
        <f t="shared" ref="AG14:AG19" si="0">ROUND(SUM(X14-AD14),1)</f>
        <v>1963.2</v>
      </c>
      <c r="AH14" s="1361"/>
      <c r="AI14" s="1186">
        <f t="shared" ref="AI14:AI19" si="1">ROUND(SUM((+X14-AD14)/ABS(AD14)),3)</f>
        <v>8.3000000000000004E-2</v>
      </c>
      <c r="AJ14" s="1950"/>
    </row>
    <row r="15" spans="1:36" ht="18" customHeight="1">
      <c r="A15" s="1347" t="s">
        <v>116</v>
      </c>
      <c r="B15" s="1362" t="s">
        <v>103</v>
      </c>
      <c r="C15" s="1347"/>
      <c r="D15" s="2000">
        <f>'Exhibit F'!J38</f>
        <v>950.4</v>
      </c>
      <c r="E15" s="1329"/>
      <c r="F15" s="1329">
        <f>'Exhibit F'!AC38</f>
        <v>3717.5</v>
      </c>
      <c r="G15" s="1329"/>
      <c r="H15" s="1329">
        <f>'Exhibit G'!J29</f>
        <v>179</v>
      </c>
      <c r="I15" s="1329"/>
      <c r="J15" s="1329">
        <f>'Exhibit G'!AE29</f>
        <v>829.4</v>
      </c>
      <c r="K15" s="1329"/>
      <c r="L15" s="1187">
        <f>'Exhibit H'!H21</f>
        <v>895.8</v>
      </c>
      <c r="M15" s="1329"/>
      <c r="N15" s="1329">
        <f>'Exhibit H'!AA21</f>
        <v>3527.9</v>
      </c>
      <c r="O15" s="1329"/>
      <c r="P15" s="1187">
        <f>'Exhibit I'!K21</f>
        <v>46.4</v>
      </c>
      <c r="Q15" s="1329"/>
      <c r="R15" s="1187">
        <f>'Exhibit I'!AD21</f>
        <v>196.7</v>
      </c>
      <c r="S15" s="1363"/>
      <c r="T15" s="1363"/>
      <c r="U15" s="1329"/>
      <c r="V15" s="1329">
        <f>ROUND(SUM(D15)+SUM(H15)+SUM(L15)+SUM(P15),1)</f>
        <v>2071.6</v>
      </c>
      <c r="W15" s="1329" t="s">
        <v>103</v>
      </c>
      <c r="X15" s="1329">
        <f t="shared" ref="X15:X19" si="2">ROUND(SUM(F15)+SUM(J15)+SUM(N15)+SUM(R15),1)</f>
        <v>8271.5</v>
      </c>
      <c r="Y15" s="1363"/>
      <c r="Z15" s="1364"/>
      <c r="AA15" s="1329"/>
      <c r="AB15" s="1188">
        <v>1854.3</v>
      </c>
      <c r="AC15" s="1329"/>
      <c r="AD15" s="1299">
        <f>'Exhibit F'!AF38+'Exhibit G'!AH29+'Exhibit H'!AD21+'Exhibit I'!AG21</f>
        <v>7621.7999999999993</v>
      </c>
      <c r="AE15" s="1329"/>
      <c r="AF15" s="1365"/>
      <c r="AG15" s="1329">
        <f t="shared" si="0"/>
        <v>649.70000000000005</v>
      </c>
      <c r="AI15" s="1186">
        <f t="shared" si="1"/>
        <v>8.5000000000000006E-2</v>
      </c>
      <c r="AJ15" s="1950"/>
    </row>
    <row r="16" spans="1:36" ht="18" customHeight="1">
      <c r="A16" s="1347" t="s">
        <v>117</v>
      </c>
      <c r="B16" s="1366"/>
      <c r="C16" s="1347"/>
      <c r="D16" s="2000">
        <f>'Exhibit F'!J46</f>
        <v>129.69999999999999</v>
      </c>
      <c r="E16" s="1329"/>
      <c r="F16" s="1329">
        <f>'Exhibit F'!AC46</f>
        <v>5921</v>
      </c>
      <c r="G16" s="1329"/>
      <c r="H16" s="1329">
        <f>'Exhibit G'!J36</f>
        <v>101</v>
      </c>
      <c r="I16" s="1329"/>
      <c r="J16" s="1329">
        <f>'Exhibit G'!AE36</f>
        <v>1154.2</v>
      </c>
      <c r="K16" s="1329"/>
      <c r="L16" s="1187">
        <f>'Exhibit H'!H24</f>
        <v>10.8</v>
      </c>
      <c r="M16" s="1329"/>
      <c r="N16" s="1187">
        <f>'Exhibit H'!AA24</f>
        <v>2446.1999999999998</v>
      </c>
      <c r="O16" s="1329"/>
      <c r="P16" s="1187">
        <f>'Exhibit I'!K26</f>
        <v>55.9</v>
      </c>
      <c r="Q16" s="1329"/>
      <c r="R16" s="1187">
        <f>'Exhibit I'!AD26</f>
        <v>194.8</v>
      </c>
      <c r="S16" s="1363"/>
      <c r="T16" s="1363"/>
      <c r="U16" s="1329"/>
      <c r="V16" s="1329">
        <f t="shared" ref="V16:V17" si="3">ROUND(SUM(D16)+SUM(H16)+SUM(L16)+SUM(P16),1)</f>
        <v>297.39999999999998</v>
      </c>
      <c r="W16" s="1329" t="s">
        <v>103</v>
      </c>
      <c r="X16" s="1329">
        <f t="shared" si="2"/>
        <v>9716.2000000000007</v>
      </c>
      <c r="Y16" s="1363"/>
      <c r="Z16" s="1364"/>
      <c r="AA16" s="1329"/>
      <c r="AB16" s="1188">
        <v>236.5</v>
      </c>
      <c r="AC16" s="1329"/>
      <c r="AD16" s="1347">
        <f>'Exhibit F'!AF46+'Exhibit G'!AH36+'Exhibit I'!AG26+'Exhibit H'!AD23</f>
        <v>7751.7</v>
      </c>
      <c r="AE16" s="1329"/>
      <c r="AF16" s="1365"/>
      <c r="AG16" s="1329">
        <f t="shared" si="0"/>
        <v>1964.5</v>
      </c>
      <c r="AI16" s="1186">
        <f t="shared" si="1"/>
        <v>0.253</v>
      </c>
      <c r="AJ16" s="1950"/>
    </row>
    <row r="17" spans="1:36" ht="18" customHeight="1">
      <c r="A17" s="1347" t="s">
        <v>118</v>
      </c>
      <c r="B17" s="1362" t="s">
        <v>103</v>
      </c>
      <c r="C17" s="1347"/>
      <c r="D17" s="2000">
        <f>'Exhibit F'!J54</f>
        <v>272.7</v>
      </c>
      <c r="E17" s="1329"/>
      <c r="F17" s="1329">
        <f>'Exhibit F'!AC54</f>
        <v>649.6</v>
      </c>
      <c r="G17" s="1329"/>
      <c r="H17" s="1329">
        <v>0</v>
      </c>
      <c r="I17" s="1329"/>
      <c r="J17" s="1329">
        <v>0</v>
      </c>
      <c r="K17" s="1329"/>
      <c r="L17" s="1187">
        <f>'Exhibit H'!H28</f>
        <v>114.4</v>
      </c>
      <c r="M17" s="1329"/>
      <c r="N17" s="1329">
        <f>'Exhibit H'!AA28</f>
        <v>436.2</v>
      </c>
      <c r="O17" s="1329"/>
      <c r="P17" s="1187">
        <f>'Exhibit I'!K29</f>
        <v>25.8</v>
      </c>
      <c r="Q17" s="1329"/>
      <c r="R17" s="1187">
        <f>'Exhibit I'!AD29</f>
        <v>51.5</v>
      </c>
      <c r="S17" s="1363"/>
      <c r="T17" s="1363"/>
      <c r="U17" s="1329"/>
      <c r="V17" s="1329">
        <f t="shared" si="3"/>
        <v>412.9</v>
      </c>
      <c r="W17" s="1329" t="s">
        <v>103</v>
      </c>
      <c r="X17" s="1329">
        <f t="shared" si="2"/>
        <v>1137.3</v>
      </c>
      <c r="Y17" s="1363"/>
      <c r="Z17" s="1364"/>
      <c r="AA17" s="1329"/>
      <c r="AB17" s="1188">
        <v>225.3</v>
      </c>
      <c r="AC17" s="1329"/>
      <c r="AD17" s="1329">
        <f>'Exhibit F'!AF54+'Exhibit H'!AD28+'Exhibit I'!AG29</f>
        <v>941.80000000000007</v>
      </c>
      <c r="AE17" s="1329"/>
      <c r="AF17" s="1365"/>
      <c r="AG17" s="1329">
        <f t="shared" si="0"/>
        <v>195.5</v>
      </c>
      <c r="AI17" s="1186">
        <f t="shared" si="1"/>
        <v>0.20799999999999999</v>
      </c>
      <c r="AJ17" s="1950"/>
    </row>
    <row r="18" spans="1:36" ht="18" customHeight="1">
      <c r="A18" s="1347" t="s">
        <v>119</v>
      </c>
      <c r="B18" s="1362" t="s">
        <v>103</v>
      </c>
      <c r="C18" s="1347"/>
      <c r="D18" s="2000">
        <f>'Exhibit F'!J97</f>
        <v>182.7</v>
      </c>
      <c r="E18" s="1329"/>
      <c r="F18" s="1329">
        <f>'Exhibit F'!AC97</f>
        <v>1320.3</v>
      </c>
      <c r="G18" s="1329"/>
      <c r="H18" s="1329">
        <f>'Exhibit G'!J81</f>
        <v>2797.4</v>
      </c>
      <c r="I18" s="1329"/>
      <c r="J18" s="1329">
        <f>'Exhibit G'!AE81</f>
        <v>9926.7999999999993</v>
      </c>
      <c r="K18" s="1329"/>
      <c r="L18" s="1187">
        <f>'Exhibit H'!H51</f>
        <v>69.2</v>
      </c>
      <c r="M18" s="1329"/>
      <c r="N18" s="1187">
        <f>'Exhibit H'!AA51</f>
        <v>258.10000000000002</v>
      </c>
      <c r="O18" s="1329"/>
      <c r="P18" s="1187">
        <f>'Exhibit I'!K60</f>
        <v>669.8</v>
      </c>
      <c r="Q18" s="1329"/>
      <c r="R18" s="1329">
        <f>'Exhibit I'!AD60</f>
        <v>3206.9</v>
      </c>
      <c r="S18" s="1363"/>
      <c r="T18" s="1363"/>
      <c r="U18" s="1329"/>
      <c r="V18" s="1329">
        <f>ROUND(SUM(D18)+SUM(H18)+SUM(L18)+SUM(P18),1)</f>
        <v>3719.1</v>
      </c>
      <c r="W18" s="1329" t="s">
        <v>103</v>
      </c>
      <c r="X18" s="1329">
        <f>ROUND(SUM(F18)+SUM(J18)+SUM(N18)+SUM(R18),1)</f>
        <v>14712.1</v>
      </c>
      <c r="Y18" s="1363"/>
      <c r="Z18" s="1364"/>
      <c r="AA18" s="1329"/>
      <c r="AB18" s="1188">
        <v>3654.4</v>
      </c>
      <c r="AC18" s="1329"/>
      <c r="AD18" s="1329">
        <f>'Exhibit F'!AF97+'Exhibit G'!AH81+'Exhibit H'!AD51+'Exhibit I'!AG60</f>
        <v>11129.8</v>
      </c>
      <c r="AE18" s="1329"/>
      <c r="AF18" s="1365"/>
      <c r="AG18" s="1329">
        <f t="shared" si="0"/>
        <v>3582.3</v>
      </c>
      <c r="AI18" s="1186">
        <f t="shared" si="1"/>
        <v>0.32200000000000001</v>
      </c>
      <c r="AJ18" s="1950"/>
    </row>
    <row r="19" spans="1:36" ht="18" customHeight="1">
      <c r="A19" s="1347" t="s">
        <v>120</v>
      </c>
      <c r="B19" s="1356" t="s">
        <v>103</v>
      </c>
      <c r="C19" s="1347"/>
      <c r="D19" s="2000">
        <f>'Exhibit F'!J99</f>
        <v>0.29999999999999982</v>
      </c>
      <c r="E19" s="1329"/>
      <c r="F19" s="1329">
        <f>'Exhibit F'!AC99</f>
        <v>1.4</v>
      </c>
      <c r="G19" s="1329"/>
      <c r="H19" s="1329">
        <f>'Exhibit G'!J83</f>
        <v>8640.5</v>
      </c>
      <c r="I19" s="1329"/>
      <c r="J19" s="1329">
        <f>'Exhibit G'!AE83</f>
        <v>38166.300000000003</v>
      </c>
      <c r="K19" s="1329"/>
      <c r="L19" s="1187">
        <f>'Exhibit H'!H53</f>
        <v>0.59999999999999787</v>
      </c>
      <c r="M19" s="1329"/>
      <c r="N19" s="1329">
        <f>'Exhibit H'!AA53</f>
        <v>27.7</v>
      </c>
      <c r="O19" s="1329"/>
      <c r="P19" s="1187">
        <f>'Exhibit I'!K62</f>
        <v>300.39999999999998</v>
      </c>
      <c r="Q19" s="1329"/>
      <c r="R19" s="1329">
        <f>'Exhibit I'!AD62</f>
        <v>679.1</v>
      </c>
      <c r="S19" s="1363"/>
      <c r="T19" s="1363"/>
      <c r="U19" s="1329"/>
      <c r="V19" s="1329">
        <f>ROUND(SUM(D19)+SUM(H19)+SUM(L19)+SUM(P19),1)</f>
        <v>8941.7999999999993</v>
      </c>
      <c r="W19" s="1329" t="s">
        <v>103</v>
      </c>
      <c r="X19" s="1329">
        <f t="shared" si="2"/>
        <v>38874.5</v>
      </c>
      <c r="Y19" s="1363"/>
      <c r="Z19" s="1364"/>
      <c r="AA19" s="1329"/>
      <c r="AB19" s="1188">
        <v>8792.4</v>
      </c>
      <c r="AC19" s="1329"/>
      <c r="AD19" s="1329">
        <f>'Exhibit F'!AF99+'Exhibit G'!AH83+'Exhibit H'!AD53+'Exhibit I'!AG62</f>
        <v>33963.899999999994</v>
      </c>
      <c r="AE19" s="1329"/>
      <c r="AF19" s="1365"/>
      <c r="AG19" s="1329">
        <f t="shared" si="0"/>
        <v>4910.6000000000004</v>
      </c>
      <c r="AI19" s="1186">
        <f t="shared" si="1"/>
        <v>0.14499999999999999</v>
      </c>
      <c r="AJ19" s="1950"/>
    </row>
    <row r="20" spans="1:36" ht="18" customHeight="1">
      <c r="A20" s="1346" t="s">
        <v>121</v>
      </c>
      <c r="B20" s="1347"/>
      <c r="C20" s="1347"/>
      <c r="D20" s="1367">
        <f>ROUND(SUM(D14:D19),1)</f>
        <v>3927.2</v>
      </c>
      <c r="E20" s="1999"/>
      <c r="F20" s="1367">
        <f>ROUND(SUM(F14:F19),1)</f>
        <v>24444.3</v>
      </c>
      <c r="G20" s="1368"/>
      <c r="H20" s="1369">
        <f>ROUND(SUM(H14:H19),1)</f>
        <v>11717.9</v>
      </c>
      <c r="I20" s="1368"/>
      <c r="J20" s="1369">
        <f>ROUND(SUM(J14:J19),1)</f>
        <v>50076.7</v>
      </c>
      <c r="K20" s="1368"/>
      <c r="L20" s="1367">
        <f>ROUND(SUM(L14:L19),1)</f>
        <v>3482.2</v>
      </c>
      <c r="M20" s="1368"/>
      <c r="N20" s="1369">
        <f>ROUND(SUM(N14:N19),1)</f>
        <v>19530.599999999999</v>
      </c>
      <c r="O20" s="1368"/>
      <c r="P20" s="1369">
        <f>ROUND(SUM(P14:P19),1)</f>
        <v>1098.3</v>
      </c>
      <c r="Q20" s="1368"/>
      <c r="R20" s="1369">
        <f>ROUND(SUM(R14:R19),1)</f>
        <v>4329</v>
      </c>
      <c r="S20" s="1370"/>
      <c r="T20" s="1370"/>
      <c r="U20" s="1368"/>
      <c r="V20" s="1369">
        <f>ROUND(SUM(V14:V19),1)</f>
        <v>20225.599999999999</v>
      </c>
      <c r="W20" s="1368"/>
      <c r="X20" s="1369">
        <f>ROUND(SUM(X14:X19),1)</f>
        <v>98380.6</v>
      </c>
      <c r="Y20" s="1370"/>
      <c r="Z20" s="1371"/>
      <c r="AA20" s="1368"/>
      <c r="AB20" s="1369">
        <f>ROUND(SUM(AB14:AB19),1)</f>
        <v>19259.400000000001</v>
      </c>
      <c r="AC20" s="1368"/>
      <c r="AD20" s="1369">
        <f>ROUND(SUM(AD14:AD19),1)</f>
        <v>85114.8</v>
      </c>
      <c r="AE20" s="1368"/>
      <c r="AF20" s="1372"/>
      <c r="AG20" s="1369">
        <f>ROUND(SUM(AG14:AG19),1)</f>
        <v>13265.8</v>
      </c>
      <c r="AH20" s="1373"/>
      <c r="AI20" s="1374">
        <f>(+X20-AD20)/ABS(AD20)</f>
        <v>0.15585773566994227</v>
      </c>
      <c r="AJ20" s="1951"/>
    </row>
    <row r="21" spans="1:36" ht="16.399999999999999" customHeight="1">
      <c r="A21" s="1346"/>
      <c r="B21" s="1347"/>
      <c r="C21" s="1347"/>
      <c r="D21" s="1329"/>
      <c r="E21" s="1329"/>
      <c r="F21" s="1329"/>
      <c r="G21" s="1329"/>
      <c r="H21" s="1329"/>
      <c r="I21" s="1329"/>
      <c r="J21" s="1329"/>
      <c r="K21" s="1329"/>
      <c r="L21" s="1329"/>
      <c r="M21" s="1329"/>
      <c r="N21" s="1329"/>
      <c r="O21" s="1329"/>
      <c r="P21" s="1329"/>
      <c r="Q21" s="1329"/>
      <c r="R21" s="1329" t="s">
        <v>103</v>
      </c>
      <c r="S21" s="1363"/>
      <c r="T21" s="1363"/>
      <c r="U21" s="1329"/>
      <c r="V21" s="1329"/>
      <c r="W21" s="1329"/>
      <c r="X21" s="1329" t="s">
        <v>103</v>
      </c>
      <c r="Y21" s="1363"/>
      <c r="Z21" s="1364"/>
      <c r="AA21" s="1329"/>
      <c r="AB21" s="1329"/>
      <c r="AC21" s="1329"/>
      <c r="AD21" s="1329"/>
      <c r="AE21" s="1329"/>
      <c r="AF21" s="1365"/>
      <c r="AG21" s="1329"/>
      <c r="AI21" s="1334"/>
      <c r="AJ21" s="1950"/>
    </row>
    <row r="22" spans="1:36" ht="16.399999999999999" customHeight="1">
      <c r="A22" s="1346" t="s">
        <v>122</v>
      </c>
      <c r="B22" s="1347"/>
      <c r="C22" s="1347"/>
      <c r="D22" s="1329"/>
      <c r="E22" s="1329"/>
      <c r="F22" s="1329"/>
      <c r="G22" s="1329"/>
      <c r="H22" s="1329"/>
      <c r="I22" s="1329"/>
      <c r="J22" s="1329"/>
      <c r="K22" s="1329"/>
      <c r="L22" s="1329"/>
      <c r="M22" s="1329"/>
      <c r="N22" s="1329"/>
      <c r="O22" s="1329"/>
      <c r="P22" s="1329"/>
      <c r="Q22" s="1329"/>
      <c r="R22" s="1329" t="s">
        <v>103</v>
      </c>
      <c r="S22" s="1363"/>
      <c r="T22" s="1363"/>
      <c r="U22" s="1329"/>
      <c r="V22" s="1329"/>
      <c r="W22" s="1329"/>
      <c r="X22" s="1329" t="s">
        <v>103</v>
      </c>
      <c r="Y22" s="1363"/>
      <c r="Z22" s="1364"/>
      <c r="AA22" s="1329"/>
      <c r="AB22" s="1329"/>
      <c r="AC22" s="1329"/>
      <c r="AD22" s="1329"/>
      <c r="AE22" s="1329"/>
      <c r="AF22" s="1365"/>
      <c r="AG22" s="1329"/>
      <c r="AI22" s="1334"/>
      <c r="AJ22" s="1950"/>
    </row>
    <row r="23" spans="1:36" ht="16.399999999999999" customHeight="1">
      <c r="A23" s="1347" t="s">
        <v>123</v>
      </c>
      <c r="B23" s="1356" t="s">
        <v>103</v>
      </c>
      <c r="C23" s="1347"/>
      <c r="D23" s="1375" t="s">
        <v>103</v>
      </c>
      <c r="E23" s="1329"/>
      <c r="F23" s="1375" t="s">
        <v>103</v>
      </c>
      <c r="G23" s="1329"/>
      <c r="H23" s="1376"/>
      <c r="I23" s="1329"/>
      <c r="J23" s="1376"/>
      <c r="K23" s="1329"/>
      <c r="L23" s="1376"/>
      <c r="M23" s="1329"/>
      <c r="N23" s="1376"/>
      <c r="O23" s="1329"/>
      <c r="P23" s="1376"/>
      <c r="Q23" s="1329"/>
      <c r="R23" s="1376"/>
      <c r="S23" s="1363"/>
      <c r="T23" s="1363"/>
      <c r="U23" s="1329"/>
      <c r="V23" s="1376"/>
      <c r="W23" s="1329"/>
      <c r="X23" s="1376"/>
      <c r="Y23" s="1363"/>
      <c r="Z23" s="1364"/>
      <c r="AA23" s="1329"/>
      <c r="AB23" s="1376"/>
      <c r="AC23" s="1329"/>
      <c r="AD23" s="1376"/>
      <c r="AE23" s="1329"/>
      <c r="AF23" s="1365"/>
      <c r="AG23" s="1376"/>
      <c r="AI23" s="1377"/>
      <c r="AJ23" s="1950"/>
    </row>
    <row r="24" spans="1:36" ht="18" customHeight="1">
      <c r="A24" s="1378" t="s">
        <v>124</v>
      </c>
      <c r="B24" s="1347"/>
      <c r="C24" s="1347"/>
      <c r="D24" s="2000">
        <f>'Exhibit F'!J105</f>
        <v>516.90000000000146</v>
      </c>
      <c r="E24" s="1329"/>
      <c r="F24" s="1329">
        <f>'Exhibit F'!AC105</f>
        <v>11661.7</v>
      </c>
      <c r="G24" s="1329"/>
      <c r="H24" s="1187">
        <f>'Exhibit G'!J89</f>
        <v>428.9</v>
      </c>
      <c r="I24" s="1329"/>
      <c r="J24" s="1329">
        <f>'Exhibit G'!AE89</f>
        <v>2330.1</v>
      </c>
      <c r="K24" s="1329"/>
      <c r="L24" s="1376">
        <v>0</v>
      </c>
      <c r="M24" s="1329"/>
      <c r="N24" s="1376">
        <v>0</v>
      </c>
      <c r="O24" s="1329"/>
      <c r="P24" s="1187">
        <f>'Exhibit I'!K68</f>
        <v>9.4999999999999929</v>
      </c>
      <c r="Q24" s="1187"/>
      <c r="R24" s="1329">
        <f>'Exhibit I'!AD68</f>
        <v>64.599999999999994</v>
      </c>
      <c r="S24" s="1363"/>
      <c r="T24" s="1363"/>
      <c r="U24" s="1329"/>
      <c r="V24" s="1329">
        <f>ROUND(SUM(D24)+SUM(H24)+SUM(L24)+SUM(P24),1)</f>
        <v>955.3</v>
      </c>
      <c r="W24" s="1329" t="s">
        <v>103</v>
      </c>
      <c r="X24" s="1329">
        <f>ROUND(SUM(F24)+SUM(J24)+SUM(N24)+SUM(R24),1)</f>
        <v>14056.4</v>
      </c>
      <c r="Y24" s="1363"/>
      <c r="Z24" s="1364"/>
      <c r="AA24" s="1329"/>
      <c r="AB24" s="1188">
        <v>1528</v>
      </c>
      <c r="AC24" s="1329"/>
      <c r="AD24" s="1329">
        <f>'Exhibit F'!AF105+'Exhibit G'!AH89+'Exhibit I'!AG68</f>
        <v>13702.5</v>
      </c>
      <c r="AE24" s="1187"/>
      <c r="AF24" s="1379"/>
      <c r="AG24" s="1329">
        <f>ROUND(SUM(X24-AD24),1)</f>
        <v>353.9</v>
      </c>
      <c r="AI24" s="1186">
        <f>ROUND(SUM((+X24-AD24)/ABS(AD24)),3)</f>
        <v>2.5999999999999999E-2</v>
      </c>
      <c r="AJ24" s="1950"/>
    </row>
    <row r="25" spans="1:36" ht="18" customHeight="1">
      <c r="A25" s="1378" t="s">
        <v>125</v>
      </c>
      <c r="B25" s="1380"/>
      <c r="C25" s="1347"/>
      <c r="D25" s="2000">
        <f>'Exhibit F'!J106</f>
        <v>0.79999999999999938</v>
      </c>
      <c r="E25" s="1329"/>
      <c r="F25" s="1329">
        <f>'Exhibit F'!AC106</f>
        <v>3.8</v>
      </c>
      <c r="G25" s="1329"/>
      <c r="H25" s="1187">
        <f>'Exhibit G'!J90</f>
        <v>2.2000000000000002</v>
      </c>
      <c r="I25" s="1329"/>
      <c r="J25" s="1329">
        <f>'Exhibit G'!AE90</f>
        <v>2.7</v>
      </c>
      <c r="K25" s="1329"/>
      <c r="L25" s="1376">
        <v>0</v>
      </c>
      <c r="M25" s="1329"/>
      <c r="N25" s="1376">
        <v>0</v>
      </c>
      <c r="O25" s="1329"/>
      <c r="P25" s="1187">
        <f>'Exhibit I'!K69</f>
        <v>35.100000000000009</v>
      </c>
      <c r="Q25" s="1187"/>
      <c r="R25" s="1329">
        <f>'Exhibit I'!AD69</f>
        <v>107.8</v>
      </c>
      <c r="S25" s="1363"/>
      <c r="T25" s="1363"/>
      <c r="U25" s="1329"/>
      <c r="V25" s="1329">
        <f t="shared" ref="V25:V32" si="4">ROUND(SUM(D25)+SUM(H25)+SUM(L25)+SUM(P25),1)</f>
        <v>38.1</v>
      </c>
      <c r="W25" s="1329" t="s">
        <v>103</v>
      </c>
      <c r="X25" s="1329">
        <f t="shared" ref="X25:X32" si="5">ROUND(SUM(F25)+SUM(J25)+SUM(N25)+SUM(R25),1)</f>
        <v>114.3</v>
      </c>
      <c r="Y25" s="1363"/>
      <c r="Z25" s="1364"/>
      <c r="AA25" s="1329"/>
      <c r="AB25" s="1188">
        <v>32.300000000000004</v>
      </c>
      <c r="AC25" s="1187"/>
      <c r="AD25" s="1329">
        <f>'Exhibit F'!AF106+'Exhibit G'!AH90+'Exhibit I'!AG69</f>
        <v>69.199999999999989</v>
      </c>
      <c r="AE25" s="1329"/>
      <c r="AF25" s="1365"/>
      <c r="AG25" s="1329">
        <f t="shared" ref="AG25:AG33" si="6">ROUND(SUM(X25-AD25),1)</f>
        <v>45.1</v>
      </c>
      <c r="AI25" s="1381">
        <f t="shared" ref="AI25:AI32" si="7">ROUND(SUM((+X25-AD25)/ABS(AD25)),3)</f>
        <v>0.65200000000000002</v>
      </c>
      <c r="AJ25" s="1950"/>
    </row>
    <row r="26" spans="1:36" ht="18" customHeight="1">
      <c r="A26" s="1378" t="s">
        <v>126</v>
      </c>
      <c r="B26" s="1382"/>
      <c r="C26" s="1347"/>
      <c r="D26" s="2000">
        <f>'Exhibit F'!J107</f>
        <v>57.099999999999952</v>
      </c>
      <c r="E26" s="1329"/>
      <c r="F26" s="1329">
        <f>'Exhibit F'!AC107</f>
        <v>893.19999999999993</v>
      </c>
      <c r="G26" s="1329"/>
      <c r="H26" s="1187">
        <f>'Exhibit G'!J91</f>
        <v>33.6</v>
      </c>
      <c r="I26" s="1329"/>
      <c r="J26" s="1329">
        <f>'Exhibit G'!AE91</f>
        <v>141</v>
      </c>
      <c r="K26" s="1329"/>
      <c r="L26" s="1376">
        <v>0</v>
      </c>
      <c r="M26" s="1329"/>
      <c r="N26" s="1376">
        <v>0</v>
      </c>
      <c r="O26" s="1329"/>
      <c r="P26" s="1187">
        <f>'Exhibit I'!K70</f>
        <v>79.699999999999989</v>
      </c>
      <c r="Q26" s="1187"/>
      <c r="R26" s="1329">
        <f>'Exhibit I'!AD70</f>
        <v>191.7</v>
      </c>
      <c r="S26" s="1363"/>
      <c r="T26" s="1363"/>
      <c r="U26" s="1329"/>
      <c r="V26" s="1329">
        <f t="shared" si="4"/>
        <v>170.4</v>
      </c>
      <c r="W26" s="1329" t="s">
        <v>103</v>
      </c>
      <c r="X26" s="1329">
        <f t="shared" si="5"/>
        <v>1225.9000000000001</v>
      </c>
      <c r="Y26" s="1363"/>
      <c r="Z26" s="1364"/>
      <c r="AA26" s="1329"/>
      <c r="AB26" s="1188">
        <v>98.3</v>
      </c>
      <c r="AC26" s="1329"/>
      <c r="AD26" s="1329">
        <f>'Exhibit F'!AF107+'Exhibit G'!AH91+'Exhibit I'!AG70</f>
        <v>802.09999999999991</v>
      </c>
      <c r="AE26" s="1329"/>
      <c r="AF26" s="1365"/>
      <c r="AG26" s="1329">
        <f t="shared" si="6"/>
        <v>423.8</v>
      </c>
      <c r="AI26" s="1186">
        <f t="shared" si="7"/>
        <v>0.52800000000000002</v>
      </c>
      <c r="AJ26" s="1950"/>
    </row>
    <row r="27" spans="1:36" ht="18" customHeight="1">
      <c r="A27" s="1378" t="s">
        <v>127</v>
      </c>
      <c r="B27" s="1356"/>
      <c r="C27" s="1347"/>
      <c r="D27" s="2000"/>
      <c r="E27" s="1329"/>
      <c r="F27" s="1329"/>
      <c r="G27" s="1329"/>
      <c r="H27" s="1187"/>
      <c r="I27" s="1329"/>
      <c r="J27" s="1329" t="s">
        <v>103</v>
      </c>
      <c r="K27" s="1329"/>
      <c r="L27" s="1375" t="s">
        <v>103</v>
      </c>
      <c r="M27" s="1329"/>
      <c r="N27" s="1375" t="s">
        <v>103</v>
      </c>
      <c r="O27" s="1329"/>
      <c r="P27" s="1187"/>
      <c r="Q27" s="1187"/>
      <c r="R27" s="1329"/>
      <c r="S27" s="1363"/>
      <c r="T27" s="1363"/>
      <c r="U27" s="1329"/>
      <c r="V27" s="1329" t="s">
        <v>103</v>
      </c>
      <c r="W27" s="1329"/>
      <c r="X27" s="1329" t="s">
        <v>103</v>
      </c>
      <c r="Y27" s="1363"/>
      <c r="Z27" s="1364"/>
      <c r="AA27" s="1329"/>
      <c r="AB27" s="1329"/>
      <c r="AC27" s="1329"/>
      <c r="AD27" s="1329"/>
      <c r="AE27" s="1329"/>
      <c r="AF27" s="1365"/>
      <c r="AG27" s="1329"/>
      <c r="AI27" s="1186" t="s">
        <v>103</v>
      </c>
      <c r="AJ27" s="1950"/>
    </row>
    <row r="28" spans="1:36" ht="18" customHeight="1">
      <c r="A28" s="1383" t="s">
        <v>128</v>
      </c>
      <c r="B28" s="1362"/>
      <c r="C28" s="1347"/>
      <c r="D28" s="2000">
        <f>'Exhibit F'!J109</f>
        <v>3777.199999999998</v>
      </c>
      <c r="E28" s="1329"/>
      <c r="F28" s="1329">
        <f>'Exhibit F'!AC109</f>
        <v>13593.4</v>
      </c>
      <c r="G28" s="1329"/>
      <c r="H28" s="1187">
        <f>'Exhibit G'!J93</f>
        <v>5964.2000000000016</v>
      </c>
      <c r="I28" s="1329"/>
      <c r="J28" s="1329">
        <f>'Exhibit G'!AE93</f>
        <v>21693</v>
      </c>
      <c r="K28" s="1329"/>
      <c r="L28" s="1376">
        <v>0</v>
      </c>
      <c r="M28" s="1329"/>
      <c r="N28" s="1376">
        <v>0</v>
      </c>
      <c r="O28" s="1329"/>
      <c r="P28" s="1187">
        <v>0</v>
      </c>
      <c r="Q28" s="1187"/>
      <c r="R28" s="1376">
        <v>0</v>
      </c>
      <c r="S28" s="1363"/>
      <c r="T28" s="1363"/>
      <c r="U28" s="1329"/>
      <c r="V28" s="1329">
        <f t="shared" si="4"/>
        <v>9741.4</v>
      </c>
      <c r="W28" s="1329" t="s">
        <v>103</v>
      </c>
      <c r="X28" s="1329">
        <f t="shared" si="5"/>
        <v>35286.400000000001</v>
      </c>
      <c r="Y28" s="1363"/>
      <c r="Z28" s="1364"/>
      <c r="AA28" s="1329"/>
      <c r="AB28" s="1188">
        <v>8456.6</v>
      </c>
      <c r="AC28" s="1329"/>
      <c r="AD28" s="1329">
        <f>'Exhibit F'!AF109+'Exhibit G'!AH93</f>
        <v>33002.199999999997</v>
      </c>
      <c r="AE28" s="1329"/>
      <c r="AF28" s="1365"/>
      <c r="AG28" s="1329">
        <f t="shared" si="6"/>
        <v>2284.1999999999998</v>
      </c>
      <c r="AI28" s="1186">
        <f t="shared" si="7"/>
        <v>6.9000000000000006E-2</v>
      </c>
      <c r="AJ28" s="1950"/>
    </row>
    <row r="29" spans="1:36" ht="18" customHeight="1">
      <c r="A29" s="1378" t="s">
        <v>129</v>
      </c>
      <c r="B29" s="1362"/>
      <c r="C29" s="1347"/>
      <c r="D29" s="2000">
        <f>'Exhibit F'!J110</f>
        <v>325.99999999999994</v>
      </c>
      <c r="E29" s="1329"/>
      <c r="F29" s="1329">
        <f>'Exhibit F'!AC110</f>
        <v>1082</v>
      </c>
      <c r="G29" s="1329"/>
      <c r="H29" s="1187">
        <f>'Exhibit G'!J94</f>
        <v>1191.1999999999994</v>
      </c>
      <c r="I29" s="1329"/>
      <c r="J29" s="1329">
        <f>'Exhibit G'!AE94</f>
        <v>5905.8</v>
      </c>
      <c r="K29" s="1329"/>
      <c r="L29" s="1376">
        <v>0</v>
      </c>
      <c r="M29" s="1329"/>
      <c r="N29" s="1376">
        <v>0</v>
      </c>
      <c r="O29" s="1329"/>
      <c r="P29" s="1187">
        <f>'Exhibit I'!K72</f>
        <v>52.199999999999982</v>
      </c>
      <c r="Q29" s="1187"/>
      <c r="R29" s="1329">
        <f>'Exhibit I'!AD72</f>
        <v>204.4</v>
      </c>
      <c r="S29" s="1363"/>
      <c r="T29" s="1363"/>
      <c r="U29" s="1329"/>
      <c r="V29" s="1329">
        <f t="shared" si="4"/>
        <v>1569.4</v>
      </c>
      <c r="W29" s="1329" t="s">
        <v>103</v>
      </c>
      <c r="X29" s="1329">
        <f t="shared" si="5"/>
        <v>7192.2</v>
      </c>
      <c r="Y29" s="1363"/>
      <c r="Z29" s="1364"/>
      <c r="AA29" s="1329"/>
      <c r="AB29" s="1188">
        <v>2000.2</v>
      </c>
      <c r="AC29" s="1329"/>
      <c r="AD29" s="1329">
        <f>'Exhibit F'!AF110+'Exhibit G'!AH94+'Exhibit I'!AG72</f>
        <v>7861.5999999999995</v>
      </c>
      <c r="AE29" s="1329"/>
      <c r="AF29" s="1365"/>
      <c r="AG29" s="1329">
        <f t="shared" si="6"/>
        <v>-669.4</v>
      </c>
      <c r="AI29" s="1186">
        <f t="shared" si="7"/>
        <v>-8.5000000000000006E-2</v>
      </c>
      <c r="AJ29" s="1950"/>
    </row>
    <row r="30" spans="1:36" ht="18" customHeight="1">
      <c r="A30" s="1378" t="s">
        <v>130</v>
      </c>
      <c r="B30" s="1356"/>
      <c r="C30" s="1347"/>
      <c r="D30" s="2000">
        <f>'Exhibit F'!J111</f>
        <v>39.5</v>
      </c>
      <c r="E30" s="1329"/>
      <c r="F30" s="1329">
        <f>'Exhibit F'!AC111</f>
        <v>190.3</v>
      </c>
      <c r="G30" s="1329"/>
      <c r="H30" s="1187">
        <f>'Exhibit G'!J95</f>
        <v>418.4</v>
      </c>
      <c r="I30" s="1329"/>
      <c r="J30" s="1329">
        <f>'Exhibit G'!AE95</f>
        <v>2294.5</v>
      </c>
      <c r="K30" s="1329"/>
      <c r="L30" s="1376">
        <v>0</v>
      </c>
      <c r="M30" s="1329"/>
      <c r="N30" s="1376">
        <v>0</v>
      </c>
      <c r="O30" s="1329"/>
      <c r="P30" s="1187">
        <f>'Exhibit I'!K73</f>
        <v>2.5</v>
      </c>
      <c r="Q30" s="1187"/>
      <c r="R30" s="1376">
        <f>'Exhibit I'!AD73</f>
        <v>21.2</v>
      </c>
      <c r="S30" s="1363"/>
      <c r="T30" s="1363"/>
      <c r="U30" s="1329"/>
      <c r="V30" s="1329">
        <f t="shared" si="4"/>
        <v>460.4</v>
      </c>
      <c r="W30" s="1329" t="s">
        <v>103</v>
      </c>
      <c r="X30" s="1329">
        <f t="shared" si="5"/>
        <v>2506</v>
      </c>
      <c r="Y30" s="1363"/>
      <c r="Z30" s="1364"/>
      <c r="AA30" s="1329"/>
      <c r="AB30" s="1188">
        <v>553.9</v>
      </c>
      <c r="AC30" s="1329"/>
      <c r="AD30" s="1329">
        <f>'Exhibit F'!AF111+'Exhibit G'!AH95+'Exhibit I'!AG73</f>
        <v>1863.7</v>
      </c>
      <c r="AE30" s="1329"/>
      <c r="AF30" s="1365"/>
      <c r="AG30" s="1329">
        <f t="shared" si="6"/>
        <v>642.29999999999995</v>
      </c>
      <c r="AI30" s="1381">
        <f t="shared" si="7"/>
        <v>0.34499999999999997</v>
      </c>
      <c r="AJ30" s="1950"/>
    </row>
    <row r="31" spans="1:36" ht="18" customHeight="1">
      <c r="A31" s="1378" t="s">
        <v>131</v>
      </c>
      <c r="B31" s="1347"/>
      <c r="C31" s="1347"/>
      <c r="D31" s="2000">
        <f>'Exhibit F'!J112</f>
        <v>208.79999999999998</v>
      </c>
      <c r="E31" s="1329"/>
      <c r="F31" s="1329">
        <f>'Exhibit F'!AC112</f>
        <v>1135.5999999999999</v>
      </c>
      <c r="G31" s="1329"/>
      <c r="H31" s="1187">
        <f>'Exhibit G'!J96</f>
        <v>493.7000000000001</v>
      </c>
      <c r="I31" s="1329"/>
      <c r="J31" s="1329">
        <f>'Exhibit G'!AE96</f>
        <v>2221.1</v>
      </c>
      <c r="K31" s="1329"/>
      <c r="L31" s="1376">
        <v>0</v>
      </c>
      <c r="M31" s="1329"/>
      <c r="N31" s="1376">
        <v>0</v>
      </c>
      <c r="O31" s="1329"/>
      <c r="P31" s="1187">
        <f>'Exhibit I'!K74</f>
        <v>157.29999999999998</v>
      </c>
      <c r="Q31" s="1187"/>
      <c r="R31" s="1329">
        <f>'Exhibit I'!AD74</f>
        <v>512.6</v>
      </c>
      <c r="S31" s="1363"/>
      <c r="T31" s="1363"/>
      <c r="U31" s="1329"/>
      <c r="V31" s="1329">
        <f t="shared" si="4"/>
        <v>859.8</v>
      </c>
      <c r="W31" s="1329" t="s">
        <v>103</v>
      </c>
      <c r="X31" s="1329">
        <f t="shared" si="5"/>
        <v>3869.3</v>
      </c>
      <c r="Y31" s="1363"/>
      <c r="Z31" s="1364"/>
      <c r="AA31" s="1329"/>
      <c r="AB31" s="1188">
        <v>766.3</v>
      </c>
      <c r="AC31" s="1329"/>
      <c r="AD31" s="1329">
        <f>'Exhibit F'!AF112+'Exhibit G'!AH96+'Exhibit I'!AG74</f>
        <v>3841.1000000000004</v>
      </c>
      <c r="AE31" s="1329"/>
      <c r="AF31" s="1365"/>
      <c r="AG31" s="1329">
        <f t="shared" si="6"/>
        <v>28.2</v>
      </c>
      <c r="AI31" s="1186">
        <f t="shared" si="7"/>
        <v>7.0000000000000001E-3</v>
      </c>
      <c r="AJ31" s="1950"/>
    </row>
    <row r="32" spans="1:36" ht="18" customHeight="1">
      <c r="A32" s="1378" t="s">
        <v>132</v>
      </c>
      <c r="B32" s="1356"/>
      <c r="C32" s="1347"/>
      <c r="D32" s="2000">
        <f>'Exhibit F'!J113</f>
        <v>22.399999999999984</v>
      </c>
      <c r="E32" s="1329"/>
      <c r="F32" s="1329">
        <f>'Exhibit F'!AC113</f>
        <v>92.6</v>
      </c>
      <c r="G32" s="1329"/>
      <c r="H32" s="1187">
        <f>'Exhibit G'!J97</f>
        <v>2.1999999999999993</v>
      </c>
      <c r="I32" s="1329"/>
      <c r="J32" s="1329">
        <f>'Exhibit G'!AE97</f>
        <v>5.8</v>
      </c>
      <c r="K32" s="1329"/>
      <c r="L32" s="1376">
        <v>0</v>
      </c>
      <c r="M32" s="1329" t="s">
        <v>103</v>
      </c>
      <c r="N32" s="1376">
        <v>0</v>
      </c>
      <c r="O32" s="1329"/>
      <c r="P32" s="1187">
        <f>'Exhibit I'!K75</f>
        <v>294.7</v>
      </c>
      <c r="Q32" s="1187"/>
      <c r="R32" s="1329">
        <f>'Exhibit I'!AD75</f>
        <v>584.5</v>
      </c>
      <c r="S32" s="1363"/>
      <c r="T32" s="1363"/>
      <c r="U32" s="1329"/>
      <c r="V32" s="1329">
        <f t="shared" si="4"/>
        <v>319.3</v>
      </c>
      <c r="W32" s="1329" t="s">
        <v>103</v>
      </c>
      <c r="X32" s="1329">
        <f t="shared" si="5"/>
        <v>682.9</v>
      </c>
      <c r="Y32" s="1363"/>
      <c r="Z32" s="1364"/>
      <c r="AA32" s="1329"/>
      <c r="AB32" s="1188">
        <v>240.6</v>
      </c>
      <c r="AC32" s="1329"/>
      <c r="AD32" s="1329">
        <f>'Exhibit F'!AF113+'Exhibit G'!AH97+'Exhibit I'!AG75</f>
        <v>514.70000000000005</v>
      </c>
      <c r="AE32" s="1329"/>
      <c r="AF32" s="1365"/>
      <c r="AG32" s="1329">
        <f t="shared" si="6"/>
        <v>168.2</v>
      </c>
      <c r="AI32" s="1186">
        <f t="shared" si="7"/>
        <v>0.32700000000000001</v>
      </c>
      <c r="AJ32" s="1950"/>
    </row>
    <row r="33" spans="1:36" ht="18" customHeight="1">
      <c r="A33" s="1378" t="s">
        <v>133</v>
      </c>
      <c r="B33" s="1347"/>
      <c r="C33" s="1347"/>
      <c r="D33" s="2000">
        <f>'Exhibit F'!J114</f>
        <v>0.20000000000000567</v>
      </c>
      <c r="E33" s="1329"/>
      <c r="F33" s="1329">
        <f>'Exhibit F'!AC114</f>
        <v>73</v>
      </c>
      <c r="G33" s="1329"/>
      <c r="H33" s="1187">
        <f>'Exhibit G'!J98</f>
        <v>416.40000000000015</v>
      </c>
      <c r="I33" s="1329"/>
      <c r="J33" s="1329">
        <f>'Exhibit G'!AE98</f>
        <v>1579.9</v>
      </c>
      <c r="K33" s="1329"/>
      <c r="L33" s="1376">
        <v>0</v>
      </c>
      <c r="M33" s="1329"/>
      <c r="N33" s="1376">
        <v>0</v>
      </c>
      <c r="O33" s="1329"/>
      <c r="P33" s="1187">
        <f>'Exhibit I'!K76</f>
        <v>500.2</v>
      </c>
      <c r="Q33" s="1187"/>
      <c r="R33" s="1329">
        <f>'Exhibit I'!AD76</f>
        <v>793.1</v>
      </c>
      <c r="S33" s="1363"/>
      <c r="T33" s="1363"/>
      <c r="U33" s="1329"/>
      <c r="V33" s="1329">
        <f>ROUND(SUM(D33)+SUM(H33)+SUM(L33)+SUM(P33),1)</f>
        <v>916.8</v>
      </c>
      <c r="W33" s="1329" t="s">
        <v>103</v>
      </c>
      <c r="X33" s="1329">
        <f>ROUND(SUM(F33)+SUM(J33)+SUM(N33)+SUM(R33),1)</f>
        <v>2446</v>
      </c>
      <c r="Y33" s="1363"/>
      <c r="Z33" s="1364"/>
      <c r="AA33" s="1329"/>
      <c r="AB33" s="1188">
        <v>669.69999999999993</v>
      </c>
      <c r="AC33" s="1329"/>
      <c r="AD33" s="1329">
        <f>'Exhibit F'!AF114+'Exhibit G'!AH98+'Exhibit I'!AG76</f>
        <v>2086.2000000000003</v>
      </c>
      <c r="AE33" s="1329"/>
      <c r="AF33" s="1365"/>
      <c r="AG33" s="1329">
        <f t="shared" si="6"/>
        <v>359.8</v>
      </c>
      <c r="AI33" s="1186">
        <f>ROUND(SUM((+X33-AD33)/ABS(AD33)),3)</f>
        <v>0.17199999999999999</v>
      </c>
      <c r="AJ33" s="1950"/>
    </row>
    <row r="34" spans="1:36" ht="18" customHeight="1">
      <c r="A34" s="1346" t="s">
        <v>134</v>
      </c>
      <c r="B34" s="1347"/>
      <c r="C34" s="1347"/>
      <c r="D34" s="1369">
        <f>ROUND(SUM(D24:D33),1)</f>
        <v>4948.8999999999996</v>
      </c>
      <c r="E34" s="1368"/>
      <c r="F34" s="1369">
        <f>ROUND(SUM(F24:F33),1)</f>
        <v>28725.599999999999</v>
      </c>
      <c r="G34" s="1368"/>
      <c r="H34" s="1369">
        <f>ROUND(SUM(H24:H33),1)</f>
        <v>8950.7999999999993</v>
      </c>
      <c r="I34" s="1368"/>
      <c r="J34" s="1369">
        <f>ROUND(SUM(J24:J33),1)</f>
        <v>36173.9</v>
      </c>
      <c r="K34" s="1368"/>
      <c r="L34" s="1369">
        <f>ROUND(SUM(L24:L33),1)</f>
        <v>0</v>
      </c>
      <c r="M34" s="1368"/>
      <c r="N34" s="2039">
        <f>ROUND(SUM(N24:N33),1)</f>
        <v>0</v>
      </c>
      <c r="O34" s="1368"/>
      <c r="P34" s="1367">
        <f>ROUND(SUM(P24:P33),1)</f>
        <v>1131.2</v>
      </c>
      <c r="Q34" s="1368"/>
      <c r="R34" s="1367">
        <f>ROUND(SUM(R24:R33),1)</f>
        <v>2479.9</v>
      </c>
      <c r="S34" s="1370"/>
      <c r="T34" s="1370"/>
      <c r="U34" s="1368"/>
      <c r="V34" s="1369">
        <f>ROUND(SUM(V24:V33),1)</f>
        <v>15030.9</v>
      </c>
      <c r="W34" s="1368"/>
      <c r="X34" s="1369">
        <f>ROUND(SUM(X24:X33),1)</f>
        <v>67379.399999999994</v>
      </c>
      <c r="Y34" s="1370"/>
      <c r="Z34" s="1371"/>
      <c r="AA34" s="1368"/>
      <c r="AB34" s="1369">
        <f>ROUND(SUM(AB23:AB33),1)</f>
        <v>14345.9</v>
      </c>
      <c r="AC34" s="1368"/>
      <c r="AD34" s="1369">
        <f>ROUND(SUM(AD23:AD33),1)</f>
        <v>63743.3</v>
      </c>
      <c r="AE34" s="1368"/>
      <c r="AF34" s="1372"/>
      <c r="AG34" s="1369">
        <f>ROUND(SUM(AG24:AG33),1)</f>
        <v>3636.1</v>
      </c>
      <c r="AH34" s="1373"/>
      <c r="AI34" s="1374">
        <f>ROUND(SUM((+X34-AD34)/ABS(AD34)),3)</f>
        <v>5.7000000000000002E-2</v>
      </c>
      <c r="AJ34" s="1952"/>
    </row>
    <row r="35" spans="1:36" ht="18" customHeight="1">
      <c r="A35" s="1347" t="s">
        <v>135</v>
      </c>
      <c r="B35" s="1382"/>
      <c r="C35" s="1347"/>
      <c r="D35" s="1329"/>
      <c r="E35" s="1329"/>
      <c r="F35" s="1329"/>
      <c r="G35" s="1329"/>
      <c r="H35" s="1329"/>
      <c r="I35" s="1329"/>
      <c r="J35" s="1329"/>
      <c r="K35" s="1329"/>
      <c r="L35" s="1329"/>
      <c r="M35" s="1329"/>
      <c r="N35" s="1329"/>
      <c r="O35" s="1329"/>
      <c r="P35" s="1329"/>
      <c r="Q35" s="1329"/>
      <c r="R35" s="1329"/>
      <c r="S35" s="1363"/>
      <c r="T35" s="1363"/>
      <c r="U35" s="1329"/>
      <c r="V35" s="1329"/>
      <c r="W35" s="1329"/>
      <c r="X35" s="1329" t="s">
        <v>103</v>
      </c>
      <c r="Y35" s="1363"/>
      <c r="Z35" s="1364"/>
      <c r="AA35" s="1329"/>
      <c r="AB35" s="1329"/>
      <c r="AC35" s="1329"/>
      <c r="AD35" s="1329"/>
      <c r="AE35" s="1329"/>
      <c r="AF35" s="1365"/>
      <c r="AG35" s="1329"/>
      <c r="AI35" s="1334"/>
      <c r="AJ35" s="1950"/>
    </row>
    <row r="36" spans="1:36" ht="18" customHeight="1">
      <c r="A36" s="1347" t="s">
        <v>136</v>
      </c>
      <c r="B36" s="1380"/>
      <c r="C36" s="1347"/>
      <c r="D36" s="1329">
        <f>'Exhibit F'!J117</f>
        <v>1153.3000000000004</v>
      </c>
      <c r="E36" s="1329"/>
      <c r="F36" s="1329">
        <f>'Exhibit F'!AC117</f>
        <v>4190.1000000000004</v>
      </c>
      <c r="G36" s="1329"/>
      <c r="H36" s="1187">
        <f>'Exhibit G'!J101</f>
        <v>839.50000000000023</v>
      </c>
      <c r="I36" s="1329"/>
      <c r="J36" s="1329">
        <f>'Exhibit G'!AE101</f>
        <v>2572.9</v>
      </c>
      <c r="K36" s="1329"/>
      <c r="L36" s="1375">
        <v>0</v>
      </c>
      <c r="M36" s="1329"/>
      <c r="N36" s="1375">
        <v>0</v>
      </c>
      <c r="O36" s="1329"/>
      <c r="P36" s="1375">
        <f>'Exhibit I'!K79</f>
        <v>0</v>
      </c>
      <c r="Q36" s="1329"/>
      <c r="R36" s="1375">
        <f>'Exhibit I'!AD79</f>
        <v>0</v>
      </c>
      <c r="S36" s="1363"/>
      <c r="T36" s="1363"/>
      <c r="U36" s="1329"/>
      <c r="V36" s="1329">
        <f>ROUND(SUM(D36)+SUM(H36)+SUM(L36)+SUM(P36),1)</f>
        <v>1992.8</v>
      </c>
      <c r="W36" s="1329" t="s">
        <v>103</v>
      </c>
      <c r="X36" s="1329">
        <f>ROUND(SUM(F36)+SUM(J36)+SUM(N36)+SUM(R36),1)</f>
        <v>6763</v>
      </c>
      <c r="Y36" s="1363"/>
      <c r="Z36" s="1364"/>
      <c r="AA36" s="1329"/>
      <c r="AB36" s="1188">
        <v>2049.9</v>
      </c>
      <c r="AC36" s="1329"/>
      <c r="AD36" s="1329">
        <f>'Exhibit F'!AF117+'Exhibit G'!AH101+'Exhibit I'!AG79</f>
        <v>6737</v>
      </c>
      <c r="AE36" s="1329"/>
      <c r="AF36" s="1365"/>
      <c r="AG36" s="1329">
        <f>ROUND(SUM(X36-AD36),1)</f>
        <v>26</v>
      </c>
      <c r="AI36" s="1186">
        <f>ROUND(SUM((+X36-AD36)/ABS(AD36)),3)</f>
        <v>4.0000000000000001E-3</v>
      </c>
      <c r="AJ36" s="1950"/>
    </row>
    <row r="37" spans="1:36" ht="18" customHeight="1">
      <c r="A37" s="1347" t="s">
        <v>137</v>
      </c>
      <c r="B37" s="1382"/>
      <c r="C37" s="1347"/>
      <c r="D37" s="1329">
        <f>'Exhibit F'!J118</f>
        <v>354.29999999999995</v>
      </c>
      <c r="E37" s="1329"/>
      <c r="F37" s="1329">
        <f>'Exhibit F'!AC118</f>
        <v>1099.8</v>
      </c>
      <c r="G37" s="1329"/>
      <c r="H37" s="1187">
        <f>'Exhibit G'!J102</f>
        <v>464.09999999999997</v>
      </c>
      <c r="I37" s="1329"/>
      <c r="J37" s="1329">
        <f>'Exhibit G'!AE102</f>
        <v>1850.3</v>
      </c>
      <c r="K37" s="1329"/>
      <c r="L37" s="1187">
        <f>'Exhibit H'!H59</f>
        <v>7.7</v>
      </c>
      <c r="M37" s="1329"/>
      <c r="N37" s="1329">
        <f>'Exhibit H'!AA59</f>
        <v>9.1</v>
      </c>
      <c r="O37" s="1329" t="s">
        <v>103</v>
      </c>
      <c r="P37" s="1375">
        <f>'Exhibit I'!K80</f>
        <v>0</v>
      </c>
      <c r="Q37" s="1329"/>
      <c r="R37" s="1375">
        <f>'Exhibit I'!AD80</f>
        <v>0</v>
      </c>
      <c r="S37" s="1363"/>
      <c r="T37" s="1363"/>
      <c r="U37" s="1329"/>
      <c r="V37" s="1329">
        <f>ROUND(SUM(D37)+SUM(H37)+SUM(L37)+SUM(P37),1)</f>
        <v>826.1</v>
      </c>
      <c r="W37" s="1329" t="s">
        <v>103</v>
      </c>
      <c r="X37" s="1329">
        <f>ROUND(SUM(F37)+SUM(J37)+SUM(N37)+SUM(R37),1)</f>
        <v>2959.2</v>
      </c>
      <c r="Y37" s="1363"/>
      <c r="Z37" s="1364"/>
      <c r="AA37" s="1329"/>
      <c r="AB37" s="1188">
        <v>762.6</v>
      </c>
      <c r="AC37" s="1329"/>
      <c r="AD37" s="1329">
        <f>'Exhibit F'!AF118+'Exhibit G'!AH102+'Exhibit I'!AG80+'Exhibit H'!AD59</f>
        <v>2710.7999999999997</v>
      </c>
      <c r="AE37" s="1329"/>
      <c r="AF37" s="1365"/>
      <c r="AG37" s="1329">
        <f>ROUND(SUM(X37-AD37),1)</f>
        <v>248.4</v>
      </c>
      <c r="AI37" s="1186">
        <f>ROUND(SUM((+X37-AD37)/ABS(AD37)),3)</f>
        <v>9.1999999999999998E-2</v>
      </c>
      <c r="AJ37" s="1950"/>
    </row>
    <row r="38" spans="1:36" ht="18" customHeight="1">
      <c r="A38" s="1347" t="s">
        <v>138</v>
      </c>
      <c r="B38" s="1356"/>
      <c r="C38" s="1347"/>
      <c r="D38" s="1329">
        <f>'Exhibit F'!J119</f>
        <v>734.8</v>
      </c>
      <c r="E38" s="1329"/>
      <c r="F38" s="1329">
        <f>'Exhibit F'!AC119</f>
        <v>3081.7</v>
      </c>
      <c r="G38" s="2040"/>
      <c r="H38" s="1187">
        <f>'Exhibit G'!J103</f>
        <v>224.40000000000003</v>
      </c>
      <c r="I38" s="1329"/>
      <c r="J38" s="1329">
        <f>'Exhibit G'!AE103</f>
        <v>640.70000000000005</v>
      </c>
      <c r="K38" s="1329"/>
      <c r="L38" s="1375">
        <v>0</v>
      </c>
      <c r="M38" s="1329"/>
      <c r="N38" s="1375">
        <v>0</v>
      </c>
      <c r="O38" s="1329"/>
      <c r="P38" s="1375">
        <f>'Exhibit I'!K81</f>
        <v>0</v>
      </c>
      <c r="Q38" s="1329"/>
      <c r="R38" s="1375">
        <f>'Exhibit I'!AD81</f>
        <v>0</v>
      </c>
      <c r="S38" s="1363"/>
      <c r="T38" s="1363"/>
      <c r="U38" s="1329"/>
      <c r="V38" s="1329">
        <f>ROUND(SUM(D38)+SUM(H38)+SUM(L38)+SUM(P38),1)</f>
        <v>959.2</v>
      </c>
      <c r="W38" s="1329" t="s">
        <v>103</v>
      </c>
      <c r="X38" s="1329">
        <f>ROUND(SUM(F38)+SUM(J38)+SUM(N38)+SUM(R38),1)</f>
        <v>3722.4</v>
      </c>
      <c r="Y38" s="1363"/>
      <c r="Z38" s="1364"/>
      <c r="AA38" s="1329"/>
      <c r="AB38" s="1188">
        <v>807.4</v>
      </c>
      <c r="AC38" s="1329"/>
      <c r="AD38" s="1329">
        <f>'Exhibit F'!AF119+'Exhibit G'!AH103+'Exhibit I'!AG81</f>
        <v>3284.5</v>
      </c>
      <c r="AE38" s="1329"/>
      <c r="AF38" s="1365"/>
      <c r="AG38" s="1329">
        <f>ROUND(SUM(X38-AD38),1)</f>
        <v>437.9</v>
      </c>
      <c r="AI38" s="1186">
        <f>ROUND(SUM((+X38-AD38)/ABS(AD38)),3)</f>
        <v>0.13300000000000001</v>
      </c>
      <c r="AJ38" s="1950"/>
    </row>
    <row r="39" spans="1:36" ht="18" customHeight="1">
      <c r="A39" s="1347" t="s">
        <v>139</v>
      </c>
      <c r="B39" s="1347"/>
      <c r="C39" s="1347"/>
      <c r="D39" s="1329"/>
      <c r="E39" s="1329"/>
      <c r="F39" s="1329"/>
      <c r="G39" s="1329"/>
      <c r="H39" s="1329"/>
      <c r="I39" s="1329"/>
      <c r="J39" s="2041"/>
      <c r="K39" s="1329"/>
      <c r="L39" s="1329"/>
      <c r="M39" s="1329"/>
      <c r="N39" s="1329"/>
      <c r="O39" s="1329"/>
      <c r="P39" s="1375"/>
      <c r="Q39" s="1329"/>
      <c r="R39" s="1329"/>
      <c r="S39" s="1363"/>
      <c r="T39" s="1363"/>
      <c r="U39" s="1329"/>
      <c r="V39" s="1329"/>
      <c r="W39" s="1329"/>
      <c r="X39" s="1329"/>
      <c r="Y39" s="1363"/>
      <c r="Z39" s="1364"/>
      <c r="AA39" s="1329"/>
      <c r="AB39" s="1329"/>
      <c r="AC39" s="1329"/>
      <c r="AD39" s="1329"/>
      <c r="AE39" s="1329"/>
      <c r="AF39" s="1365"/>
      <c r="AG39" s="1329"/>
      <c r="AI39" s="1186"/>
      <c r="AJ39" s="1950"/>
    </row>
    <row r="40" spans="1:36" ht="18" customHeight="1">
      <c r="A40" s="1347" t="s">
        <v>1424</v>
      </c>
      <c r="B40" s="1356"/>
      <c r="C40" s="1347"/>
      <c r="D40" s="1329">
        <v>0</v>
      </c>
      <c r="E40" s="1329"/>
      <c r="F40" s="1375">
        <v>0</v>
      </c>
      <c r="G40" s="1329"/>
      <c r="H40" s="1187">
        <f>'Exhibit G'!J105</f>
        <v>0</v>
      </c>
      <c r="I40" s="1329"/>
      <c r="J40" s="1375">
        <f>'Exhibit G'!AE105</f>
        <v>0</v>
      </c>
      <c r="K40" s="1329"/>
      <c r="L40" s="1329">
        <f>'Exhibit H'!H61</f>
        <v>0</v>
      </c>
      <c r="M40" s="1329"/>
      <c r="N40" s="1329">
        <f>'Exhibit H'!AA61</f>
        <v>15</v>
      </c>
      <c r="O40" s="1329" t="s">
        <v>103</v>
      </c>
      <c r="P40" s="1375">
        <v>0</v>
      </c>
      <c r="Q40" s="1329"/>
      <c r="R40" s="1375">
        <v>0</v>
      </c>
      <c r="S40" s="1363"/>
      <c r="T40" s="1363"/>
      <c r="U40" s="1329"/>
      <c r="V40" s="1329">
        <f>ROUND(SUM(D40)+SUM(H40)+SUM(L40)+SUM(P40),1)</f>
        <v>0</v>
      </c>
      <c r="W40" s="1329" t="s">
        <v>103</v>
      </c>
      <c r="X40" s="1329">
        <f>ROUND(SUM(F40)+SUM(J40)+SUM(N40)+SUM(R40),1)</f>
        <v>15</v>
      </c>
      <c r="Y40" s="1363"/>
      <c r="Z40" s="1364"/>
      <c r="AA40" s="1329"/>
      <c r="AB40" s="1188">
        <v>0</v>
      </c>
      <c r="AC40" s="1329"/>
      <c r="AD40" s="1329">
        <f>'Exhibit H'!AD61+'Exhibit G Federal'!AF76</f>
        <v>27.7</v>
      </c>
      <c r="AE40" s="1329"/>
      <c r="AF40" s="1365"/>
      <c r="AG40" s="1329">
        <f>ROUND(SUM(X40-AD40),1)</f>
        <v>-12.7</v>
      </c>
      <c r="AI40" s="1186">
        <f>ROUND(SUM((+X40-AD40)/ABS(AD40)),3)</f>
        <v>-0.45800000000000002</v>
      </c>
      <c r="AJ40" s="1953"/>
    </row>
    <row r="41" spans="1:36" ht="18" customHeight="1">
      <c r="A41" s="1347" t="s">
        <v>140</v>
      </c>
      <c r="B41" s="1356" t="s">
        <v>141</v>
      </c>
      <c r="C41" s="1347"/>
      <c r="D41" s="1329">
        <v>0</v>
      </c>
      <c r="E41" s="1329"/>
      <c r="F41" s="1375">
        <v>0</v>
      </c>
      <c r="G41" s="1329"/>
      <c r="H41" s="1187">
        <f>'Exhibit G'!J106</f>
        <v>0</v>
      </c>
      <c r="I41" s="1329"/>
      <c r="J41" s="1329">
        <f>'Exhibit G'!AE106</f>
        <v>0</v>
      </c>
      <c r="K41" s="1329"/>
      <c r="L41" s="1375">
        <v>0</v>
      </c>
      <c r="M41" s="1329"/>
      <c r="N41" s="1375">
        <v>0</v>
      </c>
      <c r="O41" s="1329"/>
      <c r="P41" s="1187">
        <f>'Exhibit I'!K82</f>
        <v>930.80000000000007</v>
      </c>
      <c r="Q41" s="1329"/>
      <c r="R41" s="1385">
        <f>'Exhibit I'!AD82</f>
        <v>3222.6</v>
      </c>
      <c r="S41" s="1363"/>
      <c r="T41" s="1363"/>
      <c r="U41" s="1329"/>
      <c r="V41" s="1329">
        <f>ROUND(SUM(D41)+SUM(H41)+SUM(L41)+SUM(P41),1)</f>
        <v>930.8</v>
      </c>
      <c r="W41" s="1329" t="s">
        <v>103</v>
      </c>
      <c r="X41" s="1329">
        <f>ROUND(SUM(F41)+SUM(J41)+SUM(N41)+SUM(R41),1)</f>
        <v>3222.6</v>
      </c>
      <c r="Y41" s="1363"/>
      <c r="Z41" s="1364"/>
      <c r="AA41" s="1329"/>
      <c r="AB41" s="1188">
        <v>921.4</v>
      </c>
      <c r="AC41" s="1329"/>
      <c r="AD41" s="1329">
        <f>'Exhibit G'!AH106+'Exhibit I'!AG82</f>
        <v>3257.1</v>
      </c>
      <c r="AE41" s="1329"/>
      <c r="AF41" s="1365"/>
      <c r="AG41" s="1329">
        <f>ROUND(SUM(X41-AD41),1)</f>
        <v>-34.5</v>
      </c>
      <c r="AI41" s="1186">
        <f>ROUND(SUM((+X41-AD41)/ABS(AD41)),3)</f>
        <v>-1.0999999999999999E-2</v>
      </c>
      <c r="AJ41" s="1953"/>
    </row>
    <row r="42" spans="1:36" ht="18" customHeight="1">
      <c r="A42" s="1346" t="s">
        <v>142</v>
      </c>
      <c r="B42" s="1347"/>
      <c r="C42" s="1347"/>
      <c r="D42" s="1369">
        <f>ROUND(SUM(D34:D41),1)</f>
        <v>7191.3</v>
      </c>
      <c r="E42" s="1368"/>
      <c r="F42" s="1369">
        <f>ROUND(SUM(F34:F41),1)</f>
        <v>37097.199999999997</v>
      </c>
      <c r="G42" s="1368"/>
      <c r="H42" s="1369">
        <f>ROUND(SUM(H34:H41),1)</f>
        <v>10478.799999999999</v>
      </c>
      <c r="I42" s="1368"/>
      <c r="J42" s="1369">
        <f>ROUND(SUM(J34:J41),1)</f>
        <v>41237.800000000003</v>
      </c>
      <c r="K42" s="1368"/>
      <c r="L42" s="1369">
        <f>ROUND(SUM(L34:L41),1)</f>
        <v>7.7</v>
      </c>
      <c r="M42" s="1368"/>
      <c r="N42" s="1369">
        <f>ROUND(SUM(N34:N41),1)</f>
        <v>24.1</v>
      </c>
      <c r="O42" s="1368"/>
      <c r="P42" s="1369">
        <f>ROUND(SUM(P34:P41),1)</f>
        <v>2062</v>
      </c>
      <c r="Q42" s="1368"/>
      <c r="R42" s="1369">
        <f>ROUND(SUM(R34:R41),1)</f>
        <v>5702.5</v>
      </c>
      <c r="S42" s="1370"/>
      <c r="T42" s="1370"/>
      <c r="U42" s="1368"/>
      <c r="V42" s="1369">
        <f>ROUND(SUM(V34:V41),1)</f>
        <v>19739.8</v>
      </c>
      <c r="W42" s="1368"/>
      <c r="X42" s="1369">
        <f>ROUND(SUM(X34:X41),1)</f>
        <v>84061.6</v>
      </c>
      <c r="Y42" s="1370"/>
      <c r="Z42" s="1371"/>
      <c r="AA42" s="1368"/>
      <c r="AB42" s="1369">
        <f>ROUND(SUM(AB34:AB41),1)</f>
        <v>18887.2</v>
      </c>
      <c r="AC42" s="1368"/>
      <c r="AD42" s="1369">
        <f>ROUND(SUM(AD34:AD41),1)</f>
        <v>79760.399999999994</v>
      </c>
      <c r="AE42" s="1368"/>
      <c r="AF42" s="1372"/>
      <c r="AG42" s="1369">
        <f>ROUND(SUM(AG34:AG41),1)</f>
        <v>4301.2</v>
      </c>
      <c r="AH42" s="1373"/>
      <c r="AI42" s="1374">
        <f>ROUND(SUM((+X42-AD42)/ABS(AD42)),3)</f>
        <v>5.3999999999999999E-2</v>
      </c>
      <c r="AJ42" s="1952"/>
    </row>
    <row r="43" spans="1:36" ht="16.399999999999999" customHeight="1">
      <c r="A43" s="1346"/>
      <c r="B43" s="1347"/>
      <c r="C43" s="1347"/>
      <c r="D43" s="1329"/>
      <c r="E43" s="1329"/>
      <c r="F43" s="1329"/>
      <c r="G43" s="1329"/>
      <c r="H43" s="1329"/>
      <c r="I43" s="1329"/>
      <c r="J43" s="1329" t="s">
        <v>103</v>
      </c>
      <c r="K43" s="1329"/>
      <c r="L43" s="1329"/>
      <c r="M43" s="1329"/>
      <c r="N43" s="1329"/>
      <c r="O43" s="1329"/>
      <c r="P43" s="1187"/>
      <c r="Q43" s="1329"/>
      <c r="R43" s="1329"/>
      <c r="S43" s="1363"/>
      <c r="T43" s="1363"/>
      <c r="U43" s="1329"/>
      <c r="V43" s="1329"/>
      <c r="W43" s="1329"/>
      <c r="X43" s="1329" t="s">
        <v>103</v>
      </c>
      <c r="Y43" s="1363"/>
      <c r="Z43" s="1364"/>
      <c r="AA43" s="1329"/>
      <c r="AB43" s="1329" t="s">
        <v>103</v>
      </c>
      <c r="AC43" s="1329"/>
      <c r="AD43" s="1329"/>
      <c r="AE43" s="1329"/>
      <c r="AF43" s="1365"/>
      <c r="AG43" s="1329"/>
      <c r="AI43" s="1334"/>
      <c r="AJ43" s="1950"/>
    </row>
    <row r="44" spans="1:36" ht="16.399999999999999" customHeight="1">
      <c r="A44" s="1346" t="s">
        <v>143</v>
      </c>
      <c r="B44" s="1346"/>
      <c r="C44" s="1347"/>
      <c r="D44" s="1329"/>
      <c r="E44" s="1329"/>
      <c r="F44" s="1329"/>
      <c r="G44" s="1329"/>
      <c r="H44" s="1329"/>
      <c r="I44" s="1329"/>
      <c r="J44" s="1329"/>
      <c r="K44" s="1329"/>
      <c r="L44" s="1329" t="s">
        <v>103</v>
      </c>
      <c r="M44" s="1329"/>
      <c r="N44" s="1329"/>
      <c r="O44" s="1329"/>
      <c r="P44" s="1187"/>
      <c r="Q44" s="1329"/>
      <c r="R44" s="1329"/>
      <c r="S44" s="1363"/>
      <c r="T44" s="1363"/>
      <c r="U44" s="1329"/>
      <c r="V44" s="1329"/>
      <c r="W44" s="1329"/>
      <c r="X44" s="1329"/>
      <c r="Y44" s="1363"/>
      <c r="Z44" s="1364"/>
      <c r="AA44" s="1329"/>
      <c r="AB44" s="1329"/>
      <c r="AC44" s="1329"/>
      <c r="AD44" s="1329"/>
      <c r="AE44" s="1329"/>
      <c r="AF44" s="1365"/>
      <c r="AG44" s="1329"/>
      <c r="AI44" s="1334"/>
      <c r="AJ44" s="1950"/>
    </row>
    <row r="45" spans="1:36" ht="16.399999999999999" customHeight="1">
      <c r="A45" s="1346" t="s">
        <v>144</v>
      </c>
      <c r="B45" s="1346"/>
      <c r="C45" s="1347"/>
      <c r="D45" s="1386">
        <f>ROUND(SUM(D20-D42),1)</f>
        <v>-3264.1</v>
      </c>
      <c r="E45" s="1368"/>
      <c r="F45" s="1386">
        <f>ROUND(SUM(F20-F42),1)</f>
        <v>-12652.9</v>
      </c>
      <c r="G45" s="1368"/>
      <c r="H45" s="1386">
        <f>ROUND(SUM(H20-H42),1)</f>
        <v>1239.0999999999999</v>
      </c>
      <c r="I45" s="1368"/>
      <c r="J45" s="1386">
        <f>ROUND(SUM(J20-J42),1)</f>
        <v>8838.9</v>
      </c>
      <c r="K45" s="1368"/>
      <c r="L45" s="1386">
        <f>ROUND(SUM(L20-L42),1)</f>
        <v>3474.5</v>
      </c>
      <c r="M45" s="1368" t="s">
        <v>103</v>
      </c>
      <c r="N45" s="1386">
        <f>ROUND(SUM(N20-N42),1)</f>
        <v>19506.5</v>
      </c>
      <c r="O45" s="1368" t="s">
        <v>103</v>
      </c>
      <c r="P45" s="2023">
        <f>ROUND(SUM(P20-P42),1)</f>
        <v>-963.7</v>
      </c>
      <c r="Q45" s="1368" t="s">
        <v>103</v>
      </c>
      <c r="R45" s="2023">
        <f>ROUND(SUM(R20-R42),1)</f>
        <v>-1373.5</v>
      </c>
      <c r="S45" s="1370"/>
      <c r="T45" s="1370"/>
      <c r="U45" s="1368"/>
      <c r="V45" s="1386">
        <f>ROUND(SUM(V20-V42),1)</f>
        <v>485.8</v>
      </c>
      <c r="W45" s="1368" t="s">
        <v>103</v>
      </c>
      <c r="X45" s="1386">
        <f>ROUND(SUM(X20-X42),1)</f>
        <v>14319</v>
      </c>
      <c r="Y45" s="1370"/>
      <c r="Z45" s="1371"/>
      <c r="AA45" s="1368"/>
      <c r="AB45" s="1386">
        <f>ROUND(SUM(AB20-AB42),1)</f>
        <v>372.2</v>
      </c>
      <c r="AC45" s="1368"/>
      <c r="AD45" s="1386">
        <f>ROUND(SUM(AD20-AD42),1)</f>
        <v>5354.4</v>
      </c>
      <c r="AE45" s="1368"/>
      <c r="AF45" s="1372"/>
      <c r="AG45" s="1386">
        <f>ROUND(SUM(X45-AD45),1)</f>
        <v>8964.6</v>
      </c>
      <c r="AH45" s="1373"/>
      <c r="AI45" s="1387">
        <f>ROUND(SUM((+X45-AD45)/ABS(AD45)),3)</f>
        <v>1.6739999999999999</v>
      </c>
      <c r="AJ45" s="1952"/>
    </row>
    <row r="46" spans="1:36" ht="16.399999999999999" customHeight="1">
      <c r="A46" s="1347"/>
      <c r="B46" s="1347"/>
      <c r="C46" s="1347"/>
      <c r="D46" s="1329"/>
      <c r="E46" s="1329"/>
      <c r="F46" s="1329"/>
      <c r="G46" s="1329"/>
      <c r="H46" s="1329"/>
      <c r="I46" s="1329"/>
      <c r="J46" s="1329" t="s">
        <v>103</v>
      </c>
      <c r="K46" s="1329"/>
      <c r="L46" s="1329"/>
      <c r="M46" s="1329"/>
      <c r="N46" s="1329"/>
      <c r="O46" s="1329"/>
      <c r="P46" s="1187"/>
      <c r="Q46" s="1329"/>
      <c r="R46" s="1329"/>
      <c r="S46" s="2024"/>
      <c r="T46" s="1363"/>
      <c r="U46" s="1329"/>
      <c r="W46" s="1329"/>
      <c r="X46" s="1329"/>
      <c r="Y46" s="1363"/>
      <c r="Z46" s="1364"/>
      <c r="AA46" s="1329"/>
      <c r="AB46" s="1329"/>
      <c r="AC46" s="1329"/>
      <c r="AD46" s="1329"/>
      <c r="AE46" s="1329"/>
      <c r="AF46" s="1365"/>
      <c r="AG46" s="1329"/>
      <c r="AI46" s="1334"/>
      <c r="AJ46" s="1950"/>
    </row>
    <row r="47" spans="1:36" ht="16.399999999999999" customHeight="1">
      <c r="A47" s="1346" t="s">
        <v>145</v>
      </c>
      <c r="B47" s="1346"/>
      <c r="C47" s="1347"/>
      <c r="D47" s="1329"/>
      <c r="E47" s="1329"/>
      <c r="F47" s="1329"/>
      <c r="G47" s="1329"/>
      <c r="H47" s="1329"/>
      <c r="I47" s="1329"/>
      <c r="J47" s="1329"/>
      <c r="K47" s="1329"/>
      <c r="L47" s="1329"/>
      <c r="M47" s="1329"/>
      <c r="N47" s="1329"/>
      <c r="O47" s="1329"/>
      <c r="P47" s="1187"/>
      <c r="Q47" s="1329"/>
      <c r="R47" s="1329"/>
      <c r="S47" s="1363"/>
      <c r="T47" s="1363"/>
      <c r="U47" s="1329"/>
      <c r="V47" s="1329"/>
      <c r="W47" s="1329"/>
      <c r="X47" s="1329"/>
      <c r="Y47" s="1363"/>
      <c r="Z47" s="1364"/>
      <c r="AA47" s="1329"/>
      <c r="AB47" s="1329"/>
      <c r="AC47" s="1329"/>
      <c r="AD47" s="1329"/>
      <c r="AE47" s="1329"/>
      <c r="AF47" s="1365"/>
      <c r="AG47" s="1329"/>
      <c r="AI47" s="1334"/>
      <c r="AJ47" s="1950"/>
    </row>
    <row r="48" spans="1:36" ht="18" customHeight="1">
      <c r="A48" s="1347" t="s">
        <v>146</v>
      </c>
      <c r="B48" s="1347"/>
      <c r="C48" s="1347"/>
      <c r="D48" s="1375">
        <v>0</v>
      </c>
      <c r="E48" s="1329"/>
      <c r="F48" s="1375">
        <v>0</v>
      </c>
      <c r="G48" s="1329"/>
      <c r="H48" s="1375">
        <v>0</v>
      </c>
      <c r="I48" s="1329"/>
      <c r="J48" s="1375">
        <v>0</v>
      </c>
      <c r="K48" s="1329"/>
      <c r="L48" s="1375">
        <v>0</v>
      </c>
      <c r="M48" s="1329"/>
      <c r="N48" s="1375">
        <v>0</v>
      </c>
      <c r="O48" s="1329"/>
      <c r="P48" s="1375">
        <f>'Exhibit I'!K90</f>
        <v>0</v>
      </c>
      <c r="Q48" s="1329"/>
      <c r="R48" s="1375">
        <f>'Exhibit I'!AD90</f>
        <v>0</v>
      </c>
      <c r="S48" s="1363"/>
      <c r="T48" s="1363"/>
      <c r="U48" s="1329"/>
      <c r="V48" s="1329">
        <f>ROUND(SUM(D48)+SUM(H48)+SUM(L48)+SUM(P48),1)</f>
        <v>0</v>
      </c>
      <c r="W48" s="1375"/>
      <c r="X48" s="1329">
        <f>ROUND(SUM(F48)+SUM(J48)+SUM(N48)+SUM(R48),1)</f>
        <v>0</v>
      </c>
      <c r="Y48" s="2018"/>
      <c r="Z48" s="1388"/>
      <c r="AA48" s="1389"/>
      <c r="AB48" s="1188">
        <v>0</v>
      </c>
      <c r="AC48" s="1375"/>
      <c r="AD48" s="1376">
        <f>'Exhibit I'!AG90</f>
        <v>0</v>
      </c>
      <c r="AE48" s="1375"/>
      <c r="AF48" s="1390"/>
      <c r="AG48" s="1329">
        <f>X48-AD48</f>
        <v>0</v>
      </c>
      <c r="AI48" s="1186">
        <f>ROUND(IF(AD48=0,0,AG48/ABS(AD48)),3)</f>
        <v>0</v>
      </c>
      <c r="AJ48" s="1953"/>
    </row>
    <row r="49" spans="1:36" ht="18" customHeight="1">
      <c r="A49" s="1347" t="s">
        <v>147</v>
      </c>
      <c r="B49" s="1356" t="s">
        <v>148</v>
      </c>
      <c r="C49" s="1347"/>
      <c r="D49" s="1329">
        <f>'Exhibit F'!J128+'Exhibit F'!J129+'Exhibit F'!J130+'Exhibit F'!J131</f>
        <v>4061.7000000000021</v>
      </c>
      <c r="E49" s="1329"/>
      <c r="F49" s="1329">
        <f>'Exhibit F'!AC128+'Exhibit F'!AC129+'Exhibit F'!AC130+'Exhibit F'!AC131</f>
        <v>20415</v>
      </c>
      <c r="G49" s="1329"/>
      <c r="H49" s="1329">
        <f>'Exhibit G'!J114-273.2</f>
        <v>584.60000000000014</v>
      </c>
      <c r="I49" s="1329"/>
      <c r="J49" s="1329">
        <f>'Exhibit G'!AE114</f>
        <v>1885.5</v>
      </c>
      <c r="K49" s="1329"/>
      <c r="L49" s="1329">
        <f>'Exhibit H'!H69</f>
        <v>271.00000000000006</v>
      </c>
      <c r="M49" s="1329"/>
      <c r="N49" s="1329">
        <f>'Exhibit H'!AA69</f>
        <v>754.9</v>
      </c>
      <c r="O49" s="1329"/>
      <c r="P49" s="1375">
        <f>'Exhibit I'!K91</f>
        <v>1191.2999999999997</v>
      </c>
      <c r="Q49" s="1329"/>
      <c r="R49" s="1329">
        <f>'Exhibit I'!AD91</f>
        <v>928.8</v>
      </c>
      <c r="S49" s="1363"/>
      <c r="T49" s="1363"/>
      <c r="U49" s="1329"/>
      <c r="V49" s="1329">
        <f>ROUND(SUM(D49)+SUM(H49)+SUM(L49)+SUM(P49),1)</f>
        <v>6108.6</v>
      </c>
      <c r="W49" s="1329" t="s">
        <v>103</v>
      </c>
      <c r="X49" s="1329">
        <f>ROUND(SUM(F49)+SUM(J49)+SUM(N49)+SUM(R49),1)</f>
        <v>23984.2</v>
      </c>
      <c r="Y49" s="2018"/>
      <c r="Z49" s="1388"/>
      <c r="AA49" s="1389"/>
      <c r="AB49" s="1188">
        <v>3961.9</v>
      </c>
      <c r="AC49" s="1329"/>
      <c r="AD49" s="1329">
        <f>'Exhibit F'!AF128+'Exhibit F'!AF129+'Exhibit F'!AF130+'Exhibit F'!AF131+'Exhibit G'!AH114+'Exhibit H'!AD69+'Exhibit I'!AG91</f>
        <v>22346.5</v>
      </c>
      <c r="AE49" s="1329"/>
      <c r="AF49" s="1365"/>
      <c r="AG49" s="1329">
        <f>ROUND(SUM(X49-AD49),1)</f>
        <v>1637.7</v>
      </c>
      <c r="AI49" s="1186">
        <f>ROUND(SUM((+X49-AD49)/ABS(AD49)),3)</f>
        <v>7.2999999999999995E-2</v>
      </c>
      <c r="AJ49" s="1950"/>
    </row>
    <row r="50" spans="1:36" ht="16" customHeight="1">
      <c r="A50" s="1347" t="s">
        <v>149</v>
      </c>
      <c r="B50" s="1356" t="s">
        <v>148</v>
      </c>
      <c r="C50" s="1347"/>
      <c r="D50" s="1329">
        <f>'Exhibit F'!J132+'Exhibit F'!J134+'Exhibit F'!J135+'Exhibit F'!J133</f>
        <v>-1797.5</v>
      </c>
      <c r="E50" s="1329"/>
      <c r="F50" s="1329">
        <f>'Exhibit F'!AC132+'Exhibit F'!AC134+'Exhibit F'!AC135+'Exhibit F'!AC133</f>
        <v>-2795.9999999999995</v>
      </c>
      <c r="G50" s="1329"/>
      <c r="H50" s="1329">
        <f>'Exhibit G'!J115+273.2</f>
        <v>-758.59999999999991</v>
      </c>
      <c r="I50" s="1329"/>
      <c r="J50" s="1329">
        <f>'Exhibit G'!AE115</f>
        <v>-1311.3</v>
      </c>
      <c r="K50" s="1329"/>
      <c r="L50" s="1329">
        <f>'Exhibit H'!H70</f>
        <v>-3530.2999999999984</v>
      </c>
      <c r="M50" s="1329"/>
      <c r="N50" s="1329">
        <f>'Exhibit H'!AA70</f>
        <v>-19892.7</v>
      </c>
      <c r="O50" s="1329"/>
      <c r="P50" s="1375">
        <f>'Exhibit I'!K92</f>
        <v>-19.799999999999997</v>
      </c>
      <c r="Q50" s="1329"/>
      <c r="R50" s="1329">
        <f>'Exhibit I'!AD92</f>
        <v>-23.2</v>
      </c>
      <c r="S50" s="1363"/>
      <c r="T50" s="1363"/>
      <c r="U50" s="1329"/>
      <c r="V50" s="1329">
        <f>ROUND(SUM(D50)+SUM(H50)+SUM(L50)+SUM(P50),1)</f>
        <v>-6106.2</v>
      </c>
      <c r="W50" s="1329" t="s">
        <v>103</v>
      </c>
      <c r="X50" s="1329">
        <f>ROUND(SUM(F50)+SUM(J50)+SUM(N50)+SUM(R50),1)</f>
        <v>-24023.200000000001</v>
      </c>
      <c r="Y50" s="2018"/>
      <c r="Z50" s="1388"/>
      <c r="AA50" s="1389"/>
      <c r="AB50" s="1188">
        <v>-3959.2</v>
      </c>
      <c r="AC50" s="1329"/>
      <c r="AD50" s="1329">
        <f>'Exhibit F'!AF132+'Exhibit F'!AF133+'Exhibit F'!AF134+'Exhibit F'!AF135+'Exhibit G'!AH115+'Exhibit H'!AD70+'Exhibit I'!AG92</f>
        <v>-28382.899999999998</v>
      </c>
      <c r="AE50" s="1329"/>
      <c r="AF50" s="1365"/>
      <c r="AG50" s="1385">
        <f>ROUND(SUM(X50-AD50),1)*-1</f>
        <v>-4359.7</v>
      </c>
      <c r="AI50" s="1391">
        <f>-ROUND(SUM((+X50-AD50)/ABS(AD50)),3)</f>
        <v>-0.154</v>
      </c>
      <c r="AJ50" s="1950"/>
    </row>
    <row r="51" spans="1:36" ht="18" customHeight="1">
      <c r="A51" s="1346" t="s">
        <v>150</v>
      </c>
      <c r="B51" s="1346"/>
      <c r="C51" s="1347"/>
      <c r="D51" s="1369">
        <f>ROUND(SUM(D48:D50),1)</f>
        <v>2264.1999999999998</v>
      </c>
      <c r="E51" s="1329"/>
      <c r="F51" s="1369">
        <f>ROUND(SUM(F48:F50),1)</f>
        <v>17619</v>
      </c>
      <c r="G51" s="1368"/>
      <c r="H51" s="1369">
        <f>ROUND(SUM(H48:H50),1)</f>
        <v>-174</v>
      </c>
      <c r="I51" s="1368"/>
      <c r="J51" s="1369">
        <f>ROUND(SUM(J48:J50),1)</f>
        <v>574.20000000000005</v>
      </c>
      <c r="K51" s="1368"/>
      <c r="L51" s="1369">
        <f>ROUND(SUM(L48:L50),1)</f>
        <v>-3259.3</v>
      </c>
      <c r="M51" s="1368"/>
      <c r="N51" s="1369">
        <f>ROUND(SUM(N48:N50),1)</f>
        <v>-19137.8</v>
      </c>
      <c r="O51" s="1368"/>
      <c r="P51" s="1369">
        <f>ROUND(SUM(P48:P50),1)</f>
        <v>1171.5</v>
      </c>
      <c r="Q51" s="1368"/>
      <c r="R51" s="1369">
        <f>ROUND(SUM(R48:R50),1)</f>
        <v>905.6</v>
      </c>
      <c r="S51" s="1370"/>
      <c r="T51" s="1370"/>
      <c r="U51" s="1368"/>
      <c r="V51" s="1392">
        <f>ROUND(SUM(V48+V49+V50),1)</f>
        <v>2.4</v>
      </c>
      <c r="W51" s="1368"/>
      <c r="X51" s="1392">
        <f>ROUND(SUM(+X48+X49+X50),1)</f>
        <v>-39</v>
      </c>
      <c r="Y51" s="2019"/>
      <c r="Z51" s="1393"/>
      <c r="AA51" s="1394"/>
      <c r="AB51" s="1392">
        <f>ROUND(SUM(+AB48+AB49+AB50),1)</f>
        <v>2.7</v>
      </c>
      <c r="AC51" s="1368"/>
      <c r="AD51" s="1392">
        <f>ROUND(SUM(+AD48+AD49+AD50),1)</f>
        <v>-6036.4</v>
      </c>
      <c r="AE51" s="1395"/>
      <c r="AF51" s="1372"/>
      <c r="AG51" s="1367">
        <f>ROUND(SUM(+AG49-AG50+AG48),1)</f>
        <v>5997.4</v>
      </c>
      <c r="AH51" s="1373"/>
      <c r="AI51" s="1387">
        <f>-ROUND(SUM(AG51/AD51),3)</f>
        <v>0.99399999999999999</v>
      </c>
      <c r="AJ51" s="1952"/>
    </row>
    <row r="52" spans="1:36" ht="16.399999999999999" customHeight="1">
      <c r="A52" s="1347"/>
      <c r="B52" s="1347"/>
      <c r="C52" s="1347"/>
      <c r="D52" s="1329"/>
      <c r="E52" s="1329"/>
      <c r="F52" s="1329" t="s">
        <v>103</v>
      </c>
      <c r="G52" s="1329"/>
      <c r="H52" s="1329" t="s">
        <v>103</v>
      </c>
      <c r="I52" s="1329"/>
      <c r="J52" s="1329" t="s">
        <v>103</v>
      </c>
      <c r="K52" s="1329"/>
      <c r="L52" s="1329" t="s">
        <v>103</v>
      </c>
      <c r="M52" s="1329"/>
      <c r="N52" s="1329"/>
      <c r="O52" s="1329"/>
      <c r="P52" s="1329" t="s">
        <v>103</v>
      </c>
      <c r="Q52" s="1329"/>
      <c r="R52" s="1329" t="s">
        <v>103</v>
      </c>
      <c r="S52" s="1363"/>
      <c r="T52" s="1363"/>
      <c r="U52" s="1329"/>
      <c r="V52" s="1329" t="s">
        <v>103</v>
      </c>
      <c r="W52" s="1329"/>
      <c r="X52" s="1329" t="s">
        <v>103</v>
      </c>
      <c r="Y52" s="1363"/>
      <c r="Z52" s="1364"/>
      <c r="AA52" s="1329"/>
      <c r="AB52" s="1329"/>
      <c r="AC52" s="1329"/>
      <c r="AD52" s="1329"/>
      <c r="AE52" s="1329"/>
      <c r="AF52" s="1365"/>
      <c r="AG52" s="1329"/>
      <c r="AI52" s="1334"/>
      <c r="AJ52" s="1950"/>
    </row>
    <row r="53" spans="1:36" ht="18" customHeight="1">
      <c r="A53" s="1346" t="s">
        <v>143</v>
      </c>
      <c r="B53" s="1346"/>
      <c r="C53" s="1347"/>
      <c r="D53" s="1329" t="s">
        <v>103</v>
      </c>
      <c r="E53" s="1329"/>
      <c r="F53" s="1329" t="s">
        <v>103</v>
      </c>
      <c r="G53" s="1329"/>
      <c r="H53" s="1329" t="s">
        <v>103</v>
      </c>
      <c r="I53" s="1329"/>
      <c r="J53" s="1329"/>
      <c r="K53" s="1329"/>
      <c r="L53" s="1329" t="s">
        <v>103</v>
      </c>
      <c r="M53" s="1329"/>
      <c r="N53" s="1329"/>
      <c r="O53" s="1329"/>
      <c r="P53" s="1329" t="s">
        <v>103</v>
      </c>
      <c r="Q53" s="1329"/>
      <c r="R53" s="1329"/>
      <c r="S53" s="1363"/>
      <c r="T53" s="1363"/>
      <c r="U53" s="1329"/>
      <c r="V53" s="1329" t="s">
        <v>103</v>
      </c>
      <c r="W53" s="1329"/>
      <c r="X53" s="1329"/>
      <c r="Y53" s="1363"/>
      <c r="Z53" s="1364"/>
      <c r="AA53" s="1329"/>
      <c r="AB53" s="1329"/>
      <c r="AC53" s="1329"/>
      <c r="AD53" s="1329"/>
      <c r="AE53" s="1329"/>
      <c r="AF53" s="1365"/>
      <c r="AG53" s="1329"/>
      <c r="AI53" s="1396"/>
      <c r="AJ53" s="1950"/>
    </row>
    <row r="54" spans="1:36" ht="18" customHeight="1">
      <c r="A54" s="1346" t="s">
        <v>151</v>
      </c>
      <c r="B54" s="1346"/>
      <c r="C54" s="1347"/>
      <c r="D54" s="1329"/>
      <c r="E54" s="1329"/>
      <c r="F54" s="1329"/>
      <c r="G54" s="1329"/>
      <c r="H54" s="1329"/>
      <c r="I54" s="1329"/>
      <c r="J54" s="1329"/>
      <c r="K54" s="1329"/>
      <c r="L54" s="1329"/>
      <c r="M54" s="1329"/>
      <c r="N54" s="1329"/>
      <c r="O54" s="1329"/>
      <c r="P54" s="1329"/>
      <c r="Q54" s="1329"/>
      <c r="R54" s="1329"/>
      <c r="S54" s="1363"/>
      <c r="T54" s="1363"/>
      <c r="U54" s="1329"/>
      <c r="V54" s="1329" t="s">
        <v>103</v>
      </c>
      <c r="W54" s="1329"/>
      <c r="X54" s="1329"/>
      <c r="Y54" s="1363"/>
      <c r="Z54" s="1364"/>
      <c r="AA54" s="1329"/>
      <c r="AB54" s="1329"/>
      <c r="AC54" s="1329"/>
      <c r="AD54" s="1329"/>
      <c r="AE54" s="1329"/>
      <c r="AF54" s="1365"/>
      <c r="AG54" s="1329"/>
      <c r="AI54" s="1334"/>
      <c r="AJ54" s="1950"/>
    </row>
    <row r="55" spans="1:36" ht="18" customHeight="1">
      <c r="A55" s="1346" t="s">
        <v>152</v>
      </c>
      <c r="B55" s="1346"/>
      <c r="C55" s="1347"/>
      <c r="D55" s="1368">
        <f>ROUND(SUM(D45+D51),1)</f>
        <v>-999.9</v>
      </c>
      <c r="E55" s="1368"/>
      <c r="F55" s="1368">
        <f>ROUND(SUM(F45)+SUM(F51),1)</f>
        <v>4966.1000000000004</v>
      </c>
      <c r="G55" s="1368"/>
      <c r="H55" s="1368">
        <f>ROUND(SUM(H45+H51),1)</f>
        <v>1065.0999999999999</v>
      </c>
      <c r="I55" s="1368"/>
      <c r="J55" s="1368">
        <f>ROUND(SUM(J45)+SUM(J51),1)</f>
        <v>9413.1</v>
      </c>
      <c r="K55" s="1368"/>
      <c r="L55" s="1368">
        <f>ROUND(SUM(L45+L51),1)</f>
        <v>215.2</v>
      </c>
      <c r="M55" s="1368"/>
      <c r="N55" s="1368">
        <f>ROUND(SUM(N45+N51),1)</f>
        <v>368.7</v>
      </c>
      <c r="O55" s="1368"/>
      <c r="P55" s="1368">
        <f>ROUND(SUM(P45+P51),1)</f>
        <v>207.8</v>
      </c>
      <c r="Q55" s="1368"/>
      <c r="R55" s="1368">
        <f>ROUND(SUM(R45+R51),1)</f>
        <v>-467.9</v>
      </c>
      <c r="S55" s="1370"/>
      <c r="T55" s="1370"/>
      <c r="U55" s="1368"/>
      <c r="V55" s="1368">
        <f>ROUND(SUM(V45)+SUM(V51),1)</f>
        <v>488.2</v>
      </c>
      <c r="W55" s="1368"/>
      <c r="X55" s="1368">
        <f>ROUND(SUM(X45)+SUM(X51),1)</f>
        <v>14280</v>
      </c>
      <c r="Y55" s="2019"/>
      <c r="Z55" s="1393"/>
      <c r="AA55" s="1394"/>
      <c r="AB55" s="1368">
        <f>ROUND(SUM(AB45)+SUM(AB51),1)</f>
        <v>374.9</v>
      </c>
      <c r="AC55" s="1394"/>
      <c r="AD55" s="1">
        <f>ROUND(SUM(AD45)+SUM(AD51),1)</f>
        <v>-682</v>
      </c>
      <c r="AE55" s="1394"/>
      <c r="AF55" s="1397"/>
      <c r="AG55" s="1368">
        <f>ROUND(SUM(+AG45+AG51),1)</f>
        <v>14962</v>
      </c>
      <c r="AH55" s="1373"/>
      <c r="AI55" s="1398">
        <f>ROUND(SUM((+X55-AD55)/ABS(AD55)),3)</f>
        <v>21.937999999999999</v>
      </c>
      <c r="AJ55" s="1952"/>
    </row>
    <row r="56" spans="1:36" ht="16.399999999999999" customHeight="1">
      <c r="A56" s="1346"/>
      <c r="B56" s="1346"/>
      <c r="C56" s="1347"/>
      <c r="D56" s="1329"/>
      <c r="E56" s="1329"/>
      <c r="F56" s="1329"/>
      <c r="G56" s="1329"/>
      <c r="H56" s="1329"/>
      <c r="I56" s="1329"/>
      <c r="J56" s="1329"/>
      <c r="K56" s="1329"/>
      <c r="L56" s="1329"/>
      <c r="M56" s="1329"/>
      <c r="N56" s="1329"/>
      <c r="O56" s="1329"/>
      <c r="P56" s="1329"/>
      <c r="Q56" s="1329"/>
      <c r="R56" s="1329"/>
      <c r="S56" s="1363"/>
      <c r="T56" s="1363"/>
      <c r="U56" s="1329"/>
      <c r="V56" s="1329"/>
      <c r="W56" s="1329"/>
      <c r="X56" s="1329"/>
      <c r="Y56" s="2018"/>
      <c r="Z56" s="1388"/>
      <c r="AA56" s="1389"/>
      <c r="AB56" s="1389"/>
      <c r="AC56" s="1389"/>
      <c r="AD56" s="253"/>
      <c r="AE56" s="1389"/>
      <c r="AF56" s="1399"/>
      <c r="AG56" s="1329"/>
      <c r="AI56" s="1334"/>
      <c r="AJ56" s="1950"/>
    </row>
    <row r="57" spans="1:36" ht="18" customHeight="1">
      <c r="A57" s="1400" t="s">
        <v>153</v>
      </c>
      <c r="B57" s="1356"/>
      <c r="C57" s="1347"/>
      <c r="D57" s="1386">
        <f>'Exhibit F'!J13</f>
        <v>62143.6</v>
      </c>
      <c r="E57" s="1368"/>
      <c r="F57" s="1386">
        <f>'Exhibit F'!D13</f>
        <v>56177.599999999999</v>
      </c>
      <c r="G57" s="1368"/>
      <c r="H57" s="1386">
        <f>'Exhibit G'!J13</f>
        <v>29556.6</v>
      </c>
      <c r="I57" s="1368"/>
      <c r="J57" s="1386">
        <f>'Exhibit G'!D13</f>
        <v>21208.6</v>
      </c>
      <c r="K57" s="1368"/>
      <c r="L57" s="1386">
        <f>'Exhibit H'!H13</f>
        <v>258.2</v>
      </c>
      <c r="M57" s="1368"/>
      <c r="N57" s="1386">
        <f>'Exhibit H'!B13</f>
        <v>104.7</v>
      </c>
      <c r="O57" s="1368"/>
      <c r="P57" s="1386">
        <f>'Exhibit I'!K13</f>
        <v>-3158.8</v>
      </c>
      <c r="Q57" s="1368"/>
      <c r="R57" s="1386">
        <f>'Exhibit I'!E13</f>
        <v>-2483.1</v>
      </c>
      <c r="S57" s="1370"/>
      <c r="T57" s="1370"/>
      <c r="U57" s="1368"/>
      <c r="V57" s="1386">
        <f>D57+H57+L57+P57</f>
        <v>88799.599999999991</v>
      </c>
      <c r="W57" s="1368"/>
      <c r="X57" s="1386">
        <f>F57+J57+N57+R57</f>
        <v>75007.799999999988</v>
      </c>
      <c r="Y57" s="2019"/>
      <c r="Z57" s="1393"/>
      <c r="AA57" s="1394"/>
      <c r="AB57" s="1994">
        <v>72639.5</v>
      </c>
      <c r="AC57" s="1394"/>
      <c r="AD57" s="979">
        <f>'Exhibit F'!AF13+'Exhibit G'!AH13+'Exhibit H'!AD13+'Exhibit I'!AG13</f>
        <v>73696.399999999994</v>
      </c>
      <c r="AE57" s="1394"/>
      <c r="AF57" s="1397"/>
      <c r="AG57" s="1386">
        <f>ROUND(SUM(X57-AD57),1)</f>
        <v>1311.4</v>
      </c>
      <c r="AH57" s="1373"/>
      <c r="AI57" s="1401">
        <f>ROUND(SUM((+X57-AD57)/ABS(AD57)),3)</f>
        <v>1.7999999999999999E-2</v>
      </c>
      <c r="AJ57" s="1952"/>
    </row>
    <row r="58" spans="1:36" ht="16.399999999999999" customHeight="1">
      <c r="A58" s="1347"/>
      <c r="B58" s="1347"/>
      <c r="C58" s="1347"/>
      <c r="D58" s="1329"/>
      <c r="E58" s="1329"/>
      <c r="F58" s="1329"/>
      <c r="G58" s="1329"/>
      <c r="H58" s="1329"/>
      <c r="I58" s="1329"/>
      <c r="J58" s="1329"/>
      <c r="K58" s="1329"/>
      <c r="L58" s="1329"/>
      <c r="M58" s="1329"/>
      <c r="N58" s="1329"/>
      <c r="O58" s="1329"/>
      <c r="P58" s="1329"/>
      <c r="Q58" s="1329"/>
      <c r="R58" s="1329"/>
      <c r="S58" s="1363"/>
      <c r="T58" s="1363"/>
      <c r="U58" s="1329"/>
      <c r="V58" s="1329"/>
      <c r="W58" s="1329"/>
      <c r="X58" s="1329"/>
      <c r="Y58" s="2018"/>
      <c r="Z58" s="1388"/>
      <c r="AA58" s="1389"/>
      <c r="AB58" s="1389"/>
      <c r="AC58" s="1389"/>
      <c r="AD58" s="253"/>
      <c r="AE58" s="1389"/>
      <c r="AF58" s="1399"/>
      <c r="AG58" s="1329"/>
      <c r="AI58" s="1334"/>
      <c r="AJ58" s="1950"/>
    </row>
    <row r="59" spans="1:36" ht="18" customHeight="1" thickBot="1">
      <c r="A59" s="1400" t="s">
        <v>154</v>
      </c>
      <c r="B59" s="1380"/>
      <c r="C59" s="1186"/>
      <c r="D59" s="1402">
        <f>ROUND(SUM(D55+D57),1)</f>
        <v>61143.7</v>
      </c>
      <c r="E59" s="1403"/>
      <c r="F59" s="1402">
        <f>ROUND(SUM(F55+F57),1)</f>
        <v>61143.7</v>
      </c>
      <c r="G59" s="1403"/>
      <c r="H59" s="1402">
        <f>ROUND(SUM(H55+H57),1)</f>
        <v>30621.7</v>
      </c>
      <c r="I59" s="1403"/>
      <c r="J59" s="1402">
        <f>ROUND(SUM(J55)+SUM(J57),1)</f>
        <v>30621.7</v>
      </c>
      <c r="K59" s="1403"/>
      <c r="L59" s="1402">
        <f>ROUND(SUM(L55+L57),1)</f>
        <v>473.4</v>
      </c>
      <c r="M59" s="1403"/>
      <c r="N59" s="1402">
        <f>ROUND(SUM(N55+N57),1)</f>
        <v>473.4</v>
      </c>
      <c r="O59" s="1403"/>
      <c r="P59" s="1402">
        <f>ROUND(SUM(P55+P57),1)</f>
        <v>-2951</v>
      </c>
      <c r="Q59" s="1403"/>
      <c r="R59" s="1402">
        <f>ROUND(SUM(R55+R57),1)</f>
        <v>-2951</v>
      </c>
      <c r="S59" s="2025"/>
      <c r="T59" s="2025"/>
      <c r="U59" s="1403"/>
      <c r="V59" s="1402">
        <f>ROUND(SUM(V55+V57),1)</f>
        <v>89287.8</v>
      </c>
      <c r="W59" s="1403"/>
      <c r="X59" s="1402">
        <f>ROUND(SUM(X55+X57),1)</f>
        <v>89287.8</v>
      </c>
      <c r="Y59" s="2020"/>
      <c r="Z59" s="1404"/>
      <c r="AA59" s="1405"/>
      <c r="AB59" s="1402">
        <f>ROUND(SUM(AB55+AB57),1)</f>
        <v>73014.399999999994</v>
      </c>
      <c r="AC59" s="1405"/>
      <c r="AD59" s="1302">
        <f>ROUND(SUM(AD55+AD57),1)</f>
        <v>73014.399999999994</v>
      </c>
      <c r="AE59" s="1405"/>
      <c r="AF59" s="1406"/>
      <c r="AG59" s="1402">
        <f>ROUND(SUM(AG55+AG57),1)</f>
        <v>16273.4</v>
      </c>
      <c r="AH59" s="1373"/>
      <c r="AI59" s="1407">
        <f>ROUND(SUM((+X59-AD59)/ABS(AD59)),3)</f>
        <v>0.223</v>
      </c>
      <c r="AJ59" s="1952"/>
    </row>
    <row r="60" spans="1:36" ht="16" thickTop="1">
      <c r="A60" s="1410"/>
      <c r="B60" s="1410"/>
      <c r="C60" s="1410"/>
      <c r="D60" s="1347"/>
      <c r="E60" s="1347"/>
      <c r="F60" s="1347"/>
      <c r="G60" s="1347"/>
      <c r="H60" s="1347"/>
      <c r="I60" s="1347"/>
      <c r="J60" s="1347" t="s">
        <v>103</v>
      </c>
      <c r="K60" s="1347"/>
      <c r="L60" s="1347"/>
      <c r="M60" s="1347"/>
      <c r="N60" s="1347"/>
      <c r="O60" s="1347"/>
      <c r="P60" s="1347"/>
      <c r="Q60" s="1347"/>
      <c r="R60" s="1347"/>
      <c r="S60" s="1411"/>
      <c r="T60" s="1411"/>
      <c r="U60" s="1411"/>
      <c r="V60" s="1411" t="s">
        <v>103</v>
      </c>
      <c r="W60" s="1411"/>
      <c r="X60" s="1347"/>
      <c r="Y60" s="1411"/>
      <c r="Z60" s="1411"/>
      <c r="AA60" s="1411"/>
      <c r="AB60" s="1411"/>
      <c r="AC60" s="1411"/>
      <c r="AD60" s="1411"/>
      <c r="AE60" s="1411"/>
      <c r="AF60" s="1411"/>
      <c r="AG60" s="1411"/>
      <c r="AI60" s="1412"/>
      <c r="AJ60" s="1949"/>
    </row>
    <row r="61" spans="1:36" ht="15.5">
      <c r="A61" s="1413"/>
      <c r="B61" s="1373"/>
      <c r="C61" s="1373"/>
      <c r="P61" s="1413"/>
      <c r="R61" s="1413"/>
      <c r="T61" s="1335" t="s">
        <v>103</v>
      </c>
      <c r="V61" s="1335" t="s">
        <v>103</v>
      </c>
      <c r="X61" s="1334"/>
      <c r="AI61" s="1412"/>
      <c r="AJ61" s="1949"/>
    </row>
    <row r="62" spans="1:36" ht="15.5">
      <c r="AB62" s="1995"/>
      <c r="AD62" s="1334"/>
      <c r="AI62" s="1412"/>
      <c r="AJ62" s="1949"/>
    </row>
    <row r="63" spans="1:36" ht="15.5">
      <c r="V63" s="1335" t="s">
        <v>103</v>
      </c>
      <c r="AB63" s="1995"/>
      <c r="AI63" s="1412"/>
      <c r="AJ63" s="1949"/>
    </row>
    <row r="64" spans="1:36" ht="15.5">
      <c r="A64" s="1414"/>
      <c r="AI64" s="1412"/>
      <c r="AJ64" s="1949"/>
    </row>
    <row r="65" spans="1:36" ht="15.5">
      <c r="A65" s="1414"/>
      <c r="AB65" s="1995"/>
      <c r="AI65" s="1412"/>
      <c r="AJ65" s="1949"/>
    </row>
    <row r="66" spans="1:36" ht="15.5">
      <c r="A66" s="1415"/>
      <c r="B66" s="1416"/>
      <c r="C66" s="1413"/>
      <c r="D66" s="1417"/>
      <c r="E66" s="1417"/>
      <c r="F66" s="1417"/>
      <c r="G66" s="1417"/>
      <c r="H66" s="1417"/>
      <c r="I66" s="1417"/>
      <c r="J66" s="1417"/>
      <c r="K66" s="1417"/>
      <c r="L66" s="1417"/>
      <c r="AI66" s="1412"/>
      <c r="AJ66" s="1949"/>
    </row>
    <row r="67" spans="1:36" ht="15.5">
      <c r="A67" s="1334"/>
      <c r="B67" s="1334"/>
      <c r="C67" s="1334"/>
      <c r="D67" s="1334"/>
      <c r="E67" s="1334"/>
      <c r="F67" s="1334"/>
      <c r="G67" s="1334"/>
      <c r="H67" s="1334"/>
      <c r="I67" s="1334"/>
      <c r="J67" s="1334"/>
      <c r="K67" s="1334"/>
      <c r="L67" s="1334"/>
      <c r="N67" s="1335" t="s">
        <v>103</v>
      </c>
      <c r="AI67" s="1412"/>
      <c r="AJ67" s="1949"/>
    </row>
    <row r="68" spans="1:36" ht="15.5">
      <c r="A68" s="1334"/>
      <c r="B68" s="1334"/>
      <c r="C68" s="1334"/>
      <c r="D68" s="1334"/>
      <c r="E68" s="1334"/>
      <c r="F68" s="1334"/>
      <c r="G68" s="1334"/>
      <c r="H68" s="1334"/>
      <c r="I68" s="1334"/>
      <c r="J68" s="1334"/>
      <c r="K68" s="1334"/>
      <c r="L68" s="1334"/>
      <c r="N68" s="1335" t="s">
        <v>103</v>
      </c>
      <c r="AI68" s="1412"/>
      <c r="AJ68" s="1949"/>
    </row>
    <row r="69" spans="1:36" ht="15.5">
      <c r="A69" s="1334"/>
      <c r="B69" s="1334"/>
      <c r="C69" s="1334"/>
      <c r="D69" s="1334"/>
      <c r="E69" s="1334"/>
      <c r="F69" s="1334"/>
      <c r="G69" s="1334"/>
      <c r="H69" s="1334"/>
      <c r="I69" s="1334"/>
      <c r="J69" s="1334"/>
      <c r="K69" s="1334"/>
      <c r="L69" s="1334"/>
      <c r="AI69" s="1412"/>
      <c r="AJ69" s="1949"/>
    </row>
    <row r="70" spans="1:36" ht="15.5">
      <c r="AI70" s="1412"/>
      <c r="AJ70" s="1949"/>
    </row>
    <row r="71" spans="1:36" ht="15.5">
      <c r="AI71" s="1412"/>
      <c r="AJ71" s="1949"/>
    </row>
    <row r="72" spans="1:36" ht="15.5">
      <c r="AI72" s="1412"/>
      <c r="AJ72" s="1949"/>
    </row>
    <row r="73" spans="1:36" ht="15.5">
      <c r="AI73" s="1412"/>
      <c r="AJ73" s="1949"/>
    </row>
    <row r="74" spans="1:36" ht="15.5">
      <c r="AI74" s="1412"/>
      <c r="AJ74" s="1949"/>
    </row>
    <row r="75" spans="1:36" ht="15.5">
      <c r="AI75" s="1412"/>
      <c r="AJ75" s="1949"/>
    </row>
    <row r="76" spans="1:36" ht="15.5">
      <c r="AI76" s="1412"/>
      <c r="AJ76" s="1949"/>
    </row>
    <row r="77" spans="1:36" ht="15.5">
      <c r="AI77" s="1412"/>
      <c r="AJ77" s="1949"/>
    </row>
    <row r="78" spans="1:36" ht="15.5">
      <c r="AI78" s="1412"/>
      <c r="AJ78" s="1949"/>
    </row>
    <row r="79" spans="1:36" ht="15.5">
      <c r="AI79" s="1412"/>
      <c r="AJ79" s="1949"/>
    </row>
    <row r="80" spans="1:36" ht="15.5">
      <c r="AI80" s="1412"/>
      <c r="AJ80" s="1949"/>
    </row>
    <row r="81" spans="35:36" ht="15.5">
      <c r="AI81" s="1412"/>
      <c r="AJ81" s="1949"/>
    </row>
    <row r="82" spans="35:36" ht="15.5">
      <c r="AI82" s="1412"/>
      <c r="AJ82" s="1949"/>
    </row>
    <row r="83" spans="35:36" ht="15.5">
      <c r="AI83" s="1412"/>
      <c r="AJ83" s="1949"/>
    </row>
    <row r="84" spans="35:36" ht="15.5">
      <c r="AI84" s="1412"/>
      <c r="AJ84" s="1949"/>
    </row>
    <row r="85" spans="35:36" ht="15.5">
      <c r="AI85" s="1412"/>
      <c r="AJ85" s="1949"/>
    </row>
    <row r="86" spans="35:36" ht="15.5">
      <c r="AI86" s="1412"/>
      <c r="AJ86" s="1949"/>
    </row>
    <row r="87" spans="35:36" ht="15.5">
      <c r="AI87" s="1412"/>
      <c r="AJ87" s="1949"/>
    </row>
    <row r="88" spans="35:36" ht="15.5">
      <c r="AI88" s="1412"/>
      <c r="AJ88" s="1949"/>
    </row>
    <row r="89" spans="35:36" ht="15.5">
      <c r="AI89" s="1412"/>
      <c r="AJ89" s="1949"/>
    </row>
    <row r="90" spans="35:36" ht="15.5">
      <c r="AI90" s="1412"/>
      <c r="AJ90" s="1949"/>
    </row>
    <row r="91" spans="35:36" ht="15.5">
      <c r="AI91" s="1412"/>
      <c r="AJ91" s="1949"/>
    </row>
    <row r="92" spans="35:36" ht="15.5">
      <c r="AI92" s="1412"/>
      <c r="AJ92" s="1949"/>
    </row>
    <row r="93" spans="35:36" ht="15.5">
      <c r="AI93" s="1412"/>
      <c r="AJ93" s="1949"/>
    </row>
    <row r="94" spans="35:36" ht="15.5">
      <c r="AI94" s="1412"/>
      <c r="AJ94" s="1949"/>
    </row>
    <row r="95" spans="35:36" ht="15.5">
      <c r="AI95" s="1412"/>
      <c r="AJ95" s="1949"/>
    </row>
    <row r="96" spans="35:36" ht="15.5">
      <c r="AI96" s="1412"/>
      <c r="AJ96" s="1949"/>
    </row>
    <row r="97" spans="35:36" ht="15.5">
      <c r="AI97" s="1412"/>
      <c r="AJ97" s="1949"/>
    </row>
    <row r="98" spans="35:36" ht="15.5">
      <c r="AI98" s="1412"/>
      <c r="AJ98" s="1949"/>
    </row>
    <row r="99" spans="35:36" ht="15.5">
      <c r="AI99" s="1412"/>
      <c r="AJ99" s="1949"/>
    </row>
    <row r="100" spans="35:36" ht="15.5">
      <c r="AI100" s="1412"/>
      <c r="AJ100" s="1949"/>
    </row>
    <row r="101" spans="35:36" ht="15.5">
      <c r="AI101" s="1412"/>
      <c r="AJ101" s="1949"/>
    </row>
    <row r="102" spans="35:36" ht="15.5">
      <c r="AI102" s="1412"/>
      <c r="AJ102" s="1949"/>
    </row>
    <row r="103" spans="35:36" ht="15.5">
      <c r="AI103" s="1412"/>
      <c r="AJ103" s="1949"/>
    </row>
    <row r="104" spans="35:36" ht="15.5">
      <c r="AI104" s="1412"/>
      <c r="AJ104" s="1949"/>
    </row>
    <row r="105" spans="35:36" ht="15.5">
      <c r="AI105" s="1412"/>
      <c r="AJ105" s="1949"/>
    </row>
    <row r="106" spans="35:36" ht="15.5">
      <c r="AI106" s="1412"/>
      <c r="AJ106" s="1949"/>
    </row>
  </sheetData>
  <mergeCells count="1">
    <mergeCell ref="V10:AI10"/>
  </mergeCells>
  <printOptions horizontalCentered="1"/>
  <pageMargins left="0.25" right="0.25" top="0.5" bottom="0.25" header="0" footer="0.25"/>
  <pageSetup scale="43" firstPageNumber="2" orientation="landscape" useFirstPageNumber="1" r:id="rId1"/>
  <headerFooter scaleWithDoc="0" alignWithMargins="0">
    <oddFooter>&amp;C&amp;8&amp;P</oddFooter>
  </headerFooter>
  <customProperties>
    <customPr name="SheetOptions" r:id="rId2"/>
  </customProperties>
  <ignoredErrors>
    <ignoredError sqref="E12 I12 M12 AG20:AH20 S59:AA59 S55:U55 S51:U51 S45:AA45 S42:AD42 S34:W34 S20:AA20 S56:AI56 S52:U52 S47:AI47 S44:AI44 S23:AI23 S35:W35 G12 AE14:AG14 AE19:AH19 AE24:AH24 AE25:AH25 AE26:AH26 AE28:AH28 AE29:AH29 AE30:AH30 AE31:AH31 AE32:AH32 S39:AA39 AE36:AH36 AE37:AH37 AE38:AH38 AE40:AH40 W14 S58:AI58 AE49:AF49 S14:U14 S40:AA40 S15:U15 S16:AA16 S18:U18 S19:U19 S24:AA24 S25:AA25 S26:AA26 S29:AA29 S31:AA31 S32:AA32 S33:W33 S41:AA41 S49:U49 S50:U50 S57:U57 S27:AA27 S28:AA28 S30:AA30 S36:AA36 S38:AA38 S37:AA37 S48:AA48 R17:AA17 E17 E16 E15 E27:G27 E34 E14 E19 E18 E28 I19 I14 O45 M45 O42 M42 O34 M34 O20 M20 K45 I45 H46:I46 E45 D46:F47 K42 I42 H44:K44 K34 I34 K20 I20 I21:P23 E42 D43:F44 E35:F35 I27:P27 I24 I25 I35:P35 D20:G20 E25 E26 E24 G35:G41 F34:G34 G43:G44 F42:G42 D21:G23 J20 J34 J42 G46:G49 F45:H45 J45 N20 N34 P34 N42 N45 P45 I50 H48:O48 I15 I16 I17 I18 I26 I33 I28 I29 I30 I31 I32 I39:K39 I36 I37 I38 I41 I40 I49 E39:F40 E36 E37 E38 E50 E49 M14 M15 M17 M18 M19 M37 M40 M49 M50 Q17 Q48:R48 Q37 Q38 Q36 Q30 Q28 Q27:R27 Q50 Q49 Q41 Q33 Q32 Q31 Q29 Q26 Q25 Q24 Q19 Q18 Q16 Q15 O57 Q40:R40 Q14:R14 D58:F58 H58:R58 Q39:R39 R59 R34 P59 N59 P55 N51 L59 J59 J55 J51 G59:H59 G55 G56:G58 F51:G51 G52:G54 Q35:R35 D54:F54 E51 D56:F56 E55 E59 Q23:R23 Q43:R44 Q46:R47 H54:R54 I51 K51 H56:R56 I55 K55 I59 K59 M51 O51 M55 O55 M59 O59 Q20 Q34 Q42 Q45 Q51 Q55 Q59 E30 E33 F59 E29 E31 G50 G18 AE18:AH18 H39 H34 H20 H27 H35 H21:H23 D35 C26 C38 C35 C32 C27 C34 C33 M39:P39 M38:O38 L39 O16 AE50:AH50 K14 K15 K16 K17 AE15:AI17 O14:P14 O15 O17 R16 C24 C25 C28 C29 C30 C31 C36 C37 AE27:AH27 AE39:AI39 AE33:AH33 AE41:AH41 W51 Y51:AA51 AH51 AE57:AF57 AH45:AI45 K57 AE42:AH42 AI14 AI18:AI20 AI24:AI34 AI36:AI38 AI40:AI42 AI57 AE48:AH48 Y57:AA57 M43:P44 W49 G28 G30 M41:O41 AH49 W15:AA15 Y14:AA14 S43:U43 AC43:AI43 Y49:AA49 AH57 W50:AA50 K12 O12 Q12 S12:U12 W12 W18 AC51 AE51:AF51 E48 E41:F41 I52 M52:O52 I53:K53 M53:O53 AC59:AH59 W55:AA55 K40 D52:E52 E53 Q52 Q53:R53 S54:AI54 S53:U53 W53:AI53 K32:O32 Q21 Q22 K50 O50 AC55 AE55:AH55 Y52:AI52 S21:U21 Y21:AI21 S22:W22 Y22:AI22 Y43:AA43 Y33:AA33 Y35:AI35 Y34:AA34 AC34:AH34 G14 W21 W43 W52 H47:I47 K47:P47 W19:AA19 K52 H43:I43 K43 K46:P46 O49 K41 G15 G16 G17 K18 O18 G19 K19 O19 G24 K24:O24 G25 K25:O25 G26 K26:O26 K28:O28 G29 K29:O29 K30:O30 G31 K31:O31 E32 G32 G33 K33:O33 K36:O36 K37 O37 K38 O40 K49 AC20:AF20 AC45:AG45 T46:U46 W46:AI46 Y18:AA18" unlockedFormula="1"/>
    <ignoredError sqref="B41:B48 B51:B56 B49:B5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AL123"/>
  <sheetViews>
    <sheetView showGridLines="0" zoomScale="80" workbookViewId="0"/>
  </sheetViews>
  <sheetFormatPr defaultColWidth="8.84375" defaultRowHeight="12.5"/>
  <cols>
    <col min="1" max="1" width="1.84375" style="63" customWidth="1"/>
    <col min="2" max="2" width="42.4609375" style="63" customWidth="1"/>
    <col min="3" max="3" width="1.84375" style="63" customWidth="1"/>
    <col min="4" max="4" width="12.07421875" style="63" customWidth="1"/>
    <col min="5" max="5" width="1.84375" style="63" customWidth="1"/>
    <col min="6" max="6" width="12.84375" style="63" customWidth="1"/>
    <col min="7" max="7" width="1.84375" style="63" customWidth="1"/>
    <col min="8" max="8" width="13.07421875" style="63" customWidth="1"/>
    <col min="9" max="9" width="1.84375" style="63" customWidth="1"/>
    <col min="10" max="10" width="13.07421875" style="63" customWidth="1"/>
    <col min="11" max="11" width="1.84375" style="63" customWidth="1"/>
    <col min="12" max="12" width="13.07421875" style="63" customWidth="1"/>
    <col min="13" max="13" width="1.84375" style="63" customWidth="1"/>
    <col min="14" max="14" width="14" style="63" customWidth="1"/>
    <col min="15" max="15" width="1.84375" style="63" customWidth="1"/>
    <col min="16" max="16" width="11.84375" style="63" customWidth="1"/>
    <col min="17" max="17" width="1.84375" style="63" customWidth="1"/>
    <col min="18" max="18" width="11.53515625" style="63" customWidth="1"/>
    <col min="19" max="19" width="1.84375" style="63" customWidth="1"/>
    <col min="20" max="20" width="12.07421875" style="63" customWidth="1"/>
    <col min="21" max="21" width="1.84375" style="63" customWidth="1"/>
    <col min="22" max="22" width="13" style="63" customWidth="1"/>
    <col min="23" max="23" width="1.84375" style="63" customWidth="1"/>
    <col min="24" max="24" width="12.07421875" style="63" customWidth="1"/>
    <col min="25" max="25" width="1.84375" style="63" customWidth="1"/>
    <col min="26" max="26" width="12.84375" style="63" customWidth="1"/>
    <col min="27" max="28" width="1.84375" style="63" customWidth="1"/>
    <col min="29" max="29" width="12.84375" style="63" customWidth="1"/>
    <col min="30" max="31" width="1.4609375" style="63" customWidth="1"/>
    <col min="32" max="32" width="12.84375" style="63" customWidth="1"/>
    <col min="33" max="34" width="1.4609375" style="63" customWidth="1"/>
    <col min="35" max="35" width="12.84375" style="63" customWidth="1"/>
    <col min="36" max="36" width="1" style="63" customWidth="1"/>
    <col min="37" max="37" width="12.84375" style="63" customWidth="1"/>
    <col min="38" max="38" width="9.07421875" style="1522" bestFit="1" customWidth="1"/>
    <col min="39" max="16384" width="8.84375" style="63"/>
  </cols>
  <sheetData>
    <row r="1" spans="1:38" ht="15.5">
      <c r="B1" s="265" t="s">
        <v>97</v>
      </c>
    </row>
    <row r="2" spans="1:38" ht="15.5">
      <c r="M2" s="3"/>
      <c r="N2" s="3"/>
      <c r="O2" s="71"/>
    </row>
    <row r="3" spans="1:38" ht="20.25" customHeight="1">
      <c r="B3" s="65" t="s">
        <v>98</v>
      </c>
      <c r="M3" s="3"/>
      <c r="N3" s="3"/>
      <c r="O3" s="71"/>
      <c r="AE3" s="23"/>
      <c r="AF3" s="23"/>
      <c r="AG3" s="23"/>
      <c r="AH3" s="23"/>
      <c r="AI3" s="23"/>
      <c r="AJ3" s="23"/>
      <c r="AK3" s="106" t="s">
        <v>472</v>
      </c>
    </row>
    <row r="4" spans="1:38" ht="18">
      <c r="B4" s="65" t="s">
        <v>521</v>
      </c>
      <c r="L4" s="3"/>
      <c r="M4" s="3"/>
      <c r="O4" s="71"/>
    </row>
    <row r="5" spans="1:38" ht="18">
      <c r="B5" s="50" t="s">
        <v>444</v>
      </c>
      <c r="L5" s="71"/>
      <c r="M5" s="71"/>
      <c r="O5" s="71"/>
      <c r="X5" s="78"/>
    </row>
    <row r="6" spans="1:38" ht="20">
      <c r="B6" s="540" t="str">
        <f>'Cashflow Governmental'!A6</f>
        <v>FISCAL YEAR 2026-2027</v>
      </c>
      <c r="L6" s="71"/>
      <c r="M6" s="71"/>
      <c r="O6" s="71"/>
      <c r="AK6" s="72"/>
    </row>
    <row r="7" spans="1:38" ht="18">
      <c r="B7" s="65" t="s">
        <v>522</v>
      </c>
      <c r="AH7" s="35"/>
      <c r="AI7" s="35"/>
      <c r="AJ7" s="35"/>
      <c r="AK7" s="35"/>
    </row>
    <row r="8" spans="1:38" ht="13.5" customHeight="1">
      <c r="D8" s="1122"/>
      <c r="L8" s="71"/>
      <c r="M8" s="71"/>
      <c r="N8" s="71"/>
      <c r="O8" s="71"/>
      <c r="AB8" s="35"/>
      <c r="AC8" s="71"/>
      <c r="AD8" s="71"/>
      <c r="AE8" s="35"/>
      <c r="AF8" s="35"/>
      <c r="AG8" s="35"/>
      <c r="AH8" s="71"/>
      <c r="AI8" s="71"/>
      <c r="AJ8" s="71"/>
      <c r="AK8" s="71"/>
    </row>
    <row r="9" spans="1:38" ht="20.25" customHeight="1">
      <c r="D9" s="1113"/>
      <c r="M9" s="71"/>
      <c r="N9" s="71"/>
      <c r="O9" s="71"/>
      <c r="AB9" s="2065" t="str">
        <f>'Exhibit G'!AD9</f>
        <v>4 Months Ended July 31</v>
      </c>
      <c r="AC9" s="2063"/>
      <c r="AD9" s="2063"/>
      <c r="AE9" s="2063"/>
      <c r="AF9" s="2063"/>
      <c r="AG9" s="2063"/>
      <c r="AH9" s="2063"/>
      <c r="AI9" s="2063"/>
      <c r="AJ9" s="2063"/>
      <c r="AK9" s="2063"/>
    </row>
    <row r="10" spans="1:38" ht="15.5">
      <c r="B10" s="364"/>
      <c r="C10" s="364"/>
      <c r="D10" s="314" t="str">
        <f>'Cashflow Governmental'!C13</f>
        <v>2026</v>
      </c>
      <c r="E10" s="3"/>
      <c r="F10" s="3"/>
      <c r="G10" s="3"/>
      <c r="H10" s="3"/>
      <c r="I10" s="3"/>
      <c r="J10" s="3"/>
      <c r="K10" s="3"/>
      <c r="L10" s="3"/>
      <c r="M10" s="3"/>
      <c r="N10" s="3"/>
      <c r="O10" s="3"/>
      <c r="P10" s="3"/>
      <c r="Q10" s="3"/>
      <c r="R10" s="3"/>
      <c r="S10" s="3"/>
      <c r="T10" s="3"/>
      <c r="U10" s="3"/>
      <c r="V10" s="314">
        <f>'Cashflow Governmental'!U13</f>
        <v>2027</v>
      </c>
      <c r="W10" s="3"/>
      <c r="X10" s="3"/>
      <c r="Y10" s="3"/>
      <c r="Z10" s="3"/>
      <c r="AA10" s="3"/>
      <c r="AB10" s="3"/>
      <c r="AC10" s="57"/>
      <c r="AD10" s="57"/>
      <c r="AE10" s="57"/>
      <c r="AF10" s="57"/>
      <c r="AG10" s="57"/>
      <c r="AH10" s="57"/>
      <c r="AI10" s="320" t="s">
        <v>110</v>
      </c>
      <c r="AJ10" s="320"/>
      <c r="AK10" s="320" t="s">
        <v>111</v>
      </c>
    </row>
    <row r="11" spans="1:38" ht="15.5">
      <c r="B11" s="364"/>
      <c r="C11" s="364"/>
      <c r="D11" s="1212" t="s">
        <v>329</v>
      </c>
      <c r="E11" s="3"/>
      <c r="F11" s="1212" t="s">
        <v>330</v>
      </c>
      <c r="G11" s="3"/>
      <c r="H11" s="1212" t="s">
        <v>331</v>
      </c>
      <c r="I11" s="3"/>
      <c r="J11" s="1212" t="s">
        <v>332</v>
      </c>
      <c r="K11" s="3"/>
      <c r="L11" s="1212" t="s">
        <v>333</v>
      </c>
      <c r="M11" s="3"/>
      <c r="N11" s="1212" t="s">
        <v>445</v>
      </c>
      <c r="O11" s="3"/>
      <c r="P11" s="1212" t="s">
        <v>446</v>
      </c>
      <c r="Q11" s="3"/>
      <c r="R11" s="1212" t="s">
        <v>336</v>
      </c>
      <c r="S11" s="3"/>
      <c r="T11" s="1212" t="s">
        <v>337</v>
      </c>
      <c r="U11" s="3"/>
      <c r="V11" s="1212" t="s">
        <v>338</v>
      </c>
      <c r="W11" s="3"/>
      <c r="X11" s="1212" t="s">
        <v>339</v>
      </c>
      <c r="Y11" s="3"/>
      <c r="Z11" s="1212" t="s">
        <v>447</v>
      </c>
      <c r="AA11" s="3"/>
      <c r="AB11" s="3"/>
      <c r="AC11" s="1215" t="str">
        <f>'Cashflow Governmental'!AB14</f>
        <v>2026</v>
      </c>
      <c r="AD11" s="314"/>
      <c r="AE11" s="52" t="s">
        <v>103</v>
      </c>
      <c r="AF11" s="1215" t="str">
        <f>'Cashflow Governmental'!AE14</f>
        <v>2025</v>
      </c>
      <c r="AG11" s="314"/>
      <c r="AH11" s="57"/>
      <c r="AI11" s="415" t="s">
        <v>112</v>
      </c>
      <c r="AJ11" s="320"/>
      <c r="AK11" s="415" t="s">
        <v>113</v>
      </c>
    </row>
    <row r="12" spans="1:38" ht="5.25" customHeight="1">
      <c r="B12" s="364"/>
      <c r="C12" s="364"/>
      <c r="D12" s="52"/>
      <c r="E12" s="3"/>
      <c r="F12" s="52"/>
      <c r="G12" s="3"/>
      <c r="H12" s="52"/>
      <c r="I12" s="3"/>
      <c r="J12" s="52"/>
      <c r="K12" s="3"/>
      <c r="L12" s="52"/>
      <c r="M12" s="3"/>
      <c r="N12" s="52"/>
      <c r="O12" s="3"/>
      <c r="P12" s="52"/>
      <c r="Q12" s="3"/>
      <c r="R12" s="52"/>
      <c r="S12" s="3"/>
      <c r="T12" s="52"/>
      <c r="U12" s="3"/>
      <c r="V12" s="52"/>
      <c r="W12" s="3"/>
      <c r="X12" s="52"/>
      <c r="Y12" s="3"/>
      <c r="Z12" s="52"/>
      <c r="AA12" s="3"/>
      <c r="AB12" s="3"/>
      <c r="AC12" s="314"/>
      <c r="AD12" s="314"/>
      <c r="AE12" s="52"/>
      <c r="AF12" s="314"/>
      <c r="AG12" s="314"/>
      <c r="AH12" s="57"/>
      <c r="AI12" s="320"/>
      <c r="AJ12" s="320"/>
      <c r="AK12" s="320"/>
    </row>
    <row r="13" spans="1:38" ht="15.5">
      <c r="B13" s="3" t="s">
        <v>523</v>
      </c>
      <c r="C13" s="364"/>
      <c r="D13" s="82">
        <v>12731.9</v>
      </c>
      <c r="E13" s="3"/>
      <c r="F13" s="27">
        <f>D121</f>
        <v>13987.6</v>
      </c>
      <c r="G13" s="27"/>
      <c r="H13" s="27">
        <f>F121</f>
        <v>15627.6</v>
      </c>
      <c r="I13" s="3"/>
      <c r="J13" s="27">
        <f>H121</f>
        <v>16364.9</v>
      </c>
      <c r="K13" s="3"/>
      <c r="L13" s="27"/>
      <c r="M13" s="3"/>
      <c r="N13" s="27"/>
      <c r="O13" s="3"/>
      <c r="P13" s="27"/>
      <c r="Q13" s="3"/>
      <c r="R13" s="27"/>
      <c r="S13" s="27"/>
      <c r="T13" s="27"/>
      <c r="U13" s="27"/>
      <c r="V13" s="27"/>
      <c r="W13" s="27"/>
      <c r="X13" s="27"/>
      <c r="Y13" s="27"/>
      <c r="Z13" s="27"/>
      <c r="AA13" s="3"/>
      <c r="AB13" s="670"/>
      <c r="AC13" s="1937">
        <f>D13</f>
        <v>12731.9</v>
      </c>
      <c r="AD13" s="314"/>
      <c r="AE13" s="1938"/>
      <c r="AF13" s="1936">
        <v>10288.700000000001</v>
      </c>
      <c r="AG13" s="314"/>
      <c r="AH13" s="1027"/>
      <c r="AI13" s="1753">
        <f>_xlfn.SINGLE(ROUND(SUM(+AC13-AF13),1))</f>
        <v>2443.1999999999998</v>
      </c>
      <c r="AJ13" s="13"/>
      <c r="AK13" s="74">
        <f>_xlfn.SINGLE(ROUND(IF(AF13=0,1,AI13/ABS(AF13)),3))</f>
        <v>0.23699999999999999</v>
      </c>
      <c r="AL13" s="1520"/>
    </row>
    <row r="14" spans="1:38" ht="15.5">
      <c r="B14" s="3"/>
      <c r="C14" s="364"/>
      <c r="D14" s="52"/>
      <c r="E14" s="3"/>
      <c r="F14" s="52"/>
      <c r="G14" s="52"/>
      <c r="H14" s="52"/>
      <c r="I14" s="3"/>
      <c r="J14" s="52"/>
      <c r="K14" s="3"/>
      <c r="L14" s="52"/>
      <c r="M14" s="3"/>
      <c r="N14" s="52"/>
      <c r="O14" s="3"/>
      <c r="P14" s="52"/>
      <c r="Q14" s="3"/>
      <c r="R14" s="52"/>
      <c r="S14" s="3"/>
      <c r="T14" s="52"/>
      <c r="U14" s="3"/>
      <c r="V14" s="52"/>
      <c r="W14" s="3"/>
      <c r="X14" s="52"/>
      <c r="Y14" s="3"/>
      <c r="Z14" s="52"/>
      <c r="AA14" s="3"/>
      <c r="AB14" s="670"/>
      <c r="AC14" s="314"/>
      <c r="AD14" s="314"/>
      <c r="AE14" s="1938"/>
      <c r="AF14" s="314"/>
      <c r="AG14" s="314"/>
      <c r="AH14" s="1027"/>
      <c r="AI14" s="320"/>
      <c r="AJ14" s="320"/>
      <c r="AK14" s="320"/>
    </row>
    <row r="15" spans="1:38" ht="15" customHeight="1">
      <c r="A15" s="35"/>
      <c r="B15" s="3" t="s">
        <v>114</v>
      </c>
      <c r="C15" s="291"/>
      <c r="D15" s="364"/>
      <c r="E15" s="364"/>
      <c r="F15" s="364"/>
      <c r="G15" s="364"/>
      <c r="H15" s="364"/>
      <c r="I15" s="364"/>
      <c r="J15" s="364"/>
      <c r="K15" s="364"/>
      <c r="L15" s="364"/>
      <c r="M15" s="364"/>
      <c r="N15" s="364"/>
      <c r="O15" s="364"/>
      <c r="P15" s="364"/>
      <c r="Q15" s="364"/>
      <c r="R15" s="364"/>
      <c r="S15" s="364"/>
      <c r="T15" s="364"/>
      <c r="U15" s="364"/>
      <c r="V15" s="364"/>
      <c r="W15" s="364"/>
      <c r="X15" s="364"/>
      <c r="Y15" s="364"/>
      <c r="Z15" s="364"/>
      <c r="AA15" s="364"/>
      <c r="AB15" s="1042"/>
      <c r="AC15" s="364"/>
      <c r="AD15" s="364"/>
      <c r="AE15" s="1042"/>
      <c r="AF15" s="364"/>
      <c r="AG15" s="364"/>
      <c r="AH15" s="1027"/>
      <c r="AI15" s="364"/>
      <c r="AJ15" s="364"/>
      <c r="AK15" s="364"/>
    </row>
    <row r="16" spans="1:38" ht="15" customHeight="1">
      <c r="A16" s="35"/>
      <c r="B16" s="1211" t="s">
        <v>342</v>
      </c>
      <c r="C16" s="291"/>
      <c r="D16" s="364"/>
      <c r="E16" s="364"/>
      <c r="F16" s="364"/>
      <c r="G16" s="364"/>
      <c r="H16" s="364"/>
      <c r="I16" s="364"/>
      <c r="J16" s="364"/>
      <c r="K16" s="364"/>
      <c r="L16" s="364"/>
      <c r="M16" s="364"/>
      <c r="N16" s="364"/>
      <c r="O16" s="364"/>
      <c r="P16" s="364"/>
      <c r="Q16" s="364"/>
      <c r="R16" s="364"/>
      <c r="S16" s="364"/>
      <c r="T16" s="364"/>
      <c r="U16" s="364"/>
      <c r="V16" s="364"/>
      <c r="W16" s="364"/>
      <c r="X16" s="364"/>
      <c r="Y16" s="364"/>
      <c r="Z16" s="364"/>
      <c r="AA16" s="364"/>
      <c r="AB16" s="1042"/>
      <c r="AC16" s="364"/>
      <c r="AD16" s="364"/>
      <c r="AE16" s="1042"/>
      <c r="AF16" s="364"/>
      <c r="AG16" s="1029"/>
      <c r="AH16" s="364"/>
      <c r="AI16" s="364"/>
      <c r="AJ16" s="364"/>
      <c r="AK16" s="364"/>
    </row>
    <row r="17" spans="1:38" s="321" customFormat="1" ht="15" customHeight="1">
      <c r="A17" s="417"/>
      <c r="B17" s="412" t="s">
        <v>479</v>
      </c>
      <c r="C17" s="3"/>
      <c r="D17" s="367">
        <v>0</v>
      </c>
      <c r="E17" s="367"/>
      <c r="F17" s="367">
        <v>0</v>
      </c>
      <c r="G17" s="367"/>
      <c r="H17" s="367">
        <v>0</v>
      </c>
      <c r="I17" s="264"/>
      <c r="J17" s="367">
        <f>$AC17-H17-F17-D17</f>
        <v>0</v>
      </c>
      <c r="K17" s="553"/>
      <c r="L17" s="367"/>
      <c r="M17" s="606"/>
      <c r="N17" s="367"/>
      <c r="O17" s="606"/>
      <c r="P17" s="367"/>
      <c r="Q17" s="606"/>
      <c r="R17" s="367"/>
      <c r="S17" s="367"/>
      <c r="T17" s="367"/>
      <c r="U17" s="367"/>
      <c r="V17" s="367"/>
      <c r="W17" s="606"/>
      <c r="X17" s="367"/>
      <c r="Y17" s="367"/>
      <c r="Z17" s="367"/>
      <c r="AA17" s="274"/>
      <c r="AB17" s="1103"/>
      <c r="AC17" s="531">
        <v>0</v>
      </c>
      <c r="AD17" s="276"/>
      <c r="AE17" s="1771"/>
      <c r="AF17" s="531">
        <v>0</v>
      </c>
      <c r="AG17" s="1775"/>
      <c r="AH17" s="274"/>
      <c r="AI17" s="264">
        <f>_xlfn.SINGLE(ROUND(SUM(+AC17-AF17),1))</f>
        <v>0</v>
      </c>
      <c r="AJ17" s="264"/>
      <c r="AK17" s="283">
        <f>_xlfn.SINGLE(ROUND(IF(AF17=0,0,AI17/ABS(AF17)),3))</f>
        <v>0</v>
      </c>
      <c r="AL17" s="1520"/>
    </row>
    <row r="18" spans="1:38" s="321" customFormat="1" ht="6" customHeight="1">
      <c r="A18" s="417"/>
      <c r="B18" s="412"/>
      <c r="C18" s="3"/>
      <c r="D18" s="367" t="s">
        <v>103</v>
      </c>
      <c r="E18" s="20"/>
      <c r="F18" s="367"/>
      <c r="G18" s="367"/>
      <c r="H18" s="367"/>
      <c r="I18" s="20"/>
      <c r="J18" s="367"/>
      <c r="K18" s="20"/>
      <c r="L18" s="367"/>
      <c r="M18" s="20"/>
      <c r="N18" s="367"/>
      <c r="O18" s="20"/>
      <c r="P18" s="367"/>
      <c r="Q18" s="20"/>
      <c r="R18" s="367"/>
      <c r="S18" s="20"/>
      <c r="T18" s="367"/>
      <c r="U18" s="20"/>
      <c r="V18" s="367"/>
      <c r="W18" s="20"/>
      <c r="X18" s="367"/>
      <c r="Y18" s="20"/>
      <c r="Z18" s="367"/>
      <c r="AA18" s="20"/>
      <c r="AB18" s="1104"/>
      <c r="AC18" s="20" t="s">
        <v>103</v>
      </c>
      <c r="AD18" s="276"/>
      <c r="AE18" s="1771"/>
      <c r="AF18" s="20" t="s">
        <v>103</v>
      </c>
      <c r="AG18" s="1775"/>
      <c r="AH18" s="274"/>
      <c r="AI18" s="20"/>
      <c r="AJ18" s="13"/>
      <c r="AK18" s="1776"/>
      <c r="AL18" s="1520"/>
    </row>
    <row r="19" spans="1:38" ht="15" customHeight="1">
      <c r="A19" s="35"/>
      <c r="B19" s="412" t="s">
        <v>1387</v>
      </c>
      <c r="C19" s="291"/>
      <c r="D19" s="367" t="s">
        <v>103</v>
      </c>
      <c r="E19" s="264"/>
      <c r="F19" s="367"/>
      <c r="G19" s="367"/>
      <c r="H19" s="367"/>
      <c r="I19" s="264"/>
      <c r="J19" s="367"/>
      <c r="K19" s="264"/>
      <c r="L19" s="367"/>
      <c r="M19" s="264"/>
      <c r="N19" s="367"/>
      <c r="O19" s="264"/>
      <c r="P19" s="367"/>
      <c r="Q19" s="264"/>
      <c r="R19" s="367"/>
      <c r="S19" s="264"/>
      <c r="T19" s="367"/>
      <c r="U19" s="264"/>
      <c r="V19" s="367"/>
      <c r="W19" s="264"/>
      <c r="X19" s="367"/>
      <c r="Y19" s="264"/>
      <c r="Z19" s="367"/>
      <c r="AA19" s="264"/>
      <c r="AB19" s="524"/>
      <c r="AC19" s="264" t="s">
        <v>103</v>
      </c>
      <c r="AD19" s="264"/>
      <c r="AE19" s="524"/>
      <c r="AF19" s="264" t="s">
        <v>103</v>
      </c>
      <c r="AG19" s="519"/>
      <c r="AH19" s="264"/>
      <c r="AI19" s="264"/>
      <c r="AJ19" s="364"/>
      <c r="AK19" s="374"/>
      <c r="AL19" s="1520"/>
    </row>
    <row r="20" spans="1:38" ht="15" customHeight="1">
      <c r="A20" s="35"/>
      <c r="B20" s="364" t="s">
        <v>355</v>
      </c>
      <c r="C20" s="291"/>
      <c r="D20" s="367">
        <v>154.80000000000001</v>
      </c>
      <c r="E20" s="1105"/>
      <c r="F20" s="367">
        <v>111.1</v>
      </c>
      <c r="G20" s="367"/>
      <c r="H20" s="367">
        <v>142.69999999999999</v>
      </c>
      <c r="I20" s="1105"/>
      <c r="J20" s="367">
        <f>$AC20-H20-F20-D20</f>
        <v>120.19999999999999</v>
      </c>
      <c r="K20" s="553"/>
      <c r="L20" s="367"/>
      <c r="M20" s="553"/>
      <c r="N20" s="367"/>
      <c r="O20" s="553"/>
      <c r="P20" s="367"/>
      <c r="Q20" s="553"/>
      <c r="R20" s="367"/>
      <c r="S20" s="553"/>
      <c r="T20" s="367"/>
      <c r="U20" s="553"/>
      <c r="V20" s="367"/>
      <c r="W20" s="553"/>
      <c r="X20" s="367"/>
      <c r="Y20" s="553"/>
      <c r="Z20" s="367"/>
      <c r="AA20" s="264"/>
      <c r="AB20" s="524"/>
      <c r="AC20" s="1187">
        <v>528.79999999999995</v>
      </c>
      <c r="AD20" s="287"/>
      <c r="AE20" s="1757"/>
      <c r="AF20" s="1187">
        <v>489</v>
      </c>
      <c r="AG20" s="519"/>
      <c r="AH20" s="264"/>
      <c r="AI20" s="264">
        <f t="shared" ref="AI20:AI28" si="0">_xlfn.SINGLE(ROUND(SUM(+AC20-AF20),1))</f>
        <v>39.799999999999997</v>
      </c>
      <c r="AJ20" s="364"/>
      <c r="AK20" s="283">
        <f>_xlfn.SINGLE(ROUND(IF(AF20=0,0,AI20/ABS(AF20)),3))</f>
        <v>8.1000000000000003E-2</v>
      </c>
      <c r="AL20" s="1520"/>
    </row>
    <row r="21" spans="1:38" ht="15" customHeight="1">
      <c r="A21" s="35"/>
      <c r="B21" s="364" t="s">
        <v>1388</v>
      </c>
      <c r="C21" s="291"/>
      <c r="D21" s="367">
        <v>1.7</v>
      </c>
      <c r="E21" s="1105"/>
      <c r="F21" s="367">
        <v>0</v>
      </c>
      <c r="G21" s="367"/>
      <c r="H21" s="367">
        <v>9</v>
      </c>
      <c r="I21" s="1105"/>
      <c r="J21" s="367">
        <f t="shared" ref="J21:J28" si="1">$AC21-H21-F21-D21</f>
        <v>0</v>
      </c>
      <c r="K21" s="553"/>
      <c r="L21" s="367"/>
      <c r="M21" s="553"/>
      <c r="N21" s="367"/>
      <c r="O21" s="553"/>
      <c r="P21" s="367"/>
      <c r="Q21" s="553"/>
      <c r="R21" s="367"/>
      <c r="S21" s="553"/>
      <c r="T21" s="367"/>
      <c r="U21" s="553"/>
      <c r="V21" s="367"/>
      <c r="W21" s="553"/>
      <c r="X21" s="367"/>
      <c r="Y21" s="553"/>
      <c r="Z21" s="367"/>
      <c r="AA21" s="264"/>
      <c r="AB21" s="524"/>
      <c r="AC21" s="531">
        <v>10.7</v>
      </c>
      <c r="AD21" s="287"/>
      <c r="AE21" s="1757"/>
      <c r="AF21" s="531">
        <v>14</v>
      </c>
      <c r="AG21" s="519"/>
      <c r="AH21" s="264"/>
      <c r="AI21" s="264">
        <f t="shared" si="0"/>
        <v>-3.3</v>
      </c>
      <c r="AJ21" s="364"/>
      <c r="AK21" s="283">
        <f>_xlfn.SINGLE(ROUND(IF(AF21=0,0,AI21/ABS(AF21)),3))</f>
        <v>-0.23599999999999999</v>
      </c>
      <c r="AL21" s="1520"/>
    </row>
    <row r="22" spans="1:38" ht="15" customHeight="1">
      <c r="A22" s="35"/>
      <c r="B22" s="364" t="s">
        <v>357</v>
      </c>
      <c r="C22" s="291"/>
      <c r="D22" s="367">
        <v>52.9</v>
      </c>
      <c r="E22" s="1105"/>
      <c r="F22" s="367">
        <v>39.699999999999996</v>
      </c>
      <c r="G22" s="367"/>
      <c r="H22" s="367">
        <v>48.400000000000013</v>
      </c>
      <c r="I22" s="1105"/>
      <c r="J22" s="367">
        <f t="shared" si="1"/>
        <v>45.400000000000013</v>
      </c>
      <c r="K22" s="553"/>
      <c r="L22" s="367"/>
      <c r="M22" s="553"/>
      <c r="N22" s="367"/>
      <c r="O22" s="553"/>
      <c r="P22" s="367"/>
      <c r="Q22" s="553"/>
      <c r="R22" s="367"/>
      <c r="S22" s="553"/>
      <c r="T22" s="367"/>
      <c r="U22" s="553"/>
      <c r="V22" s="367"/>
      <c r="W22" s="553"/>
      <c r="X22" s="367"/>
      <c r="Y22" s="553"/>
      <c r="Z22" s="367"/>
      <c r="AA22" s="264"/>
      <c r="AB22" s="524"/>
      <c r="AC22" s="531">
        <v>186.4</v>
      </c>
      <c r="AD22" s="287"/>
      <c r="AE22" s="1757"/>
      <c r="AF22" s="531">
        <v>195.1</v>
      </c>
      <c r="AG22" s="519"/>
      <c r="AH22" s="264"/>
      <c r="AI22" s="264">
        <f t="shared" si="0"/>
        <v>-8.6999999999999993</v>
      </c>
      <c r="AJ22" s="364"/>
      <c r="AK22" s="283">
        <f>_xlfn.SINGLE(ROUND(IF(AF22=0,0,AI22/ABS(AF22)),3))</f>
        <v>-4.4999999999999998E-2</v>
      </c>
      <c r="AL22" s="1520"/>
    </row>
    <row r="23" spans="1:38" ht="15" customHeight="1">
      <c r="A23" s="35"/>
      <c r="B23" s="284" t="s">
        <v>436</v>
      </c>
      <c r="C23" s="291"/>
      <c r="D23" s="367">
        <v>4.4000000000000004</v>
      </c>
      <c r="E23" s="1105"/>
      <c r="F23" s="367">
        <v>1.5999999999999996</v>
      </c>
      <c r="G23" s="367"/>
      <c r="H23" s="367">
        <v>53.1</v>
      </c>
      <c r="I23" s="1105"/>
      <c r="J23" s="367">
        <f t="shared" si="1"/>
        <v>4.1999999999999957</v>
      </c>
      <c r="K23" s="553"/>
      <c r="L23" s="367"/>
      <c r="M23" s="553"/>
      <c r="N23" s="367"/>
      <c r="O23" s="553"/>
      <c r="P23" s="367"/>
      <c r="Q23" s="553"/>
      <c r="R23" s="367"/>
      <c r="S23" s="553"/>
      <c r="T23" s="367"/>
      <c r="U23" s="553"/>
      <c r="V23" s="367"/>
      <c r="W23" s="553"/>
      <c r="X23" s="367"/>
      <c r="Y23" s="553"/>
      <c r="Z23" s="367"/>
      <c r="AA23" s="264"/>
      <c r="AB23" s="524"/>
      <c r="AC23" s="531">
        <v>63.3</v>
      </c>
      <c r="AD23" s="287"/>
      <c r="AE23" s="1757"/>
      <c r="AF23" s="531">
        <v>38.9</v>
      </c>
      <c r="AG23" s="519"/>
      <c r="AH23" s="264"/>
      <c r="AI23" s="264">
        <f t="shared" si="0"/>
        <v>24.4</v>
      </c>
      <c r="AJ23" s="364"/>
      <c r="AK23" s="283">
        <f>_xlfn.SINGLE(ROUND(IF(AF23=0,0,AI23/ABS(AF23)),3))</f>
        <v>0.627</v>
      </c>
      <c r="AL23" s="1520"/>
    </row>
    <row r="24" spans="1:38" ht="15" customHeight="1">
      <c r="A24" s="35"/>
      <c r="B24" s="421" t="s">
        <v>359</v>
      </c>
      <c r="C24" s="291"/>
      <c r="D24" s="367">
        <v>7.8</v>
      </c>
      <c r="E24" s="1105"/>
      <c r="F24" s="367">
        <v>8.6999999999999993</v>
      </c>
      <c r="G24" s="367"/>
      <c r="H24" s="367">
        <v>9.5</v>
      </c>
      <c r="I24" s="1105"/>
      <c r="J24" s="367">
        <f t="shared" si="1"/>
        <v>9</v>
      </c>
      <c r="K24" s="553"/>
      <c r="L24" s="367"/>
      <c r="M24" s="553"/>
      <c r="N24" s="367"/>
      <c r="O24" s="553"/>
      <c r="P24" s="367"/>
      <c r="Q24" s="553"/>
      <c r="R24" s="367"/>
      <c r="S24" s="553"/>
      <c r="T24" s="367"/>
      <c r="U24" s="553"/>
      <c r="V24" s="367"/>
      <c r="W24" s="553"/>
      <c r="X24" s="367"/>
      <c r="Y24" s="553"/>
      <c r="Z24" s="367"/>
      <c r="AA24" s="264"/>
      <c r="AB24" s="524"/>
      <c r="AC24" s="531">
        <v>35</v>
      </c>
      <c r="AD24" s="287"/>
      <c r="AE24" s="1757"/>
      <c r="AF24" s="531">
        <v>34.4</v>
      </c>
      <c r="AG24" s="519"/>
      <c r="AH24" s="264"/>
      <c r="AI24" s="264">
        <f t="shared" si="0"/>
        <v>0.6</v>
      </c>
      <c r="AJ24" s="364"/>
      <c r="AK24" s="283">
        <f>_xlfn.SINGLE(ROUND(IF(AF24=0,0,AI24/ABS(AF24)),3))</f>
        <v>1.7000000000000001E-2</v>
      </c>
      <c r="AL24" s="1520"/>
    </row>
    <row r="25" spans="1:38" ht="15" customHeight="1">
      <c r="A25" s="35"/>
      <c r="B25" s="364" t="s">
        <v>1366</v>
      </c>
      <c r="C25" s="291"/>
      <c r="D25" s="367">
        <v>0</v>
      </c>
      <c r="E25" s="1105"/>
      <c r="F25" s="367">
        <v>0</v>
      </c>
      <c r="G25" s="367"/>
      <c r="H25" s="367">
        <v>0</v>
      </c>
      <c r="I25" s="1105"/>
      <c r="J25" s="367">
        <f t="shared" si="1"/>
        <v>0</v>
      </c>
      <c r="K25" s="553"/>
      <c r="L25" s="367"/>
      <c r="M25" s="553"/>
      <c r="N25" s="367"/>
      <c r="O25" s="553"/>
      <c r="P25" s="367"/>
      <c r="Q25" s="553"/>
      <c r="R25" s="367"/>
      <c r="S25" s="553"/>
      <c r="T25" s="367"/>
      <c r="U25" s="553"/>
      <c r="V25" s="367"/>
      <c r="W25" s="553"/>
      <c r="X25" s="367"/>
      <c r="Y25" s="553"/>
      <c r="Z25" s="367"/>
      <c r="AA25" s="264"/>
      <c r="AB25" s="524"/>
      <c r="AC25" s="531">
        <v>0</v>
      </c>
      <c r="AD25" s="287"/>
      <c r="AE25" s="1757"/>
      <c r="AF25" s="531">
        <v>-0.1</v>
      </c>
      <c r="AG25" s="519"/>
      <c r="AH25" s="264"/>
      <c r="AI25" s="264">
        <f t="shared" si="0"/>
        <v>0.1</v>
      </c>
      <c r="AJ25" s="364"/>
      <c r="AK25" s="283">
        <f>ROUND(IF(AF25=0,1,AI25/ABS(AF25)),3)</f>
        <v>1</v>
      </c>
      <c r="AL25" s="1520"/>
    </row>
    <row r="26" spans="1:38" ht="15" customHeight="1">
      <c r="A26" s="35"/>
      <c r="B26" s="364" t="s">
        <v>1389</v>
      </c>
      <c r="C26" s="291"/>
      <c r="D26" s="367">
        <v>0</v>
      </c>
      <c r="E26" s="1105"/>
      <c r="F26" s="367">
        <v>0</v>
      </c>
      <c r="G26" s="367"/>
      <c r="H26" s="367">
        <v>0</v>
      </c>
      <c r="I26" s="1105"/>
      <c r="J26" s="367">
        <f t="shared" si="1"/>
        <v>0</v>
      </c>
      <c r="K26" s="553"/>
      <c r="L26" s="367"/>
      <c r="M26" s="553"/>
      <c r="N26" s="367"/>
      <c r="O26" s="553"/>
      <c r="P26" s="367"/>
      <c r="Q26" s="553"/>
      <c r="R26" s="367"/>
      <c r="S26" s="553"/>
      <c r="T26" s="367"/>
      <c r="U26" s="553"/>
      <c r="V26" s="367"/>
      <c r="W26" s="553"/>
      <c r="X26" s="367"/>
      <c r="Y26" s="553"/>
      <c r="Z26" s="367"/>
      <c r="AA26" s="264"/>
      <c r="AB26" s="524"/>
      <c r="AC26" s="531">
        <v>0</v>
      </c>
      <c r="AD26" s="287"/>
      <c r="AE26" s="1757"/>
      <c r="AF26" s="531">
        <v>0</v>
      </c>
      <c r="AG26" s="519"/>
      <c r="AH26" s="264"/>
      <c r="AI26" s="264">
        <f t="shared" si="0"/>
        <v>0</v>
      </c>
      <c r="AJ26" s="364"/>
      <c r="AK26" s="283">
        <f>_xlfn.SINGLE(ROUND(IF(AF26=0,0,AI26/ABS(AF26)),3))</f>
        <v>0</v>
      </c>
      <c r="AL26" s="1520"/>
    </row>
    <row r="27" spans="1:38" ht="15" customHeight="1">
      <c r="A27" s="35"/>
      <c r="B27" s="421" t="s">
        <v>362</v>
      </c>
      <c r="C27" s="291"/>
      <c r="D27" s="367">
        <v>0</v>
      </c>
      <c r="E27" s="1105"/>
      <c r="F27" s="367">
        <v>0.1</v>
      </c>
      <c r="G27" s="367"/>
      <c r="H27" s="367">
        <v>0</v>
      </c>
      <c r="I27" s="1105"/>
      <c r="J27" s="367">
        <f t="shared" si="1"/>
        <v>9.9999999999999978E-2</v>
      </c>
      <c r="K27" s="553"/>
      <c r="L27" s="367"/>
      <c r="M27" s="553"/>
      <c r="N27" s="367"/>
      <c r="O27" s="553"/>
      <c r="P27" s="367"/>
      <c r="Q27" s="553"/>
      <c r="R27" s="367"/>
      <c r="S27" s="553"/>
      <c r="T27" s="367"/>
      <c r="U27" s="553"/>
      <c r="V27" s="367"/>
      <c r="W27" s="553"/>
      <c r="X27" s="367"/>
      <c r="Y27" s="553"/>
      <c r="Z27" s="367"/>
      <c r="AA27" s="264"/>
      <c r="AB27" s="524"/>
      <c r="AC27" s="531">
        <v>0.19999999999999998</v>
      </c>
      <c r="AD27" s="287"/>
      <c r="AE27" s="1757"/>
      <c r="AF27" s="531">
        <v>0.2</v>
      </c>
      <c r="AG27" s="519"/>
      <c r="AH27" s="264"/>
      <c r="AI27" s="264">
        <f t="shared" si="0"/>
        <v>0</v>
      </c>
      <c r="AJ27" s="364"/>
      <c r="AK27" s="607">
        <f>ROUND(IF(AF27=0,1,AI27/ABS(AF27)),3)</f>
        <v>0</v>
      </c>
      <c r="AL27" s="1520"/>
    </row>
    <row r="28" spans="1:38" ht="15" customHeight="1">
      <c r="A28" s="35"/>
      <c r="B28" s="284" t="s">
        <v>437</v>
      </c>
      <c r="C28" s="291"/>
      <c r="D28" s="367">
        <v>0.3</v>
      </c>
      <c r="E28" s="1105"/>
      <c r="F28" s="367">
        <v>0</v>
      </c>
      <c r="G28" s="367"/>
      <c r="H28" s="367">
        <v>4.6000000000000005</v>
      </c>
      <c r="I28" s="1105"/>
      <c r="J28" s="367">
        <f t="shared" si="1"/>
        <v>9.9999999999999478E-2</v>
      </c>
      <c r="K28" s="553"/>
      <c r="L28" s="367"/>
      <c r="M28" s="553"/>
      <c r="N28" s="367"/>
      <c r="O28" s="553"/>
      <c r="P28" s="367"/>
      <c r="Q28" s="553"/>
      <c r="R28" s="367"/>
      <c r="S28" s="553"/>
      <c r="T28" s="367"/>
      <c r="U28" s="553"/>
      <c r="V28" s="367"/>
      <c r="W28" s="553"/>
      <c r="X28" s="367"/>
      <c r="Y28" s="553"/>
      <c r="Z28" s="367"/>
      <c r="AA28" s="264"/>
      <c r="AB28" s="524"/>
      <c r="AC28" s="531">
        <v>5</v>
      </c>
      <c r="AD28" s="287"/>
      <c r="AE28" s="1757"/>
      <c r="AF28" s="531">
        <v>5</v>
      </c>
      <c r="AG28" s="519"/>
      <c r="AH28" s="264"/>
      <c r="AI28" s="264">
        <f t="shared" si="0"/>
        <v>0</v>
      </c>
      <c r="AJ28" s="364"/>
      <c r="AK28" s="607">
        <f>_xlfn.SINGLE(ROUND(IF(AF28=0,1,AI28/ABS(AF28)),3))</f>
        <v>0</v>
      </c>
      <c r="AL28" s="1520"/>
    </row>
    <row r="29" spans="1:38" s="321" customFormat="1" ht="15" customHeight="1">
      <c r="A29" s="417"/>
      <c r="B29" s="3" t="s">
        <v>480</v>
      </c>
      <c r="C29" s="3"/>
      <c r="D29" s="672">
        <f>_xlfn.SINGLE(ROUND(SUM(D20:D28),1))</f>
        <v>221.9</v>
      </c>
      <c r="E29" s="13"/>
      <c r="F29" s="672">
        <f>_xlfn.SINGLE(ROUND(SUM(F20:F28),1))</f>
        <v>161.19999999999999</v>
      </c>
      <c r="G29" s="13"/>
      <c r="H29" s="672">
        <f>_xlfn.SINGLE(ROUND(SUM(H20:H28),1))</f>
        <v>267.3</v>
      </c>
      <c r="I29" s="13"/>
      <c r="J29" s="672">
        <f>_xlfn.SINGLE(ROUND(SUM(J20:J28),1))</f>
        <v>179</v>
      </c>
      <c r="K29" s="13"/>
      <c r="L29" s="672">
        <f>_xlfn.SINGLE(ROUND(SUM(L20:L28),1))</f>
        <v>0</v>
      </c>
      <c r="M29" s="13"/>
      <c r="N29" s="672">
        <f>_xlfn.SINGLE(ROUND(SUM(N20:N28),1))</f>
        <v>0</v>
      </c>
      <c r="O29" s="13"/>
      <c r="P29" s="672">
        <f>_xlfn.SINGLE(ROUND(SUM(P20:P28),1))</f>
        <v>0</v>
      </c>
      <c r="Q29" s="13"/>
      <c r="R29" s="672">
        <f>_xlfn.SINGLE(ROUND(SUM(R20:R28),1))</f>
        <v>0</v>
      </c>
      <c r="S29" s="13"/>
      <c r="T29" s="672">
        <f>_xlfn.SINGLE(ROUND(SUM(T20:T28),1))</f>
        <v>0</v>
      </c>
      <c r="U29" s="13"/>
      <c r="V29" s="672">
        <f>_xlfn.SINGLE(ROUND(SUM(V20:V28),1))</f>
        <v>0</v>
      </c>
      <c r="W29" s="13"/>
      <c r="X29" s="672">
        <f>_xlfn.SINGLE(ROUND(SUM(X20:X28),1))</f>
        <v>0</v>
      </c>
      <c r="Y29" s="13"/>
      <c r="Z29" s="672">
        <f>_xlfn.SINGLE(ROUND(SUM(Z20:Z28),1))</f>
        <v>0</v>
      </c>
      <c r="AA29" s="13"/>
      <c r="AB29" s="668"/>
      <c r="AC29" s="672">
        <f>ROUND(SUM(AC20:AC28),1)</f>
        <v>829.4</v>
      </c>
      <c r="AD29" s="13"/>
      <c r="AE29" s="668"/>
      <c r="AF29" s="672">
        <f>ROUND(SUM(AF20:AF28),1)</f>
        <v>776.5</v>
      </c>
      <c r="AG29" s="75"/>
      <c r="AH29" s="13"/>
      <c r="AI29" s="672">
        <f>_xlfn.SINGLE(ROUND(SUM(AI20:AI28),1))</f>
        <v>52.9</v>
      </c>
      <c r="AJ29" s="57"/>
      <c r="AK29" s="1777">
        <f>_xlfn.SINGLE(ROUND(IF(AF29=0,0,AI29/ABS(AF29)),3))</f>
        <v>6.8000000000000005E-2</v>
      </c>
      <c r="AL29" s="1520"/>
    </row>
    <row r="30" spans="1:38" ht="15" customHeight="1">
      <c r="A30" s="35"/>
      <c r="B30" s="412" t="s">
        <v>524</v>
      </c>
      <c r="C30" s="291"/>
      <c r="D30" s="264"/>
      <c r="E30" s="264"/>
      <c r="F30" s="264"/>
      <c r="G30" s="264"/>
      <c r="H30" s="264"/>
      <c r="I30" s="264"/>
      <c r="J30" s="264"/>
      <c r="K30" s="264"/>
      <c r="L30" s="264"/>
      <c r="M30" s="264"/>
      <c r="N30" s="264"/>
      <c r="O30" s="264"/>
      <c r="P30" s="264"/>
      <c r="Q30" s="264"/>
      <c r="R30" s="264"/>
      <c r="S30" s="264"/>
      <c r="T30" s="264"/>
      <c r="U30" s="264"/>
      <c r="V30" s="264"/>
      <c r="W30" s="264"/>
      <c r="X30" s="264"/>
      <c r="Y30" s="264"/>
      <c r="Z30" s="264"/>
      <c r="AA30" s="264"/>
      <c r="AB30" s="524"/>
      <c r="AC30" s="264"/>
      <c r="AD30" s="264"/>
      <c r="AE30" s="524"/>
      <c r="AF30" s="264"/>
      <c r="AG30" s="519"/>
      <c r="AH30" s="264"/>
      <c r="AI30" s="264"/>
      <c r="AJ30" s="364"/>
      <c r="AK30" s="364"/>
      <c r="AL30" s="1520"/>
    </row>
    <row r="31" spans="1:38" ht="15" customHeight="1">
      <c r="A31" s="35"/>
      <c r="B31" s="421" t="s">
        <v>367</v>
      </c>
      <c r="C31" s="291"/>
      <c r="D31" s="367">
        <v>299.2</v>
      </c>
      <c r="E31" s="1105"/>
      <c r="F31" s="367">
        <v>96.800000000000011</v>
      </c>
      <c r="G31" s="367"/>
      <c r="H31" s="367">
        <v>457.09999999999997</v>
      </c>
      <c r="I31" s="264"/>
      <c r="J31" s="367">
        <f>$AC31-H31-F31-D31</f>
        <v>55.200000000000102</v>
      </c>
      <c r="K31" s="553"/>
      <c r="L31" s="367"/>
      <c r="M31" s="553"/>
      <c r="N31" s="367"/>
      <c r="O31" s="553"/>
      <c r="P31" s="367"/>
      <c r="Q31" s="553"/>
      <c r="R31" s="367"/>
      <c r="S31" s="553"/>
      <c r="T31" s="367"/>
      <c r="U31" s="553"/>
      <c r="V31" s="367"/>
      <c r="W31" s="553"/>
      <c r="X31" s="367"/>
      <c r="Y31" s="553"/>
      <c r="Z31" s="367"/>
      <c r="AA31" s="264"/>
      <c r="AB31" s="524"/>
      <c r="AC31" s="531">
        <v>908.30000000000007</v>
      </c>
      <c r="AD31" s="287"/>
      <c r="AE31" s="1757"/>
      <c r="AF31" s="531">
        <v>650.9</v>
      </c>
      <c r="AG31" s="519"/>
      <c r="AH31" s="264"/>
      <c r="AI31" s="264">
        <f>_xlfn.SINGLE(ROUND(SUM(+AC31-AF31),1))</f>
        <v>257.39999999999998</v>
      </c>
      <c r="AJ31" s="364"/>
      <c r="AK31" s="1778">
        <f>_xlfn.SINGLE(ROUND(IF(AF31=0,0,AI31/ABS(AF31)),3))</f>
        <v>0.39500000000000002</v>
      </c>
      <c r="AL31" s="1520"/>
    </row>
    <row r="32" spans="1:38" ht="15" customHeight="1">
      <c r="A32" s="35"/>
      <c r="B32" s="421" t="s">
        <v>368</v>
      </c>
      <c r="C32" s="291"/>
      <c r="D32" s="367">
        <v>15.4</v>
      </c>
      <c r="E32" s="1105"/>
      <c r="F32" s="367">
        <v>1.0999999999999996</v>
      </c>
      <c r="G32" s="367"/>
      <c r="H32" s="367">
        <v>21.5</v>
      </c>
      <c r="I32" s="264"/>
      <c r="J32" s="367">
        <f t="shared" ref="J32:J35" si="2">$AC32-H32-F32-D32</f>
        <v>2.7999999999999954</v>
      </c>
      <c r="K32" s="553"/>
      <c r="L32" s="367"/>
      <c r="M32" s="553"/>
      <c r="N32" s="367"/>
      <c r="O32" s="553"/>
      <c r="P32" s="367"/>
      <c r="Q32" s="553"/>
      <c r="R32" s="367"/>
      <c r="S32" s="553"/>
      <c r="T32" s="367"/>
      <c r="U32" s="553"/>
      <c r="V32" s="367"/>
      <c r="W32" s="553"/>
      <c r="X32" s="367"/>
      <c r="Y32" s="553"/>
      <c r="Z32" s="367"/>
      <c r="AA32" s="264"/>
      <c r="AB32" s="524"/>
      <c r="AC32" s="531">
        <v>40.799999999999997</v>
      </c>
      <c r="AD32" s="287"/>
      <c r="AE32" s="1757"/>
      <c r="AF32" s="531">
        <v>42.1</v>
      </c>
      <c r="AG32" s="519"/>
      <c r="AH32" s="264"/>
      <c r="AI32" s="264">
        <f>_xlfn.SINGLE(ROUND(SUM(+AC32-AF32),1))</f>
        <v>-1.3</v>
      </c>
      <c r="AJ32" s="364"/>
      <c r="AK32" s="1778">
        <f>_xlfn.SINGLE(ROUND(IF(AF32=0,0,AI32/ABS(AF32)),3))</f>
        <v>-3.1E-2</v>
      </c>
      <c r="AL32" s="1520"/>
    </row>
    <row r="33" spans="1:38" s="1113" customFormat="1" ht="15" customHeight="1">
      <c r="A33" s="1110"/>
      <c r="B33" s="1200" t="s">
        <v>369</v>
      </c>
      <c r="C33" s="372"/>
      <c r="D33" s="367">
        <v>3.9</v>
      </c>
      <c r="E33" s="1205"/>
      <c r="F33" s="367">
        <v>0.50000000000000044</v>
      </c>
      <c r="G33" s="1123"/>
      <c r="H33" s="367">
        <v>52.300000000000004</v>
      </c>
      <c r="I33" s="610"/>
      <c r="J33" s="367">
        <f t="shared" si="2"/>
        <v>-0.6000000000000032</v>
      </c>
      <c r="K33" s="1111"/>
      <c r="L33" s="367"/>
      <c r="M33" s="1111"/>
      <c r="N33" s="367"/>
      <c r="O33" s="1111"/>
      <c r="P33" s="367"/>
      <c r="Q33" s="1111"/>
      <c r="R33" s="367"/>
      <c r="S33" s="1111"/>
      <c r="T33" s="367"/>
      <c r="U33" s="1111"/>
      <c r="V33" s="367"/>
      <c r="W33" s="1111"/>
      <c r="X33" s="367"/>
      <c r="Y33" s="1111"/>
      <c r="Z33" s="367"/>
      <c r="AA33" s="610"/>
      <c r="AB33" s="854"/>
      <c r="AC33" s="531">
        <v>56.1</v>
      </c>
      <c r="AD33" s="1190"/>
      <c r="AE33" s="1939"/>
      <c r="AF33" s="531">
        <v>57</v>
      </c>
      <c r="AG33" s="1206"/>
      <c r="AH33" s="1188"/>
      <c r="AI33" s="1188">
        <f>_xlfn.SINGLE(ROUND(SUM(+AC33-AF33),1))</f>
        <v>-0.9</v>
      </c>
      <c r="AJ33" s="1200"/>
      <c r="AK33" s="1779">
        <f>_xlfn.SINGLE(ROUND(IF(AF33=0,0,AI33/ABS(AF33)),3))</f>
        <v>-1.6E-2</v>
      </c>
      <c r="AL33" s="1520"/>
    </row>
    <row r="34" spans="1:38" ht="15" customHeight="1">
      <c r="A34" s="35"/>
      <c r="B34" s="421" t="s">
        <v>370</v>
      </c>
      <c r="C34" s="291"/>
      <c r="D34" s="367">
        <v>-0.8</v>
      </c>
      <c r="E34" s="1105"/>
      <c r="F34" s="367">
        <v>0</v>
      </c>
      <c r="G34" s="367"/>
      <c r="H34" s="367">
        <v>0</v>
      </c>
      <c r="I34" s="264"/>
      <c r="J34" s="367">
        <f t="shared" si="2"/>
        <v>0</v>
      </c>
      <c r="K34" s="553"/>
      <c r="L34" s="367"/>
      <c r="M34" s="553"/>
      <c r="N34" s="367"/>
      <c r="O34" s="553"/>
      <c r="P34" s="367"/>
      <c r="Q34" s="553"/>
      <c r="R34" s="367"/>
      <c r="S34" s="553"/>
      <c r="T34" s="367"/>
      <c r="U34" s="553"/>
      <c r="V34" s="367"/>
      <c r="W34" s="553"/>
      <c r="X34" s="367"/>
      <c r="Y34" s="553"/>
      <c r="Z34" s="367"/>
      <c r="AA34" s="264"/>
      <c r="AB34" s="524"/>
      <c r="AC34" s="531">
        <v>-0.8</v>
      </c>
      <c r="AD34" s="287"/>
      <c r="AE34" s="1757"/>
      <c r="AF34" s="531">
        <v>-2.4</v>
      </c>
      <c r="AG34" s="519"/>
      <c r="AH34" s="264"/>
      <c r="AI34" s="264">
        <f>_xlfn.SINGLE(ROUND(SUM(+AC34-AF34),1))</f>
        <v>1.6</v>
      </c>
      <c r="AJ34" s="364"/>
      <c r="AK34" s="607">
        <f>_xlfn.SINGLE(ROUND(IF(AF34=0,1,AI34/ABS(AF34)),3))</f>
        <v>0.66700000000000004</v>
      </c>
      <c r="AL34" s="1520"/>
    </row>
    <row r="35" spans="1:38" ht="15" customHeight="1">
      <c r="A35" s="35"/>
      <c r="B35" s="421" t="s">
        <v>372</v>
      </c>
      <c r="C35" s="291"/>
      <c r="D35" s="367">
        <v>32.700000000000003</v>
      </c>
      <c r="E35" s="1105"/>
      <c r="F35" s="367">
        <v>34.399999999999991</v>
      </c>
      <c r="G35" s="367"/>
      <c r="H35" s="367">
        <v>39.100000000000009</v>
      </c>
      <c r="I35" s="264"/>
      <c r="J35" s="367">
        <f t="shared" si="2"/>
        <v>43.600000000000009</v>
      </c>
      <c r="K35" s="553"/>
      <c r="L35" s="367"/>
      <c r="M35" s="553"/>
      <c r="N35" s="367"/>
      <c r="O35" s="553"/>
      <c r="P35" s="367"/>
      <c r="Q35" s="553"/>
      <c r="R35" s="367"/>
      <c r="S35" s="553"/>
      <c r="T35" s="367"/>
      <c r="U35" s="553"/>
      <c r="V35" s="367"/>
      <c r="W35" s="553"/>
      <c r="X35" s="367"/>
      <c r="Y35" s="553"/>
      <c r="Z35" s="367"/>
      <c r="AA35" s="264"/>
      <c r="AB35" s="524"/>
      <c r="AC35" s="531">
        <v>149.80000000000001</v>
      </c>
      <c r="AD35" s="287"/>
      <c r="AE35" s="1757"/>
      <c r="AF35" s="531">
        <v>149.69999999999999</v>
      </c>
      <c r="AG35" s="519"/>
      <c r="AH35" s="264"/>
      <c r="AI35" s="264">
        <f>_xlfn.SINGLE(ROUND(SUM(+AC35-AF35),1))</f>
        <v>0.1</v>
      </c>
      <c r="AJ35" s="364"/>
      <c r="AK35" s="1778">
        <f>_xlfn.SINGLE(ROUND(IF(AF35=0,0,AI35/ABS(AF35)),3))</f>
        <v>1E-3</v>
      </c>
      <c r="AL35" s="1520"/>
    </row>
    <row r="36" spans="1:38" s="321" customFormat="1" ht="15" customHeight="1">
      <c r="A36" s="417"/>
      <c r="B36" s="3" t="s">
        <v>525</v>
      </c>
      <c r="C36" s="3"/>
      <c r="D36" s="672">
        <f>_xlfn.SINGLE(ROUND(SUM(D31:D35),1))</f>
        <v>350.4</v>
      </c>
      <c r="E36" s="13"/>
      <c r="F36" s="672">
        <f>_xlfn.SINGLE(ROUND(SUM(F31:F35),1))</f>
        <v>132.80000000000001</v>
      </c>
      <c r="G36" s="13"/>
      <c r="H36" s="672">
        <f>_xlfn.SINGLE(ROUND(SUM(H31:H35),1))</f>
        <v>570</v>
      </c>
      <c r="I36" s="13"/>
      <c r="J36" s="672">
        <f>_xlfn.SINGLE(ROUND(SUM(J31:J35),1))</f>
        <v>101</v>
      </c>
      <c r="K36" s="13"/>
      <c r="L36" s="672">
        <f>_xlfn.SINGLE(ROUND(SUM(L31:L35),1))</f>
        <v>0</v>
      </c>
      <c r="M36" s="13"/>
      <c r="N36" s="672">
        <f>_xlfn.SINGLE(ROUND(SUM(N31:N35),1))</f>
        <v>0</v>
      </c>
      <c r="O36" s="13"/>
      <c r="P36" s="672">
        <f>_xlfn.SINGLE(ROUND(SUM(P31:P35),1))</f>
        <v>0</v>
      </c>
      <c r="Q36" s="13"/>
      <c r="R36" s="672">
        <f>_xlfn.SINGLE(ROUND(SUM(R31:R35),1))</f>
        <v>0</v>
      </c>
      <c r="S36" s="13"/>
      <c r="T36" s="672">
        <f>_xlfn.SINGLE(ROUND(SUM(T31:T35),1))</f>
        <v>0</v>
      </c>
      <c r="U36" s="13"/>
      <c r="V36" s="672">
        <f>_xlfn.SINGLE(ROUND(SUM(V31:V35),1))</f>
        <v>0</v>
      </c>
      <c r="W36" s="13"/>
      <c r="X36" s="672">
        <f>_xlfn.SINGLE(ROUND(SUM(X31:X35),1))</f>
        <v>0</v>
      </c>
      <c r="Y36" s="13"/>
      <c r="Z36" s="672">
        <f>_xlfn.SINGLE(ROUND(SUM(Z31:Z35),1))</f>
        <v>0</v>
      </c>
      <c r="AA36" s="13"/>
      <c r="AB36" s="668"/>
      <c r="AC36" s="672">
        <f>ROUND(SUM(AC31:AC35),1)</f>
        <v>1154.2</v>
      </c>
      <c r="AD36" s="13"/>
      <c r="AE36" s="668"/>
      <c r="AF36" s="672">
        <f>ROUND(SUM(AF31:AF35),1)</f>
        <v>897.3</v>
      </c>
      <c r="AG36" s="75"/>
      <c r="AH36" s="13"/>
      <c r="AI36" s="672">
        <f>_xlfn.SINGLE(ROUND(SUM(AI31:AI35),1))</f>
        <v>256.89999999999998</v>
      </c>
      <c r="AJ36" s="57"/>
      <c r="AK36" s="1010">
        <f>_xlfn.SINGLE(ROUND(IF(AF36=0,0,AI36/ABS(AF36)),3))</f>
        <v>0.28599999999999998</v>
      </c>
      <c r="AL36" s="1520"/>
    </row>
    <row r="37" spans="1:38" ht="15" customHeight="1">
      <c r="A37" s="35"/>
      <c r="B37" s="3"/>
      <c r="C37" s="291"/>
      <c r="D37" s="264"/>
      <c r="E37" s="264"/>
      <c r="F37" s="264"/>
      <c r="G37" s="264"/>
      <c r="H37" s="264"/>
      <c r="I37" s="264"/>
      <c r="J37" s="264"/>
      <c r="K37" s="264"/>
      <c r="L37" s="264"/>
      <c r="M37" s="264"/>
      <c r="N37" s="264"/>
      <c r="O37" s="264"/>
      <c r="P37" s="264"/>
      <c r="Q37" s="264"/>
      <c r="R37" s="264"/>
      <c r="S37" s="264"/>
      <c r="T37" s="264"/>
      <c r="U37" s="264"/>
      <c r="V37" s="264"/>
      <c r="W37" s="264"/>
      <c r="X37" s="367"/>
      <c r="Y37" s="264"/>
      <c r="Z37" s="264"/>
      <c r="AA37" s="264"/>
      <c r="AB37" s="524"/>
      <c r="AC37" s="264"/>
      <c r="AD37" s="264"/>
      <c r="AE37" s="524"/>
      <c r="AF37" s="264"/>
      <c r="AG37" s="519"/>
      <c r="AH37" s="264"/>
      <c r="AI37" s="264"/>
      <c r="AJ37" s="364"/>
      <c r="AK37" s="364"/>
      <c r="AL37" s="1520"/>
    </row>
    <row r="38" spans="1:38" ht="15" customHeight="1">
      <c r="A38" s="35"/>
      <c r="B38" s="83" t="s">
        <v>438</v>
      </c>
      <c r="C38" s="291"/>
      <c r="D38" s="1038">
        <f>_xlfn.SINGLE(ROUND(SUM(D17+D29+D36),1))</f>
        <v>572.29999999999995</v>
      </c>
      <c r="E38" s="264"/>
      <c r="F38" s="1038">
        <f>_xlfn.SINGLE(ROUND(SUM(F17+F29+F36),1))</f>
        <v>294</v>
      </c>
      <c r="G38" s="264"/>
      <c r="H38" s="1038">
        <f>_xlfn.SINGLE(ROUND(SUM(H17+H29+H36),1))</f>
        <v>837.3</v>
      </c>
      <c r="I38" s="264"/>
      <c r="J38" s="1038">
        <f>_xlfn.SINGLE(ROUND(SUM(J17+J29+J36),1))</f>
        <v>280</v>
      </c>
      <c r="K38" s="264"/>
      <c r="L38" s="1038">
        <f>_xlfn.SINGLE(ROUND(SUM(L17+L29+L36),1))</f>
        <v>0</v>
      </c>
      <c r="M38" s="264"/>
      <c r="N38" s="1038">
        <f>_xlfn.SINGLE(ROUND(SUM(N17+N29+N36),1))</f>
        <v>0</v>
      </c>
      <c r="O38" s="264"/>
      <c r="P38" s="1038">
        <f>_xlfn.SINGLE(ROUND(SUM(P17+P29+P36),1))</f>
        <v>0</v>
      </c>
      <c r="Q38" s="264"/>
      <c r="R38" s="1038">
        <f>_xlfn.SINGLE(ROUND(SUM(R17+R29+R36),1))</f>
        <v>0</v>
      </c>
      <c r="S38" s="609"/>
      <c r="T38" s="1038">
        <f>_xlfn.SINGLE(ROUND(SUM(T17+T29+T36),1))</f>
        <v>0</v>
      </c>
      <c r="U38" s="264"/>
      <c r="V38" s="1038">
        <f>_xlfn.SINGLE(ROUND(SUM(V17+V29+V36),1))</f>
        <v>0</v>
      </c>
      <c r="W38" s="264"/>
      <c r="X38" s="1038">
        <f>_xlfn.SINGLE(ROUND(SUM(X17+X29+X36),1))</f>
        <v>0</v>
      </c>
      <c r="Y38" s="264"/>
      <c r="Z38" s="1038">
        <f>_xlfn.SINGLE(ROUND(SUM(Z17+Z29+Z36),1))</f>
        <v>0</v>
      </c>
      <c r="AA38" s="264"/>
      <c r="AB38" s="523"/>
      <c r="AC38" s="1038">
        <f>ROUND(SUM(AC17+AC29+AC36),1)</f>
        <v>1983.6</v>
      </c>
      <c r="AD38" s="264"/>
      <c r="AE38" s="523"/>
      <c r="AF38" s="1038">
        <f>ROUND(SUM(AF17+AF29+AF36),1)</f>
        <v>1673.8</v>
      </c>
      <c r="AG38" s="1030"/>
      <c r="AH38" s="264"/>
      <c r="AI38" s="1038">
        <f>_xlfn.SINGLE(ROUND(SUM(AI17+AI29+AI36),1))</f>
        <v>309.8</v>
      </c>
      <c r="AJ38" s="264"/>
      <c r="AK38" s="1039">
        <f>_xlfn.SINGLE(ROUND(IF(AF38=0,0,AI38/ABS(AF38)),3))</f>
        <v>0.185</v>
      </c>
      <c r="AL38" s="1520"/>
    </row>
    <row r="39" spans="1:38" ht="15" customHeight="1">
      <c r="A39" s="35"/>
      <c r="B39" s="291"/>
      <c r="C39" s="291"/>
      <c r="D39" s="287"/>
      <c r="E39" s="264"/>
      <c r="F39" s="287"/>
      <c r="G39" s="264"/>
      <c r="H39" s="264"/>
      <c r="I39" s="264"/>
      <c r="J39" s="287"/>
      <c r="K39" s="264"/>
      <c r="L39" s="287"/>
      <c r="M39" s="264"/>
      <c r="N39" s="287"/>
      <c r="O39" s="264"/>
      <c r="P39" s="287"/>
      <c r="Q39" s="264"/>
      <c r="R39" s="287"/>
      <c r="S39" s="264"/>
      <c r="T39" s="287"/>
      <c r="U39" s="264"/>
      <c r="V39" s="287"/>
      <c r="W39" s="264"/>
      <c r="X39" s="367"/>
      <c r="Y39" s="264"/>
      <c r="Z39" s="287"/>
      <c r="AA39" s="264"/>
      <c r="AB39" s="523"/>
      <c r="AC39" s="288"/>
      <c r="AD39" s="367"/>
      <c r="AE39" s="524"/>
      <c r="AF39" s="288"/>
      <c r="AG39" s="1030"/>
      <c r="AH39" s="264"/>
      <c r="AI39" s="264"/>
      <c r="AJ39" s="264"/>
      <c r="AK39" s="283"/>
      <c r="AL39" s="1520"/>
    </row>
    <row r="40" spans="1:38" ht="15" customHeight="1">
      <c r="A40" s="35"/>
      <c r="B40" s="1211" t="s">
        <v>383</v>
      </c>
      <c r="C40" s="291"/>
      <c r="D40" s="287"/>
      <c r="E40" s="264"/>
      <c r="F40" s="287"/>
      <c r="G40" s="264"/>
      <c r="H40" s="264"/>
      <c r="I40" s="264"/>
      <c r="J40" s="287"/>
      <c r="K40" s="264"/>
      <c r="L40" s="287"/>
      <c r="M40" s="264"/>
      <c r="N40" s="287"/>
      <c r="O40" s="264"/>
      <c r="P40" s="287"/>
      <c r="Q40" s="264"/>
      <c r="R40" s="287"/>
      <c r="S40" s="264"/>
      <c r="T40" s="287"/>
      <c r="U40" s="264"/>
      <c r="V40" s="287"/>
      <c r="W40" s="264"/>
      <c r="X40" s="367"/>
      <c r="Y40" s="264"/>
      <c r="Z40" s="287"/>
      <c r="AA40" s="264"/>
      <c r="AB40" s="523"/>
      <c r="AC40" s="264"/>
      <c r="AD40" s="264"/>
      <c r="AE40" s="524"/>
      <c r="AF40" s="264"/>
      <c r="AG40" s="519"/>
      <c r="AH40" s="264"/>
      <c r="AI40" s="264"/>
      <c r="AJ40" s="264"/>
      <c r="AK40" s="283"/>
      <c r="AL40" s="1520"/>
    </row>
    <row r="41" spans="1:38" ht="15" customHeight="1">
      <c r="A41" s="35"/>
      <c r="B41" s="350" t="s">
        <v>384</v>
      </c>
      <c r="C41" s="291"/>
      <c r="D41" s="287"/>
      <c r="E41" s="264"/>
      <c r="F41" s="287"/>
      <c r="G41" s="264"/>
      <c r="H41" s="264"/>
      <c r="I41" s="264"/>
      <c r="J41" s="287"/>
      <c r="K41" s="264"/>
      <c r="L41" s="287"/>
      <c r="M41" s="264"/>
      <c r="N41" s="287"/>
      <c r="O41" s="264"/>
      <c r="P41" s="287"/>
      <c r="Q41" s="264"/>
      <c r="R41" s="287"/>
      <c r="S41" s="264"/>
      <c r="T41" s="287"/>
      <c r="U41" s="264"/>
      <c r="V41" s="287"/>
      <c r="W41" s="264"/>
      <c r="X41" s="367"/>
      <c r="Y41" s="264"/>
      <c r="Z41" s="287"/>
      <c r="AA41" s="264"/>
      <c r="AB41" s="523"/>
      <c r="AC41" s="264"/>
      <c r="AD41" s="264"/>
      <c r="AE41" s="524"/>
      <c r="AF41" s="264"/>
      <c r="AG41" s="519"/>
      <c r="AH41" s="264"/>
      <c r="AI41" s="264"/>
      <c r="AJ41" s="264"/>
      <c r="AK41" s="283"/>
      <c r="AL41" s="1520"/>
    </row>
    <row r="42" spans="1:38" ht="15" customHeight="1">
      <c r="A42" s="35"/>
      <c r="B42" s="350" t="s">
        <v>1390</v>
      </c>
      <c r="C42" s="291"/>
      <c r="D42" s="367">
        <v>1.4</v>
      </c>
      <c r="E42" s="264"/>
      <c r="F42" s="367">
        <v>1.1000000000000001</v>
      </c>
      <c r="G42" s="367"/>
      <c r="H42" s="367">
        <v>2.2000000000000002</v>
      </c>
      <c r="I42" s="264"/>
      <c r="J42" s="367">
        <f>$AC42-H42-F42-D42</f>
        <v>1.8999999999999995</v>
      </c>
      <c r="K42" s="553"/>
      <c r="L42" s="367"/>
      <c r="M42" s="1111"/>
      <c r="N42" s="367"/>
      <c r="O42" s="553"/>
      <c r="P42" s="367"/>
      <c r="Q42" s="553"/>
      <c r="R42" s="367"/>
      <c r="S42" s="553"/>
      <c r="T42" s="367"/>
      <c r="U42" s="553"/>
      <c r="V42" s="367"/>
      <c r="W42" s="553"/>
      <c r="X42" s="367"/>
      <c r="Y42" s="553"/>
      <c r="Z42" s="367"/>
      <c r="AA42" s="264"/>
      <c r="AB42" s="524"/>
      <c r="AC42" s="531">
        <v>6.6</v>
      </c>
      <c r="AD42" s="287"/>
      <c r="AE42" s="1757"/>
      <c r="AF42" s="531">
        <v>5.9</v>
      </c>
      <c r="AG42" s="519"/>
      <c r="AH42" s="264"/>
      <c r="AI42" s="264">
        <f>_xlfn.SINGLE(ROUND(SUM(+AC42-AF42),1))</f>
        <v>0.7</v>
      </c>
      <c r="AJ42" s="264"/>
      <c r="AK42" s="283">
        <f>_xlfn.SINGLE(ROUND(IF(AF42=0,0,AI42/ABS(AF42)),3))</f>
        <v>0.11899999999999999</v>
      </c>
      <c r="AL42" s="1520"/>
    </row>
    <row r="43" spans="1:38" ht="15" customHeight="1">
      <c r="A43" s="35"/>
      <c r="B43" s="350" t="s">
        <v>387</v>
      </c>
      <c r="C43" s="291"/>
      <c r="D43" s="367" t="s">
        <v>103</v>
      </c>
      <c r="E43" s="264"/>
      <c r="F43" s="367"/>
      <c r="G43" s="367"/>
      <c r="H43" s="367"/>
      <c r="I43" s="264"/>
      <c r="J43" s="367"/>
      <c r="K43" s="264"/>
      <c r="L43" s="367"/>
      <c r="M43" s="1114"/>
      <c r="N43" s="367"/>
      <c r="O43" s="264"/>
      <c r="P43" s="367"/>
      <c r="Q43" s="264"/>
      <c r="R43" s="367"/>
      <c r="S43" s="264"/>
      <c r="T43" s="367"/>
      <c r="U43" s="264"/>
      <c r="V43" s="367"/>
      <c r="W43" s="264"/>
      <c r="X43" s="367"/>
      <c r="Y43" s="264"/>
      <c r="Z43" s="367"/>
      <c r="AA43" s="264"/>
      <c r="AB43" s="523"/>
      <c r="AC43" s="264" t="s">
        <v>103</v>
      </c>
      <c r="AD43" s="264"/>
      <c r="AE43" s="524"/>
      <c r="AF43" s="264" t="s">
        <v>103</v>
      </c>
      <c r="AG43" s="519"/>
      <c r="AH43" s="264"/>
      <c r="AI43" s="264"/>
      <c r="AJ43" s="264"/>
      <c r="AK43" s="283"/>
      <c r="AL43" s="1520"/>
    </row>
    <row r="44" spans="1:38" ht="15" customHeight="1">
      <c r="A44" s="35"/>
      <c r="B44" s="350" t="s">
        <v>1368</v>
      </c>
      <c r="C44" s="291"/>
      <c r="D44" s="367">
        <v>121.7</v>
      </c>
      <c r="E44" s="264"/>
      <c r="F44" s="367">
        <v>43.600000000000009</v>
      </c>
      <c r="G44" s="367"/>
      <c r="H44" s="367">
        <v>90.8</v>
      </c>
      <c r="I44" s="264"/>
      <c r="J44" s="367">
        <f t="shared" ref="J44:J80" si="3">$AC44-H44-F44-D44</f>
        <v>116.89999999999996</v>
      </c>
      <c r="K44" s="553"/>
      <c r="L44" s="367"/>
      <c r="M44" s="1111"/>
      <c r="N44" s="367"/>
      <c r="O44" s="553"/>
      <c r="P44" s="367"/>
      <c r="Q44" s="553"/>
      <c r="R44" s="367"/>
      <c r="S44" s="553"/>
      <c r="T44" s="367"/>
      <c r="U44" s="553"/>
      <c r="V44" s="367"/>
      <c r="W44" s="553"/>
      <c r="X44" s="367"/>
      <c r="Y44" s="553"/>
      <c r="Z44" s="367"/>
      <c r="AA44" s="264"/>
      <c r="AB44" s="524"/>
      <c r="AC44" s="531">
        <v>373</v>
      </c>
      <c r="AD44" s="287"/>
      <c r="AE44" s="1757"/>
      <c r="AF44" s="531">
        <v>249.8</v>
      </c>
      <c r="AG44" s="519"/>
      <c r="AH44" s="264"/>
      <c r="AI44" s="264">
        <f>_xlfn.SINGLE(ROUND(SUM(+AC44-AF44),1))</f>
        <v>123.2</v>
      </c>
      <c r="AJ44" s="264"/>
      <c r="AK44" s="283">
        <f>_xlfn.SINGLE(ROUND(IF(AF44=0,0,AI44/ABS(AF44)),3))</f>
        <v>0.49299999999999999</v>
      </c>
      <c r="AL44" s="1520"/>
    </row>
    <row r="45" spans="1:38" ht="15" customHeight="1">
      <c r="A45" s="35"/>
      <c r="B45" s="350" t="s">
        <v>1369</v>
      </c>
      <c r="C45" s="291"/>
      <c r="D45" s="367">
        <v>653.4</v>
      </c>
      <c r="E45" s="264"/>
      <c r="F45" s="367">
        <v>793.00000000000011</v>
      </c>
      <c r="G45" s="367"/>
      <c r="H45" s="367">
        <v>884.6</v>
      </c>
      <c r="I45" s="264"/>
      <c r="J45" s="367">
        <f t="shared" si="3"/>
        <v>767.69999999999993</v>
      </c>
      <c r="K45" s="553"/>
      <c r="L45" s="367"/>
      <c r="M45" s="1111"/>
      <c r="N45" s="367"/>
      <c r="O45" s="553"/>
      <c r="P45" s="367"/>
      <c r="Q45" s="553"/>
      <c r="R45" s="367"/>
      <c r="S45" s="553"/>
      <c r="T45" s="367"/>
      <c r="U45" s="553"/>
      <c r="V45" s="367"/>
      <c r="W45" s="553"/>
      <c r="X45" s="367"/>
      <c r="Y45" s="553"/>
      <c r="Z45" s="367"/>
      <c r="AA45" s="264"/>
      <c r="AB45" s="524"/>
      <c r="AC45" s="531">
        <v>3098.7</v>
      </c>
      <c r="AD45" s="287"/>
      <c r="AE45" s="1757"/>
      <c r="AF45" s="531">
        <v>2727.8</v>
      </c>
      <c r="AG45" s="519"/>
      <c r="AH45" s="264"/>
      <c r="AI45" s="264">
        <f>_xlfn.SINGLE(ROUND(SUM(+AC45-AF45),1))</f>
        <v>370.9</v>
      </c>
      <c r="AJ45" s="264"/>
      <c r="AK45" s="283">
        <f>_xlfn.SINGLE(ROUND(IF(AF45=0,0,AI45/ABS(AF45)),3))</f>
        <v>0.13600000000000001</v>
      </c>
      <c r="AL45" s="1520"/>
    </row>
    <row r="46" spans="1:38" ht="15" customHeight="1">
      <c r="A46" s="35"/>
      <c r="B46" s="350" t="s">
        <v>1370</v>
      </c>
      <c r="C46" s="291"/>
      <c r="D46" s="367">
        <v>2.9</v>
      </c>
      <c r="E46" s="264"/>
      <c r="F46" s="367">
        <v>0</v>
      </c>
      <c r="G46" s="367"/>
      <c r="H46" s="367">
        <v>0.70000000000000018</v>
      </c>
      <c r="I46" s="264"/>
      <c r="J46" s="367">
        <f t="shared" si="3"/>
        <v>0.29999999999999982</v>
      </c>
      <c r="K46" s="553"/>
      <c r="L46" s="367"/>
      <c r="M46" s="1111"/>
      <c r="N46" s="367"/>
      <c r="O46" s="553"/>
      <c r="P46" s="367"/>
      <c r="Q46" s="553"/>
      <c r="R46" s="367"/>
      <c r="S46" s="553"/>
      <c r="T46" s="367"/>
      <c r="U46" s="553"/>
      <c r="V46" s="367"/>
      <c r="W46" s="553"/>
      <c r="X46" s="367"/>
      <c r="Y46" s="553"/>
      <c r="Z46" s="367"/>
      <c r="AA46" s="264"/>
      <c r="AB46" s="524"/>
      <c r="AC46" s="531">
        <v>3.9</v>
      </c>
      <c r="AD46" s="287"/>
      <c r="AE46" s="1757"/>
      <c r="AF46" s="531">
        <v>2.1</v>
      </c>
      <c r="AG46" s="519"/>
      <c r="AH46" s="264"/>
      <c r="AI46" s="264">
        <f>_xlfn.SINGLE(ROUND(SUM(+AC46-AF46),1))</f>
        <v>1.8</v>
      </c>
      <c r="AJ46" s="264"/>
      <c r="AK46" s="607">
        <f>_xlfn.SINGLE(ROUND(IF(AF46=0,0,AI46/ABS(AF46)),3))</f>
        <v>0.85699999999999998</v>
      </c>
      <c r="AL46" s="1520"/>
    </row>
    <row r="47" spans="1:38" ht="15" customHeight="1">
      <c r="A47" s="35"/>
      <c r="B47" s="350" t="s">
        <v>1391</v>
      </c>
      <c r="C47" s="291"/>
      <c r="D47" s="367">
        <v>0</v>
      </c>
      <c r="E47" s="264"/>
      <c r="F47" s="367">
        <v>1005.1</v>
      </c>
      <c r="G47" s="367"/>
      <c r="H47" s="367">
        <v>0.10000000000002274</v>
      </c>
      <c r="I47" s="264"/>
      <c r="J47" s="367">
        <f t="shared" si="3"/>
        <v>611.4</v>
      </c>
      <c r="K47" s="553"/>
      <c r="L47" s="367"/>
      <c r="M47" s="1111"/>
      <c r="N47" s="367"/>
      <c r="O47" s="553"/>
      <c r="P47" s="367"/>
      <c r="Q47" s="553"/>
      <c r="R47" s="367"/>
      <c r="S47" s="553"/>
      <c r="T47" s="367"/>
      <c r="U47" s="553"/>
      <c r="V47" s="367"/>
      <c r="W47" s="553"/>
      <c r="X47" s="367"/>
      <c r="Y47" s="553"/>
      <c r="Z47" s="367"/>
      <c r="AA47" s="264"/>
      <c r="AB47" s="524"/>
      <c r="AC47" s="531">
        <v>1616.6</v>
      </c>
      <c r="AD47" s="287"/>
      <c r="AE47" s="1757"/>
      <c r="AF47" s="531">
        <v>0.1</v>
      </c>
      <c r="AG47" s="519"/>
      <c r="AH47" s="264"/>
      <c r="AI47" s="264">
        <f>_xlfn.SINGLE(ROUND(SUM(+AC47-AF47),1))</f>
        <v>1616.5</v>
      </c>
      <c r="AJ47" s="264"/>
      <c r="AK47" s="607">
        <f>ROUND(IF(AF47=0,0,AI47/ABS(AF47)),3)</f>
        <v>16165</v>
      </c>
      <c r="AL47" s="1520"/>
    </row>
    <row r="48" spans="1:38" ht="15" customHeight="1">
      <c r="A48" s="35"/>
      <c r="B48" s="350" t="s">
        <v>392</v>
      </c>
      <c r="C48" s="291"/>
      <c r="D48" s="367"/>
      <c r="E48" s="264"/>
      <c r="F48" s="367"/>
      <c r="G48" s="367"/>
      <c r="H48" s="367"/>
      <c r="I48" s="264"/>
      <c r="J48" s="367"/>
      <c r="K48" s="264"/>
      <c r="L48" s="367"/>
      <c r="M48" s="1114"/>
      <c r="N48" s="367"/>
      <c r="O48" s="264"/>
      <c r="P48" s="367"/>
      <c r="Q48" s="264"/>
      <c r="R48" s="367"/>
      <c r="S48" s="264"/>
      <c r="T48" s="367"/>
      <c r="U48" s="264"/>
      <c r="V48" s="367"/>
      <c r="W48" s="264"/>
      <c r="X48" s="367"/>
      <c r="Y48" s="264"/>
      <c r="Z48" s="367"/>
      <c r="AA48" s="264"/>
      <c r="AB48" s="523"/>
      <c r="AC48" s="12" t="s">
        <v>103</v>
      </c>
      <c r="AD48" s="264"/>
      <c r="AE48" s="524"/>
      <c r="AF48" s="12" t="s">
        <v>103</v>
      </c>
      <c r="AG48" s="519"/>
      <c r="AH48" s="264"/>
      <c r="AI48" s="264"/>
      <c r="AJ48" s="264"/>
      <c r="AK48" s="283"/>
      <c r="AL48" s="1520"/>
    </row>
    <row r="49" spans="1:38" ht="15" customHeight="1">
      <c r="A49" s="35"/>
      <c r="B49" s="350" t="s">
        <v>1392</v>
      </c>
      <c r="C49" s="291"/>
      <c r="D49" s="367">
        <v>0</v>
      </c>
      <c r="E49" s="264"/>
      <c r="F49" s="367">
        <v>0</v>
      </c>
      <c r="G49" s="367"/>
      <c r="H49" s="367">
        <v>0.1</v>
      </c>
      <c r="I49" s="264"/>
      <c r="J49" s="367">
        <f t="shared" si="3"/>
        <v>2.4</v>
      </c>
      <c r="K49" s="553"/>
      <c r="L49" s="367"/>
      <c r="M49" s="1111"/>
      <c r="N49" s="367"/>
      <c r="O49" s="553"/>
      <c r="P49" s="367"/>
      <c r="Q49" s="553"/>
      <c r="R49" s="367"/>
      <c r="S49" s="553"/>
      <c r="T49" s="367"/>
      <c r="U49" s="553"/>
      <c r="V49" s="367"/>
      <c r="W49" s="553"/>
      <c r="X49" s="367"/>
      <c r="Y49" s="553"/>
      <c r="Z49" s="367"/>
      <c r="AA49" s="264"/>
      <c r="AB49" s="524"/>
      <c r="AC49" s="531">
        <v>2.5</v>
      </c>
      <c r="AD49" s="287"/>
      <c r="AE49" s="1757"/>
      <c r="AF49" s="531">
        <v>2.4</v>
      </c>
      <c r="AG49" s="519"/>
      <c r="AH49" s="264"/>
      <c r="AI49" s="264">
        <f t="shared" ref="AI49:AI55" si="4">_xlfn.SINGLE(ROUND(SUM(+AC49-AF49),1))</f>
        <v>0.1</v>
      </c>
      <c r="AJ49" s="264"/>
      <c r="AK49" s="266">
        <f>ROUND(IF(AF49=0,0,AI49/ABS(AF49)),3)</f>
        <v>4.2000000000000003E-2</v>
      </c>
      <c r="AL49" s="1520"/>
    </row>
    <row r="50" spans="1:38" ht="15" customHeight="1">
      <c r="A50" s="35"/>
      <c r="B50" s="350" t="s">
        <v>1393</v>
      </c>
      <c r="C50" s="291"/>
      <c r="D50" s="367">
        <v>53.4</v>
      </c>
      <c r="E50" s="264"/>
      <c r="F50" s="367">
        <v>41.9</v>
      </c>
      <c r="G50" s="367"/>
      <c r="H50" s="367">
        <v>105.5</v>
      </c>
      <c r="I50" s="264"/>
      <c r="J50" s="367">
        <f t="shared" si="3"/>
        <v>53.29999999999999</v>
      </c>
      <c r="K50" s="553"/>
      <c r="L50" s="367"/>
      <c r="M50" s="1111"/>
      <c r="N50" s="367"/>
      <c r="O50" s="553"/>
      <c r="P50" s="367"/>
      <c r="Q50" s="553"/>
      <c r="R50" s="367"/>
      <c r="S50" s="553"/>
      <c r="T50" s="367"/>
      <c r="U50" s="553"/>
      <c r="V50" s="367"/>
      <c r="W50" s="553"/>
      <c r="X50" s="367"/>
      <c r="Y50" s="553"/>
      <c r="Z50" s="367"/>
      <c r="AA50" s="264"/>
      <c r="AB50" s="524"/>
      <c r="AC50" s="531">
        <v>254.1</v>
      </c>
      <c r="AD50" s="287"/>
      <c r="AE50" s="1757"/>
      <c r="AF50" s="531">
        <v>224.7</v>
      </c>
      <c r="AG50" s="519"/>
      <c r="AH50" s="264"/>
      <c r="AI50" s="264">
        <f t="shared" si="4"/>
        <v>29.4</v>
      </c>
      <c r="AJ50" s="264"/>
      <c r="AK50" s="283">
        <f>_xlfn.SINGLE(ROUND(IF(AF50=0,0,AI50/ABS(AF50)),3))</f>
        <v>0.13100000000000001</v>
      </c>
      <c r="AL50" s="1520"/>
    </row>
    <row r="51" spans="1:38" ht="15" customHeight="1">
      <c r="A51" s="35"/>
      <c r="B51" s="350" t="s">
        <v>487</v>
      </c>
      <c r="C51" s="291"/>
      <c r="D51" s="367">
        <v>3.9</v>
      </c>
      <c r="E51" s="264"/>
      <c r="F51" s="367">
        <v>3.8000000000000003</v>
      </c>
      <c r="G51" s="367"/>
      <c r="H51" s="367">
        <v>4.9999999999999982</v>
      </c>
      <c r="I51" s="264"/>
      <c r="J51" s="367">
        <f t="shared" si="3"/>
        <v>4</v>
      </c>
      <c r="K51" s="553"/>
      <c r="L51" s="367"/>
      <c r="M51" s="1111"/>
      <c r="N51" s="367"/>
      <c r="O51" s="553"/>
      <c r="P51" s="367"/>
      <c r="Q51" s="553"/>
      <c r="R51" s="367"/>
      <c r="S51" s="553"/>
      <c r="T51" s="367"/>
      <c r="U51" s="553"/>
      <c r="V51" s="367"/>
      <c r="W51" s="553"/>
      <c r="X51" s="367"/>
      <c r="Y51" s="553"/>
      <c r="Z51" s="367"/>
      <c r="AA51" s="264"/>
      <c r="AB51" s="524"/>
      <c r="AC51" s="531">
        <v>16.7</v>
      </c>
      <c r="AD51" s="287"/>
      <c r="AE51" s="1757"/>
      <c r="AF51" s="531">
        <v>17.8</v>
      </c>
      <c r="AG51" s="519"/>
      <c r="AH51" s="264"/>
      <c r="AI51" s="264">
        <f t="shared" si="4"/>
        <v>-1.1000000000000001</v>
      </c>
      <c r="AJ51" s="264"/>
      <c r="AK51" s="283">
        <f>_xlfn.SINGLE(ROUND(IF(AF51=0,0,AI51/ABS(AF51)),3))</f>
        <v>-6.2E-2</v>
      </c>
      <c r="AL51" s="1520"/>
    </row>
    <row r="52" spans="1:38" ht="15" customHeight="1">
      <c r="A52" s="35"/>
      <c r="B52" s="350" t="s">
        <v>488</v>
      </c>
      <c r="C52" s="291"/>
      <c r="D52" s="367">
        <v>0</v>
      </c>
      <c r="E52" s="264"/>
      <c r="F52" s="367">
        <v>0.7</v>
      </c>
      <c r="G52" s="367"/>
      <c r="H52" s="367">
        <v>0</v>
      </c>
      <c r="I52" s="264"/>
      <c r="J52" s="367">
        <f t="shared" si="3"/>
        <v>1.9000000000000001</v>
      </c>
      <c r="K52" s="553"/>
      <c r="L52" s="367"/>
      <c r="M52" s="1111"/>
      <c r="N52" s="367"/>
      <c r="O52" s="553"/>
      <c r="P52" s="367"/>
      <c r="Q52" s="553"/>
      <c r="R52" s="367"/>
      <c r="S52" s="553"/>
      <c r="T52" s="367"/>
      <c r="U52" s="553"/>
      <c r="V52" s="367"/>
      <c r="W52" s="553"/>
      <c r="X52" s="367"/>
      <c r="Y52" s="553"/>
      <c r="Z52" s="367"/>
      <c r="AA52" s="264"/>
      <c r="AB52" s="524"/>
      <c r="AC52" s="531">
        <v>2.6</v>
      </c>
      <c r="AD52" s="287"/>
      <c r="AE52" s="1757"/>
      <c r="AF52" s="531">
        <v>1.2</v>
      </c>
      <c r="AG52" s="519"/>
      <c r="AH52" s="264"/>
      <c r="AI52" s="264">
        <f t="shared" si="4"/>
        <v>1.4</v>
      </c>
      <c r="AJ52" s="264"/>
      <c r="AK52" s="283">
        <f>ROUND(IF(AF52=0,0,AI52/ABS(AF52)),3)</f>
        <v>1.167</v>
      </c>
      <c r="AL52" s="1520"/>
    </row>
    <row r="53" spans="1:38" ht="15" customHeight="1">
      <c r="A53" s="35"/>
      <c r="B53" s="350" t="s">
        <v>1373</v>
      </c>
      <c r="C53" s="291"/>
      <c r="D53" s="367">
        <v>14.1</v>
      </c>
      <c r="E53" s="264"/>
      <c r="F53" s="367">
        <v>17.899999999999999</v>
      </c>
      <c r="G53" s="367"/>
      <c r="H53" s="367">
        <v>24.1</v>
      </c>
      <c r="I53" s="264"/>
      <c r="J53" s="367">
        <f t="shared" si="3"/>
        <v>28.499999999999993</v>
      </c>
      <c r="K53" s="553"/>
      <c r="L53" s="367"/>
      <c r="M53" s="1111"/>
      <c r="N53" s="367"/>
      <c r="O53" s="553"/>
      <c r="P53" s="367"/>
      <c r="Q53" s="553"/>
      <c r="R53" s="367"/>
      <c r="S53" s="553"/>
      <c r="T53" s="367"/>
      <c r="U53" s="553"/>
      <c r="V53" s="367"/>
      <c r="W53" s="553"/>
      <c r="X53" s="367"/>
      <c r="Y53" s="553"/>
      <c r="Z53" s="367"/>
      <c r="AA53" s="264"/>
      <c r="AB53" s="524"/>
      <c r="AC53" s="531">
        <v>84.6</v>
      </c>
      <c r="AD53" s="287"/>
      <c r="AE53" s="1757"/>
      <c r="AF53" s="531">
        <v>107.3</v>
      </c>
      <c r="AG53" s="519"/>
      <c r="AH53" s="264"/>
      <c r="AI53" s="264">
        <f t="shared" si="4"/>
        <v>-22.7</v>
      </c>
      <c r="AJ53" s="264"/>
      <c r="AK53" s="283">
        <f>_xlfn.SINGLE(ROUND(IF(AF53=0,0,AI53/ABS(AF53)),3))</f>
        <v>-0.21199999999999999</v>
      </c>
      <c r="AL53" s="1520"/>
    </row>
    <row r="54" spans="1:38" ht="15" customHeight="1">
      <c r="A54" s="35"/>
      <c r="B54" s="350" t="s">
        <v>1374</v>
      </c>
      <c r="C54" s="291"/>
      <c r="D54" s="367">
        <v>91</v>
      </c>
      <c r="E54" s="264"/>
      <c r="F54" s="367">
        <v>78.599999999999994</v>
      </c>
      <c r="G54" s="367"/>
      <c r="H54" s="367">
        <v>65.599999999999994</v>
      </c>
      <c r="I54" s="264"/>
      <c r="J54" s="367">
        <f t="shared" si="3"/>
        <v>67.100000000000023</v>
      </c>
      <c r="K54" s="553"/>
      <c r="L54" s="367"/>
      <c r="M54" s="1111"/>
      <c r="N54" s="367"/>
      <c r="O54" s="553"/>
      <c r="P54" s="367"/>
      <c r="Q54" s="553"/>
      <c r="R54" s="367"/>
      <c r="S54" s="553"/>
      <c r="T54" s="367"/>
      <c r="U54" s="553"/>
      <c r="V54" s="367"/>
      <c r="W54" s="553"/>
      <c r="X54" s="367"/>
      <c r="Y54" s="553"/>
      <c r="Z54" s="367"/>
      <c r="AA54" s="264"/>
      <c r="AB54" s="524"/>
      <c r="AC54" s="531">
        <v>302.3</v>
      </c>
      <c r="AD54" s="287"/>
      <c r="AE54" s="1757"/>
      <c r="AF54" s="531">
        <v>272.39999999999998</v>
      </c>
      <c r="AG54" s="519"/>
      <c r="AH54" s="264"/>
      <c r="AI54" s="264">
        <f t="shared" si="4"/>
        <v>29.9</v>
      </c>
      <c r="AJ54" s="264"/>
      <c r="AK54" s="283">
        <f>_xlfn.SINGLE(ROUND(IF(AF54=0,0,AI54/ABS(AF54)),3))</f>
        <v>0.11</v>
      </c>
      <c r="AL54" s="1520"/>
    </row>
    <row r="55" spans="1:38" ht="15" customHeight="1">
      <c r="A55" s="35"/>
      <c r="B55" s="350" t="s">
        <v>1365</v>
      </c>
      <c r="C55" s="291"/>
      <c r="D55" s="367">
        <v>44.8</v>
      </c>
      <c r="E55" s="264"/>
      <c r="F55" s="367">
        <v>7.4000000000000057</v>
      </c>
      <c r="G55" s="367"/>
      <c r="H55" s="367">
        <v>4.6999999999999957</v>
      </c>
      <c r="I55" s="264"/>
      <c r="J55" s="367">
        <f t="shared" si="3"/>
        <v>13.100000000000009</v>
      </c>
      <c r="K55" s="553"/>
      <c r="L55" s="367"/>
      <c r="M55" s="1111"/>
      <c r="N55" s="367"/>
      <c r="O55" s="553"/>
      <c r="P55" s="367"/>
      <c r="Q55" s="553"/>
      <c r="R55" s="367"/>
      <c r="S55" s="553"/>
      <c r="T55" s="367"/>
      <c r="U55" s="553"/>
      <c r="V55" s="367"/>
      <c r="W55" s="553"/>
      <c r="X55" s="367"/>
      <c r="Y55" s="553"/>
      <c r="Z55" s="367"/>
      <c r="AA55" s="264"/>
      <c r="AB55" s="524"/>
      <c r="AC55" s="531">
        <v>70</v>
      </c>
      <c r="AD55" s="287"/>
      <c r="AE55" s="1757"/>
      <c r="AF55" s="531">
        <v>78.5</v>
      </c>
      <c r="AG55" s="519"/>
      <c r="AH55" s="264"/>
      <c r="AI55" s="264">
        <f t="shared" si="4"/>
        <v>-8.5</v>
      </c>
      <c r="AJ55" s="264"/>
      <c r="AK55" s="542">
        <f>_xlfn.SINGLE(ROUND(IF(AF55=0,0,AI55/ABS(AF55)),3))</f>
        <v>-0.108</v>
      </c>
      <c r="AL55" s="1520"/>
    </row>
    <row r="56" spans="1:38" ht="15" customHeight="1">
      <c r="A56" s="35"/>
      <c r="B56" s="350" t="s">
        <v>401</v>
      </c>
      <c r="C56" s="291"/>
      <c r="D56" s="367"/>
      <c r="E56" s="264"/>
      <c r="F56" s="367"/>
      <c r="G56" s="367"/>
      <c r="H56" s="367"/>
      <c r="I56" s="264"/>
      <c r="J56" s="367"/>
      <c r="K56" s="264"/>
      <c r="L56" s="367"/>
      <c r="M56" s="1114"/>
      <c r="N56" s="367"/>
      <c r="O56" s="264"/>
      <c r="P56" s="367"/>
      <c r="Q56" s="264"/>
      <c r="R56" s="367"/>
      <c r="S56" s="264"/>
      <c r="T56" s="367"/>
      <c r="U56" s="264"/>
      <c r="V56" s="367"/>
      <c r="W56" s="264"/>
      <c r="X56" s="367"/>
      <c r="Y56" s="264"/>
      <c r="Z56" s="367"/>
      <c r="AA56" s="264"/>
      <c r="AB56" s="523"/>
      <c r="AC56" s="264" t="s">
        <v>103</v>
      </c>
      <c r="AD56" s="264"/>
      <c r="AE56" s="524"/>
      <c r="AF56" s="264" t="s">
        <v>103</v>
      </c>
      <c r="AG56" s="519"/>
      <c r="AH56" s="264"/>
      <c r="AI56" s="264"/>
      <c r="AJ56" s="264"/>
      <c r="AK56" s="283"/>
      <c r="AL56" s="1520"/>
    </row>
    <row r="57" spans="1:38" ht="15" customHeight="1">
      <c r="A57" s="35"/>
      <c r="B57" s="350" t="s">
        <v>1394</v>
      </c>
      <c r="C57" s="291"/>
      <c r="D57" s="367">
        <v>57.6</v>
      </c>
      <c r="E57" s="264"/>
      <c r="F57" s="367">
        <v>56.999999999999993</v>
      </c>
      <c r="G57" s="367"/>
      <c r="H57" s="367">
        <v>25.999999999999993</v>
      </c>
      <c r="I57" s="264"/>
      <c r="J57" s="367">
        <f t="shared" si="3"/>
        <v>45.800000000000004</v>
      </c>
      <c r="K57" s="553"/>
      <c r="L57" s="367"/>
      <c r="M57" s="1111"/>
      <c r="N57" s="367"/>
      <c r="O57" s="553"/>
      <c r="P57" s="367"/>
      <c r="Q57" s="553"/>
      <c r="R57" s="367"/>
      <c r="S57" s="553"/>
      <c r="T57" s="367"/>
      <c r="U57" s="553"/>
      <c r="V57" s="367"/>
      <c r="W57" s="553"/>
      <c r="X57" s="367"/>
      <c r="Y57" s="553"/>
      <c r="Z57" s="367"/>
      <c r="AA57" s="264"/>
      <c r="AB57" s="524"/>
      <c r="AC57" s="531">
        <v>186.4</v>
      </c>
      <c r="AD57" s="287"/>
      <c r="AE57" s="1757"/>
      <c r="AF57" s="531">
        <v>119.2</v>
      </c>
      <c r="AG57" s="519"/>
      <c r="AH57" s="264"/>
      <c r="AI57" s="264">
        <f t="shared" ref="AI57:AI62" si="5">_xlfn.SINGLE(ROUND(SUM(+AC57-AF57),1))</f>
        <v>67.2</v>
      </c>
      <c r="AJ57" s="264"/>
      <c r="AK57" s="542">
        <f>_xlfn.SINGLE(ROUND(IF(AF57=0,1,AI57/ABS(AF57)),3))</f>
        <v>0.56399999999999995</v>
      </c>
      <c r="AL57" s="1520"/>
    </row>
    <row r="58" spans="1:38" ht="15" customHeight="1">
      <c r="A58" s="35"/>
      <c r="B58" s="350" t="s">
        <v>1395</v>
      </c>
      <c r="C58" s="291"/>
      <c r="D58" s="367">
        <v>218.6</v>
      </c>
      <c r="E58" s="264"/>
      <c r="F58" s="367">
        <v>177.9</v>
      </c>
      <c r="G58" s="367"/>
      <c r="H58" s="367">
        <v>175.79999999999998</v>
      </c>
      <c r="I58" s="264"/>
      <c r="J58" s="367">
        <f t="shared" si="3"/>
        <v>219.40000000000012</v>
      </c>
      <c r="K58" s="553"/>
      <c r="L58" s="367"/>
      <c r="M58" s="1111"/>
      <c r="N58" s="367"/>
      <c r="O58" s="553"/>
      <c r="P58" s="367"/>
      <c r="Q58" s="553"/>
      <c r="R58" s="367"/>
      <c r="S58" s="553"/>
      <c r="T58" s="367"/>
      <c r="U58" s="553"/>
      <c r="V58" s="367"/>
      <c r="W58" s="553"/>
      <c r="X58" s="367"/>
      <c r="Y58" s="553"/>
      <c r="Z58" s="367"/>
      <c r="AA58" s="264"/>
      <c r="AB58" s="524"/>
      <c r="AC58" s="531">
        <v>791.7</v>
      </c>
      <c r="AD58" s="287"/>
      <c r="AE58" s="1757"/>
      <c r="AF58" s="531">
        <v>787.3</v>
      </c>
      <c r="AG58" s="519"/>
      <c r="AH58" s="264"/>
      <c r="AI58" s="264">
        <f t="shared" si="5"/>
        <v>4.4000000000000004</v>
      </c>
      <c r="AJ58" s="264"/>
      <c r="AK58" s="283">
        <f>_xlfn.SINGLE(ROUND(IF(AF58=0,0,AI58/ABS(AF58)),3))</f>
        <v>6.0000000000000001E-3</v>
      </c>
      <c r="AL58" s="1520"/>
    </row>
    <row r="59" spans="1:38" ht="15" customHeight="1">
      <c r="A59" s="35"/>
      <c r="B59" s="350" t="s">
        <v>1396</v>
      </c>
      <c r="C59" s="291"/>
      <c r="D59" s="367">
        <v>117.4</v>
      </c>
      <c r="E59" s="264"/>
      <c r="F59" s="367">
        <v>109.79999999999998</v>
      </c>
      <c r="G59" s="367"/>
      <c r="H59" s="367">
        <v>39</v>
      </c>
      <c r="I59" s="264"/>
      <c r="J59" s="367">
        <f t="shared" si="3"/>
        <v>123.80000000000001</v>
      </c>
      <c r="K59" s="553"/>
      <c r="L59" s="367"/>
      <c r="M59" s="1111"/>
      <c r="N59" s="367"/>
      <c r="O59" s="553"/>
      <c r="P59" s="367"/>
      <c r="Q59" s="553"/>
      <c r="R59" s="367"/>
      <c r="S59" s="553"/>
      <c r="T59" s="367"/>
      <c r="U59" s="553"/>
      <c r="V59" s="367"/>
      <c r="W59" s="553"/>
      <c r="X59" s="367"/>
      <c r="Y59" s="553"/>
      <c r="Z59" s="367"/>
      <c r="AA59" s="264"/>
      <c r="AB59" s="524"/>
      <c r="AC59" s="531">
        <v>390</v>
      </c>
      <c r="AD59" s="287"/>
      <c r="AE59" s="1757"/>
      <c r="AF59" s="531">
        <v>393.2</v>
      </c>
      <c r="AG59" s="519"/>
      <c r="AH59" s="264"/>
      <c r="AI59" s="264">
        <f t="shared" si="5"/>
        <v>-3.2</v>
      </c>
      <c r="AJ59" s="264"/>
      <c r="AK59" s="283">
        <f>_xlfn.SINGLE(ROUND(IF(AF59=0,1,AI59/ABS(AF59)),3))</f>
        <v>-8.0000000000000002E-3</v>
      </c>
      <c r="AL59" s="1520"/>
    </row>
    <row r="60" spans="1:38" ht="15" customHeight="1">
      <c r="A60" s="35"/>
      <c r="B60" s="350" t="s">
        <v>1397</v>
      </c>
      <c r="C60" s="291"/>
      <c r="D60" s="367">
        <v>103</v>
      </c>
      <c r="E60" s="264"/>
      <c r="F60" s="367">
        <v>47.400000000000006</v>
      </c>
      <c r="G60" s="367"/>
      <c r="H60" s="367">
        <v>48.299999999999983</v>
      </c>
      <c r="I60" s="264"/>
      <c r="J60" s="367">
        <f t="shared" si="3"/>
        <v>59.100000000000023</v>
      </c>
      <c r="K60" s="553"/>
      <c r="L60" s="367"/>
      <c r="M60" s="1111"/>
      <c r="N60" s="367"/>
      <c r="O60" s="553"/>
      <c r="P60" s="367"/>
      <c r="Q60" s="553"/>
      <c r="R60" s="367"/>
      <c r="S60" s="553"/>
      <c r="T60" s="367"/>
      <c r="U60" s="553"/>
      <c r="V60" s="367"/>
      <c r="W60" s="553"/>
      <c r="X60" s="367"/>
      <c r="Y60" s="553"/>
      <c r="Z60" s="367"/>
      <c r="AA60" s="264"/>
      <c r="AB60" s="524"/>
      <c r="AC60" s="531">
        <v>257.8</v>
      </c>
      <c r="AD60" s="287"/>
      <c r="AE60" s="1757"/>
      <c r="AF60" s="531">
        <v>367.5</v>
      </c>
      <c r="AG60" s="519"/>
      <c r="AH60" s="264"/>
      <c r="AI60" s="264">
        <f t="shared" si="5"/>
        <v>-109.7</v>
      </c>
      <c r="AJ60" s="264"/>
      <c r="AK60" s="607">
        <f>_xlfn.SINGLE(ROUND(IF(AF60=0,1,AI60/ABS(AF60)),3))</f>
        <v>-0.29899999999999999</v>
      </c>
      <c r="AL60" s="1520"/>
    </row>
    <row r="61" spans="1:38" ht="15" customHeight="1">
      <c r="A61" s="35"/>
      <c r="B61" s="350" t="s">
        <v>1398</v>
      </c>
      <c r="C61" s="291"/>
      <c r="D61" s="367">
        <v>60.6</v>
      </c>
      <c r="E61" s="264"/>
      <c r="F61" s="367">
        <v>55.70000000000001</v>
      </c>
      <c r="G61" s="367"/>
      <c r="H61" s="367">
        <v>70.5</v>
      </c>
      <c r="I61" s="264"/>
      <c r="J61" s="367">
        <f t="shared" si="3"/>
        <v>65.699999999999989</v>
      </c>
      <c r="K61" s="553"/>
      <c r="L61" s="367"/>
      <c r="M61" s="1111"/>
      <c r="N61" s="367"/>
      <c r="O61" s="553"/>
      <c r="P61" s="367"/>
      <c r="Q61" s="553"/>
      <c r="R61" s="367"/>
      <c r="S61" s="553"/>
      <c r="T61" s="367"/>
      <c r="U61" s="553"/>
      <c r="V61" s="367"/>
      <c r="W61" s="553"/>
      <c r="X61" s="367"/>
      <c r="Y61" s="553"/>
      <c r="Z61" s="367"/>
      <c r="AA61" s="264"/>
      <c r="AB61" s="524"/>
      <c r="AC61" s="531">
        <v>252.5</v>
      </c>
      <c r="AD61" s="287"/>
      <c r="AE61" s="1757"/>
      <c r="AF61" s="531">
        <v>243</v>
      </c>
      <c r="AG61" s="519"/>
      <c r="AH61" s="264"/>
      <c r="AI61" s="264">
        <f t="shared" si="5"/>
        <v>9.5</v>
      </c>
      <c r="AJ61" s="264"/>
      <c r="AK61" s="607">
        <f>_xlfn.SINGLE(ROUND(IF(AF61=0,0,AI61/ABS(AF61)),3))</f>
        <v>3.9E-2</v>
      </c>
      <c r="AL61" s="1520"/>
    </row>
    <row r="62" spans="1:38" ht="15" customHeight="1">
      <c r="A62" s="35"/>
      <c r="B62" s="350" t="s">
        <v>1376</v>
      </c>
      <c r="C62" s="291"/>
      <c r="D62" s="367">
        <v>7.3</v>
      </c>
      <c r="E62" s="264"/>
      <c r="F62" s="367">
        <v>0.60000000000000053</v>
      </c>
      <c r="G62" s="367"/>
      <c r="H62" s="367">
        <v>8</v>
      </c>
      <c r="I62" s="264"/>
      <c r="J62" s="367">
        <f t="shared" si="3"/>
        <v>2.9999999999999973</v>
      </c>
      <c r="K62" s="553"/>
      <c r="L62" s="367"/>
      <c r="M62" s="1111"/>
      <c r="N62" s="367"/>
      <c r="O62" s="553"/>
      <c r="P62" s="367"/>
      <c r="Q62" s="553"/>
      <c r="R62" s="367"/>
      <c r="S62" s="553"/>
      <c r="T62" s="367"/>
      <c r="U62" s="553"/>
      <c r="V62" s="367"/>
      <c r="W62" s="553"/>
      <c r="X62" s="367"/>
      <c r="Y62" s="553"/>
      <c r="Z62" s="367"/>
      <c r="AA62" s="264"/>
      <c r="AB62" s="524"/>
      <c r="AC62" s="531">
        <v>18.899999999999999</v>
      </c>
      <c r="AD62" s="287"/>
      <c r="AE62" s="1757"/>
      <c r="AF62" s="531">
        <v>16.3</v>
      </c>
      <c r="AG62" s="519"/>
      <c r="AH62" s="264"/>
      <c r="AI62" s="264">
        <f t="shared" si="5"/>
        <v>2.6</v>
      </c>
      <c r="AJ62" s="264"/>
      <c r="AK62" s="283">
        <f>_xlfn.SINGLE(ROUND(IF(AF62=0,0,AI62/ABS(AF62)),3))</f>
        <v>0.16</v>
      </c>
      <c r="AL62" s="1520"/>
    </row>
    <row r="63" spans="1:38" ht="15" customHeight="1">
      <c r="A63" s="35"/>
      <c r="B63" s="350" t="s">
        <v>408</v>
      </c>
      <c r="C63" s="291"/>
      <c r="D63" s="367"/>
      <c r="E63" s="264"/>
      <c r="F63" s="367"/>
      <c r="G63" s="367"/>
      <c r="H63" s="367"/>
      <c r="I63" s="264"/>
      <c r="J63" s="367"/>
      <c r="K63" s="264"/>
      <c r="L63" s="367"/>
      <c r="M63" s="1114"/>
      <c r="N63" s="367"/>
      <c r="O63" s="264"/>
      <c r="P63" s="367"/>
      <c r="Q63" s="264"/>
      <c r="R63" s="367"/>
      <c r="S63" s="264"/>
      <c r="T63" s="367"/>
      <c r="U63" s="264"/>
      <c r="V63" s="367"/>
      <c r="W63" s="264"/>
      <c r="X63" s="367"/>
      <c r="Y63" s="264"/>
      <c r="Z63" s="367"/>
      <c r="AA63" s="264"/>
      <c r="AB63" s="523"/>
      <c r="AC63" s="264" t="s">
        <v>103</v>
      </c>
      <c r="AD63" s="264"/>
      <c r="AE63" s="524"/>
      <c r="AF63" s="264" t="s">
        <v>103</v>
      </c>
      <c r="AG63" s="519"/>
      <c r="AH63" s="264"/>
      <c r="AI63" s="264"/>
      <c r="AJ63" s="264"/>
      <c r="AK63" s="283"/>
      <c r="AL63" s="1520"/>
    </row>
    <row r="64" spans="1:38" ht="15" customHeight="1">
      <c r="A64" s="35"/>
      <c r="B64" s="350" t="s">
        <v>494</v>
      </c>
      <c r="C64" s="291"/>
      <c r="D64" s="367">
        <v>0</v>
      </c>
      <c r="E64" s="264"/>
      <c r="F64" s="367">
        <v>0</v>
      </c>
      <c r="G64" s="367"/>
      <c r="H64" s="367">
        <v>0</v>
      </c>
      <c r="I64" s="264"/>
      <c r="J64" s="367">
        <f t="shared" si="3"/>
        <v>0</v>
      </c>
      <c r="K64" s="553"/>
      <c r="L64" s="367"/>
      <c r="M64" s="1111"/>
      <c r="N64" s="367"/>
      <c r="O64" s="553"/>
      <c r="P64" s="367"/>
      <c r="Q64" s="553"/>
      <c r="R64" s="367"/>
      <c r="S64" s="553"/>
      <c r="T64" s="367"/>
      <c r="U64" s="553"/>
      <c r="V64" s="367"/>
      <c r="W64" s="553"/>
      <c r="X64" s="367"/>
      <c r="Y64" s="553"/>
      <c r="Z64" s="367"/>
      <c r="AA64" s="264"/>
      <c r="AB64" s="524"/>
      <c r="AC64" s="531">
        <v>0</v>
      </c>
      <c r="AD64" s="287"/>
      <c r="AE64" s="1757"/>
      <c r="AF64" s="531">
        <v>0</v>
      </c>
      <c r="AG64" s="519"/>
      <c r="AH64" s="264"/>
      <c r="AI64" s="264">
        <f>_xlfn.SINGLE(ROUND(SUM(+AC64-AF64),1))</f>
        <v>0</v>
      </c>
      <c r="AJ64" s="264"/>
      <c r="AK64" s="283">
        <f>_xlfn.SINGLE(ROUND(IF(AF64=0,0,AI64/ABS(AF64)),3))</f>
        <v>0</v>
      </c>
      <c r="AL64" s="1520"/>
    </row>
    <row r="65" spans="1:38" ht="15" customHeight="1">
      <c r="A65" s="35"/>
      <c r="B65" s="350" t="s">
        <v>1399</v>
      </c>
      <c r="C65" s="291"/>
      <c r="D65" s="367">
        <v>0.4</v>
      </c>
      <c r="E65" s="264"/>
      <c r="F65" s="367">
        <v>0</v>
      </c>
      <c r="G65" s="367"/>
      <c r="H65" s="367">
        <v>0</v>
      </c>
      <c r="I65" s="264"/>
      <c r="J65" s="367">
        <f t="shared" si="3"/>
        <v>0</v>
      </c>
      <c r="K65" s="553"/>
      <c r="L65" s="367"/>
      <c r="M65" s="1111"/>
      <c r="N65" s="367"/>
      <c r="O65" s="553"/>
      <c r="P65" s="367"/>
      <c r="Q65" s="553"/>
      <c r="R65" s="367"/>
      <c r="S65" s="553"/>
      <c r="T65" s="367"/>
      <c r="U65" s="553"/>
      <c r="V65" s="367"/>
      <c r="W65" s="553"/>
      <c r="X65" s="367"/>
      <c r="Y65" s="553"/>
      <c r="Z65" s="367"/>
      <c r="AA65" s="264"/>
      <c r="AB65" s="524"/>
      <c r="AC65" s="531">
        <v>0.4</v>
      </c>
      <c r="AD65" s="287"/>
      <c r="AE65" s="1757"/>
      <c r="AF65" s="531">
        <v>13.1</v>
      </c>
      <c r="AG65" s="519"/>
      <c r="AH65" s="264"/>
      <c r="AI65" s="264">
        <f>_xlfn.SINGLE(ROUND(SUM(+AC65-AF65),1))</f>
        <v>-12.7</v>
      </c>
      <c r="AJ65" s="264"/>
      <c r="AK65" s="607">
        <f>_xlfn.SINGLE(ROUND(IF(AF65=0,1,AI65/ABS(AF65)),3))</f>
        <v>-0.96899999999999997</v>
      </c>
      <c r="AL65" s="1520"/>
    </row>
    <row r="66" spans="1:38" ht="15" customHeight="1">
      <c r="A66" s="35"/>
      <c r="B66" s="350" t="s">
        <v>1377</v>
      </c>
      <c r="C66" s="291"/>
      <c r="D66" s="367">
        <v>0</v>
      </c>
      <c r="E66" s="264"/>
      <c r="F66" s="367">
        <v>1.2</v>
      </c>
      <c r="G66" s="367"/>
      <c r="H66" s="367">
        <v>0.30000000000000004</v>
      </c>
      <c r="I66" s="264"/>
      <c r="J66" s="367">
        <f t="shared" si="3"/>
        <v>4.9000000000000004</v>
      </c>
      <c r="K66" s="553"/>
      <c r="L66" s="367"/>
      <c r="M66" s="1111"/>
      <c r="N66" s="367"/>
      <c r="O66" s="553"/>
      <c r="P66" s="367"/>
      <c r="Q66" s="553"/>
      <c r="R66" s="367"/>
      <c r="S66" s="553"/>
      <c r="T66" s="367"/>
      <c r="U66" s="553"/>
      <c r="V66" s="367"/>
      <c r="W66" s="553"/>
      <c r="X66" s="367"/>
      <c r="Y66" s="553"/>
      <c r="Z66" s="367"/>
      <c r="AA66" s="264"/>
      <c r="AB66" s="524"/>
      <c r="AC66" s="531">
        <v>6.4</v>
      </c>
      <c r="AD66" s="287"/>
      <c r="AE66" s="1757"/>
      <c r="AF66" s="531">
        <v>7.2</v>
      </c>
      <c r="AG66" s="519"/>
      <c r="AH66" s="264"/>
      <c r="AI66" s="264">
        <f>_xlfn.SINGLE(ROUND(SUM(+AC66-AF66),1))</f>
        <v>-0.8</v>
      </c>
      <c r="AJ66" s="264"/>
      <c r="AK66" s="607">
        <f>_xlfn.SINGLE(ROUND(IF(AF66=0,0,AI66/ABS(AF66)),3))</f>
        <v>-0.111</v>
      </c>
      <c r="AL66" s="1520"/>
    </row>
    <row r="67" spans="1:38" ht="15" customHeight="1">
      <c r="A67" s="35"/>
      <c r="B67" s="350" t="s">
        <v>1400</v>
      </c>
      <c r="C67" s="291"/>
      <c r="D67" s="367">
        <v>4.7</v>
      </c>
      <c r="E67" s="264"/>
      <c r="F67" s="367">
        <v>4.4999999999999991</v>
      </c>
      <c r="G67" s="367"/>
      <c r="H67" s="367">
        <v>4.4999999999999991</v>
      </c>
      <c r="I67" s="264"/>
      <c r="J67" s="367">
        <f t="shared" si="3"/>
        <v>6.3</v>
      </c>
      <c r="K67" s="553"/>
      <c r="L67" s="367"/>
      <c r="M67" s="1111"/>
      <c r="N67" s="367"/>
      <c r="O67" s="553"/>
      <c r="P67" s="367"/>
      <c r="Q67" s="553"/>
      <c r="R67" s="367"/>
      <c r="S67" s="553"/>
      <c r="T67" s="367"/>
      <c r="U67" s="553"/>
      <c r="V67" s="367"/>
      <c r="W67" s="553"/>
      <c r="X67" s="367"/>
      <c r="Y67" s="553"/>
      <c r="Z67" s="367"/>
      <c r="AA67" s="264"/>
      <c r="AB67" s="524"/>
      <c r="AC67" s="531">
        <v>20</v>
      </c>
      <c r="AD67" s="287"/>
      <c r="AE67" s="1757"/>
      <c r="AF67" s="531">
        <v>16.2</v>
      </c>
      <c r="AG67" s="519"/>
      <c r="AH67" s="264"/>
      <c r="AI67" s="264">
        <f>_xlfn.SINGLE(ROUND(SUM(+AC67-AF67),1))</f>
        <v>3.8</v>
      </c>
      <c r="AJ67" s="264"/>
      <c r="AK67" s="607">
        <f>_xlfn.SINGLE(ROUND(IF(AF67=0,0,AI67/ABS(AF67)),3))</f>
        <v>0.23499999999999999</v>
      </c>
      <c r="AL67" s="1520"/>
    </row>
    <row r="68" spans="1:38" ht="15" customHeight="1">
      <c r="A68" s="35"/>
      <c r="B68" s="350" t="s">
        <v>413</v>
      </c>
      <c r="C68" s="291"/>
      <c r="D68" s="367">
        <v>59.6</v>
      </c>
      <c r="E68" s="264"/>
      <c r="F68" s="367">
        <v>24.4</v>
      </c>
      <c r="G68" s="367"/>
      <c r="H68" s="367">
        <v>0.5</v>
      </c>
      <c r="I68" s="264"/>
      <c r="J68" s="367">
        <f t="shared" si="3"/>
        <v>0.90000000000000568</v>
      </c>
      <c r="K68" s="553"/>
      <c r="L68" s="367"/>
      <c r="M68" s="1111"/>
      <c r="N68" s="367"/>
      <c r="O68" s="553"/>
      <c r="P68" s="367"/>
      <c r="Q68" s="553"/>
      <c r="R68" s="367"/>
      <c r="S68" s="553"/>
      <c r="T68" s="367"/>
      <c r="U68" s="553"/>
      <c r="V68" s="367"/>
      <c r="W68" s="553"/>
      <c r="X68" s="367"/>
      <c r="Y68" s="553"/>
      <c r="Z68" s="367"/>
      <c r="AA68" s="264"/>
      <c r="AB68" s="524"/>
      <c r="AC68" s="531">
        <v>85.4</v>
      </c>
      <c r="AD68" s="287"/>
      <c r="AE68" s="1757"/>
      <c r="AF68" s="531">
        <v>89.6</v>
      </c>
      <c r="AG68" s="519"/>
      <c r="AH68" s="264"/>
      <c r="AI68" s="264">
        <f>_xlfn.SINGLE(ROUND(SUM(+AC68-AF68),1))</f>
        <v>-4.2</v>
      </c>
      <c r="AJ68" s="264"/>
      <c r="AK68" s="607">
        <f>_xlfn.SINGLE(ROUND(IF(AF68=0,0,AI68/ABS(AF68)),3))</f>
        <v>-4.7E-2</v>
      </c>
      <c r="AL68" s="1520"/>
    </row>
    <row r="69" spans="1:38" ht="17.25" customHeight="1">
      <c r="A69" s="35"/>
      <c r="B69" s="350" t="s">
        <v>414</v>
      </c>
      <c r="C69" s="291"/>
      <c r="D69" s="367"/>
      <c r="E69" s="264"/>
      <c r="F69" s="367"/>
      <c r="G69" s="367"/>
      <c r="H69" s="367"/>
      <c r="I69" s="264"/>
      <c r="J69" s="367"/>
      <c r="K69" s="264"/>
      <c r="L69" s="367"/>
      <c r="M69" s="1114"/>
      <c r="N69" s="367"/>
      <c r="O69" s="264"/>
      <c r="P69" s="367"/>
      <c r="Q69" s="264"/>
      <c r="R69" s="367"/>
      <c r="S69" s="264"/>
      <c r="T69" s="367"/>
      <c r="U69" s="264"/>
      <c r="V69" s="367"/>
      <c r="W69" s="264"/>
      <c r="X69" s="367"/>
      <c r="Y69" s="264"/>
      <c r="Z69" s="367"/>
      <c r="AA69" s="264"/>
      <c r="AB69" s="523"/>
      <c r="AC69" s="264" t="s">
        <v>103</v>
      </c>
      <c r="AD69" s="264"/>
      <c r="AE69" s="524"/>
      <c r="AF69" s="264" t="s">
        <v>103</v>
      </c>
      <c r="AG69" s="519"/>
      <c r="AH69" s="264"/>
      <c r="AI69" s="264"/>
      <c r="AJ69" s="264"/>
      <c r="AK69" s="283"/>
      <c r="AL69" s="1520"/>
    </row>
    <row r="70" spans="1:38" ht="15" customHeight="1">
      <c r="A70" s="35"/>
      <c r="B70" s="350" t="s">
        <v>1378</v>
      </c>
      <c r="C70" s="291"/>
      <c r="D70" s="367">
        <v>0.3</v>
      </c>
      <c r="E70" s="264"/>
      <c r="F70" s="367">
        <v>18.099999999999998</v>
      </c>
      <c r="G70" s="367"/>
      <c r="H70" s="367">
        <v>27</v>
      </c>
      <c r="I70" s="264"/>
      <c r="J70" s="367">
        <f t="shared" si="3"/>
        <v>9.2000000000000028</v>
      </c>
      <c r="K70" s="553"/>
      <c r="L70" s="367"/>
      <c r="M70" s="1111"/>
      <c r="N70" s="367"/>
      <c r="O70" s="553"/>
      <c r="P70" s="367"/>
      <c r="Q70" s="553"/>
      <c r="R70" s="367"/>
      <c r="S70" s="553"/>
      <c r="T70" s="367"/>
      <c r="U70" s="553"/>
      <c r="V70" s="367"/>
      <c r="W70" s="553"/>
      <c r="X70" s="367"/>
      <c r="Y70" s="553"/>
      <c r="Z70" s="367"/>
      <c r="AA70" s="264"/>
      <c r="AB70" s="524"/>
      <c r="AC70" s="531">
        <v>54.6</v>
      </c>
      <c r="AD70" s="287"/>
      <c r="AE70" s="1757"/>
      <c r="AF70" s="531">
        <v>53</v>
      </c>
      <c r="AG70" s="519"/>
      <c r="AH70" s="264"/>
      <c r="AI70" s="264">
        <f t="shared" ref="AI70:AI80" si="6">_xlfn.SINGLE(ROUND(SUM(+AC70-AF70),1))</f>
        <v>1.6</v>
      </c>
      <c r="AJ70" s="264"/>
      <c r="AK70" s="607">
        <f>_xlfn.SINGLE(ROUND(IF(AF70=0,0,AI70/ABS(AF70)),3))</f>
        <v>0.03</v>
      </c>
      <c r="AL70" s="1520"/>
    </row>
    <row r="71" spans="1:38" ht="15" customHeight="1">
      <c r="A71" s="35"/>
      <c r="B71" s="350" t="s">
        <v>499</v>
      </c>
      <c r="C71" s="291"/>
      <c r="D71" s="367">
        <v>1.3</v>
      </c>
      <c r="E71" s="264"/>
      <c r="F71" s="367">
        <v>1.2</v>
      </c>
      <c r="G71" s="367"/>
      <c r="H71" s="367">
        <v>0.69999999999999973</v>
      </c>
      <c r="I71" s="264"/>
      <c r="J71" s="367">
        <f t="shared" si="3"/>
        <v>0.50000000000000044</v>
      </c>
      <c r="K71" s="553"/>
      <c r="L71" s="367"/>
      <c r="M71" s="1111"/>
      <c r="N71" s="367"/>
      <c r="O71" s="553"/>
      <c r="P71" s="367"/>
      <c r="Q71" s="553"/>
      <c r="R71" s="367"/>
      <c r="S71" s="553"/>
      <c r="T71" s="367"/>
      <c r="U71" s="553"/>
      <c r="V71" s="367"/>
      <c r="W71" s="553"/>
      <c r="X71" s="367"/>
      <c r="Y71" s="553"/>
      <c r="Z71" s="367"/>
      <c r="AA71" s="264"/>
      <c r="AB71" s="524"/>
      <c r="AC71" s="531">
        <v>3.7</v>
      </c>
      <c r="AD71" s="287"/>
      <c r="AE71" s="1757"/>
      <c r="AF71" s="531">
        <v>1.8</v>
      </c>
      <c r="AG71" s="519"/>
      <c r="AH71" s="264"/>
      <c r="AI71" s="264">
        <f t="shared" si="6"/>
        <v>1.9</v>
      </c>
      <c r="AJ71" s="264"/>
      <c r="AK71" s="607">
        <f>_xlfn.SINGLE(ROUND(IF(AF71=0,1,AI71/ABS(AF71)),3))</f>
        <v>1.056</v>
      </c>
      <c r="AL71" s="1520"/>
    </row>
    <row r="72" spans="1:38" ht="15" customHeight="1">
      <c r="A72" s="35"/>
      <c r="B72" s="350" t="s">
        <v>1379</v>
      </c>
      <c r="C72" s="291"/>
      <c r="D72" s="367">
        <v>6.5</v>
      </c>
      <c r="E72" s="264"/>
      <c r="F72" s="367">
        <v>11.899999999999999</v>
      </c>
      <c r="G72" s="367"/>
      <c r="H72" s="367">
        <v>2.3999999999999986</v>
      </c>
      <c r="I72" s="264"/>
      <c r="J72" s="367">
        <f t="shared" si="3"/>
        <v>0.40000000000000213</v>
      </c>
      <c r="K72" s="553"/>
      <c r="L72" s="367"/>
      <c r="M72" s="1111"/>
      <c r="N72" s="367"/>
      <c r="O72" s="553"/>
      <c r="P72" s="367"/>
      <c r="Q72" s="553"/>
      <c r="R72" s="367"/>
      <c r="S72" s="553"/>
      <c r="T72" s="367"/>
      <c r="U72" s="553"/>
      <c r="V72" s="367"/>
      <c r="W72" s="553"/>
      <c r="X72" s="367"/>
      <c r="Y72" s="553"/>
      <c r="Z72" s="367"/>
      <c r="AA72" s="264"/>
      <c r="AB72" s="524"/>
      <c r="AC72" s="531">
        <v>21.2</v>
      </c>
      <c r="AD72" s="287"/>
      <c r="AE72" s="1757"/>
      <c r="AF72" s="531">
        <v>8.1999999999999993</v>
      </c>
      <c r="AG72" s="519"/>
      <c r="AH72" s="264"/>
      <c r="AI72" s="264">
        <f t="shared" si="6"/>
        <v>13</v>
      </c>
      <c r="AJ72" s="264"/>
      <c r="AK72" s="607">
        <f>_xlfn.SINGLE(ROUND(IF(AF72=0,0,AI72/ABS(AF72)),3))</f>
        <v>1.585</v>
      </c>
      <c r="AL72" s="1520"/>
    </row>
    <row r="73" spans="1:38" ht="15" customHeight="1">
      <c r="A73" s="35"/>
      <c r="B73" s="350" t="s">
        <v>1380</v>
      </c>
      <c r="C73" s="291"/>
      <c r="D73" s="367">
        <v>-0.2</v>
      </c>
      <c r="E73" s="264"/>
      <c r="F73" s="367">
        <v>0.4</v>
      </c>
      <c r="G73" s="367"/>
      <c r="H73" s="367">
        <v>1</v>
      </c>
      <c r="I73" s="264"/>
      <c r="J73" s="367">
        <f t="shared" si="3"/>
        <v>2.7</v>
      </c>
      <c r="K73" s="553"/>
      <c r="L73" s="367"/>
      <c r="M73" s="1111"/>
      <c r="N73" s="367"/>
      <c r="O73" s="553"/>
      <c r="P73" s="367"/>
      <c r="Q73" s="553"/>
      <c r="R73" s="367"/>
      <c r="S73" s="553"/>
      <c r="T73" s="367"/>
      <c r="U73" s="553"/>
      <c r="V73" s="367"/>
      <c r="W73" s="553"/>
      <c r="X73" s="367"/>
      <c r="Y73" s="553"/>
      <c r="Z73" s="367"/>
      <c r="AA73" s="264"/>
      <c r="AB73" s="524"/>
      <c r="AC73" s="531">
        <v>3.9</v>
      </c>
      <c r="AD73" s="287"/>
      <c r="AE73" s="1757"/>
      <c r="AF73" s="531">
        <v>0.6</v>
      </c>
      <c r="AG73" s="519"/>
      <c r="AH73" s="264"/>
      <c r="AI73" s="264">
        <f t="shared" si="6"/>
        <v>3.3</v>
      </c>
      <c r="AJ73" s="264"/>
      <c r="AK73" s="607">
        <f>ROUND(IF(AF73=0,1,AI73/ABS(AF73)),3)</f>
        <v>5.5</v>
      </c>
      <c r="AL73" s="1520"/>
    </row>
    <row r="74" spans="1:38" ht="15" customHeight="1">
      <c r="A74" s="35"/>
      <c r="B74" s="350" t="s">
        <v>1381</v>
      </c>
      <c r="C74" s="291"/>
      <c r="D74" s="367">
        <v>337</v>
      </c>
      <c r="E74" s="264"/>
      <c r="F74" s="367">
        <v>291.89999999999998</v>
      </c>
      <c r="G74" s="367"/>
      <c r="H74" s="367">
        <v>298.60000000000002</v>
      </c>
      <c r="I74" s="264"/>
      <c r="J74" s="367">
        <f t="shared" si="3"/>
        <v>365.09999999999991</v>
      </c>
      <c r="K74" s="553"/>
      <c r="L74" s="367"/>
      <c r="M74" s="1111"/>
      <c r="N74" s="367"/>
      <c r="O74" s="553"/>
      <c r="P74" s="367"/>
      <c r="Q74" s="553"/>
      <c r="R74" s="367"/>
      <c r="S74" s="553"/>
      <c r="T74" s="367"/>
      <c r="U74" s="553"/>
      <c r="V74" s="367"/>
      <c r="W74" s="553"/>
      <c r="X74" s="367"/>
      <c r="Y74" s="553"/>
      <c r="Z74" s="367"/>
      <c r="AA74" s="264"/>
      <c r="AB74" s="524"/>
      <c r="AC74" s="531">
        <v>1292.5999999999999</v>
      </c>
      <c r="AD74" s="287"/>
      <c r="AE74" s="1757"/>
      <c r="AF74" s="531">
        <v>1199.5999999999999</v>
      </c>
      <c r="AG74" s="519"/>
      <c r="AH74" s="264"/>
      <c r="AI74" s="264">
        <f t="shared" si="6"/>
        <v>93</v>
      </c>
      <c r="AJ74" s="264"/>
      <c r="AK74" s="607">
        <f>_xlfn.SINGLE(ROUND(IF(AF74=0,0,AI74/ABS(AF74)),3))</f>
        <v>7.8E-2</v>
      </c>
      <c r="AL74" s="1520"/>
    </row>
    <row r="75" spans="1:38" ht="15" customHeight="1">
      <c r="A75" s="35"/>
      <c r="B75" s="350" t="s">
        <v>1401</v>
      </c>
      <c r="C75" s="291"/>
      <c r="D75" s="367">
        <v>1.4</v>
      </c>
      <c r="E75" s="264"/>
      <c r="F75" s="367">
        <v>1</v>
      </c>
      <c r="G75" s="367"/>
      <c r="H75" s="367">
        <v>3.0000000000000004</v>
      </c>
      <c r="I75" s="264"/>
      <c r="J75" s="367">
        <f t="shared" si="3"/>
        <v>3.6999999999999997</v>
      </c>
      <c r="K75" s="553"/>
      <c r="L75" s="367"/>
      <c r="M75" s="1111"/>
      <c r="N75" s="367"/>
      <c r="O75" s="553"/>
      <c r="P75" s="367"/>
      <c r="Q75" s="553"/>
      <c r="R75" s="367"/>
      <c r="S75" s="553"/>
      <c r="T75" s="367"/>
      <c r="U75" s="553"/>
      <c r="V75" s="367"/>
      <c r="W75" s="553"/>
      <c r="X75" s="367"/>
      <c r="Y75" s="553"/>
      <c r="Z75" s="367"/>
      <c r="AA75" s="264"/>
      <c r="AB75" s="524"/>
      <c r="AC75" s="531">
        <v>9.1</v>
      </c>
      <c r="AD75" s="287"/>
      <c r="AE75" s="1757"/>
      <c r="AF75" s="531">
        <v>12.8</v>
      </c>
      <c r="AG75" s="519"/>
      <c r="AH75" s="264"/>
      <c r="AI75" s="264">
        <f t="shared" si="6"/>
        <v>-3.7</v>
      </c>
      <c r="AJ75" s="264"/>
      <c r="AK75" s="607">
        <f>_xlfn.SINGLE(ROUND(IF(AF75=0,0,AI75/ABS(AF75)),3))</f>
        <v>-0.28899999999999998</v>
      </c>
      <c r="AL75" s="1520"/>
    </row>
    <row r="76" spans="1:38" ht="15" customHeight="1">
      <c r="A76" s="35"/>
      <c r="B76" s="350" t="s">
        <v>1382</v>
      </c>
      <c r="C76" s="291"/>
      <c r="D76" s="367">
        <v>21.8</v>
      </c>
      <c r="E76" s="264"/>
      <c r="F76" s="367">
        <v>0.80000000000000071</v>
      </c>
      <c r="G76" s="367"/>
      <c r="H76" s="367">
        <v>2.1999999999999993</v>
      </c>
      <c r="I76" s="264"/>
      <c r="J76" s="367">
        <f t="shared" si="3"/>
        <v>65.7</v>
      </c>
      <c r="K76" s="553"/>
      <c r="L76" s="367"/>
      <c r="M76" s="1111"/>
      <c r="N76" s="367"/>
      <c r="O76" s="553"/>
      <c r="P76" s="367"/>
      <c r="Q76" s="553"/>
      <c r="R76" s="367"/>
      <c r="S76" s="553"/>
      <c r="T76" s="367"/>
      <c r="U76" s="553"/>
      <c r="V76" s="367"/>
      <c r="W76" s="553"/>
      <c r="X76" s="367"/>
      <c r="Y76" s="553"/>
      <c r="Z76" s="367"/>
      <c r="AA76" s="264"/>
      <c r="AB76" s="524"/>
      <c r="AC76" s="531">
        <v>90.5</v>
      </c>
      <c r="AD76" s="287"/>
      <c r="AE76" s="1757"/>
      <c r="AF76" s="531">
        <v>20.3</v>
      </c>
      <c r="AG76" s="519"/>
      <c r="AH76" s="264"/>
      <c r="AI76" s="264">
        <f t="shared" si="6"/>
        <v>70.2</v>
      </c>
      <c r="AJ76" s="264"/>
      <c r="AK76" s="607">
        <f>_xlfn.SINGLE(ROUND(IF(AF76=0,1,AI76/ABS(AF76)),3))</f>
        <v>3.4580000000000002</v>
      </c>
      <c r="AL76" s="1520"/>
    </row>
    <row r="77" spans="1:38" ht="15" customHeight="1">
      <c r="A77" s="35"/>
      <c r="B77" s="350" t="s">
        <v>1408</v>
      </c>
      <c r="C77" s="291"/>
      <c r="D77" s="367">
        <v>1</v>
      </c>
      <c r="E77" s="264"/>
      <c r="F77" s="367">
        <v>1.1000000000000001</v>
      </c>
      <c r="G77" s="367"/>
      <c r="H77" s="367">
        <v>1</v>
      </c>
      <c r="I77" s="264"/>
      <c r="J77" s="367">
        <f t="shared" si="3"/>
        <v>0.99999999999999956</v>
      </c>
      <c r="K77" s="553"/>
      <c r="L77" s="367"/>
      <c r="M77" s="1111"/>
      <c r="N77" s="367"/>
      <c r="O77" s="553"/>
      <c r="P77" s="367"/>
      <c r="Q77" s="553"/>
      <c r="R77" s="367"/>
      <c r="S77" s="553"/>
      <c r="T77" s="367"/>
      <c r="U77" s="553"/>
      <c r="V77" s="367"/>
      <c r="W77" s="553"/>
      <c r="X77" s="367"/>
      <c r="Y77" s="553"/>
      <c r="Z77" s="367"/>
      <c r="AA77" s="264"/>
      <c r="AB77" s="524"/>
      <c r="AC77" s="531">
        <v>4.0999999999999996</v>
      </c>
      <c r="AD77" s="287"/>
      <c r="AE77" s="1757"/>
      <c r="AF77" s="531">
        <v>4.9000000000000004</v>
      </c>
      <c r="AG77" s="519"/>
      <c r="AH77" s="264"/>
      <c r="AI77" s="264">
        <f t="shared" si="6"/>
        <v>-0.8</v>
      </c>
      <c r="AJ77" s="264"/>
      <c r="AK77" s="283">
        <f>_xlfn.SINGLE(ROUND(IF(AF77=0,0,AI77/ABS(AF77)),3))</f>
        <v>-0.16300000000000001</v>
      </c>
      <c r="AL77" s="1520"/>
    </row>
    <row r="78" spans="1:38" ht="15" customHeight="1">
      <c r="A78" s="35"/>
      <c r="B78" s="350" t="s">
        <v>1402</v>
      </c>
      <c r="C78" s="291"/>
      <c r="D78" s="367">
        <v>29.6</v>
      </c>
      <c r="E78" s="264"/>
      <c r="F78" s="367">
        <v>80.5</v>
      </c>
      <c r="G78" s="367"/>
      <c r="H78" s="367">
        <v>45.999999999999993</v>
      </c>
      <c r="I78" s="264"/>
      <c r="J78" s="367">
        <f t="shared" si="3"/>
        <v>48.20000000000001</v>
      </c>
      <c r="K78" s="553"/>
      <c r="L78" s="367"/>
      <c r="M78" s="1111"/>
      <c r="N78" s="367"/>
      <c r="O78" s="553"/>
      <c r="P78" s="367"/>
      <c r="Q78" s="553"/>
      <c r="R78" s="367"/>
      <c r="S78" s="553"/>
      <c r="T78" s="367"/>
      <c r="U78" s="553"/>
      <c r="V78" s="367"/>
      <c r="W78" s="553"/>
      <c r="X78" s="367"/>
      <c r="Y78" s="553"/>
      <c r="Z78" s="367"/>
      <c r="AA78" s="264"/>
      <c r="AB78" s="523"/>
      <c r="AC78" s="531">
        <v>204.3</v>
      </c>
      <c r="AD78" s="264"/>
      <c r="AE78" s="524"/>
      <c r="AF78" s="531">
        <v>235.4</v>
      </c>
      <c r="AG78" s="519"/>
      <c r="AH78" s="264"/>
      <c r="AI78" s="264">
        <f t="shared" si="6"/>
        <v>-31.1</v>
      </c>
      <c r="AJ78" s="264"/>
      <c r="AK78" s="607">
        <f>_xlfn.SINGLE(ROUND(IF(AF78=0,0,AI78/ABS(AF78)),3))</f>
        <v>-0.13200000000000001</v>
      </c>
      <c r="AL78" s="1520"/>
    </row>
    <row r="79" spans="1:38" ht="15" customHeight="1">
      <c r="A79" s="35"/>
      <c r="B79" s="350" t="s">
        <v>424</v>
      </c>
      <c r="C79" s="291"/>
      <c r="D79" s="367">
        <v>1.3</v>
      </c>
      <c r="E79" s="264"/>
      <c r="F79" s="367">
        <v>1.3</v>
      </c>
      <c r="G79" s="367"/>
      <c r="H79" s="367">
        <v>1.2999999999999996</v>
      </c>
      <c r="I79" s="264"/>
      <c r="J79" s="367">
        <f t="shared" si="3"/>
        <v>3.4000000000000004</v>
      </c>
      <c r="K79" s="553"/>
      <c r="L79" s="367"/>
      <c r="M79" s="1111"/>
      <c r="N79" s="367"/>
      <c r="O79" s="553"/>
      <c r="P79" s="367"/>
      <c r="Q79" s="553"/>
      <c r="R79" s="367"/>
      <c r="S79" s="553"/>
      <c r="T79" s="367"/>
      <c r="U79" s="553"/>
      <c r="V79" s="367"/>
      <c r="W79" s="553"/>
      <c r="X79" s="367"/>
      <c r="Y79" s="553"/>
      <c r="Z79" s="367"/>
      <c r="AA79" s="264"/>
      <c r="AB79" s="523"/>
      <c r="AC79" s="531">
        <v>7.3</v>
      </c>
      <c r="AD79" s="264"/>
      <c r="AE79" s="524"/>
      <c r="AF79" s="531">
        <v>6.2</v>
      </c>
      <c r="AG79" s="519"/>
      <c r="AH79" s="264"/>
      <c r="AI79" s="264">
        <f t="shared" si="6"/>
        <v>1.1000000000000001</v>
      </c>
      <c r="AJ79" s="264"/>
      <c r="AK79" s="283">
        <f>_xlfn.SINGLE(ROUND(IF(AF79=0,0,AI79/ABS(AF79)),3))</f>
        <v>0.17699999999999999</v>
      </c>
      <c r="AL79" s="1520"/>
    </row>
    <row r="80" spans="1:38" ht="15" customHeight="1">
      <c r="A80" s="35"/>
      <c r="B80" s="350" t="s">
        <v>1383</v>
      </c>
      <c r="C80" s="291"/>
      <c r="D80" s="367">
        <v>36.4</v>
      </c>
      <c r="E80" s="264"/>
      <c r="F80" s="367">
        <v>41.000000000000007</v>
      </c>
      <c r="G80" s="367"/>
      <c r="H80" s="367">
        <v>26.700000000000003</v>
      </c>
      <c r="I80" s="264"/>
      <c r="J80" s="367">
        <f t="shared" si="3"/>
        <v>49.899999999999984</v>
      </c>
      <c r="K80" s="553"/>
      <c r="L80" s="367"/>
      <c r="M80" s="1111"/>
      <c r="N80" s="367"/>
      <c r="O80" s="553"/>
      <c r="P80" s="367"/>
      <c r="Q80" s="553"/>
      <c r="R80" s="367"/>
      <c r="S80" s="553"/>
      <c r="T80" s="367"/>
      <c r="U80" s="553"/>
      <c r="V80" s="367"/>
      <c r="W80" s="553"/>
      <c r="X80" s="367"/>
      <c r="Y80" s="553"/>
      <c r="Z80" s="367"/>
      <c r="AA80" s="264"/>
      <c r="AB80" s="524"/>
      <c r="AC80" s="531">
        <v>154</v>
      </c>
      <c r="AD80" s="287"/>
      <c r="AE80" s="1757"/>
      <c r="AF80" s="531">
        <v>155.4</v>
      </c>
      <c r="AG80" s="519"/>
      <c r="AH80" s="264"/>
      <c r="AI80" s="264">
        <f t="shared" si="6"/>
        <v>-1.4</v>
      </c>
      <c r="AJ80" s="264"/>
      <c r="AK80" s="283">
        <f>_xlfn.SINGLE(ROUND(IF(AF80=0,0,AI80/ABS(AF80)),3))</f>
        <v>-8.9999999999999993E-3</v>
      </c>
      <c r="AL80" s="1520"/>
    </row>
    <row r="81" spans="1:38" ht="15" customHeight="1">
      <c r="A81" s="35"/>
      <c r="B81" s="83" t="s">
        <v>526</v>
      </c>
      <c r="C81" s="291"/>
      <c r="D81" s="672">
        <f>_xlfn.SINGLE(ROUND(SUM(D42:D80),1))</f>
        <v>2052.1999999999998</v>
      </c>
      <c r="E81" s="264"/>
      <c r="F81" s="672">
        <f>_xlfn.SINGLE(ROUND(SUM(F42:F80),1))</f>
        <v>2920.8</v>
      </c>
      <c r="G81" s="264"/>
      <c r="H81" s="672">
        <f>_xlfn.SINGLE(ROUND(SUM(H42:H80),1))</f>
        <v>1966.2</v>
      </c>
      <c r="I81" s="264"/>
      <c r="J81" s="672">
        <f>_xlfn.SINGLE(ROUND(SUM(J42:J80),1))</f>
        <v>2747.2</v>
      </c>
      <c r="K81" s="264"/>
      <c r="L81" s="672">
        <f>_xlfn.SINGLE(ROUND(SUM(L42:L80),1))</f>
        <v>0</v>
      </c>
      <c r="M81" s="264"/>
      <c r="N81" s="672">
        <f>_xlfn.SINGLE(ROUND(SUM(N42:N80),1))</f>
        <v>0</v>
      </c>
      <c r="O81" s="264"/>
      <c r="P81" s="672">
        <f>_xlfn.SINGLE(ROUND(SUM(P42:P80),1))</f>
        <v>0</v>
      </c>
      <c r="Q81" s="264"/>
      <c r="R81" s="672">
        <f>_xlfn.SINGLE(ROUND(SUM(R42:R80),1))</f>
        <v>0</v>
      </c>
      <c r="S81" s="13"/>
      <c r="T81" s="672">
        <f>_xlfn.SINGLE(ROUND(SUM(T42:T80),1))</f>
        <v>0</v>
      </c>
      <c r="U81" s="264"/>
      <c r="V81" s="672">
        <f>_xlfn.SINGLE(ROUND(SUM(V42:V80),1))</f>
        <v>0</v>
      </c>
      <c r="W81" s="264"/>
      <c r="X81" s="672">
        <f>_xlfn.SINGLE(ROUND(SUM(X42:X80),1))</f>
        <v>0</v>
      </c>
      <c r="Y81" s="264"/>
      <c r="Z81" s="672">
        <f>_xlfn.SINGLE(ROUND(SUM(Z42:Z80),1))</f>
        <v>0</v>
      </c>
      <c r="AA81" s="264"/>
      <c r="AB81" s="523"/>
      <c r="AC81" s="672">
        <f>ROUND(SUM(AC42:AC80),1)</f>
        <v>9686.4</v>
      </c>
      <c r="AD81" s="264"/>
      <c r="AE81" s="524"/>
      <c r="AF81" s="672">
        <f>ROUND(SUM(AF42:AF80),1)</f>
        <v>7440.8</v>
      </c>
      <c r="AG81" s="519"/>
      <c r="AH81" s="264"/>
      <c r="AI81" s="672">
        <f>_xlfn.SINGLE(ROUND(SUM(AI42:AI80),1))</f>
        <v>2245.6</v>
      </c>
      <c r="AJ81" s="264"/>
      <c r="AK81" s="922">
        <f>_xlfn.SINGLE(ROUND(SUM(+AI81/AF81),3))</f>
        <v>0.30199999999999999</v>
      </c>
      <c r="AL81" s="1520"/>
    </row>
    <row r="82" spans="1:38" ht="15" customHeight="1">
      <c r="A82" s="35"/>
      <c r="B82" s="83"/>
      <c r="C82" s="291"/>
      <c r="D82" s="13"/>
      <c r="E82" s="264"/>
      <c r="F82" s="13"/>
      <c r="G82" s="264"/>
      <c r="H82" s="13"/>
      <c r="I82" s="264"/>
      <c r="J82" s="13"/>
      <c r="K82" s="264"/>
      <c r="L82" s="13"/>
      <c r="M82" s="264"/>
      <c r="N82" s="13"/>
      <c r="O82" s="264"/>
      <c r="P82" s="13"/>
      <c r="Q82" s="264"/>
      <c r="R82" s="13"/>
      <c r="S82" s="264"/>
      <c r="T82" s="13"/>
      <c r="U82" s="264"/>
      <c r="V82" s="13"/>
      <c r="W82" s="264"/>
      <c r="X82" s="367"/>
      <c r="Y82" s="264"/>
      <c r="Z82" s="13"/>
      <c r="AA82" s="264"/>
      <c r="AB82" s="523"/>
      <c r="AC82" s="13"/>
      <c r="AD82" s="264"/>
      <c r="AE82" s="524"/>
      <c r="AF82" s="13"/>
      <c r="AG82" s="519"/>
      <c r="AH82" s="264"/>
      <c r="AI82" s="13"/>
      <c r="AJ82" s="264"/>
      <c r="AK82" s="74"/>
      <c r="AL82" s="1520"/>
    </row>
    <row r="83" spans="1:38" ht="15" customHeight="1">
      <c r="A83" s="35"/>
      <c r="B83" s="1031" t="s">
        <v>543</v>
      </c>
      <c r="C83" s="291"/>
      <c r="D83" s="367">
        <v>0.1</v>
      </c>
      <c r="E83" s="264"/>
      <c r="F83" s="367">
        <v>0.1</v>
      </c>
      <c r="G83" s="367"/>
      <c r="H83" s="367">
        <v>0</v>
      </c>
      <c r="I83" s="264"/>
      <c r="J83" s="367">
        <f>$AC83-H83-F83-D83</f>
        <v>0</v>
      </c>
      <c r="K83" s="553"/>
      <c r="L83" s="367"/>
      <c r="M83" s="553"/>
      <c r="N83" s="367"/>
      <c r="O83" s="553"/>
      <c r="P83" s="367"/>
      <c r="Q83" s="553"/>
      <c r="R83" s="367"/>
      <c r="S83" s="553"/>
      <c r="T83" s="367"/>
      <c r="U83" s="553"/>
      <c r="V83" s="367"/>
      <c r="W83" s="553"/>
      <c r="X83" s="884"/>
      <c r="Y83" s="553"/>
      <c r="Z83" s="367"/>
      <c r="AA83" s="264"/>
      <c r="AB83" s="524"/>
      <c r="AC83" s="531">
        <v>0.2</v>
      </c>
      <c r="AD83" s="287"/>
      <c r="AE83" s="1757"/>
      <c r="AF83" s="531">
        <v>0</v>
      </c>
      <c r="AG83" s="519"/>
      <c r="AH83" s="264"/>
      <c r="AI83" s="264">
        <f>_xlfn.SINGLE(ROUND(SUM(+AC83-AF83),1))</f>
        <v>0.2</v>
      </c>
      <c r="AJ83" s="264"/>
      <c r="AK83" s="542">
        <f>ROUND(IF(AF83=0,1,AI83/ABS(AF83)),3)</f>
        <v>1</v>
      </c>
      <c r="AL83" s="1520"/>
    </row>
    <row r="84" spans="1:38" ht="15" customHeight="1">
      <c r="A84" s="35"/>
      <c r="B84" s="291"/>
      <c r="C84" s="291"/>
      <c r="D84" s="615"/>
      <c r="E84" s="264"/>
      <c r="F84" s="615"/>
      <c r="G84" s="264"/>
      <c r="H84" s="615"/>
      <c r="I84" s="264"/>
      <c r="J84" s="615"/>
      <c r="K84" s="264"/>
      <c r="L84" s="615"/>
      <c r="M84" s="264"/>
      <c r="N84" s="615"/>
      <c r="O84" s="264"/>
      <c r="P84" s="615"/>
      <c r="Q84" s="264"/>
      <c r="R84" s="615"/>
      <c r="S84" s="264"/>
      <c r="T84" s="615"/>
      <c r="U84" s="264"/>
      <c r="V84" s="615"/>
      <c r="W84" s="264"/>
      <c r="X84" s="367"/>
      <c r="Y84" s="264"/>
      <c r="Z84" s="615"/>
      <c r="AA84" s="264"/>
      <c r="AB84" s="523"/>
      <c r="AC84" s="615"/>
      <c r="AD84" s="264"/>
      <c r="AE84" s="524"/>
      <c r="AF84" s="615"/>
      <c r="AG84" s="519"/>
      <c r="AH84" s="264"/>
      <c r="AI84" s="1032"/>
      <c r="AJ84" s="364"/>
      <c r="AK84" s="1033"/>
      <c r="AL84" s="1520"/>
    </row>
    <row r="85" spans="1:38" ht="15" customHeight="1">
      <c r="A85" s="35"/>
      <c r="B85" s="3" t="s">
        <v>427</v>
      </c>
      <c r="C85" s="291"/>
      <c r="D85" s="13">
        <f>_xlfn.SINGLE(ROUND(SUM(D38+D81+D83),1))</f>
        <v>2624.6</v>
      </c>
      <c r="E85" s="13"/>
      <c r="F85" s="13">
        <f>_xlfn.SINGLE(ROUND(SUM(F38+F81+F83),1))</f>
        <v>3214.9</v>
      </c>
      <c r="G85" s="13"/>
      <c r="H85" s="13">
        <f>_xlfn.SINGLE(ROUND(SUM(H38+H81+H83),1))</f>
        <v>2803.5</v>
      </c>
      <c r="I85" s="13"/>
      <c r="J85" s="13">
        <f>_xlfn.SINGLE(ROUND(SUM(J38+J81+J83),1))</f>
        <v>3027.2</v>
      </c>
      <c r="K85" s="13"/>
      <c r="L85" s="13">
        <f>_xlfn.SINGLE(ROUND(SUM(L38+L81+L83),1))</f>
        <v>0</v>
      </c>
      <c r="M85" s="13"/>
      <c r="N85" s="13">
        <f>_xlfn.SINGLE(ROUND(SUM(N38+N81+N83),1))</f>
        <v>0</v>
      </c>
      <c r="O85" s="13"/>
      <c r="P85" s="13">
        <f>_xlfn.SINGLE(ROUND(SUM(P38+P81+P83),1))</f>
        <v>0</v>
      </c>
      <c r="Q85" s="13"/>
      <c r="R85" s="13">
        <f>_xlfn.SINGLE(ROUND(SUM(R38+R81+R83),1))</f>
        <v>0</v>
      </c>
      <c r="S85" s="13"/>
      <c r="T85" s="13">
        <f>_xlfn.SINGLE(ROUND(SUM(T38+T81+T83),1))</f>
        <v>0</v>
      </c>
      <c r="U85" s="13"/>
      <c r="V85" s="13">
        <f>_xlfn.SINGLE(ROUND(SUM(V38+V81+V83),1))</f>
        <v>0</v>
      </c>
      <c r="W85" s="13"/>
      <c r="X85" s="357">
        <f>_xlfn.SINGLE(ROUND(SUM(X38+X81+X83),1))</f>
        <v>0</v>
      </c>
      <c r="Y85" s="13"/>
      <c r="Z85" s="13">
        <f>_xlfn.SINGLE(ROUND(SUM(Z38+Z81+Z83),1))</f>
        <v>0</v>
      </c>
      <c r="AA85" s="13"/>
      <c r="AB85" s="14"/>
      <c r="AC85" s="13">
        <f>ROUND(SUM(AC38+AC81+AC83),1)</f>
        <v>11670.2</v>
      </c>
      <c r="AD85" s="13"/>
      <c r="AE85" s="668"/>
      <c r="AF85" s="13">
        <f>ROUND(SUM(AF38+AF81+AF83),1)</f>
        <v>9114.6</v>
      </c>
      <c r="AG85" s="75"/>
      <c r="AH85" s="13"/>
      <c r="AI85" s="357">
        <f>_xlfn.SINGLE(ROUND(SUM(AI38+AI81+AI83),1))</f>
        <v>2555.6</v>
      </c>
      <c r="AJ85" s="76"/>
      <c r="AK85" s="368">
        <f>_xlfn.SINGLE(ROUND(SUM((AC85-AF85)/ABS(AF85)),3))</f>
        <v>0.28000000000000003</v>
      </c>
      <c r="AL85" s="1520"/>
    </row>
    <row r="86" spans="1:38" ht="15" customHeight="1">
      <c r="A86" s="35"/>
      <c r="B86" s="291"/>
      <c r="C86" s="291"/>
      <c r="D86" s="615"/>
      <c r="E86" s="264"/>
      <c r="F86" s="615"/>
      <c r="G86" s="264"/>
      <c r="H86" s="615"/>
      <c r="I86" s="264"/>
      <c r="J86" s="615"/>
      <c r="K86" s="264"/>
      <c r="L86" s="615"/>
      <c r="M86" s="264"/>
      <c r="N86" s="615"/>
      <c r="O86" s="264"/>
      <c r="P86" s="615"/>
      <c r="Q86" s="264"/>
      <c r="R86" s="615"/>
      <c r="S86" s="264"/>
      <c r="T86" s="615"/>
      <c r="U86" s="264"/>
      <c r="V86" s="615"/>
      <c r="W86" s="264"/>
      <c r="X86" s="367"/>
      <c r="Y86" s="264"/>
      <c r="Z86" s="615"/>
      <c r="AA86" s="264"/>
      <c r="AB86" s="523"/>
      <c r="AC86" s="615"/>
      <c r="AD86" s="264"/>
      <c r="AE86" s="524"/>
      <c r="AF86" s="615"/>
      <c r="AG86" s="519"/>
      <c r="AH86" s="264"/>
      <c r="AI86" s="264"/>
      <c r="AJ86" s="364"/>
      <c r="AK86" s="283"/>
      <c r="AL86" s="1520"/>
    </row>
    <row r="87" spans="1:38" ht="15" customHeight="1">
      <c r="A87" s="35"/>
      <c r="B87" s="1211" t="s">
        <v>122</v>
      </c>
      <c r="C87" s="291"/>
      <c r="D87" s="264"/>
      <c r="E87" s="264"/>
      <c r="F87" s="264"/>
      <c r="G87" s="264"/>
      <c r="H87" s="264"/>
      <c r="I87" s="264"/>
      <c r="J87" s="264"/>
      <c r="K87" s="264"/>
      <c r="L87" s="264"/>
      <c r="M87" s="264"/>
      <c r="N87" s="264"/>
      <c r="O87" s="264"/>
      <c r="P87" s="264"/>
      <c r="Q87" s="264"/>
      <c r="R87" s="264"/>
      <c r="S87" s="264"/>
      <c r="T87" s="264"/>
      <c r="U87" s="264"/>
      <c r="V87" s="264"/>
      <c r="W87" s="264"/>
      <c r="X87" s="367"/>
      <c r="Y87" s="264"/>
      <c r="Z87" s="264"/>
      <c r="AA87" s="264"/>
      <c r="AB87" s="523"/>
      <c r="AC87" s="264"/>
      <c r="AD87" s="264"/>
      <c r="AE87" s="524"/>
      <c r="AF87" s="264"/>
      <c r="AG87" s="519"/>
      <c r="AH87" s="264"/>
      <c r="AI87" s="264"/>
      <c r="AJ87" s="364"/>
      <c r="AK87" s="283"/>
      <c r="AL87" s="1520"/>
    </row>
    <row r="88" spans="1:38" ht="15" customHeight="1">
      <c r="A88" s="35"/>
      <c r="B88" s="291" t="s">
        <v>451</v>
      </c>
      <c r="C88" s="291"/>
      <c r="D88" s="287"/>
      <c r="E88" s="264"/>
      <c r="F88" s="287"/>
      <c r="G88" s="264"/>
      <c r="H88" s="264"/>
      <c r="I88" s="264"/>
      <c r="J88" s="367"/>
      <c r="K88" s="264"/>
      <c r="L88" s="287"/>
      <c r="M88" s="264"/>
      <c r="N88" s="287"/>
      <c r="O88" s="264"/>
      <c r="P88" s="287"/>
      <c r="Q88" s="264"/>
      <c r="R88" s="287"/>
      <c r="S88" s="264"/>
      <c r="T88" s="287"/>
      <c r="U88" s="264"/>
      <c r="V88" s="264"/>
      <c r="W88" s="264"/>
      <c r="X88" s="367"/>
      <c r="Y88" s="264"/>
      <c r="Z88" s="264"/>
      <c r="AA88" s="264"/>
      <c r="AB88" s="523"/>
      <c r="AC88" s="275"/>
      <c r="AD88" s="264"/>
      <c r="AE88" s="524"/>
      <c r="AF88" s="275"/>
      <c r="AG88" s="519"/>
      <c r="AH88" s="264"/>
      <c r="AI88" s="264"/>
      <c r="AJ88" s="364"/>
      <c r="AK88" s="283"/>
      <c r="AL88" s="1520"/>
    </row>
    <row r="89" spans="1:38" ht="15" customHeight="1">
      <c r="A89" s="35"/>
      <c r="B89" s="384" t="s">
        <v>124</v>
      </c>
      <c r="C89" s="291"/>
      <c r="D89" s="367">
        <v>0.8</v>
      </c>
      <c r="E89" s="264"/>
      <c r="F89" s="367">
        <v>4.9000000000000004</v>
      </c>
      <c r="G89" s="367"/>
      <c r="H89" s="367">
        <v>277.90000000000003</v>
      </c>
      <c r="I89" s="264"/>
      <c r="J89" s="367">
        <f>$AC89-H89-F89-D89</f>
        <v>0.19999999999997686</v>
      </c>
      <c r="K89" s="553"/>
      <c r="L89" s="367"/>
      <c r="M89" s="553"/>
      <c r="N89" s="367"/>
      <c r="O89" s="553"/>
      <c r="P89" s="367"/>
      <c r="Q89" s="553"/>
      <c r="R89" s="367"/>
      <c r="S89" s="553"/>
      <c r="T89" s="367"/>
      <c r="U89" s="553"/>
      <c r="V89" s="367"/>
      <c r="W89" s="553"/>
      <c r="X89" s="367"/>
      <c r="Y89" s="553"/>
      <c r="Z89" s="367"/>
      <c r="AA89" s="264"/>
      <c r="AB89" s="524"/>
      <c r="AC89" s="531">
        <v>283.8</v>
      </c>
      <c r="AD89" s="287"/>
      <c r="AE89" s="1757"/>
      <c r="AF89" s="531">
        <v>286</v>
      </c>
      <c r="AG89" s="519"/>
      <c r="AH89" s="264"/>
      <c r="AI89" s="264">
        <f>_xlfn.SINGLE(ROUND(SUM(+AC89-AF89),1))</f>
        <v>-2.2000000000000002</v>
      </c>
      <c r="AJ89" s="264"/>
      <c r="AK89" s="542">
        <f>_xlfn.SINGLE(ROUND(IF(AF89=0,1,AI89/ABS(AF89)),3))</f>
        <v>-8.0000000000000002E-3</v>
      </c>
      <c r="AL89" s="1520"/>
    </row>
    <row r="90" spans="1:38" ht="15" customHeight="1">
      <c r="A90" s="35"/>
      <c r="B90" s="384" t="s">
        <v>1385</v>
      </c>
      <c r="C90" s="291"/>
      <c r="D90" s="367">
        <v>0</v>
      </c>
      <c r="E90" s="264"/>
      <c r="F90" s="367">
        <v>0.1</v>
      </c>
      <c r="G90" s="367"/>
      <c r="H90" s="367">
        <v>0.19999999999999998</v>
      </c>
      <c r="I90" s="264"/>
      <c r="J90" s="367">
        <f t="shared" ref="J90:J98" si="7">$AC90-H90-F90-D90</f>
        <v>1.8</v>
      </c>
      <c r="K90" s="553"/>
      <c r="L90" s="367"/>
      <c r="M90" s="553"/>
      <c r="N90" s="367"/>
      <c r="O90" s="553"/>
      <c r="P90" s="367"/>
      <c r="Q90" s="553"/>
      <c r="R90" s="367"/>
      <c r="S90" s="553"/>
      <c r="T90" s="367"/>
      <c r="U90" s="553"/>
      <c r="V90" s="367"/>
      <c r="W90" s="553"/>
      <c r="X90" s="367"/>
      <c r="Y90" s="553"/>
      <c r="Z90" s="367"/>
      <c r="AA90" s="264"/>
      <c r="AB90" s="524"/>
      <c r="AC90" s="531">
        <v>2.1</v>
      </c>
      <c r="AD90" s="287"/>
      <c r="AE90" s="1757"/>
      <c r="AF90" s="531">
        <v>2.1</v>
      </c>
      <c r="AG90" s="519"/>
      <c r="AH90" s="264"/>
      <c r="AI90" s="264">
        <f>_xlfn.SINGLE(ROUND(SUM(+AC90-AF90),1))</f>
        <v>0</v>
      </c>
      <c r="AJ90" s="264"/>
      <c r="AK90" s="283">
        <f>ROUND(IF(AF90=0,1,AI90/ABS(AF90)),3)</f>
        <v>0</v>
      </c>
      <c r="AL90" s="1520"/>
    </row>
    <row r="91" spans="1:38" ht="15" customHeight="1">
      <c r="A91" s="35"/>
      <c r="B91" s="384" t="s">
        <v>1384</v>
      </c>
      <c r="C91" s="291"/>
      <c r="D91" s="367">
        <v>16.8</v>
      </c>
      <c r="E91" s="264"/>
      <c r="F91" s="367">
        <v>38.200000000000003</v>
      </c>
      <c r="G91" s="367"/>
      <c r="H91" s="367">
        <v>44</v>
      </c>
      <c r="I91" s="264"/>
      <c r="J91" s="367">
        <f t="shared" si="7"/>
        <v>31.900000000000002</v>
      </c>
      <c r="K91" s="553"/>
      <c r="L91" s="367"/>
      <c r="M91" s="553"/>
      <c r="N91" s="367"/>
      <c r="O91" s="553"/>
      <c r="P91" s="367"/>
      <c r="Q91" s="553"/>
      <c r="R91" s="367"/>
      <c r="S91" s="553"/>
      <c r="T91" s="367"/>
      <c r="U91" s="553"/>
      <c r="V91" s="367"/>
      <c r="W91" s="553"/>
      <c r="X91" s="367"/>
      <c r="Y91" s="553"/>
      <c r="Z91" s="367"/>
      <c r="AA91" s="264"/>
      <c r="AB91" s="524"/>
      <c r="AC91" s="531">
        <v>130.9</v>
      </c>
      <c r="AD91" s="287"/>
      <c r="AE91" s="1757"/>
      <c r="AF91" s="531">
        <v>62</v>
      </c>
      <c r="AG91" s="519"/>
      <c r="AH91" s="264"/>
      <c r="AI91" s="264">
        <f>_xlfn.SINGLE(ROUND(SUM(+AC91-AF91),1))</f>
        <v>68.900000000000006</v>
      </c>
      <c r="AJ91" s="264"/>
      <c r="AK91" s="607">
        <f>_xlfn.SINGLE(ROUND(IF(AF91=0,0,AI91/ABS(AF91)),3))</f>
        <v>1.111</v>
      </c>
      <c r="AL91" s="1520"/>
    </row>
    <row r="92" spans="1:38" ht="15" customHeight="1">
      <c r="A92" s="35"/>
      <c r="B92" s="291" t="s">
        <v>527</v>
      </c>
      <c r="C92" s="291"/>
      <c r="D92" s="367"/>
      <c r="E92" s="264"/>
      <c r="F92" s="367"/>
      <c r="G92" s="367"/>
      <c r="H92" s="367"/>
      <c r="I92" s="264"/>
      <c r="J92" s="367"/>
      <c r="K92" s="553"/>
      <c r="L92" s="367"/>
      <c r="M92" s="553"/>
      <c r="N92" s="367"/>
      <c r="O92" s="553"/>
      <c r="P92" s="367"/>
      <c r="Q92" s="553"/>
      <c r="R92" s="367"/>
      <c r="S92" s="553"/>
      <c r="T92" s="367"/>
      <c r="U92" s="553"/>
      <c r="V92" s="367"/>
      <c r="W92" s="553"/>
      <c r="X92" s="367"/>
      <c r="Y92" s="553"/>
      <c r="Z92" s="367"/>
      <c r="AA92" s="264"/>
      <c r="AB92" s="524"/>
      <c r="AC92" s="512"/>
      <c r="AD92" s="287"/>
      <c r="AE92" s="1757"/>
      <c r="AF92" s="512"/>
      <c r="AG92" s="519"/>
      <c r="AH92" s="264"/>
      <c r="AI92" s="264"/>
      <c r="AJ92" s="268"/>
      <c r="AK92" s="283"/>
      <c r="AL92" s="1520"/>
    </row>
    <row r="93" spans="1:38" ht="15" customHeight="1">
      <c r="A93" s="35"/>
      <c r="B93" s="1023" t="s">
        <v>128</v>
      </c>
      <c r="C93" s="291"/>
      <c r="D93" s="367">
        <v>443.40000000000003</v>
      </c>
      <c r="E93" s="264"/>
      <c r="F93" s="367">
        <v>389.89999999999992</v>
      </c>
      <c r="G93" s="367"/>
      <c r="H93" s="367">
        <v>490.00000000000006</v>
      </c>
      <c r="I93" s="264"/>
      <c r="J93" s="367">
        <f t="shared" si="7"/>
        <v>440.00000000000006</v>
      </c>
      <c r="K93" s="553"/>
      <c r="L93" s="367"/>
      <c r="M93" s="553"/>
      <c r="N93" s="367"/>
      <c r="O93" s="553"/>
      <c r="P93" s="367"/>
      <c r="Q93" s="553"/>
      <c r="R93" s="367"/>
      <c r="S93" s="553"/>
      <c r="T93" s="367"/>
      <c r="U93" s="553"/>
      <c r="V93" s="367"/>
      <c r="W93" s="553"/>
      <c r="X93" s="367"/>
      <c r="Y93" s="553"/>
      <c r="Z93" s="367"/>
      <c r="AA93" s="264"/>
      <c r="AB93" s="524"/>
      <c r="AC93" s="531">
        <v>1763.3</v>
      </c>
      <c r="AD93" s="287"/>
      <c r="AE93" s="1757"/>
      <c r="AF93" s="531">
        <v>1793.8</v>
      </c>
      <c r="AG93" s="519"/>
      <c r="AH93" s="264"/>
      <c r="AI93" s="264">
        <f t="shared" ref="AI93:AI98" si="8">_xlfn.SINGLE(ROUND(SUM(+AC93-AF93),1))</f>
        <v>-30.5</v>
      </c>
      <c r="AJ93" s="264"/>
      <c r="AK93" s="607">
        <f>_xlfn.SINGLE(ROUND(IF(AF93=0,0,AI93/ABS(AF93)),3))</f>
        <v>-1.7000000000000001E-2</v>
      </c>
      <c r="AL93" s="1520"/>
    </row>
    <row r="94" spans="1:38" ht="15" customHeight="1">
      <c r="A94" s="35"/>
      <c r="B94" s="384" t="s">
        <v>129</v>
      </c>
      <c r="C94" s="291"/>
      <c r="D94" s="367">
        <v>79.900000000000006</v>
      </c>
      <c r="E94" s="264"/>
      <c r="F94" s="367">
        <v>82.299999999999983</v>
      </c>
      <c r="G94" s="367"/>
      <c r="H94" s="367">
        <v>357.80000000000007</v>
      </c>
      <c r="I94" s="264"/>
      <c r="J94" s="367">
        <f t="shared" si="7"/>
        <v>93.299999999999898</v>
      </c>
      <c r="K94" s="553"/>
      <c r="L94" s="367"/>
      <c r="M94" s="553"/>
      <c r="N94" s="367"/>
      <c r="O94" s="553"/>
      <c r="P94" s="367"/>
      <c r="Q94" s="553"/>
      <c r="R94" s="367"/>
      <c r="S94" s="553"/>
      <c r="T94" s="367"/>
      <c r="U94" s="553"/>
      <c r="V94" s="367"/>
      <c r="W94" s="553"/>
      <c r="X94" s="367"/>
      <c r="Y94" s="553"/>
      <c r="Z94" s="367"/>
      <c r="AA94" s="264"/>
      <c r="AB94" s="524"/>
      <c r="AC94" s="531">
        <v>613.29999999999995</v>
      </c>
      <c r="AD94" s="287"/>
      <c r="AE94" s="1757"/>
      <c r="AF94" s="531">
        <v>772</v>
      </c>
      <c r="AG94" s="519"/>
      <c r="AH94" s="264"/>
      <c r="AI94" s="264">
        <f t="shared" si="8"/>
        <v>-158.69999999999999</v>
      </c>
      <c r="AJ94" s="264"/>
      <c r="AK94" s="283">
        <f>_xlfn.SINGLE(ROUND(IF(AF94=0,0,AI94/ABS(AF94)),3))</f>
        <v>-0.20599999999999999</v>
      </c>
      <c r="AL94" s="1520"/>
    </row>
    <row r="95" spans="1:38" ht="15" customHeight="1">
      <c r="A95" s="35"/>
      <c r="B95" s="384" t="s">
        <v>130</v>
      </c>
      <c r="C95" s="291"/>
      <c r="D95" s="367">
        <v>47</v>
      </c>
      <c r="E95" s="264"/>
      <c r="F95" s="367">
        <v>31.799999999999997</v>
      </c>
      <c r="G95" s="367"/>
      <c r="H95" s="367">
        <v>32.5</v>
      </c>
      <c r="I95" s="264"/>
      <c r="J95" s="367">
        <f t="shared" si="7"/>
        <v>48.100000000000009</v>
      </c>
      <c r="K95" s="553"/>
      <c r="L95" s="367"/>
      <c r="M95" s="553"/>
      <c r="N95" s="367"/>
      <c r="O95" s="553"/>
      <c r="P95" s="367"/>
      <c r="Q95" s="553"/>
      <c r="R95" s="367"/>
      <c r="S95" s="553"/>
      <c r="T95" s="367"/>
      <c r="U95" s="553"/>
      <c r="V95" s="367"/>
      <c r="W95" s="553"/>
      <c r="X95" s="367"/>
      <c r="Y95" s="553"/>
      <c r="Z95" s="367"/>
      <c r="AA95" s="264"/>
      <c r="AB95" s="524"/>
      <c r="AC95" s="531">
        <v>159.4</v>
      </c>
      <c r="AD95" s="287"/>
      <c r="AE95" s="1757"/>
      <c r="AF95" s="531">
        <v>148.30000000000001</v>
      </c>
      <c r="AG95" s="519"/>
      <c r="AH95" s="264"/>
      <c r="AI95" s="264">
        <f t="shared" si="8"/>
        <v>11.1</v>
      </c>
      <c r="AJ95" s="264"/>
      <c r="AK95" s="283">
        <f>_xlfn.SINGLE(ROUND(IF(AF95=0,0,AI95/ABS(AF95)),3))</f>
        <v>7.4999999999999997E-2</v>
      </c>
      <c r="AL95" s="1520"/>
    </row>
    <row r="96" spans="1:38" ht="15" customHeight="1">
      <c r="A96" s="35"/>
      <c r="B96" s="384" t="s">
        <v>131</v>
      </c>
      <c r="C96" s="291"/>
      <c r="D96" s="367">
        <v>2</v>
      </c>
      <c r="E96" s="264"/>
      <c r="F96" s="367">
        <v>0.39999999999999991</v>
      </c>
      <c r="G96" s="367"/>
      <c r="H96" s="367">
        <v>2.4000000000000004</v>
      </c>
      <c r="I96" s="264"/>
      <c r="J96" s="367">
        <f t="shared" si="7"/>
        <v>1.6999999999999997</v>
      </c>
      <c r="K96" s="553"/>
      <c r="L96" s="367"/>
      <c r="M96" s="553"/>
      <c r="N96" s="367"/>
      <c r="O96" s="553"/>
      <c r="P96" s="367"/>
      <c r="Q96" s="553"/>
      <c r="R96" s="367"/>
      <c r="S96" s="553"/>
      <c r="T96" s="367"/>
      <c r="U96" s="553"/>
      <c r="V96" s="367"/>
      <c r="W96" s="553"/>
      <c r="X96" s="367"/>
      <c r="Y96" s="553"/>
      <c r="Z96" s="367"/>
      <c r="AA96" s="264"/>
      <c r="AB96" s="524"/>
      <c r="AC96" s="531">
        <v>6.5</v>
      </c>
      <c r="AD96" s="287"/>
      <c r="AE96" s="1757"/>
      <c r="AF96" s="531">
        <v>14.5</v>
      </c>
      <c r="AG96" s="519"/>
      <c r="AH96" s="264"/>
      <c r="AI96" s="264">
        <f t="shared" si="8"/>
        <v>-8</v>
      </c>
      <c r="AJ96" s="264"/>
      <c r="AK96" s="607">
        <f>_xlfn.SINGLE(ROUND(IF(AF96=0,1,AI96/ABS(AF96)),3))</f>
        <v>-0.55200000000000005</v>
      </c>
      <c r="AL96" s="1520"/>
    </row>
    <row r="97" spans="1:38" ht="15" customHeight="1">
      <c r="A97" s="35"/>
      <c r="B97" s="384" t="s">
        <v>132</v>
      </c>
      <c r="C97" s="291"/>
      <c r="D97" s="367">
        <v>0.2</v>
      </c>
      <c r="E97" s="264"/>
      <c r="F97" s="367">
        <v>1.5</v>
      </c>
      <c r="G97" s="367"/>
      <c r="H97" s="367">
        <v>1.9000000000000001</v>
      </c>
      <c r="I97" s="264"/>
      <c r="J97" s="367">
        <f t="shared" si="7"/>
        <v>2.1999999999999993</v>
      </c>
      <c r="K97" s="553"/>
      <c r="L97" s="367"/>
      <c r="M97" s="553"/>
      <c r="N97" s="367"/>
      <c r="O97" s="553"/>
      <c r="P97" s="367"/>
      <c r="Q97" s="553"/>
      <c r="R97" s="367"/>
      <c r="S97" s="553"/>
      <c r="T97" s="367"/>
      <c r="U97" s="553"/>
      <c r="V97" s="367"/>
      <c r="W97" s="553"/>
      <c r="X97" s="367"/>
      <c r="Y97" s="553"/>
      <c r="Z97" s="367"/>
      <c r="AA97" s="264"/>
      <c r="AB97" s="524"/>
      <c r="AC97" s="531">
        <v>5.8</v>
      </c>
      <c r="AD97" s="287"/>
      <c r="AE97" s="1757"/>
      <c r="AF97" s="531">
        <v>6.8</v>
      </c>
      <c r="AG97" s="519"/>
      <c r="AH97" s="264"/>
      <c r="AI97" s="264">
        <f t="shared" si="8"/>
        <v>-1</v>
      </c>
      <c r="AJ97" s="264"/>
      <c r="AK97" s="607">
        <f>_xlfn.SINGLE(ROUND(IF(AF97=0,1,AI97/ABS(AF97)),3))</f>
        <v>-0.14699999999999999</v>
      </c>
      <c r="AL97" s="1520"/>
    </row>
    <row r="98" spans="1:38" ht="15" customHeight="1">
      <c r="A98" s="35"/>
      <c r="B98" s="384" t="s">
        <v>1403</v>
      </c>
      <c r="C98" s="291"/>
      <c r="D98" s="367">
        <v>84.2</v>
      </c>
      <c r="E98" s="264"/>
      <c r="F98" s="367">
        <v>623.79999999999995</v>
      </c>
      <c r="G98" s="367"/>
      <c r="H98" s="367">
        <v>424.3</v>
      </c>
      <c r="I98" s="264"/>
      <c r="J98" s="367">
        <f t="shared" si="7"/>
        <v>410.90000000000015</v>
      </c>
      <c r="K98" s="553"/>
      <c r="L98" s="367"/>
      <c r="M98" s="553"/>
      <c r="N98" s="367"/>
      <c r="O98" s="553"/>
      <c r="P98" s="367"/>
      <c r="Q98" s="553"/>
      <c r="R98" s="367"/>
      <c r="S98" s="553"/>
      <c r="T98" s="367"/>
      <c r="U98" s="553"/>
      <c r="V98" s="367"/>
      <c r="W98" s="553"/>
      <c r="X98" s="367"/>
      <c r="Y98" s="553"/>
      <c r="Z98" s="367"/>
      <c r="AA98" s="264"/>
      <c r="AB98" s="524"/>
      <c r="AC98" s="531">
        <v>1543.2</v>
      </c>
      <c r="AD98" s="287"/>
      <c r="AE98" s="1757"/>
      <c r="AF98" s="531">
        <v>1707.2</v>
      </c>
      <c r="AG98" s="519"/>
      <c r="AH98" s="264"/>
      <c r="AI98" s="264">
        <f t="shared" si="8"/>
        <v>-164</v>
      </c>
      <c r="AJ98" s="264"/>
      <c r="AK98" s="283">
        <f>_xlfn.SINGLE(ROUND(IF(AF98=0,0,AI98/ABS(AF98)),3))</f>
        <v>-9.6000000000000002E-2</v>
      </c>
      <c r="AL98" s="1520"/>
    </row>
    <row r="99" spans="1:38" ht="15" customHeight="1">
      <c r="A99" s="35"/>
      <c r="B99" s="3" t="s">
        <v>528</v>
      </c>
      <c r="C99" s="291"/>
      <c r="D99" s="616">
        <f>_xlfn.SINGLE(ROUND(SUM(D89:D98),1))</f>
        <v>674.3</v>
      </c>
      <c r="E99" s="13"/>
      <c r="F99" s="616">
        <f>_xlfn.SINGLE(ROUND(SUM(F89:F98),1))</f>
        <v>1172.9000000000001</v>
      </c>
      <c r="G99" s="13"/>
      <c r="H99" s="616">
        <f>_xlfn.SINGLE(ROUND(SUM(H89:H98),1))</f>
        <v>1631</v>
      </c>
      <c r="I99" s="13"/>
      <c r="J99" s="616">
        <f>_xlfn.SINGLE(ROUND(SUM(J89:J98),1))</f>
        <v>1030.0999999999999</v>
      </c>
      <c r="K99" s="13"/>
      <c r="L99" s="616">
        <f>_xlfn.SINGLE(ROUND(SUM(L89:L98),1))</f>
        <v>0</v>
      </c>
      <c r="M99" s="13"/>
      <c r="N99" s="616">
        <f>_xlfn.SINGLE(ROUND(SUM(N89:N98),1))</f>
        <v>0</v>
      </c>
      <c r="O99" s="13"/>
      <c r="P99" s="616">
        <f>_xlfn.SINGLE(ROUND(SUM(P89:P98),1))</f>
        <v>0</v>
      </c>
      <c r="Q99" s="13"/>
      <c r="R99" s="616">
        <f>_xlfn.SINGLE(ROUND(SUM(R89:R98),1))</f>
        <v>0</v>
      </c>
      <c r="S99" s="13"/>
      <c r="T99" s="616">
        <f>_xlfn.SINGLE(ROUND(SUM(T89:T98),1))</f>
        <v>0</v>
      </c>
      <c r="U99" s="13"/>
      <c r="V99" s="616">
        <f>_xlfn.SINGLE(ROUND(SUM(V89:V98),1))</f>
        <v>0</v>
      </c>
      <c r="W99" s="13"/>
      <c r="X99" s="616">
        <f>_xlfn.SINGLE(ROUND(SUM(X89:X98),1))</f>
        <v>0</v>
      </c>
      <c r="Y99" s="13"/>
      <c r="Z99" s="616">
        <f>_xlfn.SINGLE(ROUND(SUM(Z89:Z98),1))</f>
        <v>0</v>
      </c>
      <c r="AA99" s="13"/>
      <c r="AB99" s="14"/>
      <c r="AC99" s="672">
        <f>ROUND(SUM(AC89:AC98),1)</f>
        <v>4508.3</v>
      </c>
      <c r="AD99" s="13"/>
      <c r="AE99" s="668"/>
      <c r="AF99" s="672">
        <f>ROUND(SUM(AF89:AF98),1)</f>
        <v>4792.7</v>
      </c>
      <c r="AG99" s="75"/>
      <c r="AH99" s="13"/>
      <c r="AI99" s="672">
        <f>_xlfn.SINGLE(ROUND(SUM(AC99-AF99),1))</f>
        <v>-284.39999999999998</v>
      </c>
      <c r="AJ99" s="40"/>
      <c r="AK99" s="922">
        <f>_xlfn.SINGLE(ROUND(SUM((AC99-AF99)/ABS(AF99)),3))</f>
        <v>-5.8999999999999997E-2</v>
      </c>
      <c r="AL99" s="1520"/>
    </row>
    <row r="100" spans="1:38" ht="15" customHeight="1">
      <c r="A100" s="35"/>
      <c r="B100" s="291" t="s">
        <v>509</v>
      </c>
      <c r="C100" s="291"/>
      <c r="D100" s="264"/>
      <c r="E100" s="264"/>
      <c r="F100" s="264"/>
      <c r="G100" s="264"/>
      <c r="H100" s="264"/>
      <c r="I100" s="264"/>
      <c r="J100" s="264"/>
      <c r="K100" s="264"/>
      <c r="L100" s="264"/>
      <c r="M100" s="264"/>
      <c r="N100" s="264"/>
      <c r="O100" s="264"/>
      <c r="P100" s="264"/>
      <c r="Q100" s="264"/>
      <c r="R100" s="264"/>
      <c r="S100" s="264"/>
      <c r="T100" s="264"/>
      <c r="U100" s="264"/>
      <c r="V100" s="264"/>
      <c r="W100" s="264"/>
      <c r="X100" s="367"/>
      <c r="Y100" s="264"/>
      <c r="Z100" s="264"/>
      <c r="AA100" s="264"/>
      <c r="AB100" s="523"/>
      <c r="AC100" s="264"/>
      <c r="AD100" s="264"/>
      <c r="AE100" s="524"/>
      <c r="AF100" s="264"/>
      <c r="AG100" s="519"/>
      <c r="AH100" s="264"/>
      <c r="AI100" s="264"/>
      <c r="AJ100" s="364"/>
      <c r="AK100" s="283"/>
      <c r="AL100" s="1520"/>
    </row>
    <row r="101" spans="1:38" ht="15" customHeight="1">
      <c r="A101" s="35"/>
      <c r="B101" s="291" t="s">
        <v>454</v>
      </c>
      <c r="C101" s="291"/>
      <c r="D101" s="367">
        <v>555.79999999999995</v>
      </c>
      <c r="E101" s="264"/>
      <c r="F101" s="367">
        <v>516</v>
      </c>
      <c r="G101" s="367"/>
      <c r="H101" s="367">
        <v>477.29999999999995</v>
      </c>
      <c r="I101" s="264"/>
      <c r="J101" s="367">
        <f>$AC101-H101-F101-D101</f>
        <v>745.80000000000018</v>
      </c>
      <c r="K101" s="553"/>
      <c r="L101" s="367"/>
      <c r="M101" s="553"/>
      <c r="N101" s="367"/>
      <c r="O101" s="553"/>
      <c r="P101" s="367"/>
      <c r="Q101" s="553"/>
      <c r="R101" s="367"/>
      <c r="S101" s="553"/>
      <c r="T101" s="367"/>
      <c r="U101" s="553"/>
      <c r="V101" s="367"/>
      <c r="W101" s="553"/>
      <c r="X101" s="367"/>
      <c r="Y101" s="553"/>
      <c r="Z101" s="367"/>
      <c r="AA101" s="264"/>
      <c r="AB101" s="524"/>
      <c r="AC101" s="531">
        <v>2294.9</v>
      </c>
      <c r="AD101" s="287"/>
      <c r="AE101" s="1757"/>
      <c r="AF101" s="531">
        <v>2268.1</v>
      </c>
      <c r="AG101" s="519"/>
      <c r="AH101" s="264"/>
      <c r="AI101" s="264">
        <f>_xlfn.SINGLE(ROUND(SUM(+AC101-AF101),1))</f>
        <v>26.8</v>
      </c>
      <c r="AJ101" s="264"/>
      <c r="AK101" s="283">
        <f>_xlfn.SINGLE(ROUND(IF(AF101=0,0,AI101/ABS(AF101)),3))</f>
        <v>1.2E-2</v>
      </c>
      <c r="AL101" s="1520"/>
    </row>
    <row r="102" spans="1:38" ht="15" customHeight="1">
      <c r="A102" s="35"/>
      <c r="B102" s="291" t="s">
        <v>510</v>
      </c>
      <c r="C102" s="291"/>
      <c r="D102" s="367">
        <v>325</v>
      </c>
      <c r="E102" s="264"/>
      <c r="F102" s="367">
        <v>280.10000000000002</v>
      </c>
      <c r="G102" s="367"/>
      <c r="H102" s="367">
        <v>418.19999999999993</v>
      </c>
      <c r="I102" s="264"/>
      <c r="J102" s="367">
        <f t="shared" ref="J102:J104" si="9">$AC102-H102-F102-D102</f>
        <v>328</v>
      </c>
      <c r="K102" s="553"/>
      <c r="L102" s="367"/>
      <c r="M102" s="553"/>
      <c r="N102" s="367"/>
      <c r="O102" s="553"/>
      <c r="P102" s="367"/>
      <c r="Q102" s="553"/>
      <c r="R102" s="367"/>
      <c r="S102" s="553"/>
      <c r="T102" s="367"/>
      <c r="U102" s="553"/>
      <c r="V102" s="367"/>
      <c r="W102" s="553"/>
      <c r="X102" s="367"/>
      <c r="Y102" s="553"/>
      <c r="Z102" s="367"/>
      <c r="AA102" s="264"/>
      <c r="AB102" s="524"/>
      <c r="AC102" s="531">
        <v>1351.3</v>
      </c>
      <c r="AD102" s="287"/>
      <c r="AE102" s="1757"/>
      <c r="AF102" s="531">
        <v>1261.5999999999999</v>
      </c>
      <c r="AG102" s="519"/>
      <c r="AH102" s="264"/>
      <c r="AI102" s="264">
        <f>_xlfn.SINGLE(ROUND(SUM(+AC102-AF102),1))</f>
        <v>89.7</v>
      </c>
      <c r="AJ102" s="264"/>
      <c r="AK102" s="283">
        <f>_xlfn.SINGLE(ROUND(IF(AF102=0,0,AI102/ABS(AF102)),3))</f>
        <v>7.0999999999999994E-2</v>
      </c>
      <c r="AL102" s="1520"/>
    </row>
    <row r="103" spans="1:38" ht="15" customHeight="1">
      <c r="A103" s="35"/>
      <c r="B103" s="291" t="s">
        <v>511</v>
      </c>
      <c r="C103" s="291"/>
      <c r="D103" s="367">
        <v>34.5</v>
      </c>
      <c r="E103" s="264"/>
      <c r="F103" s="367">
        <v>36.099999999999994</v>
      </c>
      <c r="G103" s="367"/>
      <c r="H103" s="367">
        <v>250.5</v>
      </c>
      <c r="I103" s="264"/>
      <c r="J103" s="367">
        <f t="shared" si="9"/>
        <v>192.10000000000005</v>
      </c>
      <c r="K103" s="553"/>
      <c r="L103" s="367"/>
      <c r="M103" s="553"/>
      <c r="N103" s="367"/>
      <c r="O103" s="553"/>
      <c r="P103" s="367"/>
      <c r="Q103" s="553"/>
      <c r="R103" s="367"/>
      <c r="S103" s="553"/>
      <c r="T103" s="367"/>
      <c r="U103" s="553"/>
      <c r="V103" s="367"/>
      <c r="W103" s="553"/>
      <c r="X103" s="367"/>
      <c r="Y103" s="553"/>
      <c r="Z103" s="367"/>
      <c r="AA103" s="264"/>
      <c r="AB103" s="524"/>
      <c r="AC103" s="531">
        <v>513.20000000000005</v>
      </c>
      <c r="AD103" s="287"/>
      <c r="AE103" s="1757"/>
      <c r="AF103" s="531">
        <v>385.2</v>
      </c>
      <c r="AG103" s="519"/>
      <c r="AH103" s="264"/>
      <c r="AI103" s="264">
        <f>_xlfn.SINGLE(ROUND(SUM(+AC103-AF103),1))</f>
        <v>128</v>
      </c>
      <c r="AJ103" s="264"/>
      <c r="AK103" s="283">
        <f>_xlfn.SINGLE(ROUND(IF(AF103=0,0,AI103/ABS(AF103)),3))</f>
        <v>0.33200000000000002</v>
      </c>
      <c r="AL103" s="1520"/>
    </row>
    <row r="104" spans="1:38" ht="15" customHeight="1">
      <c r="A104" s="35"/>
      <c r="B104" s="291" t="s">
        <v>513</v>
      </c>
      <c r="C104" s="291"/>
      <c r="D104" s="367">
        <v>0</v>
      </c>
      <c r="E104" s="264"/>
      <c r="F104" s="367">
        <v>0</v>
      </c>
      <c r="G104" s="367"/>
      <c r="H104" s="367">
        <v>0</v>
      </c>
      <c r="I104" s="264"/>
      <c r="J104" s="367">
        <f t="shared" si="9"/>
        <v>0</v>
      </c>
      <c r="K104" s="553"/>
      <c r="L104" s="367"/>
      <c r="M104" s="553"/>
      <c r="N104" s="367"/>
      <c r="O104" s="553"/>
      <c r="P104" s="367"/>
      <c r="Q104" s="553"/>
      <c r="R104" s="367"/>
      <c r="S104" s="553"/>
      <c r="T104" s="367"/>
      <c r="U104" s="553"/>
      <c r="V104" s="367"/>
      <c r="W104" s="553"/>
      <c r="X104" s="884"/>
      <c r="Y104" s="553"/>
      <c r="Z104" s="367"/>
      <c r="AA104" s="264"/>
      <c r="AB104" s="524"/>
      <c r="AC104" s="531">
        <v>0</v>
      </c>
      <c r="AD104" s="287"/>
      <c r="AE104" s="1757"/>
      <c r="AF104" s="531">
        <v>0</v>
      </c>
      <c r="AG104" s="519"/>
      <c r="AH104" s="264"/>
      <c r="AI104" s="264">
        <f>_xlfn.SINGLE(ROUND(SUM(+AC104-AF104),1))</f>
        <v>0</v>
      </c>
      <c r="AJ104" s="264"/>
      <c r="AK104" s="266">
        <f>_xlfn.SINGLE(ROUND(IF(AF104=0,0,AI104/ABS(AF104)),3))</f>
        <v>0</v>
      </c>
      <c r="AL104" s="1520"/>
    </row>
    <row r="105" spans="1:38" ht="15" customHeight="1">
      <c r="A105" s="35"/>
      <c r="B105" s="291"/>
      <c r="C105" s="291"/>
      <c r="D105" s="615"/>
      <c r="E105" s="264"/>
      <c r="F105" s="615"/>
      <c r="G105" s="264"/>
      <c r="H105" s="615"/>
      <c r="I105" s="264"/>
      <c r="J105" s="615"/>
      <c r="K105" s="264"/>
      <c r="L105" s="615"/>
      <c r="M105" s="264"/>
      <c r="N105" s="615"/>
      <c r="O105" s="264"/>
      <c r="P105" s="615"/>
      <c r="Q105" s="264"/>
      <c r="R105" s="615"/>
      <c r="S105" s="264"/>
      <c r="T105" s="615"/>
      <c r="U105" s="264"/>
      <c r="V105" s="615"/>
      <c r="W105" s="264"/>
      <c r="X105" s="367"/>
      <c r="Y105" s="264"/>
      <c r="Z105" s="615"/>
      <c r="AA105" s="264"/>
      <c r="AB105" s="523"/>
      <c r="AC105" s="615"/>
      <c r="AD105" s="264"/>
      <c r="AE105" s="524"/>
      <c r="AF105" s="615"/>
      <c r="AG105" s="519"/>
      <c r="AH105" s="264"/>
      <c r="AI105" s="1032"/>
      <c r="AJ105" s="364"/>
      <c r="AK105" s="1033"/>
      <c r="AL105" s="1520"/>
    </row>
    <row r="106" spans="1:38" ht="15" customHeight="1">
      <c r="A106" s="35"/>
      <c r="B106" s="3" t="s">
        <v>1404</v>
      </c>
      <c r="C106" s="291"/>
      <c r="D106" s="13">
        <f>_xlfn.SINGLE(ROUND(SUM(D99:D104),1))</f>
        <v>1589.6</v>
      </c>
      <c r="E106" s="13"/>
      <c r="F106" s="13">
        <f>_xlfn.SINGLE(ROUND(SUM(F99:F104),1))</f>
        <v>2005.1</v>
      </c>
      <c r="G106" s="13"/>
      <c r="H106" s="13">
        <f>_xlfn.SINGLE(ROUND(SUM(H99:H104),1))</f>
        <v>2777</v>
      </c>
      <c r="I106" s="13"/>
      <c r="J106" s="13">
        <f>_xlfn.SINGLE(ROUND(SUM(J99:J104),1))</f>
        <v>2296</v>
      </c>
      <c r="K106" s="13"/>
      <c r="L106" s="13">
        <f>_xlfn.SINGLE(ROUND(SUM(L99:L104),1))</f>
        <v>0</v>
      </c>
      <c r="M106" s="13"/>
      <c r="N106" s="13">
        <f>_xlfn.SINGLE(ROUND(SUM(N99:N104),1))</f>
        <v>0</v>
      </c>
      <c r="O106" s="13"/>
      <c r="P106" s="13">
        <f>_xlfn.SINGLE(ROUND(SUM(P99:P104),1))</f>
        <v>0</v>
      </c>
      <c r="Q106" s="13"/>
      <c r="R106" s="13">
        <f>_xlfn.SINGLE(ROUND(SUM(R99:R104),1))</f>
        <v>0</v>
      </c>
      <c r="S106" s="13"/>
      <c r="T106" s="13">
        <f t="shared" ref="T106" si="10">_xlfn.SINGLE(ROUND(SUM(T99:T104),1))</f>
        <v>0</v>
      </c>
      <c r="U106" s="13"/>
      <c r="V106" s="13">
        <f>_xlfn.SINGLE(ROUND(SUM(V99:V104),1))</f>
        <v>0</v>
      </c>
      <c r="W106" s="13"/>
      <c r="X106" s="357">
        <f>_xlfn.SINGLE(ROUND(SUM(X99:X104),1))</f>
        <v>0</v>
      </c>
      <c r="Y106" s="13"/>
      <c r="Z106" s="13">
        <f>_xlfn.SINGLE(ROUND(SUM(Z99:Z104),1))</f>
        <v>0</v>
      </c>
      <c r="AA106" s="13"/>
      <c r="AB106" s="14"/>
      <c r="AC106" s="13">
        <f>ROUND(SUM(AC99:AC104),1)</f>
        <v>8667.7000000000007</v>
      </c>
      <c r="AD106" s="13"/>
      <c r="AE106" s="668"/>
      <c r="AF106" s="13">
        <f>ROUND(SUM(AF99:AF104),1)</f>
        <v>8707.6</v>
      </c>
      <c r="AG106" s="75"/>
      <c r="AH106" s="13"/>
      <c r="AI106" s="357">
        <f>_xlfn.SINGLE(ROUND(SUM(AC106-AF106),1))</f>
        <v>-39.9</v>
      </c>
      <c r="AJ106" s="57"/>
      <c r="AK106" s="368">
        <f>_xlfn.SINGLE(ROUND(SUM((AC106-AF106)/ABS(AF106)),3))</f>
        <v>-5.0000000000000001E-3</v>
      </c>
      <c r="AL106" s="1520"/>
    </row>
    <row r="107" spans="1:38" ht="15" customHeight="1">
      <c r="A107" s="35"/>
      <c r="B107" s="291"/>
      <c r="C107" s="291"/>
      <c r="D107" s="615"/>
      <c r="E107" s="264"/>
      <c r="F107" s="615"/>
      <c r="G107" s="264"/>
      <c r="H107" s="615"/>
      <c r="I107" s="264"/>
      <c r="J107" s="615"/>
      <c r="K107" s="264"/>
      <c r="L107" s="615"/>
      <c r="M107" s="264"/>
      <c r="N107" s="615"/>
      <c r="O107" s="264"/>
      <c r="P107" s="615"/>
      <c r="Q107" s="264"/>
      <c r="R107" s="615"/>
      <c r="S107" s="264"/>
      <c r="T107" s="615"/>
      <c r="U107" s="264"/>
      <c r="V107" s="615"/>
      <c r="W107" s="264"/>
      <c r="X107" s="367"/>
      <c r="Y107" s="264"/>
      <c r="Z107" s="615"/>
      <c r="AA107" s="264"/>
      <c r="AB107" s="523"/>
      <c r="AC107" s="615"/>
      <c r="AD107" s="264"/>
      <c r="AE107" s="524"/>
      <c r="AF107" s="615"/>
      <c r="AG107" s="519"/>
      <c r="AH107" s="264"/>
      <c r="AI107" s="264"/>
      <c r="AJ107" s="364"/>
      <c r="AK107" s="283"/>
      <c r="AL107" s="1520"/>
    </row>
    <row r="108" spans="1:38" ht="15" customHeight="1">
      <c r="A108" s="35"/>
      <c r="B108" s="3" t="s">
        <v>458</v>
      </c>
      <c r="C108" s="291"/>
      <c r="D108" s="264"/>
      <c r="E108" s="264"/>
      <c r="F108" s="264"/>
      <c r="G108" s="264"/>
      <c r="H108" s="264"/>
      <c r="I108" s="264"/>
      <c r="J108" s="264"/>
      <c r="K108" s="264"/>
      <c r="L108" s="264"/>
      <c r="M108" s="264"/>
      <c r="N108" s="264"/>
      <c r="O108" s="264"/>
      <c r="P108" s="264"/>
      <c r="Q108" s="264"/>
      <c r="R108" s="264"/>
      <c r="S108" s="264"/>
      <c r="T108" s="264"/>
      <c r="U108" s="264"/>
      <c r="V108" s="264"/>
      <c r="W108" s="264"/>
      <c r="X108" s="367"/>
      <c r="Y108" s="264"/>
      <c r="Z108" s="264"/>
      <c r="AA108" s="264"/>
      <c r="AB108" s="523"/>
      <c r="AC108" s="264"/>
      <c r="AD108" s="264"/>
      <c r="AE108" s="524"/>
      <c r="AF108" s="264"/>
      <c r="AG108" s="519"/>
      <c r="AH108" s="264"/>
      <c r="AI108" s="264"/>
      <c r="AJ108" s="364"/>
      <c r="AK108" s="283"/>
      <c r="AL108" s="1520"/>
    </row>
    <row r="109" spans="1:38" ht="15" customHeight="1">
      <c r="A109" s="35"/>
      <c r="B109" s="3" t="s">
        <v>1405</v>
      </c>
      <c r="C109" s="291"/>
      <c r="D109" s="13">
        <f>_xlfn.SINGLE(ROUND(SUM(D85-D106),1))</f>
        <v>1035</v>
      </c>
      <c r="E109" s="13"/>
      <c r="F109" s="13">
        <f>_xlfn.SINGLE(ROUND(SUM(F85-F106),1))</f>
        <v>1209.8</v>
      </c>
      <c r="G109" s="13"/>
      <c r="H109" s="13">
        <f>_xlfn.SINGLE(ROUND(SUM(H85-H106),1))</f>
        <v>26.5</v>
      </c>
      <c r="I109" s="13"/>
      <c r="J109" s="13">
        <f>_xlfn.SINGLE(ROUND(SUM(J85-J106),1))</f>
        <v>731.2</v>
      </c>
      <c r="K109" s="13"/>
      <c r="L109" s="13">
        <f>_xlfn.SINGLE(ROUND(SUM(L85-L106),1))</f>
        <v>0</v>
      </c>
      <c r="M109" s="13"/>
      <c r="N109" s="13">
        <f>_xlfn.SINGLE(ROUND(SUM(N85-N106),1))</f>
        <v>0</v>
      </c>
      <c r="O109" s="13"/>
      <c r="P109" s="13">
        <f>_xlfn.SINGLE(ROUND(SUM(P85-P106),1))</f>
        <v>0</v>
      </c>
      <c r="Q109" s="13"/>
      <c r="R109" s="13">
        <f>_xlfn.SINGLE(ROUND(SUM(R85-R106),1))</f>
        <v>0</v>
      </c>
      <c r="S109" s="13"/>
      <c r="T109" s="13">
        <f>_xlfn.SINGLE(ROUND(SUM(T85-T106),1))</f>
        <v>0</v>
      </c>
      <c r="U109" s="13"/>
      <c r="V109" s="13">
        <f>_xlfn.SINGLE(ROUND(SUM(V85-V106),1))</f>
        <v>0</v>
      </c>
      <c r="W109" s="13"/>
      <c r="X109" s="357">
        <f>_xlfn.SINGLE(ROUND(SUM(X85-X106),1))</f>
        <v>0</v>
      </c>
      <c r="Y109" s="13"/>
      <c r="Z109" s="13">
        <f>_xlfn.SINGLE(ROUND(SUM(Z85-Z106),1))</f>
        <v>0</v>
      </c>
      <c r="AA109" s="13"/>
      <c r="AB109" s="14"/>
      <c r="AC109" s="13">
        <f>ROUND(SUM(AC85-AC106),1)</f>
        <v>3002.5</v>
      </c>
      <c r="AD109" s="13"/>
      <c r="AE109" s="668"/>
      <c r="AF109" s="13">
        <f>ROUND(SUM(AF85-AF106),1)</f>
        <v>407</v>
      </c>
      <c r="AG109" s="75"/>
      <c r="AH109" s="13"/>
      <c r="AI109" s="357">
        <f>_xlfn.SINGLE(ROUND(SUM(AC109-AF109),1))</f>
        <v>2595.5</v>
      </c>
      <c r="AJ109" s="57"/>
      <c r="AK109" s="611">
        <f>_xlfn.SINGLE(ROUND(IF(AF109=0,0,AI109/ABS(AF109)),3))</f>
        <v>6.3769999999999998</v>
      </c>
      <c r="AL109" s="1520"/>
    </row>
    <row r="110" spans="1:38" ht="15" customHeight="1">
      <c r="A110" s="35"/>
      <c r="B110" s="291"/>
      <c r="C110" s="291"/>
      <c r="D110" s="615"/>
      <c r="E110" s="264"/>
      <c r="F110" s="615"/>
      <c r="G110" s="264"/>
      <c r="H110" s="615"/>
      <c r="I110" s="264"/>
      <c r="J110" s="615"/>
      <c r="K110" s="264"/>
      <c r="L110" s="615"/>
      <c r="M110" s="264"/>
      <c r="N110" s="615"/>
      <c r="O110" s="264"/>
      <c r="P110" s="615"/>
      <c r="Q110" s="264"/>
      <c r="R110" s="615"/>
      <c r="S110" s="264"/>
      <c r="T110" s="615"/>
      <c r="U110" s="264"/>
      <c r="V110" s="615"/>
      <c r="W110" s="264"/>
      <c r="X110" s="367"/>
      <c r="Y110" s="264"/>
      <c r="Z110" s="615"/>
      <c r="AA110" s="264"/>
      <c r="AB110" s="523"/>
      <c r="AC110" s="615"/>
      <c r="AD110" s="264"/>
      <c r="AE110" s="524"/>
      <c r="AF110" s="615"/>
      <c r="AG110" s="519"/>
      <c r="AH110" s="264"/>
      <c r="AI110" s="264"/>
      <c r="AJ110" s="364"/>
      <c r="AK110" s="283"/>
      <c r="AL110" s="1520"/>
    </row>
    <row r="111" spans="1:38" ht="15" customHeight="1">
      <c r="A111" s="35"/>
      <c r="B111" s="3" t="s">
        <v>145</v>
      </c>
      <c r="C111" s="291"/>
      <c r="D111" s="264"/>
      <c r="E111" s="264"/>
      <c r="F111" s="264"/>
      <c r="G111" s="264"/>
      <c r="H111" s="264"/>
      <c r="I111" s="264"/>
      <c r="J111" s="264"/>
      <c r="K111" s="264"/>
      <c r="L111" s="264"/>
      <c r="M111" s="264"/>
      <c r="N111" s="264"/>
      <c r="O111" s="264"/>
      <c r="P111" s="264"/>
      <c r="Q111" s="264"/>
      <c r="S111" s="264"/>
      <c r="T111" s="264"/>
      <c r="U111" s="264"/>
      <c r="V111" s="264"/>
      <c r="W111" s="264"/>
      <c r="X111" s="367"/>
      <c r="Y111" s="264"/>
      <c r="Z111" s="264"/>
      <c r="AA111" s="264"/>
      <c r="AB111" s="523"/>
      <c r="AC111" s="264"/>
      <c r="AD111" s="264"/>
      <c r="AE111" s="524"/>
      <c r="AF111" s="264"/>
      <c r="AG111" s="519"/>
      <c r="AH111" s="264"/>
      <c r="AI111" s="264"/>
      <c r="AJ111" s="364"/>
      <c r="AK111" s="283"/>
      <c r="AL111" s="1520"/>
    </row>
    <row r="112" spans="1:38" ht="15" customHeight="1">
      <c r="A112" s="35"/>
      <c r="B112" s="291" t="s">
        <v>529</v>
      </c>
      <c r="C112" s="291"/>
      <c r="D112" s="367">
        <v>243.1</v>
      </c>
      <c r="E112" s="264"/>
      <c r="F112" s="367">
        <v>433.1</v>
      </c>
      <c r="G112" s="367"/>
      <c r="H112" s="367">
        <v>748.59999999999991</v>
      </c>
      <c r="I112" s="264"/>
      <c r="J112" s="367">
        <f>$AC112-H112-F112-D112</f>
        <v>857.80000000000007</v>
      </c>
      <c r="K112" s="553"/>
      <c r="L112" s="367"/>
      <c r="M112" s="553"/>
      <c r="N112" s="367"/>
      <c r="O112" s="553"/>
      <c r="P112" s="367"/>
      <c r="Q112" s="553"/>
      <c r="R112" s="367"/>
      <c r="S112" s="553"/>
      <c r="T112" s="367"/>
      <c r="U112" s="553"/>
      <c r="V112" s="367"/>
      <c r="W112" s="553"/>
      <c r="X112" s="367"/>
      <c r="Y112" s="553"/>
      <c r="Z112" s="367"/>
      <c r="AA112" s="264"/>
      <c r="AB112" s="524"/>
      <c r="AC112" s="531">
        <v>2282.6</v>
      </c>
      <c r="AD112" s="287"/>
      <c r="AE112" s="1757"/>
      <c r="AF112" s="531">
        <v>1958.1</v>
      </c>
      <c r="AG112" s="519"/>
      <c r="AH112" s="264"/>
      <c r="AI112" s="264">
        <f>_xlfn.SINGLE(ROUND(SUM(+AC112-AF112),1))</f>
        <v>324.5</v>
      </c>
      <c r="AJ112" s="264"/>
      <c r="AK112" s="283">
        <f>_xlfn.SINGLE(ROUND(IF(AF112=0,0,AI112/ABS(AF112)),3))</f>
        <v>0.16600000000000001</v>
      </c>
      <c r="AL112" s="1520"/>
    </row>
    <row r="113" spans="1:38" ht="15" customHeight="1">
      <c r="A113" s="35"/>
      <c r="B113" s="291" t="s">
        <v>516</v>
      </c>
      <c r="C113" s="291"/>
      <c r="D113" s="367">
        <v>-22.4</v>
      </c>
      <c r="E113" s="264"/>
      <c r="F113" s="367">
        <v>-2.9000000000000021</v>
      </c>
      <c r="G113" s="367"/>
      <c r="H113" s="367">
        <v>-37.800000000000004</v>
      </c>
      <c r="I113" s="264"/>
      <c r="J113" s="367">
        <f>$AC113-H113-F113-D113</f>
        <v>-28.599999999999987</v>
      </c>
      <c r="K113" s="553"/>
      <c r="L113" s="367"/>
      <c r="M113" s="553"/>
      <c r="N113" s="367"/>
      <c r="O113" s="553"/>
      <c r="P113" s="367"/>
      <c r="Q113" s="553"/>
      <c r="R113" s="367"/>
      <c r="S113" s="553"/>
      <c r="T113" s="367"/>
      <c r="U113" s="553"/>
      <c r="V113" s="367"/>
      <c r="W113" s="553"/>
      <c r="X113" s="367"/>
      <c r="Y113" s="553"/>
      <c r="Z113" s="367"/>
      <c r="AA113" s="264"/>
      <c r="AB113" s="524"/>
      <c r="AC113" s="531">
        <v>-91.699999999999989</v>
      </c>
      <c r="AD113" s="287"/>
      <c r="AE113" s="1757"/>
      <c r="AF113" s="531">
        <v>-130.79999999999998</v>
      </c>
      <c r="AG113" s="519"/>
      <c r="AH113" s="264"/>
      <c r="AI113" s="264">
        <f>_xlfn.SINGLE(ROUND(SUM(+AC113-AF113)*-1,1))</f>
        <v>-39.1</v>
      </c>
      <c r="AJ113" s="264"/>
      <c r="AK113" s="542">
        <f>_xlfn.SINGLE(ROUND(IF(AF113=0,0,AI113/ABS(AF113)),3))</f>
        <v>-0.29899999999999999</v>
      </c>
      <c r="AL113" s="1520"/>
    </row>
    <row r="114" spans="1:38" ht="15" customHeight="1">
      <c r="A114" s="35"/>
      <c r="B114" s="291"/>
      <c r="C114" s="291"/>
      <c r="D114" s="615"/>
      <c r="E114" s="264"/>
      <c r="F114" s="615"/>
      <c r="G114" s="264"/>
      <c r="H114" s="615"/>
      <c r="I114" s="264"/>
      <c r="J114" s="615"/>
      <c r="K114" s="264"/>
      <c r="L114" s="615"/>
      <c r="M114" s="264"/>
      <c r="N114" s="615"/>
      <c r="O114" s="264"/>
      <c r="P114" s="615"/>
      <c r="Q114" s="264"/>
      <c r="R114" s="615"/>
      <c r="S114" s="264"/>
      <c r="T114" s="615"/>
      <c r="U114" s="264"/>
      <c r="V114" s="615"/>
      <c r="W114" s="264"/>
      <c r="X114" s="615"/>
      <c r="Y114" s="264"/>
      <c r="Z114" s="615"/>
      <c r="AA114" s="264"/>
      <c r="AB114" s="523"/>
      <c r="AC114" s="615"/>
      <c r="AD114" s="264"/>
      <c r="AE114" s="524"/>
      <c r="AF114" s="615"/>
      <c r="AG114" s="519"/>
      <c r="AH114" s="264"/>
      <c r="AI114" s="1032"/>
      <c r="AJ114" s="364"/>
      <c r="AK114" s="1033"/>
      <c r="AL114" s="1520"/>
    </row>
    <row r="115" spans="1:38" ht="15" customHeight="1">
      <c r="A115" s="35"/>
      <c r="B115" s="3" t="s">
        <v>530</v>
      </c>
      <c r="C115" s="291"/>
      <c r="D115" s="13">
        <f>_xlfn.SINGLE(ROUND(SUM(D112:D114),1))</f>
        <v>220.7</v>
      </c>
      <c r="E115" s="13"/>
      <c r="F115" s="13">
        <f>_xlfn.SINGLE(ROUND(SUM(F112:F114),1))</f>
        <v>430.2</v>
      </c>
      <c r="G115" s="13"/>
      <c r="H115" s="13">
        <f>_xlfn.SINGLE(ROUND(SUM(H112:H114),1))</f>
        <v>710.8</v>
      </c>
      <c r="I115" s="13"/>
      <c r="J115" s="13">
        <f>_xlfn.SINGLE(ROUND(SUM(J112:J114),1))</f>
        <v>829.2</v>
      </c>
      <c r="K115" s="13"/>
      <c r="L115" s="13">
        <f>_xlfn.SINGLE(ROUND(SUM(L112:L114),1))</f>
        <v>0</v>
      </c>
      <c r="M115" s="13"/>
      <c r="N115" s="13">
        <f>_xlfn.SINGLE(ROUND(SUM(N112:N114),1))</f>
        <v>0</v>
      </c>
      <c r="O115" s="13"/>
      <c r="P115" s="13">
        <f>_xlfn.SINGLE(ROUND(SUM(P112:P114),1))</f>
        <v>0</v>
      </c>
      <c r="Q115" s="13"/>
      <c r="R115" s="13">
        <f>_xlfn.SINGLE(ROUND(SUM(R112:R114),1))</f>
        <v>0</v>
      </c>
      <c r="S115" s="13"/>
      <c r="T115" s="13">
        <f>_xlfn.SINGLE(ROUND(SUM(T112:T114),1))</f>
        <v>0</v>
      </c>
      <c r="U115" s="13"/>
      <c r="V115" s="13">
        <f>_xlfn.SINGLE(ROUND(SUM(V112:V114),1))</f>
        <v>0</v>
      </c>
      <c r="W115" s="13"/>
      <c r="X115" s="13">
        <f>_xlfn.SINGLE(ROUND(SUM(X112:X114),1))</f>
        <v>0</v>
      </c>
      <c r="Y115" s="13"/>
      <c r="Z115" s="13">
        <f>_xlfn.SINGLE(ROUND(SUM(Z112:Z114),1))</f>
        <v>0</v>
      </c>
      <c r="AA115" s="13"/>
      <c r="AB115" s="14"/>
      <c r="AC115" s="13">
        <f>ROUND(SUM(AC112:AC114),1)</f>
        <v>2190.9</v>
      </c>
      <c r="AD115" s="13"/>
      <c r="AE115" s="668"/>
      <c r="AF115" s="13">
        <f>ROUND(SUM(AF112:AF114),1)</f>
        <v>1827.3</v>
      </c>
      <c r="AG115" s="75"/>
      <c r="AH115" s="13"/>
      <c r="AI115" s="357">
        <f>_xlfn.SINGLE(ROUND(SUM(AC115-AF115),1))</f>
        <v>363.6</v>
      </c>
      <c r="AJ115" s="40"/>
      <c r="AK115" s="368">
        <f>_xlfn.SINGLE(ROUND(SUM((AC115-AF115)/ABS(AF115)),3))</f>
        <v>0.19900000000000001</v>
      </c>
      <c r="AL115" s="1520"/>
    </row>
    <row r="116" spans="1:38" ht="15" customHeight="1">
      <c r="A116" s="35"/>
      <c r="B116" s="291"/>
      <c r="C116" s="291"/>
      <c r="D116" s="615"/>
      <c r="E116" s="264"/>
      <c r="F116" s="615"/>
      <c r="G116" s="264"/>
      <c r="H116" s="615"/>
      <c r="I116" s="264"/>
      <c r="J116" s="615"/>
      <c r="K116" s="264"/>
      <c r="L116" s="615"/>
      <c r="M116" s="264"/>
      <c r="N116" s="615"/>
      <c r="O116" s="264"/>
      <c r="P116" s="615"/>
      <c r="Q116" s="264"/>
      <c r="R116" s="615"/>
      <c r="S116" s="264"/>
      <c r="T116" s="615"/>
      <c r="U116" s="264"/>
      <c r="V116" s="615"/>
      <c r="W116" s="264"/>
      <c r="X116" s="615"/>
      <c r="Y116" s="264"/>
      <c r="Z116" s="615"/>
      <c r="AA116" s="264"/>
      <c r="AB116" s="523"/>
      <c r="AC116" s="615"/>
      <c r="AD116" s="264"/>
      <c r="AE116" s="524"/>
      <c r="AF116" s="615"/>
      <c r="AG116" s="519"/>
      <c r="AH116" s="264"/>
      <c r="AI116" s="264"/>
      <c r="AJ116" s="364"/>
      <c r="AK116" s="283"/>
      <c r="AL116" s="1520"/>
    </row>
    <row r="117" spans="1:38" ht="15" customHeight="1">
      <c r="A117" s="35"/>
      <c r="B117" s="3" t="s">
        <v>469</v>
      </c>
      <c r="C117" s="291"/>
      <c r="D117" s="264"/>
      <c r="E117" s="264"/>
      <c r="F117" s="264"/>
      <c r="G117" s="264"/>
      <c r="H117" s="264"/>
      <c r="I117" s="264"/>
      <c r="J117" s="264"/>
      <c r="K117" s="264"/>
      <c r="L117" s="264"/>
      <c r="M117" s="264"/>
      <c r="N117" s="264"/>
      <c r="O117" s="264"/>
      <c r="P117" s="264"/>
      <c r="Q117" s="264"/>
      <c r="R117" s="264"/>
      <c r="S117" s="264"/>
      <c r="T117" s="264"/>
      <c r="U117" s="264"/>
      <c r="V117" s="264"/>
      <c r="W117" s="264"/>
      <c r="X117" s="264"/>
      <c r="Y117" s="264"/>
      <c r="Z117" s="264"/>
      <c r="AA117" s="264"/>
      <c r="AB117" s="523"/>
      <c r="AC117" s="264"/>
      <c r="AD117" s="264"/>
      <c r="AE117" s="524"/>
      <c r="AF117" s="264"/>
      <c r="AG117" s="519"/>
      <c r="AH117" s="264"/>
      <c r="AI117" s="264"/>
      <c r="AJ117" s="364"/>
      <c r="AK117" s="283"/>
      <c r="AL117" s="1520"/>
    </row>
    <row r="118" spans="1:38" ht="15" customHeight="1">
      <c r="A118" s="35"/>
      <c r="B118" s="3" t="s">
        <v>531</v>
      </c>
      <c r="C118" s="291"/>
      <c r="D118" s="264"/>
      <c r="E118" s="264"/>
      <c r="F118" s="264"/>
      <c r="G118" s="264"/>
      <c r="H118" s="264"/>
      <c r="I118" s="264"/>
      <c r="J118" s="264"/>
      <c r="K118" s="264"/>
      <c r="L118" s="264"/>
      <c r="M118" s="264"/>
      <c r="N118" s="264"/>
      <c r="O118" s="264"/>
      <c r="P118" s="264"/>
      <c r="Q118" s="264"/>
      <c r="R118" s="264"/>
      <c r="S118" s="264"/>
      <c r="T118" s="264"/>
      <c r="U118" s="264"/>
      <c r="V118" s="264"/>
      <c r="W118" s="264"/>
      <c r="X118" s="264"/>
      <c r="Y118" s="264"/>
      <c r="Z118" s="264"/>
      <c r="AA118" s="264"/>
      <c r="AB118" s="523"/>
      <c r="AC118" s="264"/>
      <c r="AD118" s="264"/>
      <c r="AE118" s="524"/>
      <c r="AF118" s="264"/>
      <c r="AG118" s="519"/>
      <c r="AH118" s="264"/>
      <c r="AI118" s="264"/>
      <c r="AJ118" s="364"/>
      <c r="AK118" s="283"/>
      <c r="AL118" s="1520"/>
    </row>
    <row r="119" spans="1:38" ht="15" customHeight="1">
      <c r="A119" s="35"/>
      <c r="B119" s="3" t="s">
        <v>518</v>
      </c>
      <c r="C119" s="291"/>
      <c r="D119" s="357">
        <f>_xlfn.SINGLE(ROUND(SUM(D109+D115),1))</f>
        <v>1255.7</v>
      </c>
      <c r="E119" s="13"/>
      <c r="F119" s="357">
        <f>_xlfn.SINGLE(ROUND(SUM(F109+F115),1))</f>
        <v>1640</v>
      </c>
      <c r="G119" s="13"/>
      <c r="H119" s="357">
        <f>_xlfn.SINGLE(ROUND(SUM(H109+H115),1))</f>
        <v>737.3</v>
      </c>
      <c r="I119" s="13"/>
      <c r="J119" s="357">
        <f>_xlfn.SINGLE(ROUND(SUM(J109+J115),1))</f>
        <v>1560.4</v>
      </c>
      <c r="K119" s="13"/>
      <c r="L119" s="357">
        <f>_xlfn.SINGLE(ROUND(SUM(L109+L115),1))</f>
        <v>0</v>
      </c>
      <c r="M119" s="13"/>
      <c r="N119" s="357">
        <f>_xlfn.SINGLE(ROUND(SUM(N109+N115),1))</f>
        <v>0</v>
      </c>
      <c r="O119" s="13"/>
      <c r="P119" s="357">
        <f>_xlfn.SINGLE(ROUND(SUM(P109+P115),1))</f>
        <v>0</v>
      </c>
      <c r="Q119" s="13"/>
      <c r="R119" s="357">
        <f>_xlfn.SINGLE(ROUND(SUM(R109+R115),1))</f>
        <v>0</v>
      </c>
      <c r="S119" s="13"/>
      <c r="T119" s="357">
        <f>_xlfn.SINGLE(ROUND(SUM(T109+T115),1))</f>
        <v>0</v>
      </c>
      <c r="U119" s="13"/>
      <c r="V119" s="357">
        <f>_xlfn.SINGLE(ROUND(SUM(V109+V115),1))</f>
        <v>0</v>
      </c>
      <c r="W119" s="13"/>
      <c r="X119" s="357">
        <f>_xlfn.SINGLE(ROUND(SUM(X109+X115),1))</f>
        <v>0</v>
      </c>
      <c r="Y119" s="13"/>
      <c r="Z119" s="357">
        <f>_xlfn.SINGLE(ROUND(SUM(Z109+Z115),1))</f>
        <v>0</v>
      </c>
      <c r="AA119" s="1227"/>
      <c r="AB119" s="13"/>
      <c r="AC119" s="357">
        <f>ROUND(SUM(AC109+AC115),1)</f>
        <v>5193.3999999999996</v>
      </c>
      <c r="AD119" s="1229"/>
      <c r="AE119" s="13"/>
      <c r="AF119" s="357">
        <f>ROUND(SUM(AF109+AF115),1)</f>
        <v>2234.3000000000002</v>
      </c>
      <c r="AG119" s="519"/>
      <c r="AH119" s="13"/>
      <c r="AI119" s="357">
        <f>_xlfn.SINGLE(ROUND(SUM(AI109+AI115),1))</f>
        <v>2959.1</v>
      </c>
      <c r="AJ119" s="13"/>
      <c r="AK119" s="611">
        <f>_xlfn.SINGLE(ROUND(IF(AF119=0,0,AI119/ABS(AF119)),3))</f>
        <v>1.3240000000000001</v>
      </c>
      <c r="AL119" s="1520"/>
    </row>
    <row r="120" spans="1:38" ht="15" customHeight="1">
      <c r="A120" s="35"/>
      <c r="B120" s="3"/>
      <c r="C120" s="291"/>
      <c r="D120" s="268"/>
      <c r="E120" s="268"/>
      <c r="F120" s="268"/>
      <c r="G120" s="268"/>
      <c r="H120" s="268"/>
      <c r="I120" s="268"/>
      <c r="J120" s="268"/>
      <c r="K120" s="268"/>
      <c r="L120" s="268"/>
      <c r="M120" s="268"/>
      <c r="N120" s="268"/>
      <c r="O120" s="268"/>
      <c r="P120" s="268"/>
      <c r="Q120" s="268"/>
      <c r="R120" s="268"/>
      <c r="S120" s="268"/>
      <c r="T120" s="20"/>
      <c r="U120" s="268"/>
      <c r="V120" s="268"/>
      <c r="W120" s="268"/>
      <c r="X120" s="268"/>
      <c r="Y120" s="268"/>
      <c r="Z120" s="268"/>
      <c r="AA120" s="268"/>
      <c r="AB120" s="1040"/>
      <c r="AC120" s="268"/>
      <c r="AD120" s="268"/>
      <c r="AE120" s="1040"/>
      <c r="AF120" s="268"/>
      <c r="AG120" s="268"/>
      <c r="AH120" s="1027"/>
      <c r="AI120" s="364"/>
      <c r="AJ120" s="364"/>
      <c r="AK120" s="283"/>
      <c r="AL120" s="1520"/>
    </row>
    <row r="121" spans="1:38" ht="17.25" customHeight="1" thickBot="1">
      <c r="A121" s="35"/>
      <c r="B121" s="3" t="s">
        <v>532</v>
      </c>
      <c r="C121" s="291"/>
      <c r="D121" s="70">
        <f>_xlfn.SINGLE(ROUND(SUM(+D119+D13),1))</f>
        <v>13987.6</v>
      </c>
      <c r="E121" s="268"/>
      <c r="F121" s="70">
        <f>_xlfn.SINGLE(ROUND(SUM(+F119+F13),1))</f>
        <v>15627.6</v>
      </c>
      <c r="G121" s="268"/>
      <c r="H121" s="70">
        <f>_xlfn.SINGLE(ROUND(SUM(+H119+H13),1))</f>
        <v>16364.9</v>
      </c>
      <c r="I121" s="268"/>
      <c r="J121" s="70">
        <f>_xlfn.SINGLE(ROUND(SUM(+J119+J13),1))</f>
        <v>17925.3</v>
      </c>
      <c r="K121" s="268"/>
      <c r="L121" s="70">
        <f>_xlfn.SINGLE(ROUND(SUM(+L119+L13),1))</f>
        <v>0</v>
      </c>
      <c r="M121" s="268"/>
      <c r="N121" s="70">
        <f>_xlfn.SINGLE(ROUND(SUM(+N119+N13),1))</f>
        <v>0</v>
      </c>
      <c r="O121" s="268"/>
      <c r="P121" s="70">
        <f>_xlfn.SINGLE(ROUND(SUM(+P119+P13),1))</f>
        <v>0</v>
      </c>
      <c r="Q121" s="268"/>
      <c r="R121" s="70">
        <f>_xlfn.SINGLE(ROUND(SUM(+R119+R13),1))</f>
        <v>0</v>
      </c>
      <c r="S121" s="268"/>
      <c r="T121" s="70">
        <f>_xlfn.SINGLE(ROUND(SUM(+T119+T13),1))</f>
        <v>0</v>
      </c>
      <c r="U121" s="268"/>
      <c r="V121" s="70">
        <f>_xlfn.SINGLE(ROUND(SUM(+V119+V13),1))</f>
        <v>0</v>
      </c>
      <c r="W121" s="268"/>
      <c r="X121" s="70">
        <f>_xlfn.SINGLE(ROUND(SUM(+X119+X13),1))</f>
        <v>0</v>
      </c>
      <c r="Y121" s="268"/>
      <c r="Z121" s="70">
        <f>_xlfn.SINGLE(ROUND(SUM(+Z119+Z13),1))</f>
        <v>0</v>
      </c>
      <c r="AA121" s="268"/>
      <c r="AB121" s="1040"/>
      <c r="AC121" s="70">
        <f>ROUND(SUM(+AC119+AC13),1)</f>
        <v>17925.3</v>
      </c>
      <c r="AD121" s="268"/>
      <c r="AE121" s="1040"/>
      <c r="AF121" s="70">
        <f>ROUND(SUM(+AF119+AF13),1)</f>
        <v>12523</v>
      </c>
      <c r="AG121" s="268"/>
      <c r="AH121" s="1027"/>
      <c r="AI121" s="70">
        <f>_xlfn.SINGLE(ROUND(SUM(+AI119+AI13),1))</f>
        <v>5402.3</v>
      </c>
      <c r="AJ121" s="364"/>
      <c r="AK121" s="77">
        <f>_xlfn.SINGLE(ROUND(IF(AF121=0,0,AI121/ABS(AF121)),3))</f>
        <v>0.43099999999999999</v>
      </c>
      <c r="AL121" s="1520"/>
    </row>
    <row r="122" spans="1:38" ht="15" customHeight="1" thickTop="1">
      <c r="A122" s="35"/>
      <c r="B122" s="3"/>
      <c r="C122" s="291"/>
      <c r="D122" s="268"/>
      <c r="E122" s="268"/>
      <c r="F122" s="268"/>
      <c r="G122" s="268"/>
      <c r="H122" s="268"/>
      <c r="I122" s="268"/>
      <c r="J122" s="268"/>
      <c r="K122" s="268"/>
      <c r="L122" s="268"/>
      <c r="M122" s="268"/>
      <c r="N122" s="268"/>
      <c r="O122" s="268"/>
      <c r="P122" s="20"/>
      <c r="Q122" s="268"/>
      <c r="R122" s="268"/>
      <c r="S122" s="268"/>
      <c r="T122" s="268"/>
      <c r="U122" s="268"/>
      <c r="V122" s="268"/>
      <c r="W122" s="268"/>
      <c r="X122" s="268"/>
      <c r="Y122" s="268"/>
      <c r="Z122" s="268"/>
      <c r="AA122" s="268"/>
      <c r="AB122" s="268"/>
      <c r="AC122" s="268"/>
      <c r="AD122" s="268"/>
      <c r="AE122" s="268"/>
      <c r="AF122" s="268"/>
      <c r="AG122" s="268"/>
      <c r="AH122" s="364"/>
      <c r="AI122" s="364"/>
      <c r="AJ122" s="364"/>
      <c r="AK122" s="283"/>
    </row>
    <row r="123" spans="1:38" ht="15" customHeight="1">
      <c r="B123" s="58"/>
      <c r="C123" s="364"/>
      <c r="D123" s="405"/>
      <c r="E123" s="405"/>
      <c r="F123" s="405"/>
      <c r="G123" s="405"/>
      <c r="H123" s="405"/>
      <c r="I123" s="405"/>
      <c r="J123" s="405"/>
      <c r="K123" s="405"/>
      <c r="L123" s="405"/>
      <c r="M123" s="405"/>
      <c r="N123" s="405"/>
      <c r="O123" s="405"/>
      <c r="P123" s="405"/>
      <c r="Q123" s="405"/>
      <c r="R123" s="405"/>
      <c r="S123" s="405"/>
      <c r="T123" s="405"/>
      <c r="U123" s="405"/>
      <c r="V123" s="405"/>
      <c r="W123" s="405"/>
      <c r="X123" s="405"/>
      <c r="Y123" s="405"/>
      <c r="Z123" s="405"/>
      <c r="AA123" s="405"/>
      <c r="AB123" s="405"/>
      <c r="AC123" s="405"/>
      <c r="AD123" s="405"/>
      <c r="AE123" s="405"/>
      <c r="AF123" s="405" t="s">
        <v>103</v>
      </c>
      <c r="AG123" s="405"/>
      <c r="AH123" s="405"/>
      <c r="AI123" s="405"/>
      <c r="AJ123" s="405"/>
      <c r="AK123" s="283"/>
    </row>
  </sheetData>
  <mergeCells count="1">
    <mergeCell ref="AB9:AK9"/>
  </mergeCells>
  <printOptions horizontalCentered="1"/>
  <pageMargins left="0.25" right="0.25" top="0.5" bottom="0.25" header="0" footer="0.25"/>
  <pageSetup scale="40" firstPageNumber="24" orientation="landscape" useFirstPageNumber="1" r:id="rId1"/>
  <headerFooter scaleWithDoc="0" alignWithMargins="0">
    <oddFooter>&amp;C&amp;8&amp;P</oddFooter>
  </headerFooter>
  <rowBreaks count="1" manualBreakCount="1">
    <brk id="86" min="1" max="36" man="1"/>
  </rowBreaks>
  <customProperties>
    <customPr name="SheetOptions" r:id="rId2"/>
  </customProperties>
  <ignoredErrors>
    <ignoredError sqref="AK29:AK39" unlocked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AL97"/>
  <sheetViews>
    <sheetView showGridLines="0" zoomScale="80" workbookViewId="0"/>
  </sheetViews>
  <sheetFormatPr defaultColWidth="8.84375" defaultRowHeight="12.5"/>
  <cols>
    <col min="1" max="1" width="1.84375" style="63" customWidth="1"/>
    <col min="2" max="2" width="44.84375" style="63" customWidth="1"/>
    <col min="3" max="3" width="1.84375" style="63" customWidth="1"/>
    <col min="4" max="4" width="15.07421875" style="63" bestFit="1" customWidth="1"/>
    <col min="5" max="5" width="1.84375" style="63" customWidth="1"/>
    <col min="6" max="6" width="12" style="63" customWidth="1"/>
    <col min="7" max="7" width="1.84375" style="63" customWidth="1"/>
    <col min="8" max="8" width="12.07421875" style="63" bestFit="1" customWidth="1"/>
    <col min="9" max="9" width="1.84375" style="63" customWidth="1"/>
    <col min="10" max="10" width="12.07421875" style="63" bestFit="1" customWidth="1"/>
    <col min="11" max="11" width="1.84375" style="63" customWidth="1"/>
    <col min="12" max="12" width="11.07421875" style="63" customWidth="1"/>
    <col min="13" max="13" width="1.84375" style="63" customWidth="1"/>
    <col min="14" max="14" width="12.07421875" style="63" customWidth="1"/>
    <col min="15" max="15" width="1.84375" style="63" customWidth="1"/>
    <col min="16" max="16" width="11" style="63" bestFit="1" customWidth="1"/>
    <col min="17" max="17" width="1.84375" style="63" customWidth="1"/>
    <col min="18" max="18" width="11.53515625" style="63" bestFit="1" customWidth="1"/>
    <col min="19" max="19" width="1.84375" style="63" customWidth="1"/>
    <col min="20" max="20" width="11.4609375" style="63" customWidth="1"/>
    <col min="21" max="21" width="1.84375" style="63" customWidth="1"/>
    <col min="22" max="22" width="11.07421875" style="63" customWidth="1"/>
    <col min="23" max="23" width="1.84375" style="63" customWidth="1"/>
    <col min="24" max="24" width="11.07421875" style="63" bestFit="1" customWidth="1"/>
    <col min="25" max="25" width="1.84375" style="63" customWidth="1"/>
    <col min="26" max="26" width="10.84375" style="63" bestFit="1" customWidth="1"/>
    <col min="27" max="28" width="1.84375" style="63" customWidth="1"/>
    <col min="29" max="29" width="12.07421875" style="63" customWidth="1"/>
    <col min="30" max="31" width="1.07421875" style="63" customWidth="1"/>
    <col min="32" max="32" width="11.84375" style="63" customWidth="1"/>
    <col min="33" max="34" width="1.07421875" style="63" customWidth="1"/>
    <col min="35" max="35" width="13.07421875" style="63" bestFit="1" customWidth="1"/>
    <col min="36" max="36" width="0.84375" style="63" customWidth="1"/>
    <col min="37" max="37" width="13.84375" style="328" bestFit="1" customWidth="1"/>
    <col min="38" max="38" width="8.84375" style="1522"/>
    <col min="39" max="16384" width="8.84375" style="63"/>
  </cols>
  <sheetData>
    <row r="1" spans="1:38" ht="15.5">
      <c r="B1" s="265" t="s">
        <v>97</v>
      </c>
    </row>
    <row r="2" spans="1:38" ht="15.5">
      <c r="M2" s="3"/>
      <c r="N2" s="3"/>
      <c r="O2" s="71"/>
    </row>
    <row r="3" spans="1:38" ht="18">
      <c r="B3" s="65" t="s">
        <v>98</v>
      </c>
      <c r="M3" s="3"/>
      <c r="N3" s="3"/>
      <c r="O3" s="71"/>
      <c r="AE3" s="23"/>
      <c r="AF3" s="23"/>
      <c r="AG3" s="23"/>
      <c r="AH3" s="23"/>
      <c r="AI3" s="23"/>
      <c r="AJ3" s="23"/>
      <c r="AK3" s="66" t="s">
        <v>472</v>
      </c>
    </row>
    <row r="4" spans="1:38" ht="18">
      <c r="B4" s="65" t="s">
        <v>533</v>
      </c>
      <c r="L4" s="3"/>
      <c r="M4" s="3"/>
      <c r="O4" s="71"/>
    </row>
    <row r="5" spans="1:38" ht="18">
      <c r="B5" s="540" t="s">
        <v>444</v>
      </c>
      <c r="L5" s="71"/>
      <c r="M5" s="71"/>
      <c r="O5" s="71"/>
      <c r="X5" s="78"/>
    </row>
    <row r="6" spans="1:38" ht="20">
      <c r="B6" s="540" t="str">
        <f>'Cashflow Governmental'!A6</f>
        <v>FISCAL YEAR 2026-2027</v>
      </c>
      <c r="L6" s="71"/>
      <c r="M6" s="71"/>
      <c r="O6" s="71"/>
      <c r="AK6" s="329"/>
    </row>
    <row r="7" spans="1:38" ht="18">
      <c r="B7" s="65" t="s">
        <v>522</v>
      </c>
      <c r="AH7" s="35"/>
      <c r="AI7" s="35"/>
      <c r="AJ7" s="35"/>
      <c r="AK7" s="330"/>
    </row>
    <row r="8" spans="1:38" ht="13.5" customHeight="1">
      <c r="B8" s="79"/>
      <c r="D8" s="1524"/>
      <c r="AH8" s="35"/>
      <c r="AI8" s="35"/>
      <c r="AJ8" s="35"/>
      <c r="AK8" s="330"/>
    </row>
    <row r="9" spans="1:38" ht="15.5">
      <c r="D9" s="1113"/>
      <c r="L9" s="71"/>
      <c r="M9" s="71"/>
      <c r="N9" s="71"/>
      <c r="O9" s="71"/>
      <c r="AB9" s="2065" t="str">
        <f>'Exhibit G'!AD9</f>
        <v>4 Months Ended July 31</v>
      </c>
      <c r="AC9" s="2063"/>
      <c r="AD9" s="2063"/>
      <c r="AE9" s="2063"/>
      <c r="AF9" s="2063"/>
      <c r="AG9" s="2063"/>
      <c r="AH9" s="2063"/>
      <c r="AI9" s="2063"/>
      <c r="AJ9" s="2063"/>
      <c r="AK9" s="2063"/>
    </row>
    <row r="10" spans="1:38" ht="15.5">
      <c r="B10" s="364"/>
      <c r="C10" s="364"/>
      <c r="D10" s="314" t="str">
        <f>'Cashflow Governmental'!C13</f>
        <v>2026</v>
      </c>
      <c r="E10" s="3"/>
      <c r="F10" s="3"/>
      <c r="G10" s="3"/>
      <c r="H10" s="3"/>
      <c r="I10" s="3"/>
      <c r="J10" s="3"/>
      <c r="K10" s="3"/>
      <c r="L10" s="3"/>
      <c r="M10" s="3"/>
      <c r="N10" s="3"/>
      <c r="O10" s="3"/>
      <c r="P10" s="3"/>
      <c r="Q10" s="3"/>
      <c r="R10" s="3"/>
      <c r="S10" s="3"/>
      <c r="T10" s="3"/>
      <c r="U10" s="3"/>
      <c r="V10" s="314">
        <f>'Cashflow Governmental'!U13</f>
        <v>2027</v>
      </c>
      <c r="W10" s="3"/>
      <c r="X10" s="3"/>
      <c r="Y10" s="3"/>
      <c r="Z10" s="3"/>
      <c r="AA10" s="3"/>
      <c r="AB10" s="3"/>
      <c r="AC10" s="57"/>
      <c r="AD10" s="57"/>
      <c r="AE10" s="57"/>
      <c r="AF10" s="57"/>
      <c r="AG10" s="57"/>
      <c r="AH10" s="57"/>
      <c r="AI10" s="320" t="s">
        <v>110</v>
      </c>
      <c r="AJ10" s="320"/>
      <c r="AK10" s="331" t="s">
        <v>111</v>
      </c>
      <c r="AL10" s="1523"/>
    </row>
    <row r="11" spans="1:38" ht="15.5">
      <c r="B11" s="364"/>
      <c r="C11" s="364"/>
      <c r="D11" s="52" t="s">
        <v>329</v>
      </c>
      <c r="E11" s="3"/>
      <c r="F11" s="52" t="s">
        <v>330</v>
      </c>
      <c r="G11" s="3"/>
      <c r="H11" s="52" t="s">
        <v>331</v>
      </c>
      <c r="I11" s="3"/>
      <c r="J11" s="52" t="s">
        <v>332</v>
      </c>
      <c r="K11" s="3"/>
      <c r="L11" s="52" t="s">
        <v>333</v>
      </c>
      <c r="M11" s="3"/>
      <c r="N11" s="52" t="s">
        <v>445</v>
      </c>
      <c r="O11" s="3"/>
      <c r="P11" s="52" t="s">
        <v>446</v>
      </c>
      <c r="Q11" s="3"/>
      <c r="R11" s="52" t="s">
        <v>336</v>
      </c>
      <c r="S11" s="3"/>
      <c r="T11" s="52" t="s">
        <v>337</v>
      </c>
      <c r="U11" s="3"/>
      <c r="V11" s="52" t="s">
        <v>338</v>
      </c>
      <c r="W11" s="3"/>
      <c r="X11" s="52" t="s">
        <v>339</v>
      </c>
      <c r="Y11" s="3"/>
      <c r="Z11" s="52" t="s">
        <v>447</v>
      </c>
      <c r="AA11" s="3"/>
      <c r="AB11" s="3"/>
      <c r="AC11" s="314" t="str">
        <f>'Cashflow Governmental'!AB14</f>
        <v>2026</v>
      </c>
      <c r="AD11" s="314"/>
      <c r="AE11" s="3" t="s">
        <v>103</v>
      </c>
      <c r="AF11" s="314" t="str">
        <f>'Cashflow Governmental'!AE14</f>
        <v>2025</v>
      </c>
      <c r="AG11" s="314"/>
      <c r="AH11" s="57"/>
      <c r="AI11" s="415" t="s">
        <v>112</v>
      </c>
      <c r="AJ11" s="320"/>
      <c r="AK11" s="1041" t="s">
        <v>113</v>
      </c>
      <c r="AL11" s="1523"/>
    </row>
    <row r="12" spans="1:38" ht="6.75" customHeight="1">
      <c r="B12" s="364"/>
      <c r="C12" s="364"/>
      <c r="D12" s="984"/>
      <c r="E12" s="364"/>
      <c r="F12" s="984"/>
      <c r="G12" s="364"/>
      <c r="H12" s="984"/>
      <c r="I12" s="364"/>
      <c r="J12" s="984"/>
      <c r="K12" s="364"/>
      <c r="L12" s="984"/>
      <c r="M12" s="364"/>
      <c r="N12" s="984"/>
      <c r="O12" s="364"/>
      <c r="P12" s="984"/>
      <c r="Q12" s="364"/>
      <c r="R12" s="984"/>
      <c r="S12" s="364"/>
      <c r="T12" s="984"/>
      <c r="U12" s="364"/>
      <c r="V12" s="984"/>
      <c r="W12" s="364"/>
      <c r="X12" s="984"/>
      <c r="Y12" s="364"/>
      <c r="Z12" s="984"/>
      <c r="AA12" s="364"/>
      <c r="AB12" s="364"/>
      <c r="AC12" s="984"/>
      <c r="AD12" s="984"/>
      <c r="AE12" s="364"/>
      <c r="AF12" s="984"/>
      <c r="AG12" s="364"/>
      <c r="AH12" s="364"/>
      <c r="AI12" s="364"/>
      <c r="AJ12" s="364"/>
      <c r="AK12" s="283"/>
    </row>
    <row r="13" spans="1:38" ht="15.5">
      <c r="B13" s="3" t="s">
        <v>523</v>
      </c>
      <c r="C13" s="364"/>
      <c r="D13" s="82">
        <v>8476.7000000000007</v>
      </c>
      <c r="E13" s="364"/>
      <c r="F13" s="20">
        <f>D94</f>
        <v>9647.2999999999993</v>
      </c>
      <c r="G13" s="20"/>
      <c r="H13" s="20">
        <f>F94</f>
        <v>8821.9</v>
      </c>
      <c r="I13" s="364"/>
      <c r="J13" s="20">
        <f>H94</f>
        <v>13191.7</v>
      </c>
      <c r="K13" s="364"/>
      <c r="L13" s="20"/>
      <c r="M13" s="364"/>
      <c r="N13" s="20"/>
      <c r="O13" s="364"/>
      <c r="P13" s="20"/>
      <c r="Q13" s="364"/>
      <c r="R13" s="20"/>
      <c r="S13" s="20"/>
      <c r="T13" s="20"/>
      <c r="U13" s="20"/>
      <c r="V13" s="20"/>
      <c r="W13" s="20"/>
      <c r="X13" s="20"/>
      <c r="Y13" s="20"/>
      <c r="Z13" s="20"/>
      <c r="AA13" s="364"/>
      <c r="AB13" s="1037"/>
      <c r="AC13" s="20">
        <f>D13</f>
        <v>8476.7000000000007</v>
      </c>
      <c r="AD13" s="364"/>
      <c r="AE13" s="1037"/>
      <c r="AF13" s="1936">
        <v>7830.5</v>
      </c>
      <c r="AG13" s="364"/>
      <c r="AH13" s="1027"/>
      <c r="AI13" s="20">
        <f>+AC13-AF13</f>
        <v>646.20000000000073</v>
      </c>
      <c r="AJ13" s="364"/>
      <c r="AK13" s="74">
        <f>AI13/AF13</f>
        <v>8.2523465934487034E-2</v>
      </c>
      <c r="AL13" s="1520"/>
    </row>
    <row r="14" spans="1:38" ht="15.5">
      <c r="B14" s="3"/>
      <c r="C14" s="364"/>
      <c r="D14" s="364"/>
      <c r="E14" s="364"/>
      <c r="F14" s="364"/>
      <c r="G14" s="364"/>
      <c r="H14" s="364"/>
      <c r="I14" s="364"/>
      <c r="J14" s="364"/>
      <c r="K14" s="364"/>
      <c r="L14" s="364"/>
      <c r="M14" s="364"/>
      <c r="N14" s="364"/>
      <c r="O14" s="364"/>
      <c r="P14" s="364"/>
      <c r="Q14" s="364"/>
      <c r="R14" s="364"/>
      <c r="S14" s="364"/>
      <c r="T14" s="364"/>
      <c r="U14" s="364"/>
      <c r="V14" s="364"/>
      <c r="W14" s="364"/>
      <c r="X14" s="364"/>
      <c r="Y14" s="364"/>
      <c r="Z14" s="364"/>
      <c r="AA14" s="1230"/>
      <c r="AB14" s="364"/>
      <c r="AC14" s="364"/>
      <c r="AD14" s="364"/>
      <c r="AE14" s="1037"/>
      <c r="AF14" s="364"/>
      <c r="AG14" s="1029"/>
      <c r="AH14" s="364"/>
      <c r="AI14" s="364"/>
      <c r="AJ14" s="364"/>
      <c r="AK14" s="283"/>
      <c r="AL14" s="1520"/>
    </row>
    <row r="15" spans="1:38" ht="15" customHeight="1">
      <c r="A15" s="35"/>
      <c r="B15" s="3" t="s">
        <v>114</v>
      </c>
      <c r="C15" s="291"/>
      <c r="D15" s="364"/>
      <c r="E15" s="364"/>
      <c r="F15" s="364"/>
      <c r="G15" s="364"/>
      <c r="H15" s="364"/>
      <c r="I15" s="364"/>
      <c r="J15" s="364"/>
      <c r="K15" s="364"/>
      <c r="L15" s="364"/>
      <c r="M15" s="364"/>
      <c r="N15" s="364"/>
      <c r="O15" s="364"/>
      <c r="P15" s="364"/>
      <c r="Q15" s="364"/>
      <c r="R15" s="364"/>
      <c r="S15" s="364"/>
      <c r="T15" s="364"/>
      <c r="U15" s="364"/>
      <c r="V15" s="364"/>
      <c r="W15" s="364"/>
      <c r="X15" s="364"/>
      <c r="Y15" s="364"/>
      <c r="Z15" s="364"/>
      <c r="AA15" s="364"/>
      <c r="AB15" s="1028"/>
      <c r="AC15" s="364"/>
      <c r="AD15" s="364"/>
      <c r="AE15" s="1042"/>
      <c r="AF15" s="364"/>
      <c r="AG15" s="1222"/>
      <c r="AH15" s="364"/>
      <c r="AI15" s="530"/>
      <c r="AJ15" s="530"/>
      <c r="AK15" s="535"/>
      <c r="AL15" s="1520"/>
    </row>
    <row r="16" spans="1:38" ht="7.5" customHeight="1">
      <c r="A16" s="35"/>
      <c r="B16" s="291"/>
      <c r="C16" s="291"/>
      <c r="D16" s="275"/>
      <c r="E16" s="268"/>
      <c r="F16" s="275"/>
      <c r="G16" s="275"/>
      <c r="H16" s="275"/>
      <c r="I16" s="268"/>
      <c r="J16" s="275"/>
      <c r="K16" s="268"/>
      <c r="L16" s="275"/>
      <c r="M16" s="268"/>
      <c r="N16" s="275"/>
      <c r="O16" s="268"/>
      <c r="P16" s="275"/>
      <c r="Q16" s="268"/>
      <c r="R16" s="275"/>
      <c r="S16" s="268"/>
      <c r="T16" s="275"/>
      <c r="U16" s="268"/>
      <c r="V16" s="275"/>
      <c r="W16" s="264"/>
      <c r="X16" s="275"/>
      <c r="Y16" s="264"/>
      <c r="Z16" s="275"/>
      <c r="AA16" s="268"/>
      <c r="AB16" s="666"/>
      <c r="AC16" s="264"/>
      <c r="AD16" s="1772"/>
      <c r="AE16" s="1043"/>
      <c r="AF16" s="275"/>
      <c r="AG16" s="1222"/>
      <c r="AH16" s="364"/>
      <c r="AI16" s="264"/>
      <c r="AJ16" s="264"/>
      <c r="AK16" s="374"/>
      <c r="AL16" s="1520"/>
    </row>
    <row r="17" spans="1:38" ht="15" customHeight="1">
      <c r="A17" s="35"/>
      <c r="B17" s="1211" t="s">
        <v>383</v>
      </c>
      <c r="C17" s="291"/>
      <c r="D17" s="287"/>
      <c r="E17" s="268"/>
      <c r="F17" s="275"/>
      <c r="G17" s="275"/>
      <c r="H17" s="275"/>
      <c r="I17" s="268"/>
      <c r="J17" s="275"/>
      <c r="K17" s="268"/>
      <c r="L17" s="268"/>
      <c r="M17" s="268"/>
      <c r="N17" s="268"/>
      <c r="O17" s="268"/>
      <c r="P17" s="268"/>
      <c r="Q17" s="268"/>
      <c r="R17" s="383"/>
      <c r="S17" s="268"/>
      <c r="T17" s="383"/>
      <c r="U17" s="268"/>
      <c r="V17" s="383"/>
      <c r="W17" s="264"/>
      <c r="X17" s="383"/>
      <c r="Y17" s="264"/>
      <c r="Z17" s="383"/>
      <c r="AA17" s="268"/>
      <c r="AB17" s="666"/>
      <c r="AC17" s="264"/>
      <c r="AD17" s="264"/>
      <c r="AE17" s="524"/>
      <c r="AF17" s="264"/>
      <c r="AG17" s="519"/>
      <c r="AH17" s="264"/>
      <c r="AI17" s="264"/>
      <c r="AJ17" s="264"/>
      <c r="AK17" s="283"/>
      <c r="AL17" s="1520"/>
    </row>
    <row r="18" spans="1:38" ht="15" customHeight="1">
      <c r="A18" s="35"/>
      <c r="B18" s="350" t="s">
        <v>384</v>
      </c>
      <c r="C18" s="291"/>
      <c r="D18" s="287" t="s">
        <v>103</v>
      </c>
      <c r="E18" s="268"/>
      <c r="F18" s="275"/>
      <c r="G18" s="275"/>
      <c r="H18" s="275"/>
      <c r="I18" s="268"/>
      <c r="J18" s="275"/>
      <c r="K18" s="268"/>
      <c r="L18" s="268"/>
      <c r="M18" s="268"/>
      <c r="N18" s="268"/>
      <c r="O18" s="268"/>
      <c r="P18" s="268"/>
      <c r="Q18" s="268"/>
      <c r="R18" s="383"/>
      <c r="S18" s="268"/>
      <c r="T18" s="383"/>
      <c r="U18" s="268"/>
      <c r="V18" s="383"/>
      <c r="W18" s="264"/>
      <c r="X18" s="383"/>
      <c r="Y18" s="264"/>
      <c r="Z18" s="383"/>
      <c r="AA18" s="268"/>
      <c r="AB18" s="666"/>
      <c r="AC18" s="264"/>
      <c r="AD18" s="264"/>
      <c r="AE18" s="524"/>
      <c r="AF18" s="264"/>
      <c r="AG18" s="519"/>
      <c r="AH18" s="264"/>
      <c r="AI18" s="264"/>
      <c r="AJ18" s="264"/>
      <c r="AK18" s="283"/>
      <c r="AL18" s="1520"/>
    </row>
    <row r="19" spans="1:38" ht="15" customHeight="1">
      <c r="A19" s="35"/>
      <c r="B19" s="350" t="s">
        <v>1367</v>
      </c>
      <c r="C19" s="291"/>
      <c r="D19" s="287">
        <v>0</v>
      </c>
      <c r="E19" s="287"/>
      <c r="F19" s="287">
        <v>0</v>
      </c>
      <c r="G19" s="287"/>
      <c r="H19" s="287">
        <v>0</v>
      </c>
      <c r="I19" s="264"/>
      <c r="J19" s="287">
        <f>$AC19-H19-F19-D19</f>
        <v>0</v>
      </c>
      <c r="K19" s="553"/>
      <c r="L19" s="287"/>
      <c r="M19" s="553"/>
      <c r="N19" s="287"/>
      <c r="O19" s="606"/>
      <c r="P19" s="287"/>
      <c r="Q19" s="606"/>
      <c r="R19" s="287"/>
      <c r="S19" s="287"/>
      <c r="T19" s="287"/>
      <c r="U19" s="287"/>
      <c r="V19" s="287"/>
      <c r="W19" s="606"/>
      <c r="X19" s="287"/>
      <c r="Y19" s="287"/>
      <c r="Z19" s="287"/>
      <c r="AA19" s="268"/>
      <c r="AB19" s="666"/>
      <c r="AC19" s="531">
        <v>0</v>
      </c>
      <c r="AD19" s="287"/>
      <c r="AE19" s="1757"/>
      <c r="AF19" s="531">
        <v>0</v>
      </c>
      <c r="AG19" s="519"/>
      <c r="AH19" s="264"/>
      <c r="AI19" s="264">
        <f>ROUND(SUM(+AC19-AF19),1)</f>
        <v>0</v>
      </c>
      <c r="AJ19" s="264"/>
      <c r="AK19" s="266">
        <f>ROUND(IF(AF19=0,0,AI19/ABS(AF19)),3)</f>
        <v>0</v>
      </c>
      <c r="AL19" s="1520"/>
    </row>
    <row r="20" spans="1:38" ht="15" customHeight="1">
      <c r="A20" s="35"/>
      <c r="B20" s="350" t="s">
        <v>387</v>
      </c>
      <c r="C20" s="291"/>
      <c r="D20" s="287" t="s">
        <v>103</v>
      </c>
      <c r="E20" s="268"/>
      <c r="F20" s="287"/>
      <c r="G20" s="287"/>
      <c r="H20" s="287"/>
      <c r="I20" s="268"/>
      <c r="J20" s="287"/>
      <c r="K20" s="268"/>
      <c r="L20" s="287"/>
      <c r="M20" s="268"/>
      <c r="N20" s="287"/>
      <c r="O20" s="268"/>
      <c r="P20" s="287"/>
      <c r="Q20" s="268"/>
      <c r="R20" s="287"/>
      <c r="S20" s="268"/>
      <c r="T20" s="287"/>
      <c r="U20" s="268"/>
      <c r="V20" s="287"/>
      <c r="W20" s="264"/>
      <c r="X20" s="287"/>
      <c r="Y20" s="264"/>
      <c r="Z20" s="287"/>
      <c r="AA20" s="268"/>
      <c r="AB20" s="666"/>
      <c r="AC20" s="264" t="s">
        <v>103</v>
      </c>
      <c r="AD20" s="264"/>
      <c r="AE20" s="524"/>
      <c r="AF20" s="264" t="s">
        <v>103</v>
      </c>
      <c r="AG20" s="519"/>
      <c r="AH20" s="264"/>
      <c r="AI20" s="264"/>
      <c r="AJ20" s="264"/>
      <c r="AK20" s="283"/>
      <c r="AL20" s="1520"/>
    </row>
    <row r="21" spans="1:38" ht="15" customHeight="1">
      <c r="A21" s="35"/>
      <c r="B21" s="350" t="s">
        <v>1368</v>
      </c>
      <c r="C21" s="291"/>
      <c r="D21" s="287">
        <v>9.9</v>
      </c>
      <c r="E21" s="268"/>
      <c r="F21" s="287">
        <v>54.4</v>
      </c>
      <c r="G21" s="287"/>
      <c r="H21" s="287">
        <v>0.20000000000000107</v>
      </c>
      <c r="I21" s="268"/>
      <c r="J21" s="287">
        <f t="shared" ref="J21:J51" si="0">$AC21-H21-F21-D21</f>
        <v>6.4000000000000039</v>
      </c>
      <c r="K21" s="553"/>
      <c r="L21" s="287"/>
      <c r="M21" s="553"/>
      <c r="N21" s="287"/>
      <c r="O21" s="553"/>
      <c r="P21" s="287"/>
      <c r="Q21" s="553"/>
      <c r="R21" s="287"/>
      <c r="S21" s="553"/>
      <c r="T21" s="287"/>
      <c r="U21" s="553"/>
      <c r="V21" s="287"/>
      <c r="W21" s="553"/>
      <c r="X21" s="287"/>
      <c r="Y21" s="553"/>
      <c r="Z21" s="287"/>
      <c r="AA21" s="264"/>
      <c r="AB21" s="523"/>
      <c r="AC21" s="531">
        <v>70.900000000000006</v>
      </c>
      <c r="AD21" s="287"/>
      <c r="AE21" s="1757"/>
      <c r="AF21" s="531">
        <v>56.3</v>
      </c>
      <c r="AG21" s="519"/>
      <c r="AH21" s="264"/>
      <c r="AI21" s="264">
        <f>ROUND(SUM(+AC21-AF21),1)</f>
        <v>14.6</v>
      </c>
      <c r="AJ21" s="264"/>
      <c r="AK21" s="266">
        <f>ROUND(IF(AF21=0,0,AI21/ABS(AF21)),3)</f>
        <v>0.25900000000000001</v>
      </c>
      <c r="AL21" s="1520"/>
    </row>
    <row r="22" spans="1:38" ht="15" customHeight="1">
      <c r="A22" s="35"/>
      <c r="B22" s="350" t="s">
        <v>1369</v>
      </c>
      <c r="C22" s="291"/>
      <c r="D22" s="287">
        <v>0</v>
      </c>
      <c r="E22" s="268"/>
      <c r="F22" s="287">
        <v>0</v>
      </c>
      <c r="G22" s="287"/>
      <c r="H22" s="287">
        <v>0</v>
      </c>
      <c r="I22" s="268"/>
      <c r="J22" s="287">
        <f t="shared" si="0"/>
        <v>0</v>
      </c>
      <c r="K22" s="553"/>
      <c r="L22" s="287"/>
      <c r="M22" s="553"/>
      <c r="N22" s="287"/>
      <c r="O22" s="553"/>
      <c r="P22" s="287"/>
      <c r="Q22" s="553"/>
      <c r="R22" s="287"/>
      <c r="S22" s="553"/>
      <c r="T22" s="287"/>
      <c r="U22" s="553"/>
      <c r="V22" s="287"/>
      <c r="W22" s="553"/>
      <c r="X22" s="287"/>
      <c r="Y22" s="553"/>
      <c r="Z22" s="287"/>
      <c r="AA22" s="264"/>
      <c r="AB22" s="523"/>
      <c r="AC22" s="531">
        <v>0</v>
      </c>
      <c r="AD22" s="287"/>
      <c r="AE22" s="1757"/>
      <c r="AF22" s="531">
        <v>0</v>
      </c>
      <c r="AG22" s="519"/>
      <c r="AH22" s="264"/>
      <c r="AI22" s="264">
        <f t="shared" ref="AI22:AI51" si="1">ROUND(SUM(+AC22-AF22),1)</f>
        <v>0</v>
      </c>
      <c r="AJ22" s="264"/>
      <c r="AK22" s="266">
        <f>ROUND(IF(AF22=0,0,AI22/ABS(AF22)),3)</f>
        <v>0</v>
      </c>
      <c r="AL22" s="1520"/>
    </row>
    <row r="23" spans="1:38" ht="15" customHeight="1">
      <c r="A23" s="35"/>
      <c r="B23" s="350" t="s">
        <v>1370</v>
      </c>
      <c r="C23" s="291"/>
      <c r="D23" s="287">
        <v>0</v>
      </c>
      <c r="E23" s="268"/>
      <c r="F23" s="287">
        <v>0</v>
      </c>
      <c r="G23" s="287"/>
      <c r="H23" s="287">
        <v>0</v>
      </c>
      <c r="I23" s="268"/>
      <c r="J23" s="287">
        <f t="shared" si="0"/>
        <v>0</v>
      </c>
      <c r="K23" s="553"/>
      <c r="L23" s="287"/>
      <c r="M23" s="553"/>
      <c r="N23" s="287"/>
      <c r="O23" s="553"/>
      <c r="P23" s="287"/>
      <c r="Q23" s="553"/>
      <c r="R23" s="287"/>
      <c r="S23" s="553"/>
      <c r="T23" s="287"/>
      <c r="U23" s="553"/>
      <c r="V23" s="287"/>
      <c r="W23" s="553"/>
      <c r="X23" s="287"/>
      <c r="Y23" s="553"/>
      <c r="Z23" s="287"/>
      <c r="AA23" s="264"/>
      <c r="AB23" s="523"/>
      <c r="AC23" s="531">
        <v>0</v>
      </c>
      <c r="AD23" s="287"/>
      <c r="AE23" s="1757"/>
      <c r="AF23" s="531">
        <v>0</v>
      </c>
      <c r="AG23" s="519"/>
      <c r="AH23" s="264"/>
      <c r="AI23" s="264">
        <f t="shared" si="1"/>
        <v>0</v>
      </c>
      <c r="AJ23" s="264"/>
      <c r="AK23" s="266">
        <f>ROUND(IF(AF23=0,0,AI23/ABS(AF23)),3)</f>
        <v>0</v>
      </c>
      <c r="AL23" s="1520"/>
    </row>
    <row r="24" spans="1:38" ht="15" customHeight="1">
      <c r="A24" s="35"/>
      <c r="B24" s="350" t="s">
        <v>484</v>
      </c>
      <c r="C24" s="291"/>
      <c r="D24" s="287">
        <v>0</v>
      </c>
      <c r="E24" s="268"/>
      <c r="F24" s="287">
        <v>0</v>
      </c>
      <c r="G24" s="287"/>
      <c r="H24" s="287">
        <v>0</v>
      </c>
      <c r="I24" s="268"/>
      <c r="J24" s="287">
        <f t="shared" si="0"/>
        <v>0</v>
      </c>
      <c r="K24" s="553"/>
      <c r="L24" s="287"/>
      <c r="M24" s="553"/>
      <c r="N24" s="287"/>
      <c r="O24" s="553"/>
      <c r="P24" s="287"/>
      <c r="Q24" s="553"/>
      <c r="R24" s="287"/>
      <c r="S24" s="553"/>
      <c r="T24" s="287"/>
      <c r="U24" s="553"/>
      <c r="V24" s="287"/>
      <c r="W24" s="553"/>
      <c r="X24" s="287"/>
      <c r="Y24" s="553"/>
      <c r="Z24" s="287"/>
      <c r="AA24" s="264"/>
      <c r="AB24" s="523"/>
      <c r="AC24" s="531">
        <v>0</v>
      </c>
      <c r="AD24" s="287"/>
      <c r="AE24" s="1757"/>
      <c r="AF24" s="531">
        <v>0</v>
      </c>
      <c r="AG24" s="519"/>
      <c r="AH24" s="264"/>
      <c r="AI24" s="264">
        <f t="shared" si="1"/>
        <v>0</v>
      </c>
      <c r="AJ24" s="264"/>
      <c r="AK24" s="266">
        <f>ROUND(IF(AF24=0,0,AI24/ABS(AF24)),3)</f>
        <v>0</v>
      </c>
      <c r="AL24" s="1520"/>
    </row>
    <row r="25" spans="1:38" ht="15" customHeight="1">
      <c r="A25" s="35"/>
      <c r="B25" s="350" t="s">
        <v>392</v>
      </c>
      <c r="C25" s="291"/>
      <c r="D25" s="287"/>
      <c r="E25" s="268"/>
      <c r="F25" s="287"/>
      <c r="G25" s="287"/>
      <c r="H25" s="287"/>
      <c r="I25" s="268"/>
      <c r="J25" s="287"/>
      <c r="K25" s="268"/>
      <c r="L25" s="287"/>
      <c r="M25" s="268"/>
      <c r="N25" s="287"/>
      <c r="O25" s="268"/>
      <c r="P25" s="287"/>
      <c r="Q25" s="268"/>
      <c r="R25" s="287"/>
      <c r="S25" s="268"/>
      <c r="T25" s="287"/>
      <c r="U25" s="268"/>
      <c r="V25" s="287"/>
      <c r="W25" s="264"/>
      <c r="X25" s="287"/>
      <c r="Y25" s="264"/>
      <c r="Z25" s="287"/>
      <c r="AA25" s="268"/>
      <c r="AB25" s="666"/>
      <c r="AC25" s="264" t="s">
        <v>103</v>
      </c>
      <c r="AD25" s="264"/>
      <c r="AE25" s="524"/>
      <c r="AF25" s="264" t="s">
        <v>103</v>
      </c>
      <c r="AG25" s="519"/>
      <c r="AH25" s="264"/>
      <c r="AI25" s="264"/>
      <c r="AJ25" s="264"/>
      <c r="AK25" s="266"/>
      <c r="AL25" s="1520"/>
    </row>
    <row r="26" spans="1:38" ht="15" customHeight="1">
      <c r="A26" s="35"/>
      <c r="B26" s="350" t="s">
        <v>1372</v>
      </c>
      <c r="C26" s="291"/>
      <c r="D26" s="287">
        <v>0</v>
      </c>
      <c r="E26" s="268"/>
      <c r="F26" s="287">
        <v>0</v>
      </c>
      <c r="G26" s="287"/>
      <c r="H26" s="287">
        <v>0</v>
      </c>
      <c r="I26" s="268"/>
      <c r="J26" s="287">
        <f t="shared" si="0"/>
        <v>0</v>
      </c>
      <c r="K26" s="553"/>
      <c r="L26" s="287"/>
      <c r="M26" s="553"/>
      <c r="N26" s="287"/>
      <c r="O26" s="553"/>
      <c r="P26" s="287"/>
      <c r="Q26" s="553"/>
      <c r="R26" s="287"/>
      <c r="S26" s="553"/>
      <c r="T26" s="287"/>
      <c r="U26" s="553"/>
      <c r="V26" s="287"/>
      <c r="W26" s="553"/>
      <c r="X26" s="287"/>
      <c r="Y26" s="553"/>
      <c r="Z26" s="287"/>
      <c r="AA26" s="264"/>
      <c r="AB26" s="523"/>
      <c r="AC26" s="531">
        <v>0</v>
      </c>
      <c r="AD26" s="287"/>
      <c r="AE26" s="1757"/>
      <c r="AF26" s="531">
        <v>0</v>
      </c>
      <c r="AG26" s="519"/>
      <c r="AH26" s="264"/>
      <c r="AI26" s="264">
        <f t="shared" si="1"/>
        <v>0</v>
      </c>
      <c r="AJ26" s="264"/>
      <c r="AK26" s="266">
        <f t="shared" ref="AK26:AK32" si="2">ROUND(IF(AF26=0,0,AI26/ABS(AF26)),3)</f>
        <v>0</v>
      </c>
      <c r="AL26" s="1520"/>
    </row>
    <row r="27" spans="1:38" ht="15" customHeight="1">
      <c r="A27" s="35"/>
      <c r="B27" s="350" t="s">
        <v>487</v>
      </c>
      <c r="C27" s="291"/>
      <c r="D27" s="287">
        <v>0</v>
      </c>
      <c r="E27" s="268"/>
      <c r="F27" s="287">
        <v>0</v>
      </c>
      <c r="G27" s="287"/>
      <c r="H27" s="287">
        <v>0</v>
      </c>
      <c r="I27" s="268"/>
      <c r="J27" s="287">
        <f t="shared" si="0"/>
        <v>0</v>
      </c>
      <c r="K27" s="553"/>
      <c r="L27" s="287"/>
      <c r="M27" s="553"/>
      <c r="N27" s="287"/>
      <c r="O27" s="553"/>
      <c r="P27" s="287"/>
      <c r="Q27" s="553"/>
      <c r="R27" s="287"/>
      <c r="S27" s="553"/>
      <c r="T27" s="287"/>
      <c r="U27" s="553"/>
      <c r="V27" s="287"/>
      <c r="W27" s="553"/>
      <c r="X27" s="287"/>
      <c r="Y27" s="553"/>
      <c r="Z27" s="287"/>
      <c r="AA27" s="264"/>
      <c r="AB27" s="523"/>
      <c r="AC27" s="531">
        <v>0</v>
      </c>
      <c r="AD27" s="287"/>
      <c r="AE27" s="1757"/>
      <c r="AF27" s="531">
        <v>0</v>
      </c>
      <c r="AG27" s="519"/>
      <c r="AH27" s="264"/>
      <c r="AI27" s="264">
        <f t="shared" si="1"/>
        <v>0</v>
      </c>
      <c r="AJ27" s="264"/>
      <c r="AK27" s="266">
        <f t="shared" si="2"/>
        <v>0</v>
      </c>
      <c r="AL27" s="1520"/>
    </row>
    <row r="28" spans="1:38" ht="15" customHeight="1">
      <c r="A28" s="35"/>
      <c r="B28" s="350" t="s">
        <v>488</v>
      </c>
      <c r="C28" s="291"/>
      <c r="D28" s="287">
        <v>0</v>
      </c>
      <c r="E28" s="268"/>
      <c r="F28" s="287">
        <v>0</v>
      </c>
      <c r="G28" s="287"/>
      <c r="H28" s="287">
        <v>0</v>
      </c>
      <c r="I28" s="268"/>
      <c r="J28" s="287">
        <f t="shared" si="0"/>
        <v>0</v>
      </c>
      <c r="K28" s="553"/>
      <c r="L28" s="287"/>
      <c r="M28" s="553"/>
      <c r="N28" s="287"/>
      <c r="O28" s="553"/>
      <c r="P28" s="287"/>
      <c r="Q28" s="553"/>
      <c r="R28" s="287"/>
      <c r="S28" s="553"/>
      <c r="T28" s="287"/>
      <c r="U28" s="553"/>
      <c r="V28" s="287"/>
      <c r="W28" s="553"/>
      <c r="X28" s="287"/>
      <c r="Y28" s="553"/>
      <c r="Z28" s="287"/>
      <c r="AA28" s="264"/>
      <c r="AB28" s="523"/>
      <c r="AC28" s="531">
        <v>0</v>
      </c>
      <c r="AD28" s="287"/>
      <c r="AE28" s="1757"/>
      <c r="AF28" s="531">
        <v>0</v>
      </c>
      <c r="AG28" s="519"/>
      <c r="AH28" s="264"/>
      <c r="AI28" s="264">
        <f t="shared" si="1"/>
        <v>0</v>
      </c>
      <c r="AJ28" s="264"/>
      <c r="AK28" s="266">
        <f t="shared" si="2"/>
        <v>0</v>
      </c>
      <c r="AL28" s="1520"/>
    </row>
    <row r="29" spans="1:38" ht="15" customHeight="1">
      <c r="A29" s="35"/>
      <c r="B29" s="350" t="s">
        <v>1373</v>
      </c>
      <c r="C29" s="291"/>
      <c r="D29" s="287">
        <v>0</v>
      </c>
      <c r="E29" s="268"/>
      <c r="F29" s="287">
        <v>0</v>
      </c>
      <c r="G29" s="287"/>
      <c r="H29" s="287">
        <v>0</v>
      </c>
      <c r="I29" s="268"/>
      <c r="J29" s="287">
        <f t="shared" si="0"/>
        <v>0</v>
      </c>
      <c r="K29" s="553"/>
      <c r="L29" s="287"/>
      <c r="M29" s="553"/>
      <c r="N29" s="287"/>
      <c r="O29" s="553"/>
      <c r="P29" s="287"/>
      <c r="Q29" s="553"/>
      <c r="R29" s="287"/>
      <c r="S29" s="553"/>
      <c r="T29" s="287"/>
      <c r="U29" s="553"/>
      <c r="V29" s="287"/>
      <c r="W29" s="553"/>
      <c r="X29" s="287"/>
      <c r="Y29" s="553"/>
      <c r="Z29" s="287"/>
      <c r="AA29" s="264"/>
      <c r="AB29" s="523"/>
      <c r="AC29" s="531">
        <v>0</v>
      </c>
      <c r="AD29" s="287"/>
      <c r="AE29" s="1757"/>
      <c r="AF29" s="531">
        <v>0</v>
      </c>
      <c r="AG29" s="519"/>
      <c r="AH29" s="264"/>
      <c r="AI29" s="264">
        <f t="shared" si="1"/>
        <v>0</v>
      </c>
      <c r="AJ29" s="264"/>
      <c r="AK29" s="266">
        <f t="shared" si="2"/>
        <v>0</v>
      </c>
      <c r="AL29" s="1520"/>
    </row>
    <row r="30" spans="1:38" ht="15" customHeight="1">
      <c r="A30" s="35"/>
      <c r="B30" s="350" t="s">
        <v>1374</v>
      </c>
      <c r="C30" s="291"/>
      <c r="D30" s="287">
        <v>0</v>
      </c>
      <c r="E30" s="268"/>
      <c r="F30" s="287">
        <v>0</v>
      </c>
      <c r="G30" s="287"/>
      <c r="H30" s="287">
        <v>0</v>
      </c>
      <c r="I30" s="268"/>
      <c r="J30" s="287">
        <f t="shared" si="0"/>
        <v>0</v>
      </c>
      <c r="K30" s="553"/>
      <c r="L30" s="287"/>
      <c r="M30" s="553"/>
      <c r="N30" s="287"/>
      <c r="O30" s="553"/>
      <c r="P30" s="287"/>
      <c r="Q30" s="553"/>
      <c r="R30" s="287"/>
      <c r="S30" s="553"/>
      <c r="T30" s="287"/>
      <c r="U30" s="553"/>
      <c r="V30" s="287"/>
      <c r="W30" s="553"/>
      <c r="X30" s="287"/>
      <c r="Y30" s="553"/>
      <c r="Z30" s="287"/>
      <c r="AA30" s="264"/>
      <c r="AB30" s="523"/>
      <c r="AC30" s="531">
        <v>0</v>
      </c>
      <c r="AD30" s="287"/>
      <c r="AE30" s="1757"/>
      <c r="AF30" s="531">
        <v>0</v>
      </c>
      <c r="AG30" s="519"/>
      <c r="AH30" s="264"/>
      <c r="AI30" s="264">
        <f t="shared" si="1"/>
        <v>0</v>
      </c>
      <c r="AJ30" s="264"/>
      <c r="AK30" s="266">
        <f t="shared" si="2"/>
        <v>0</v>
      </c>
      <c r="AL30" s="1520"/>
    </row>
    <row r="31" spans="1:38" ht="15" customHeight="1">
      <c r="A31" s="35"/>
      <c r="B31" s="350" t="s">
        <v>1375</v>
      </c>
      <c r="C31" s="291"/>
      <c r="D31" s="287">
        <v>0.3</v>
      </c>
      <c r="E31" s="268"/>
      <c r="F31" s="287">
        <v>0.10000000000000003</v>
      </c>
      <c r="G31" s="287"/>
      <c r="H31" s="287">
        <v>0.29999999999999988</v>
      </c>
      <c r="I31" s="268"/>
      <c r="J31" s="287">
        <f t="shared" si="0"/>
        <v>0.1000000000000002</v>
      </c>
      <c r="K31" s="553"/>
      <c r="L31" s="287"/>
      <c r="M31" s="553"/>
      <c r="N31" s="287"/>
      <c r="O31" s="553"/>
      <c r="P31" s="287"/>
      <c r="Q31" s="553"/>
      <c r="R31" s="287"/>
      <c r="S31" s="553"/>
      <c r="T31" s="287"/>
      <c r="U31" s="553"/>
      <c r="V31" s="287"/>
      <c r="W31" s="553"/>
      <c r="X31" s="287"/>
      <c r="Y31" s="553"/>
      <c r="Z31" s="287"/>
      <c r="AA31" s="264"/>
      <c r="AB31" s="523"/>
      <c r="AC31" s="531">
        <v>0.8</v>
      </c>
      <c r="AD31" s="287"/>
      <c r="AE31" s="1757"/>
      <c r="AF31" s="531">
        <v>3.6</v>
      </c>
      <c r="AG31" s="519"/>
      <c r="AH31" s="264"/>
      <c r="AI31" s="264">
        <f>ROUND(SUM(+AC31-AF31),1)</f>
        <v>-2.8</v>
      </c>
      <c r="AJ31" s="264"/>
      <c r="AK31" s="266">
        <f t="shared" si="2"/>
        <v>-0.77800000000000002</v>
      </c>
      <c r="AL31" s="1520"/>
    </row>
    <row r="32" spans="1:38" ht="15" customHeight="1">
      <c r="A32" s="35"/>
      <c r="B32" s="350" t="s">
        <v>1398</v>
      </c>
      <c r="C32" s="291"/>
      <c r="D32" s="287">
        <v>32.9</v>
      </c>
      <c r="E32" s="268"/>
      <c r="F32" s="287">
        <v>31.699999999999996</v>
      </c>
      <c r="G32" s="287"/>
      <c r="H32" s="287">
        <v>32.900000000000013</v>
      </c>
      <c r="I32" s="268"/>
      <c r="J32" s="287">
        <f t="shared" si="0"/>
        <v>34.000000000000007</v>
      </c>
      <c r="K32" s="553"/>
      <c r="L32" s="287"/>
      <c r="M32" s="553"/>
      <c r="N32" s="287"/>
      <c r="O32" s="553"/>
      <c r="P32" s="287"/>
      <c r="Q32" s="553"/>
      <c r="R32" s="287"/>
      <c r="S32" s="553"/>
      <c r="T32" s="287"/>
      <c r="U32" s="553"/>
      <c r="V32" s="287"/>
      <c r="W32" s="553"/>
      <c r="X32" s="287"/>
      <c r="Y32" s="553"/>
      <c r="Z32" s="287"/>
      <c r="AA32" s="264"/>
      <c r="AB32" s="523"/>
      <c r="AC32" s="531">
        <v>131.5</v>
      </c>
      <c r="AD32" s="287"/>
      <c r="AE32" s="1757"/>
      <c r="AF32" s="531">
        <v>144.80000000000001</v>
      </c>
      <c r="AG32" s="519"/>
      <c r="AH32" s="264"/>
      <c r="AI32" s="264">
        <f t="shared" si="1"/>
        <v>-13.3</v>
      </c>
      <c r="AJ32" s="264"/>
      <c r="AK32" s="266">
        <f t="shared" si="2"/>
        <v>-9.1999999999999998E-2</v>
      </c>
      <c r="AL32" s="1520"/>
    </row>
    <row r="33" spans="1:38" ht="15" customHeight="1">
      <c r="A33" s="35"/>
      <c r="B33" s="350" t="s">
        <v>1376</v>
      </c>
      <c r="C33" s="291"/>
      <c r="D33" s="287">
        <v>0</v>
      </c>
      <c r="E33" s="268"/>
      <c r="F33" s="287">
        <v>0</v>
      </c>
      <c r="G33" s="287"/>
      <c r="H33" s="287">
        <v>0</v>
      </c>
      <c r="I33" s="268"/>
      <c r="J33" s="287">
        <f t="shared" si="0"/>
        <v>0</v>
      </c>
      <c r="K33" s="553"/>
      <c r="L33" s="287"/>
      <c r="M33" s="553"/>
      <c r="N33" s="287"/>
      <c r="O33" s="553"/>
      <c r="P33" s="287"/>
      <c r="Q33" s="553"/>
      <c r="R33" s="287"/>
      <c r="S33" s="553"/>
      <c r="T33" s="287"/>
      <c r="U33" s="553"/>
      <c r="V33" s="287"/>
      <c r="W33" s="553"/>
      <c r="X33" s="287"/>
      <c r="Y33" s="553"/>
      <c r="Z33" s="287"/>
      <c r="AA33" s="264"/>
      <c r="AB33" s="523"/>
      <c r="AC33" s="531">
        <v>0</v>
      </c>
      <c r="AD33" s="287"/>
      <c r="AE33" s="1757"/>
      <c r="AF33" s="531">
        <v>0</v>
      </c>
      <c r="AG33" s="519"/>
      <c r="AH33" s="264"/>
      <c r="AI33" s="264">
        <f>ROUND(SUM(+AC33-AF33),1)</f>
        <v>0</v>
      </c>
      <c r="AJ33" s="264"/>
      <c r="AK33" s="266">
        <f>ROUND(IF(AF33=0,0,AI33/ABS(AF33)),3)</f>
        <v>0</v>
      </c>
      <c r="AL33" s="1520"/>
    </row>
    <row r="34" spans="1:38" ht="15" customHeight="1">
      <c r="A34" s="35"/>
      <c r="B34" s="350" t="s">
        <v>408</v>
      </c>
      <c r="C34" s="291"/>
      <c r="D34" s="287"/>
      <c r="E34" s="268"/>
      <c r="F34" s="287"/>
      <c r="G34" s="287"/>
      <c r="H34" s="287"/>
      <c r="I34" s="268"/>
      <c r="J34" s="287"/>
      <c r="K34" s="268"/>
      <c r="L34" s="287"/>
      <c r="M34" s="268"/>
      <c r="N34" s="287"/>
      <c r="O34" s="268"/>
      <c r="P34" s="287"/>
      <c r="Q34" s="268"/>
      <c r="R34" s="287"/>
      <c r="S34" s="268"/>
      <c r="T34" s="287"/>
      <c r="U34" s="268"/>
      <c r="V34" s="287"/>
      <c r="W34" s="264"/>
      <c r="X34" s="287"/>
      <c r="Y34" s="264"/>
      <c r="Z34" s="287"/>
      <c r="AA34" s="268"/>
      <c r="AB34" s="666"/>
      <c r="AC34" s="264" t="s">
        <v>103</v>
      </c>
      <c r="AD34" s="264"/>
      <c r="AE34" s="524"/>
      <c r="AF34" s="264" t="s">
        <v>103</v>
      </c>
      <c r="AG34" s="519"/>
      <c r="AH34" s="264"/>
      <c r="AI34" s="264"/>
      <c r="AJ34" s="264"/>
      <c r="AK34" s="283"/>
      <c r="AL34" s="1520"/>
    </row>
    <row r="35" spans="1:38" ht="15" customHeight="1">
      <c r="A35" s="35"/>
      <c r="B35" s="350" t="s">
        <v>1406</v>
      </c>
      <c r="C35" s="291"/>
      <c r="D35" s="287">
        <v>0</v>
      </c>
      <c r="E35" s="268"/>
      <c r="F35" s="287">
        <v>0</v>
      </c>
      <c r="G35" s="287"/>
      <c r="H35" s="287">
        <v>0</v>
      </c>
      <c r="I35" s="268"/>
      <c r="J35" s="287">
        <f t="shared" si="0"/>
        <v>0</v>
      </c>
      <c r="K35" s="553"/>
      <c r="L35" s="287"/>
      <c r="M35" s="553"/>
      <c r="N35" s="287"/>
      <c r="O35" s="553"/>
      <c r="P35" s="287"/>
      <c r="Q35" s="553"/>
      <c r="R35" s="287"/>
      <c r="S35" s="553"/>
      <c r="T35" s="287"/>
      <c r="U35" s="553"/>
      <c r="V35" s="287"/>
      <c r="W35" s="553"/>
      <c r="X35" s="287"/>
      <c r="Y35" s="553"/>
      <c r="Z35" s="287"/>
      <c r="AA35" s="264"/>
      <c r="AB35" s="523"/>
      <c r="AC35" s="531">
        <v>0</v>
      </c>
      <c r="AD35" s="287"/>
      <c r="AE35" s="1757"/>
      <c r="AF35" s="531">
        <v>0</v>
      </c>
      <c r="AG35" s="519"/>
      <c r="AH35" s="264"/>
      <c r="AI35" s="264">
        <f t="shared" si="1"/>
        <v>0</v>
      </c>
      <c r="AJ35" s="264"/>
      <c r="AK35" s="266">
        <f t="shared" ref="AK35:AK39" si="3">ROUND(IF(AF35=0,0,AI35/ABS(AF35)),3)</f>
        <v>0</v>
      </c>
      <c r="AL35" s="1520"/>
    </row>
    <row r="36" spans="1:38" ht="15" customHeight="1">
      <c r="A36" s="35"/>
      <c r="B36" s="350" t="s">
        <v>1399</v>
      </c>
      <c r="C36" s="291"/>
      <c r="D36" s="287">
        <v>0</v>
      </c>
      <c r="E36" s="268"/>
      <c r="F36" s="287">
        <v>0</v>
      </c>
      <c r="G36" s="287"/>
      <c r="H36" s="287">
        <v>0</v>
      </c>
      <c r="I36" s="268"/>
      <c r="J36" s="287">
        <f t="shared" si="0"/>
        <v>0</v>
      </c>
      <c r="K36" s="553"/>
      <c r="L36" s="287"/>
      <c r="M36" s="553"/>
      <c r="N36" s="287"/>
      <c r="O36" s="553"/>
      <c r="P36" s="287"/>
      <c r="Q36" s="553"/>
      <c r="R36" s="287"/>
      <c r="S36" s="553"/>
      <c r="T36" s="287"/>
      <c r="U36" s="553"/>
      <c r="V36" s="287"/>
      <c r="W36" s="553"/>
      <c r="X36" s="287"/>
      <c r="Y36" s="553"/>
      <c r="Z36" s="287"/>
      <c r="AA36" s="264"/>
      <c r="AB36" s="523"/>
      <c r="AC36" s="531">
        <v>0</v>
      </c>
      <c r="AD36" s="287"/>
      <c r="AE36" s="1757"/>
      <c r="AF36" s="531">
        <v>0</v>
      </c>
      <c r="AG36" s="519"/>
      <c r="AH36" s="264"/>
      <c r="AI36" s="264">
        <f t="shared" si="1"/>
        <v>0</v>
      </c>
      <c r="AJ36" s="264"/>
      <c r="AK36" s="266">
        <f t="shared" si="3"/>
        <v>0</v>
      </c>
      <c r="AL36" s="1520"/>
    </row>
    <row r="37" spans="1:38" ht="15" customHeight="1">
      <c r="A37" s="35"/>
      <c r="B37" s="350" t="s">
        <v>1377</v>
      </c>
      <c r="C37" s="291"/>
      <c r="D37" s="287">
        <v>0</v>
      </c>
      <c r="E37" s="268"/>
      <c r="F37" s="287">
        <v>0</v>
      </c>
      <c r="G37" s="287"/>
      <c r="H37" s="287">
        <v>0</v>
      </c>
      <c r="I37" s="268"/>
      <c r="J37" s="287">
        <f t="shared" si="0"/>
        <v>0</v>
      </c>
      <c r="K37" s="553"/>
      <c r="L37" s="287"/>
      <c r="M37" s="553"/>
      <c r="N37" s="287"/>
      <c r="O37" s="553"/>
      <c r="P37" s="287"/>
      <c r="Q37" s="553"/>
      <c r="R37" s="287"/>
      <c r="S37" s="553"/>
      <c r="T37" s="287"/>
      <c r="U37" s="553"/>
      <c r="V37" s="287"/>
      <c r="W37" s="553"/>
      <c r="X37" s="287"/>
      <c r="Y37" s="553"/>
      <c r="Z37" s="287"/>
      <c r="AA37" s="264"/>
      <c r="AB37" s="523"/>
      <c r="AC37" s="531">
        <v>0</v>
      </c>
      <c r="AD37" s="287"/>
      <c r="AE37" s="1757"/>
      <c r="AF37" s="531">
        <v>0</v>
      </c>
      <c r="AG37" s="519"/>
      <c r="AH37" s="264"/>
      <c r="AI37" s="264">
        <f t="shared" si="1"/>
        <v>0</v>
      </c>
      <c r="AJ37" s="264"/>
      <c r="AK37" s="266">
        <f t="shared" si="3"/>
        <v>0</v>
      </c>
      <c r="AL37" s="1520"/>
    </row>
    <row r="38" spans="1:38" ht="15" customHeight="1">
      <c r="A38" s="35"/>
      <c r="B38" s="350" t="s">
        <v>497</v>
      </c>
      <c r="C38" s="291"/>
      <c r="D38" s="287">
        <v>0</v>
      </c>
      <c r="E38" s="268"/>
      <c r="F38" s="287">
        <v>0</v>
      </c>
      <c r="G38" s="287"/>
      <c r="H38" s="287">
        <v>0</v>
      </c>
      <c r="I38" s="268"/>
      <c r="J38" s="287">
        <f t="shared" si="0"/>
        <v>0</v>
      </c>
      <c r="K38" s="553"/>
      <c r="L38" s="287"/>
      <c r="M38" s="553"/>
      <c r="N38" s="287"/>
      <c r="O38" s="553"/>
      <c r="P38" s="287"/>
      <c r="Q38" s="553"/>
      <c r="R38" s="287"/>
      <c r="S38" s="553"/>
      <c r="T38" s="287"/>
      <c r="U38" s="553"/>
      <c r="V38" s="287"/>
      <c r="W38" s="553"/>
      <c r="X38" s="287"/>
      <c r="Y38" s="553"/>
      <c r="Z38" s="287"/>
      <c r="AA38" s="264"/>
      <c r="AB38" s="523"/>
      <c r="AC38" s="531">
        <v>0</v>
      </c>
      <c r="AD38" s="287"/>
      <c r="AE38" s="1757"/>
      <c r="AF38" s="531">
        <v>0</v>
      </c>
      <c r="AG38" s="519"/>
      <c r="AH38" s="264"/>
      <c r="AI38" s="264">
        <f t="shared" si="1"/>
        <v>0</v>
      </c>
      <c r="AJ38" s="264"/>
      <c r="AK38" s="266">
        <f t="shared" si="3"/>
        <v>0</v>
      </c>
      <c r="AL38" s="1520"/>
    </row>
    <row r="39" spans="1:38" ht="15" customHeight="1">
      <c r="A39" s="35"/>
      <c r="B39" s="350" t="s">
        <v>413</v>
      </c>
      <c r="C39" s="291"/>
      <c r="D39" s="287">
        <v>0</v>
      </c>
      <c r="E39" s="268"/>
      <c r="F39" s="287">
        <v>0</v>
      </c>
      <c r="G39" s="287"/>
      <c r="H39" s="287">
        <v>0</v>
      </c>
      <c r="I39" s="268"/>
      <c r="J39" s="287">
        <f t="shared" si="0"/>
        <v>0</v>
      </c>
      <c r="K39" s="553"/>
      <c r="L39" s="287"/>
      <c r="M39" s="553"/>
      <c r="N39" s="287"/>
      <c r="O39" s="553"/>
      <c r="P39" s="287"/>
      <c r="Q39" s="553"/>
      <c r="R39" s="287"/>
      <c r="S39" s="553"/>
      <c r="T39" s="287"/>
      <c r="U39" s="553"/>
      <c r="V39" s="287"/>
      <c r="W39" s="553"/>
      <c r="X39" s="287"/>
      <c r="Y39" s="553"/>
      <c r="Z39" s="287"/>
      <c r="AA39" s="264"/>
      <c r="AB39" s="523"/>
      <c r="AC39" s="531">
        <v>0</v>
      </c>
      <c r="AD39" s="287"/>
      <c r="AE39" s="1757"/>
      <c r="AF39" s="531">
        <v>0</v>
      </c>
      <c r="AG39" s="519"/>
      <c r="AH39" s="264"/>
      <c r="AI39" s="264">
        <f t="shared" si="1"/>
        <v>0</v>
      </c>
      <c r="AJ39" s="264"/>
      <c r="AK39" s="266">
        <f t="shared" si="3"/>
        <v>0</v>
      </c>
      <c r="AL39" s="1520"/>
    </row>
    <row r="40" spans="1:38" ht="15" customHeight="1">
      <c r="A40" s="35"/>
      <c r="B40" s="350" t="s">
        <v>414</v>
      </c>
      <c r="C40" s="291"/>
      <c r="D40" s="287"/>
      <c r="E40" s="268"/>
      <c r="F40" s="287"/>
      <c r="G40" s="287"/>
      <c r="H40" s="287"/>
      <c r="I40" s="268"/>
      <c r="J40" s="287"/>
      <c r="K40" s="268"/>
      <c r="L40" s="287"/>
      <c r="M40" s="268"/>
      <c r="N40" s="287"/>
      <c r="O40" s="268"/>
      <c r="P40" s="287"/>
      <c r="Q40" s="268"/>
      <c r="R40" s="287"/>
      <c r="S40" s="268"/>
      <c r="T40" s="287"/>
      <c r="U40" s="268"/>
      <c r="V40" s="287"/>
      <c r="W40" s="264"/>
      <c r="X40" s="287"/>
      <c r="Y40" s="264"/>
      <c r="Z40" s="287"/>
      <c r="AA40" s="268"/>
      <c r="AB40" s="666"/>
      <c r="AC40" s="264" t="s">
        <v>103</v>
      </c>
      <c r="AD40" s="264"/>
      <c r="AE40" s="524"/>
      <c r="AF40" s="264" t="s">
        <v>103</v>
      </c>
      <c r="AG40" s="519"/>
      <c r="AH40" s="264"/>
      <c r="AI40" s="264"/>
      <c r="AJ40" s="264"/>
      <c r="AK40" s="283"/>
      <c r="AL40" s="1520"/>
    </row>
    <row r="41" spans="1:38" ht="15" customHeight="1">
      <c r="A41" s="35"/>
      <c r="B41" s="350" t="s">
        <v>1378</v>
      </c>
      <c r="C41" s="291"/>
      <c r="D41" s="287">
        <v>0</v>
      </c>
      <c r="E41" s="268"/>
      <c r="F41" s="287">
        <v>0</v>
      </c>
      <c r="G41" s="287"/>
      <c r="H41" s="287">
        <v>0</v>
      </c>
      <c r="I41" s="268"/>
      <c r="J41" s="287">
        <f t="shared" si="0"/>
        <v>0</v>
      </c>
      <c r="K41" s="553"/>
      <c r="L41" s="287"/>
      <c r="M41" s="553"/>
      <c r="N41" s="287"/>
      <c r="O41" s="553"/>
      <c r="P41" s="287"/>
      <c r="Q41" s="553"/>
      <c r="R41" s="287"/>
      <c r="S41" s="553"/>
      <c r="T41" s="287"/>
      <c r="U41" s="553"/>
      <c r="V41" s="287"/>
      <c r="W41" s="553"/>
      <c r="X41" s="287"/>
      <c r="Y41" s="553"/>
      <c r="Z41" s="287"/>
      <c r="AA41" s="264"/>
      <c r="AB41" s="523"/>
      <c r="AC41" s="531">
        <v>0</v>
      </c>
      <c r="AD41" s="287"/>
      <c r="AE41" s="1757"/>
      <c r="AF41" s="531">
        <v>0</v>
      </c>
      <c r="AG41" s="519"/>
      <c r="AH41" s="264"/>
      <c r="AI41" s="264">
        <f t="shared" si="1"/>
        <v>0</v>
      </c>
      <c r="AJ41" s="264"/>
      <c r="AK41" s="266">
        <f>ROUND(IF(AF41=0,0,AI41/ABS(AF41)),3)</f>
        <v>0</v>
      </c>
      <c r="AL41" s="1520"/>
    </row>
    <row r="42" spans="1:38" ht="15" customHeight="1">
      <c r="A42" s="35"/>
      <c r="B42" s="350" t="s">
        <v>499</v>
      </c>
      <c r="C42" s="291"/>
      <c r="D42" s="287">
        <v>0</v>
      </c>
      <c r="E42" s="268"/>
      <c r="F42" s="287">
        <v>0</v>
      </c>
      <c r="G42" s="287"/>
      <c r="H42" s="287">
        <v>0</v>
      </c>
      <c r="I42" s="268"/>
      <c r="J42" s="287">
        <f t="shared" si="0"/>
        <v>0</v>
      </c>
      <c r="K42" s="553"/>
      <c r="L42" s="287"/>
      <c r="M42" s="553"/>
      <c r="N42" s="287"/>
      <c r="O42" s="553"/>
      <c r="P42" s="287"/>
      <c r="Q42" s="553"/>
      <c r="R42" s="287"/>
      <c r="S42" s="553"/>
      <c r="T42" s="287"/>
      <c r="U42" s="553"/>
      <c r="V42" s="287"/>
      <c r="W42" s="553"/>
      <c r="X42" s="287"/>
      <c r="Y42" s="553"/>
      <c r="Z42" s="287"/>
      <c r="AA42" s="264"/>
      <c r="AB42" s="523"/>
      <c r="AC42" s="531">
        <v>0</v>
      </c>
      <c r="AD42" s="287"/>
      <c r="AE42" s="1757"/>
      <c r="AF42" s="531">
        <v>0</v>
      </c>
      <c r="AG42" s="519"/>
      <c r="AH42" s="264"/>
      <c r="AI42" s="264">
        <f t="shared" si="1"/>
        <v>0</v>
      </c>
      <c r="AJ42" s="264"/>
      <c r="AK42" s="266">
        <f t="shared" ref="AK42:AK48" si="4">ROUND(IF(AF42=0,0,AI42/ABS(AF42)),3)</f>
        <v>0</v>
      </c>
      <c r="AL42" s="1520"/>
    </row>
    <row r="43" spans="1:38" ht="15" customHeight="1">
      <c r="A43" s="35"/>
      <c r="B43" s="350" t="s">
        <v>1379</v>
      </c>
      <c r="C43" s="291"/>
      <c r="D43" s="287">
        <v>0</v>
      </c>
      <c r="E43" s="268"/>
      <c r="F43" s="287">
        <v>0</v>
      </c>
      <c r="G43" s="287"/>
      <c r="H43" s="287">
        <v>0</v>
      </c>
      <c r="I43" s="268"/>
      <c r="J43" s="287">
        <f t="shared" si="0"/>
        <v>0</v>
      </c>
      <c r="K43" s="553"/>
      <c r="L43" s="287"/>
      <c r="M43" s="553"/>
      <c r="N43" s="287"/>
      <c r="O43" s="553"/>
      <c r="P43" s="287"/>
      <c r="Q43" s="553"/>
      <c r="R43" s="287"/>
      <c r="S43" s="553"/>
      <c r="T43" s="287"/>
      <c r="U43" s="553"/>
      <c r="V43" s="287"/>
      <c r="W43" s="553"/>
      <c r="X43" s="287"/>
      <c r="Y43" s="553"/>
      <c r="Z43" s="287"/>
      <c r="AA43" s="264"/>
      <c r="AB43" s="523"/>
      <c r="AC43" s="531">
        <v>0</v>
      </c>
      <c r="AD43" s="287"/>
      <c r="AE43" s="1757"/>
      <c r="AF43" s="531">
        <v>0.3</v>
      </c>
      <c r="AG43" s="519"/>
      <c r="AH43" s="264"/>
      <c r="AI43" s="264">
        <f t="shared" si="1"/>
        <v>-0.3</v>
      </c>
      <c r="AJ43" s="264"/>
      <c r="AK43" s="266">
        <f>ROUND(IF(AF43=0,0,AI43/ABS(AF43)),3)</f>
        <v>-1</v>
      </c>
      <c r="AL43" s="1520"/>
    </row>
    <row r="44" spans="1:38" ht="15" customHeight="1">
      <c r="A44" s="35"/>
      <c r="B44" s="350" t="s">
        <v>1380</v>
      </c>
      <c r="C44" s="291"/>
      <c r="D44" s="287">
        <v>0</v>
      </c>
      <c r="E44" s="268"/>
      <c r="F44" s="287">
        <v>0</v>
      </c>
      <c r="G44" s="287"/>
      <c r="H44" s="287">
        <v>0</v>
      </c>
      <c r="I44" s="268"/>
      <c r="J44" s="287">
        <f t="shared" si="0"/>
        <v>0</v>
      </c>
      <c r="K44" s="553"/>
      <c r="L44" s="287"/>
      <c r="M44" s="553"/>
      <c r="N44" s="287"/>
      <c r="O44" s="553"/>
      <c r="P44" s="287"/>
      <c r="Q44" s="553"/>
      <c r="R44" s="287"/>
      <c r="S44" s="553"/>
      <c r="T44" s="287"/>
      <c r="U44" s="553"/>
      <c r="V44" s="287"/>
      <c r="W44" s="553"/>
      <c r="X44" s="287"/>
      <c r="Y44" s="553"/>
      <c r="Z44" s="287"/>
      <c r="AA44" s="264"/>
      <c r="AB44" s="523"/>
      <c r="AC44" s="531">
        <v>0</v>
      </c>
      <c r="AD44" s="287"/>
      <c r="AE44" s="1757"/>
      <c r="AF44" s="531">
        <v>0</v>
      </c>
      <c r="AG44" s="519"/>
      <c r="AH44" s="264"/>
      <c r="AI44" s="264">
        <f t="shared" si="1"/>
        <v>0</v>
      </c>
      <c r="AJ44" s="264"/>
      <c r="AK44" s="266">
        <f t="shared" si="4"/>
        <v>0</v>
      </c>
      <c r="AL44" s="1520"/>
    </row>
    <row r="45" spans="1:38" ht="15" customHeight="1">
      <c r="A45" s="35"/>
      <c r="B45" s="350" t="s">
        <v>502</v>
      </c>
      <c r="C45" s="291"/>
      <c r="D45" s="287">
        <v>0</v>
      </c>
      <c r="E45" s="268"/>
      <c r="F45" s="287">
        <v>0</v>
      </c>
      <c r="G45" s="287"/>
      <c r="H45" s="287">
        <v>0</v>
      </c>
      <c r="I45" s="268"/>
      <c r="J45" s="287">
        <f t="shared" si="0"/>
        <v>0</v>
      </c>
      <c r="K45" s="553"/>
      <c r="L45" s="287"/>
      <c r="M45" s="553"/>
      <c r="N45" s="287"/>
      <c r="O45" s="553"/>
      <c r="P45" s="287"/>
      <c r="Q45" s="553"/>
      <c r="R45" s="287"/>
      <c r="S45" s="553"/>
      <c r="T45" s="287"/>
      <c r="U45" s="553"/>
      <c r="V45" s="287"/>
      <c r="W45" s="553"/>
      <c r="X45" s="287"/>
      <c r="Y45" s="553"/>
      <c r="Z45" s="287"/>
      <c r="AA45" s="264"/>
      <c r="AB45" s="523"/>
      <c r="AC45" s="531">
        <v>0</v>
      </c>
      <c r="AD45" s="287"/>
      <c r="AE45" s="1757"/>
      <c r="AF45" s="531">
        <v>0</v>
      </c>
      <c r="AG45" s="519"/>
      <c r="AH45" s="264"/>
      <c r="AI45" s="264">
        <f t="shared" si="1"/>
        <v>0</v>
      </c>
      <c r="AJ45" s="264"/>
      <c r="AK45" s="266">
        <f t="shared" si="4"/>
        <v>0</v>
      </c>
      <c r="AL45" s="1520"/>
    </row>
    <row r="46" spans="1:38" ht="15" customHeight="1">
      <c r="A46" s="35"/>
      <c r="B46" s="350" t="s">
        <v>1401</v>
      </c>
      <c r="C46" s="291"/>
      <c r="D46" s="287">
        <v>8.4</v>
      </c>
      <c r="E46" s="268"/>
      <c r="F46" s="287">
        <v>9.7000000000000011</v>
      </c>
      <c r="G46" s="287"/>
      <c r="H46" s="287">
        <v>8.7999999999999954</v>
      </c>
      <c r="I46" s="268"/>
      <c r="J46" s="287">
        <f t="shared" si="0"/>
        <v>9.1</v>
      </c>
      <c r="K46" s="553"/>
      <c r="L46" s="287"/>
      <c r="M46" s="553"/>
      <c r="N46" s="287"/>
      <c r="O46" s="553"/>
      <c r="P46" s="287"/>
      <c r="Q46" s="553"/>
      <c r="R46" s="287"/>
      <c r="S46" s="553"/>
      <c r="T46" s="287"/>
      <c r="U46" s="553"/>
      <c r="V46" s="287"/>
      <c r="W46" s="553"/>
      <c r="X46" s="287"/>
      <c r="Y46" s="553"/>
      <c r="Z46" s="287"/>
      <c r="AA46" s="264"/>
      <c r="AB46" s="523"/>
      <c r="AC46" s="531">
        <v>36</v>
      </c>
      <c r="AD46" s="287"/>
      <c r="AE46" s="1757"/>
      <c r="AF46" s="531">
        <v>37.700000000000003</v>
      </c>
      <c r="AG46" s="519"/>
      <c r="AH46" s="264"/>
      <c r="AI46" s="264">
        <f t="shared" si="1"/>
        <v>-1.7</v>
      </c>
      <c r="AJ46" s="264"/>
      <c r="AK46" s="266">
        <f t="shared" si="4"/>
        <v>-4.4999999999999998E-2</v>
      </c>
      <c r="AL46" s="1520"/>
    </row>
    <row r="47" spans="1:38" ht="15" customHeight="1">
      <c r="A47" s="35"/>
      <c r="B47" s="350" t="s">
        <v>1382</v>
      </c>
      <c r="C47" s="291"/>
      <c r="D47" s="287">
        <v>0</v>
      </c>
      <c r="E47" s="268"/>
      <c r="F47" s="287">
        <v>0</v>
      </c>
      <c r="G47" s="287"/>
      <c r="H47" s="287">
        <v>0</v>
      </c>
      <c r="I47" s="268"/>
      <c r="J47" s="287">
        <f t="shared" si="0"/>
        <v>0</v>
      </c>
      <c r="K47" s="553"/>
      <c r="L47" s="287"/>
      <c r="M47" s="553"/>
      <c r="N47" s="287"/>
      <c r="O47" s="553"/>
      <c r="P47" s="287"/>
      <c r="Q47" s="553"/>
      <c r="R47" s="287"/>
      <c r="S47" s="553"/>
      <c r="T47" s="287"/>
      <c r="U47" s="553"/>
      <c r="V47" s="287"/>
      <c r="W47" s="553"/>
      <c r="X47" s="287"/>
      <c r="Y47" s="553"/>
      <c r="Z47" s="287"/>
      <c r="AA47" s="264"/>
      <c r="AB47" s="523"/>
      <c r="AC47" s="531">
        <v>0</v>
      </c>
      <c r="AD47" s="287"/>
      <c r="AE47" s="1757"/>
      <c r="AF47" s="531">
        <v>0</v>
      </c>
      <c r="AG47" s="519"/>
      <c r="AH47" s="264"/>
      <c r="AI47" s="264">
        <f t="shared" si="1"/>
        <v>0</v>
      </c>
      <c r="AJ47" s="264"/>
      <c r="AK47" s="266">
        <f t="shared" si="4"/>
        <v>0</v>
      </c>
      <c r="AL47" s="1520"/>
    </row>
    <row r="48" spans="1:38" ht="15" customHeight="1">
      <c r="A48" s="35"/>
      <c r="B48" s="350" t="s">
        <v>1409</v>
      </c>
      <c r="C48" s="291"/>
      <c r="D48" s="287">
        <v>0</v>
      </c>
      <c r="E48" s="268"/>
      <c r="F48" s="287">
        <v>0</v>
      </c>
      <c r="G48" s="287"/>
      <c r="H48" s="287">
        <v>0</v>
      </c>
      <c r="I48" s="268"/>
      <c r="J48" s="287">
        <f t="shared" si="0"/>
        <v>0</v>
      </c>
      <c r="K48" s="553"/>
      <c r="L48" s="287"/>
      <c r="M48" s="553"/>
      <c r="N48" s="287"/>
      <c r="O48" s="553"/>
      <c r="P48" s="287"/>
      <c r="Q48" s="553"/>
      <c r="R48" s="287"/>
      <c r="S48" s="553"/>
      <c r="T48" s="287"/>
      <c r="U48" s="553"/>
      <c r="V48" s="287"/>
      <c r="W48" s="553"/>
      <c r="X48" s="287"/>
      <c r="Y48" s="553"/>
      <c r="Z48" s="287"/>
      <c r="AA48" s="264"/>
      <c r="AB48" s="523"/>
      <c r="AC48" s="531">
        <v>0</v>
      </c>
      <c r="AD48" s="287"/>
      <c r="AE48" s="1757"/>
      <c r="AF48" s="531">
        <v>0</v>
      </c>
      <c r="AG48" s="519"/>
      <c r="AH48" s="264"/>
      <c r="AI48" s="264">
        <f t="shared" si="1"/>
        <v>0</v>
      </c>
      <c r="AJ48" s="264"/>
      <c r="AK48" s="266">
        <f t="shared" si="4"/>
        <v>0</v>
      </c>
      <c r="AL48" s="1520"/>
    </row>
    <row r="49" spans="1:38" ht="15" customHeight="1">
      <c r="A49" s="35"/>
      <c r="B49" s="350" t="s">
        <v>505</v>
      </c>
      <c r="C49" s="291"/>
      <c r="D49" s="287">
        <v>0.5</v>
      </c>
      <c r="E49" s="268"/>
      <c r="F49" s="287">
        <v>0</v>
      </c>
      <c r="G49" s="287"/>
      <c r="H49" s="287">
        <v>9.9999999999999978E-2</v>
      </c>
      <c r="I49" s="268"/>
      <c r="J49" s="287">
        <f t="shared" si="0"/>
        <v>0.60000000000000009</v>
      </c>
      <c r="K49" s="553"/>
      <c r="L49" s="287"/>
      <c r="M49" s="553"/>
      <c r="N49" s="287"/>
      <c r="O49" s="553"/>
      <c r="P49" s="287"/>
      <c r="Q49" s="553"/>
      <c r="R49" s="287"/>
      <c r="S49" s="553"/>
      <c r="T49" s="287"/>
      <c r="U49" s="553"/>
      <c r="V49" s="287"/>
      <c r="W49" s="553"/>
      <c r="X49" s="287"/>
      <c r="Y49" s="553"/>
      <c r="Z49" s="287"/>
      <c r="AA49" s="264"/>
      <c r="AB49" s="523"/>
      <c r="AC49" s="531">
        <v>1.2</v>
      </c>
      <c r="AD49" s="264"/>
      <c r="AE49" s="524"/>
      <c r="AF49" s="531">
        <v>1.3</v>
      </c>
      <c r="AG49" s="519"/>
      <c r="AH49" s="264"/>
      <c r="AI49" s="264">
        <f t="shared" si="1"/>
        <v>-0.1</v>
      </c>
      <c r="AJ49" s="264"/>
      <c r="AK49" s="542">
        <f>ROUND(IF(AF49=0,1,AI49/ABS(AF49)),3)</f>
        <v>-7.6999999999999999E-2</v>
      </c>
      <c r="AL49" s="1520"/>
    </row>
    <row r="50" spans="1:38" ht="15" customHeight="1">
      <c r="A50" s="35"/>
      <c r="B50" s="350" t="s">
        <v>424</v>
      </c>
      <c r="C50" s="291"/>
      <c r="D50" s="287">
        <v>0</v>
      </c>
      <c r="E50" s="268"/>
      <c r="F50" s="287">
        <v>0</v>
      </c>
      <c r="G50" s="287"/>
      <c r="H50" s="287">
        <v>0</v>
      </c>
      <c r="I50" s="268"/>
      <c r="J50" s="287">
        <f t="shared" si="0"/>
        <v>0</v>
      </c>
      <c r="K50" s="553"/>
      <c r="L50" s="287"/>
      <c r="M50" s="553"/>
      <c r="N50" s="287"/>
      <c r="O50" s="553"/>
      <c r="P50" s="287"/>
      <c r="Q50" s="553"/>
      <c r="R50" s="287"/>
      <c r="S50" s="553"/>
      <c r="T50" s="287"/>
      <c r="U50" s="553"/>
      <c r="V50" s="287"/>
      <c r="W50" s="553"/>
      <c r="X50" s="287"/>
      <c r="Y50" s="553"/>
      <c r="Z50" s="287"/>
      <c r="AA50" s="264"/>
      <c r="AB50" s="523"/>
      <c r="AC50" s="531">
        <v>0</v>
      </c>
      <c r="AD50" s="264"/>
      <c r="AE50" s="524"/>
      <c r="AF50" s="531">
        <v>0</v>
      </c>
      <c r="AG50" s="519"/>
      <c r="AH50" s="264"/>
      <c r="AI50" s="264">
        <f t="shared" si="1"/>
        <v>0</v>
      </c>
      <c r="AJ50" s="264"/>
      <c r="AK50" s="266">
        <f>ROUND(IF(AF50=0,0,AI50/ABS(AF50)),3)</f>
        <v>0</v>
      </c>
      <c r="AL50" s="1520"/>
    </row>
    <row r="51" spans="1:38" ht="15" customHeight="1">
      <c r="A51" s="35"/>
      <c r="B51" s="350" t="s">
        <v>425</v>
      </c>
      <c r="C51" s="291"/>
      <c r="D51" s="287">
        <v>0</v>
      </c>
      <c r="E51" s="268"/>
      <c r="F51" s="287">
        <v>0</v>
      </c>
      <c r="G51" s="287"/>
      <c r="H51" s="287">
        <v>0</v>
      </c>
      <c r="I51" s="268"/>
      <c r="J51" s="287">
        <f t="shared" si="0"/>
        <v>0</v>
      </c>
      <c r="K51" s="553"/>
      <c r="L51" s="287"/>
      <c r="M51" s="553"/>
      <c r="N51" s="287"/>
      <c r="O51" s="553"/>
      <c r="P51" s="287"/>
      <c r="Q51" s="553"/>
      <c r="R51" s="287"/>
      <c r="S51" s="553"/>
      <c r="T51" s="287"/>
      <c r="U51" s="553"/>
      <c r="V51" s="287"/>
      <c r="W51" s="553"/>
      <c r="X51" s="287"/>
      <c r="Y51" s="553"/>
      <c r="Z51" s="287"/>
      <c r="AA51" s="264"/>
      <c r="AB51" s="523"/>
      <c r="AC51" s="531">
        <v>0</v>
      </c>
      <c r="AD51" s="287"/>
      <c r="AE51" s="1757"/>
      <c r="AF51" s="531">
        <v>0</v>
      </c>
      <c r="AG51" s="519"/>
      <c r="AH51" s="264"/>
      <c r="AI51" s="264">
        <f t="shared" si="1"/>
        <v>0</v>
      </c>
      <c r="AJ51" s="264"/>
      <c r="AK51" s="266">
        <f>ROUND(IF(AF51=0,0,AI51/ABS(AF51)),3)</f>
        <v>0</v>
      </c>
      <c r="AL51" s="1520"/>
    </row>
    <row r="52" spans="1:38" ht="15" customHeight="1">
      <c r="A52" s="35"/>
      <c r="B52" s="83" t="s">
        <v>526</v>
      </c>
      <c r="C52" s="291"/>
      <c r="D52" s="419">
        <f>ROUND(SUM(D19:D51),1)</f>
        <v>52</v>
      </c>
      <c r="E52" s="268"/>
      <c r="F52" s="419">
        <f>ROUND(SUM(F19:F51),1)</f>
        <v>95.9</v>
      </c>
      <c r="G52" s="268"/>
      <c r="H52" s="419">
        <f>ROUND(SUM(H19:H51),1)</f>
        <v>42.3</v>
      </c>
      <c r="I52" s="268"/>
      <c r="J52" s="419">
        <f>ROUND(SUM(J19:J51),1)</f>
        <v>50.2</v>
      </c>
      <c r="K52" s="268"/>
      <c r="L52" s="419">
        <f>ROUND(SUM(L19:L51),1)</f>
        <v>0</v>
      </c>
      <c r="M52" s="268"/>
      <c r="N52" s="419">
        <f>ROUND(SUM(N19:N51),1)</f>
        <v>0</v>
      </c>
      <c r="O52" s="268"/>
      <c r="P52" s="419">
        <f>ROUND(SUM(P19:P51),1)</f>
        <v>0</v>
      </c>
      <c r="Q52" s="268"/>
      <c r="R52" s="419">
        <f>ROUND(SUM(R19:R51),1)</f>
        <v>0</v>
      </c>
      <c r="S52" s="18"/>
      <c r="T52" s="419">
        <f>ROUND(SUM(T19:T51),1)</f>
        <v>0</v>
      </c>
      <c r="U52" s="268"/>
      <c r="V52" s="419">
        <f>ROUND(SUM(V19:V51),1)</f>
        <v>0</v>
      </c>
      <c r="W52" s="264"/>
      <c r="X52" s="419">
        <f>ROUND(SUM(X19:X51),1)</f>
        <v>0</v>
      </c>
      <c r="Y52" s="264"/>
      <c r="Z52" s="419">
        <f>ROUND(SUM(Z19:Z51),1)</f>
        <v>0</v>
      </c>
      <c r="AA52" s="268"/>
      <c r="AB52" s="666"/>
      <c r="AC52" s="419">
        <f>ROUND(SUM(AC19:AC51),1)</f>
        <v>240.4</v>
      </c>
      <c r="AD52" s="264"/>
      <c r="AE52" s="524"/>
      <c r="AF52" s="419">
        <f>ROUND(SUM(AF19:AF51),1)</f>
        <v>244</v>
      </c>
      <c r="AG52" s="519"/>
      <c r="AH52" s="264"/>
      <c r="AI52" s="419">
        <f>ROUND(SUM(AI19:AI51),1)</f>
        <v>-3.6</v>
      </c>
      <c r="AJ52" s="264"/>
      <c r="AK52" s="1044">
        <f>ROUND(SUM((AC52-AF52)/ABS(AF52)),3)</f>
        <v>-1.4999999999999999E-2</v>
      </c>
      <c r="AL52" s="1520"/>
    </row>
    <row r="53" spans="1:38" ht="15" customHeight="1">
      <c r="A53" s="35"/>
      <c r="B53" s="350"/>
      <c r="C53" s="291"/>
      <c r="D53" s="287"/>
      <c r="E53" s="268"/>
      <c r="F53" s="275"/>
      <c r="G53" s="268"/>
      <c r="H53" s="264"/>
      <c r="I53" s="268"/>
      <c r="J53" s="264"/>
      <c r="K53" s="268"/>
      <c r="L53" s="264"/>
      <c r="M53" s="268"/>
      <c r="N53" s="264"/>
      <c r="O53" s="268"/>
      <c r="P53" s="58"/>
      <c r="Q53" s="268"/>
      <c r="R53" s="383"/>
      <c r="S53" s="268"/>
      <c r="T53" s="275"/>
      <c r="U53" s="268"/>
      <c r="V53" s="287"/>
      <c r="W53" s="264"/>
      <c r="X53" s="287"/>
      <c r="Y53" s="264"/>
      <c r="Z53" s="287"/>
      <c r="AA53" s="268"/>
      <c r="AB53" s="666"/>
      <c r="AC53" s="264"/>
      <c r="AD53" s="264"/>
      <c r="AE53" s="524"/>
      <c r="AF53" s="264"/>
      <c r="AG53" s="519"/>
      <c r="AH53" s="264"/>
      <c r="AI53" s="264"/>
      <c r="AJ53" s="264"/>
      <c r="AK53" s="283"/>
      <c r="AL53" s="1520"/>
    </row>
    <row r="54" spans="1:38" ht="15" customHeight="1">
      <c r="A54" s="35"/>
      <c r="B54" s="1031" t="s">
        <v>507</v>
      </c>
      <c r="C54" s="291"/>
      <c r="D54" s="287">
        <v>8995.2000000000007</v>
      </c>
      <c r="E54" s="268"/>
      <c r="F54" s="287">
        <v>7002.0999999999985</v>
      </c>
      <c r="G54" s="287"/>
      <c r="H54" s="287">
        <v>13528.3</v>
      </c>
      <c r="I54" s="268"/>
      <c r="J54" s="287">
        <f>$AC54-H54-F54-D54</f>
        <v>8640.5</v>
      </c>
      <c r="K54" s="553"/>
      <c r="L54" s="287"/>
      <c r="M54" s="553"/>
      <c r="N54" s="287"/>
      <c r="O54" s="553"/>
      <c r="P54" s="287"/>
      <c r="Q54" s="553"/>
      <c r="R54" s="287"/>
      <c r="S54" s="553"/>
      <c r="T54" s="287"/>
      <c r="U54" s="553"/>
      <c r="V54" s="287"/>
      <c r="W54" s="553"/>
      <c r="X54" s="287"/>
      <c r="Y54" s="553"/>
      <c r="Z54" s="287"/>
      <c r="AA54" s="264"/>
      <c r="AB54" s="523"/>
      <c r="AC54" s="531">
        <v>38166.1</v>
      </c>
      <c r="AD54" s="287"/>
      <c r="AE54" s="1757"/>
      <c r="AF54" s="531">
        <v>33196.5</v>
      </c>
      <c r="AG54" s="519"/>
      <c r="AH54" s="264"/>
      <c r="AI54" s="264">
        <f>ROUND(SUM(+AC54-AF54),1)</f>
        <v>4969.6000000000004</v>
      </c>
      <c r="AJ54" s="264"/>
      <c r="AK54" s="534">
        <f>ROUND(SUM((AC54-AF54)/ABS(AF54)),3)</f>
        <v>0.15</v>
      </c>
      <c r="AL54" s="1520"/>
    </row>
    <row r="55" spans="1:38" ht="15" customHeight="1">
      <c r="A55" s="35"/>
      <c r="B55" s="291"/>
      <c r="C55" s="291"/>
      <c r="D55" s="1025"/>
      <c r="E55" s="268"/>
      <c r="F55" s="1025"/>
      <c r="G55" s="268"/>
      <c r="H55" s="1025"/>
      <c r="I55" s="268"/>
      <c r="J55" s="1025"/>
      <c r="K55" s="268"/>
      <c r="L55" s="1025"/>
      <c r="M55" s="268"/>
      <c r="N55" s="1025"/>
      <c r="O55" s="268"/>
      <c r="P55" s="1025"/>
      <c r="Q55" s="268"/>
      <c r="R55" s="1025"/>
      <c r="S55" s="268"/>
      <c r="T55" s="615"/>
      <c r="U55" s="268"/>
      <c r="V55" s="615"/>
      <c r="W55" s="264"/>
      <c r="X55" s="615"/>
      <c r="Y55" s="264"/>
      <c r="Z55" s="615"/>
      <c r="AA55" s="268"/>
      <c r="AB55" s="666"/>
      <c r="AC55" s="615"/>
      <c r="AD55" s="264"/>
      <c r="AE55" s="524"/>
      <c r="AF55" s="615"/>
      <c r="AG55" s="519"/>
      <c r="AH55" s="264"/>
      <c r="AI55" s="1045"/>
      <c r="AJ55" s="530"/>
      <c r="AK55" s="535"/>
      <c r="AL55" s="1520"/>
    </row>
    <row r="56" spans="1:38" ht="15" customHeight="1">
      <c r="A56" s="35"/>
      <c r="B56" s="3" t="s">
        <v>427</v>
      </c>
      <c r="C56" s="291"/>
      <c r="D56" s="13">
        <f>ROUND(SUM(+D52+D54),2)</f>
        <v>9047.2000000000007</v>
      </c>
      <c r="E56" s="40"/>
      <c r="F56" s="13">
        <f>ROUND(SUM(+F52+F54),2)</f>
        <v>7098</v>
      </c>
      <c r="G56" s="40"/>
      <c r="H56" s="13">
        <f>ROUND(SUM(+H52+H54),2)</f>
        <v>13570.6</v>
      </c>
      <c r="I56" s="40"/>
      <c r="J56" s="13">
        <f>ROUND(SUM(+J52+J54),2)</f>
        <v>8690.7000000000007</v>
      </c>
      <c r="K56" s="40"/>
      <c r="L56" s="13">
        <f>ROUND(SUM(+L52+L54),2)</f>
        <v>0</v>
      </c>
      <c r="M56" s="40"/>
      <c r="N56" s="13">
        <f>ROUND(SUM(+N52+N54),2)</f>
        <v>0</v>
      </c>
      <c r="O56" s="40"/>
      <c r="P56" s="13">
        <f>ROUND(SUM(+P52+P54),2)</f>
        <v>0</v>
      </c>
      <c r="Q56" s="40"/>
      <c r="R56" s="13">
        <f>ROUND(SUM(+R52+R54),2)</f>
        <v>0</v>
      </c>
      <c r="S56" s="13"/>
      <c r="T56" s="13">
        <f>ROUND(SUM(+T52+T54),2)</f>
        <v>0</v>
      </c>
      <c r="U56" s="40"/>
      <c r="V56" s="13">
        <f>ROUND(SUM(+V52+V54),2)</f>
        <v>0</v>
      </c>
      <c r="W56" s="13"/>
      <c r="X56" s="13">
        <f>ROUND(SUM(+X52+X54),2)</f>
        <v>0</v>
      </c>
      <c r="Y56" s="13"/>
      <c r="Z56" s="13">
        <f>ROUND(SUM(+Z52+Z54),2)</f>
        <v>0</v>
      </c>
      <c r="AA56" s="40"/>
      <c r="AB56" s="667"/>
      <c r="AC56" s="13">
        <f>ROUND(SUM(+AC52+AC54),2)</f>
        <v>38406.5</v>
      </c>
      <c r="AD56" s="13"/>
      <c r="AE56" s="668"/>
      <c r="AF56" s="13">
        <f>ROUND(SUM(+AF52+AF54),2)</f>
        <v>33440.5</v>
      </c>
      <c r="AG56" s="75"/>
      <c r="AH56" s="13"/>
      <c r="AI56" s="357">
        <f>ROUND(SUM(+AI52+AI54),1)</f>
        <v>4966</v>
      </c>
      <c r="AJ56" s="76"/>
      <c r="AK56" s="536">
        <f>ROUND(SUM((AC56-AF56)/ABS(AF56)),3)</f>
        <v>0.14899999999999999</v>
      </c>
      <c r="AL56" s="1520"/>
    </row>
    <row r="57" spans="1:38" ht="15" customHeight="1">
      <c r="A57" s="35"/>
      <c r="B57" s="291"/>
      <c r="C57" s="291"/>
      <c r="D57" s="1025"/>
      <c r="E57" s="268"/>
      <c r="F57" s="615"/>
      <c r="G57" s="268"/>
      <c r="H57" s="615"/>
      <c r="I57" s="268"/>
      <c r="J57" s="615"/>
      <c r="K57" s="268"/>
      <c r="L57" s="615"/>
      <c r="M57" s="268"/>
      <c r="N57" s="615"/>
      <c r="O57" s="268"/>
      <c r="P57" s="615"/>
      <c r="Q57" s="268"/>
      <c r="R57" s="615"/>
      <c r="S57" s="268"/>
      <c r="T57" s="615"/>
      <c r="U57" s="268"/>
      <c r="V57" s="615"/>
      <c r="W57" s="264"/>
      <c r="X57" s="615"/>
      <c r="Y57" s="264"/>
      <c r="Z57" s="615"/>
      <c r="AA57" s="268"/>
      <c r="AB57" s="666"/>
      <c r="AC57" s="1025"/>
      <c r="AD57" s="268"/>
      <c r="AE57" s="1043"/>
      <c r="AF57" s="1025"/>
      <c r="AG57" s="1223"/>
      <c r="AH57" s="364"/>
      <c r="AI57" s="530"/>
      <c r="AJ57" s="530"/>
      <c r="AK57" s="535"/>
      <c r="AL57" s="1520"/>
    </row>
    <row r="58" spans="1:38" ht="15" customHeight="1">
      <c r="A58" s="35"/>
      <c r="B58" s="1211" t="s">
        <v>122</v>
      </c>
      <c r="C58" s="291"/>
      <c r="D58" s="268"/>
      <c r="E58" s="268"/>
      <c r="F58" s="264"/>
      <c r="G58" s="268"/>
      <c r="H58" s="264"/>
      <c r="I58" s="268"/>
      <c r="J58" s="264"/>
      <c r="K58" s="268"/>
      <c r="L58" s="264"/>
      <c r="M58" s="268"/>
      <c r="N58" s="264"/>
      <c r="O58" s="268"/>
      <c r="P58" s="264"/>
      <c r="Q58" s="268"/>
      <c r="R58" s="264"/>
      <c r="S58" s="268"/>
      <c r="T58" s="264"/>
      <c r="U58" s="268"/>
      <c r="V58" s="264"/>
      <c r="W58" s="264"/>
      <c r="X58" s="264"/>
      <c r="Y58" s="264"/>
      <c r="Z58" s="264"/>
      <c r="AA58" s="268"/>
      <c r="AB58" s="666"/>
      <c r="AC58" s="268"/>
      <c r="AD58" s="268"/>
      <c r="AE58" s="1043"/>
      <c r="AF58" s="268"/>
      <c r="AG58" s="1223"/>
      <c r="AH58" s="364"/>
      <c r="AI58" s="530"/>
      <c r="AJ58" s="530"/>
      <c r="AK58" s="535"/>
      <c r="AL58" s="1520"/>
    </row>
    <row r="59" spans="1:38" ht="15" customHeight="1">
      <c r="A59" s="35"/>
      <c r="B59" s="291" t="s">
        <v>451</v>
      </c>
      <c r="C59" s="291"/>
      <c r="D59" s="287"/>
      <c r="E59" s="268"/>
      <c r="F59" s="287"/>
      <c r="G59" s="268"/>
      <c r="H59" s="287"/>
      <c r="I59" s="268"/>
      <c r="J59" s="287"/>
      <c r="K59" s="268"/>
      <c r="L59" s="287"/>
      <c r="M59" s="268"/>
      <c r="N59" s="287"/>
      <c r="O59" s="268"/>
      <c r="P59" s="1268"/>
      <c r="Q59" s="268"/>
      <c r="R59" s="287"/>
      <c r="S59" s="268"/>
      <c r="T59" s="287"/>
      <c r="U59" s="268"/>
      <c r="V59" s="264"/>
      <c r="W59" s="264"/>
      <c r="X59" s="264"/>
      <c r="Y59" s="264"/>
      <c r="Z59" s="264"/>
      <c r="AA59" s="268"/>
      <c r="AB59" s="666"/>
      <c r="AC59" s="268"/>
      <c r="AD59" s="268"/>
      <c r="AE59" s="1043"/>
      <c r="AF59" s="268"/>
      <c r="AG59" s="1223"/>
      <c r="AH59" s="364"/>
      <c r="AI59" s="383"/>
      <c r="AJ59" s="530"/>
      <c r="AK59" s="535"/>
      <c r="AL59" s="1520"/>
    </row>
    <row r="60" spans="1:38" s="1113" customFormat="1" ht="15" customHeight="1">
      <c r="A60" s="1110"/>
      <c r="B60" s="1220" t="s">
        <v>124</v>
      </c>
      <c r="C60" s="1196"/>
      <c r="D60" s="287">
        <v>488.3</v>
      </c>
      <c r="E60" s="1221"/>
      <c r="F60" s="287">
        <v>356.49999999999994</v>
      </c>
      <c r="G60" s="1190"/>
      <c r="H60" s="287">
        <v>772.8</v>
      </c>
      <c r="I60" s="1126"/>
      <c r="J60" s="287">
        <f>$AC60-H60-F60-D60</f>
        <v>428.7</v>
      </c>
      <c r="K60" s="1111"/>
      <c r="L60" s="287"/>
      <c r="M60" s="1111"/>
      <c r="N60" s="287"/>
      <c r="O60" s="1119"/>
      <c r="P60" s="287"/>
      <c r="Q60" s="1111"/>
      <c r="R60" s="287"/>
      <c r="S60" s="1111"/>
      <c r="T60" s="287"/>
      <c r="U60" s="1111"/>
      <c r="V60" s="287"/>
      <c r="W60" s="1111"/>
      <c r="X60" s="287"/>
      <c r="Y60" s="1111"/>
      <c r="Z60" s="287"/>
      <c r="AA60" s="610"/>
      <c r="AB60" s="1118"/>
      <c r="AC60" s="531">
        <v>2046.3</v>
      </c>
      <c r="AD60" s="287"/>
      <c r="AE60" s="1757"/>
      <c r="AF60" s="531">
        <v>1731.9</v>
      </c>
      <c r="AG60" s="1206"/>
      <c r="AH60" s="1188"/>
      <c r="AI60" s="1188">
        <f>ROUND(SUM(+AC60-AF60),1)</f>
        <v>314.39999999999998</v>
      </c>
      <c r="AJ60" s="1188"/>
      <c r="AK60" s="1186">
        <f>ROUND(IF(AF60=0,0,AI60/ABS(AF60)),3)</f>
        <v>0.182</v>
      </c>
      <c r="AL60" s="1520"/>
    </row>
    <row r="61" spans="1:38" ht="15" customHeight="1">
      <c r="A61" s="35"/>
      <c r="B61" s="384" t="s">
        <v>125</v>
      </c>
      <c r="C61" s="291"/>
      <c r="D61" s="287">
        <v>0.1</v>
      </c>
      <c r="E61" s="268"/>
      <c r="F61" s="287">
        <v>0.1</v>
      </c>
      <c r="G61" s="287"/>
      <c r="H61" s="287">
        <v>0</v>
      </c>
      <c r="I61" s="268"/>
      <c r="J61" s="287">
        <f t="shared" ref="J61:J69" si="5">$AC61-H61-F61-D61</f>
        <v>0.4</v>
      </c>
      <c r="K61" s="553"/>
      <c r="L61" s="287"/>
      <c r="M61" s="553"/>
      <c r="N61" s="287"/>
      <c r="O61" s="553"/>
      <c r="P61" s="287"/>
      <c r="Q61" s="553"/>
      <c r="R61" s="287"/>
      <c r="S61" s="553"/>
      <c r="T61" s="287"/>
      <c r="U61" s="553"/>
      <c r="V61" s="287"/>
      <c r="W61" s="553"/>
      <c r="X61" s="287"/>
      <c r="Y61" s="553"/>
      <c r="Z61" s="287"/>
      <c r="AA61" s="264"/>
      <c r="AB61" s="523"/>
      <c r="AC61" s="531">
        <v>0.6</v>
      </c>
      <c r="AD61" s="287"/>
      <c r="AE61" s="1757"/>
      <c r="AF61" s="531">
        <v>0.3</v>
      </c>
      <c r="AG61" s="519"/>
      <c r="AH61" s="264"/>
      <c r="AI61" s="264">
        <f>ROUND(SUM(+AC61-AF61),1)</f>
        <v>0.3</v>
      </c>
      <c r="AJ61" s="264"/>
      <c r="AK61" s="607">
        <f>ROUND(IF(AF61=0,1,AI61/ABS(AF61)),3)</f>
        <v>1</v>
      </c>
      <c r="AL61" s="1520"/>
    </row>
    <row r="62" spans="1:38" ht="15" customHeight="1">
      <c r="A62" s="35"/>
      <c r="B62" s="384" t="s">
        <v>126</v>
      </c>
      <c r="C62" s="291"/>
      <c r="D62" s="287">
        <v>3.4</v>
      </c>
      <c r="E62" s="268"/>
      <c r="F62" s="287">
        <v>3.5000000000000004</v>
      </c>
      <c r="G62" s="287"/>
      <c r="H62" s="287">
        <v>1.5000000000000004</v>
      </c>
      <c r="I62" s="268"/>
      <c r="J62" s="287">
        <f t="shared" si="5"/>
        <v>1.6999999999999997</v>
      </c>
      <c r="K62" s="553"/>
      <c r="L62" s="287"/>
      <c r="M62" s="553"/>
      <c r="N62" s="287"/>
      <c r="O62" s="553"/>
      <c r="P62" s="287"/>
      <c r="Q62" s="553"/>
      <c r="R62" s="287"/>
      <c r="S62" s="553"/>
      <c r="T62" s="287"/>
      <c r="U62" s="553"/>
      <c r="V62" s="287"/>
      <c r="W62" s="553"/>
      <c r="X62" s="287"/>
      <c r="Y62" s="553"/>
      <c r="Z62" s="287"/>
      <c r="AA62" s="264"/>
      <c r="AB62" s="523"/>
      <c r="AC62" s="531">
        <v>10.1</v>
      </c>
      <c r="AD62" s="287"/>
      <c r="AE62" s="1757"/>
      <c r="AF62" s="531">
        <v>9.5</v>
      </c>
      <c r="AG62" s="519"/>
      <c r="AH62" s="264"/>
      <c r="AI62" s="264">
        <f>ROUND(SUM(+AC62-AF62),1)</f>
        <v>0.6</v>
      </c>
      <c r="AJ62" s="264"/>
      <c r="AK62" s="266">
        <f>ROUND(IF(AF62=0,0,AI62/ABS(AF62)),3)</f>
        <v>6.3E-2</v>
      </c>
      <c r="AL62" s="1520"/>
    </row>
    <row r="63" spans="1:38" ht="15" customHeight="1">
      <c r="A63" s="35"/>
      <c r="B63" s="384" t="s">
        <v>127</v>
      </c>
      <c r="C63" s="291"/>
      <c r="D63" s="287"/>
      <c r="E63" s="268"/>
      <c r="F63" s="287"/>
      <c r="G63" s="287"/>
      <c r="H63" s="287"/>
      <c r="I63" s="268"/>
      <c r="J63" s="287"/>
      <c r="K63" s="553"/>
      <c r="L63" s="287"/>
      <c r="M63" s="553"/>
      <c r="N63" s="287"/>
      <c r="O63" s="553"/>
      <c r="P63" s="287"/>
      <c r="Q63" s="553"/>
      <c r="R63" s="287"/>
      <c r="S63" s="553"/>
      <c r="T63" s="287"/>
      <c r="U63" s="553"/>
      <c r="V63" s="287"/>
      <c r="W63" s="553"/>
      <c r="X63" s="287"/>
      <c r="Y63" s="553"/>
      <c r="Z63" s="287"/>
      <c r="AA63" s="264"/>
      <c r="AB63" s="523"/>
      <c r="AC63" s="512"/>
      <c r="AD63" s="287"/>
      <c r="AE63" s="1757"/>
      <c r="AF63" s="512"/>
      <c r="AG63" s="519"/>
      <c r="AH63" s="264"/>
      <c r="AI63" s="287"/>
      <c r="AJ63" s="383"/>
      <c r="AK63" s="535"/>
      <c r="AL63" s="1520"/>
    </row>
    <row r="64" spans="1:38" ht="15" customHeight="1">
      <c r="A64" s="35"/>
      <c r="B64" s="1023" t="s">
        <v>128</v>
      </c>
      <c r="C64" s="291"/>
      <c r="D64" s="287">
        <v>4947.7</v>
      </c>
      <c r="E64" s="268"/>
      <c r="F64" s="287">
        <v>4670.0999999999995</v>
      </c>
      <c r="G64" s="287"/>
      <c r="H64" s="287">
        <v>4787.7000000000016</v>
      </c>
      <c r="I64" s="268"/>
      <c r="J64" s="287">
        <f t="shared" si="5"/>
        <v>5524.2000000000016</v>
      </c>
      <c r="K64" s="553"/>
      <c r="L64" s="287"/>
      <c r="M64" s="553"/>
      <c r="N64" s="287"/>
      <c r="O64" s="553"/>
      <c r="P64" s="287"/>
      <c r="Q64" s="553"/>
      <c r="R64" s="287"/>
      <c r="S64" s="553"/>
      <c r="T64" s="287"/>
      <c r="U64" s="553"/>
      <c r="V64" s="287"/>
      <c r="W64" s="553"/>
      <c r="X64" s="287"/>
      <c r="Y64" s="553"/>
      <c r="Z64" s="287"/>
      <c r="AA64" s="264"/>
      <c r="AB64" s="523"/>
      <c r="AC64" s="531">
        <v>19929.7</v>
      </c>
      <c r="AD64" s="287"/>
      <c r="AE64" s="1757"/>
      <c r="AF64" s="531">
        <v>18955.599999999999</v>
      </c>
      <c r="AG64" s="519"/>
      <c r="AH64" s="264"/>
      <c r="AI64" s="264">
        <f t="shared" ref="AI64:AI69" si="6">ROUND(SUM(+AC64-AF64),1)</f>
        <v>974.1</v>
      </c>
      <c r="AJ64" s="264"/>
      <c r="AK64" s="266">
        <f t="shared" ref="AK64:AK69" si="7">ROUND(IF(AF64=0,0,AI64/ABS(AF64)),3)</f>
        <v>5.0999999999999997E-2</v>
      </c>
      <c r="AL64" s="1520"/>
    </row>
    <row r="65" spans="1:38" ht="15" customHeight="1">
      <c r="A65" s="35"/>
      <c r="B65" s="384" t="s">
        <v>129</v>
      </c>
      <c r="C65" s="291"/>
      <c r="D65" s="287">
        <v>1305.7</v>
      </c>
      <c r="E65" s="268"/>
      <c r="F65" s="287">
        <v>1314.4999999999998</v>
      </c>
      <c r="G65" s="287"/>
      <c r="H65" s="287">
        <v>1574.4000000000003</v>
      </c>
      <c r="I65" s="268"/>
      <c r="J65" s="287">
        <f t="shared" si="5"/>
        <v>1097.8999999999994</v>
      </c>
      <c r="K65" s="553"/>
      <c r="L65" s="287"/>
      <c r="M65" s="553"/>
      <c r="N65" s="287"/>
      <c r="O65" s="553"/>
      <c r="P65" s="287"/>
      <c r="Q65" s="553"/>
      <c r="R65" s="287"/>
      <c r="S65" s="553"/>
      <c r="T65" s="287"/>
      <c r="U65" s="553"/>
      <c r="V65" s="287"/>
      <c r="W65" s="553"/>
      <c r="X65" s="287"/>
      <c r="Y65" s="553"/>
      <c r="Z65" s="287"/>
      <c r="AA65" s="264"/>
      <c r="AB65" s="523"/>
      <c r="AC65" s="531">
        <v>5292.5</v>
      </c>
      <c r="AD65" s="287"/>
      <c r="AE65" s="1757"/>
      <c r="AF65" s="531">
        <v>5719.4</v>
      </c>
      <c r="AG65" s="519"/>
      <c r="AH65" s="264"/>
      <c r="AI65" s="264">
        <f t="shared" si="6"/>
        <v>-426.9</v>
      </c>
      <c r="AJ65" s="264"/>
      <c r="AK65" s="266">
        <f t="shared" si="7"/>
        <v>-7.4999999999999997E-2</v>
      </c>
      <c r="AL65" s="1520"/>
    </row>
    <row r="66" spans="1:38" ht="15" customHeight="1">
      <c r="A66" s="35"/>
      <c r="B66" s="384" t="s">
        <v>130</v>
      </c>
      <c r="C66" s="291"/>
      <c r="D66" s="287">
        <v>336.5</v>
      </c>
      <c r="E66" s="268"/>
      <c r="F66" s="287">
        <v>956</v>
      </c>
      <c r="G66" s="287"/>
      <c r="H66" s="287">
        <v>472.29999999999995</v>
      </c>
      <c r="I66" s="268"/>
      <c r="J66" s="287">
        <f t="shared" si="5"/>
        <v>370.29999999999995</v>
      </c>
      <c r="K66" s="553"/>
      <c r="L66" s="287"/>
      <c r="M66" s="553"/>
      <c r="N66" s="287"/>
      <c r="O66" s="553"/>
      <c r="P66" s="287"/>
      <c r="Q66" s="553"/>
      <c r="R66" s="287"/>
      <c r="S66" s="553"/>
      <c r="T66" s="287"/>
      <c r="U66" s="553"/>
      <c r="V66" s="287"/>
      <c r="W66" s="553"/>
      <c r="X66" s="287"/>
      <c r="Y66" s="553"/>
      <c r="Z66" s="287"/>
      <c r="AA66" s="264"/>
      <c r="AB66" s="523"/>
      <c r="AC66" s="531">
        <v>2135.1</v>
      </c>
      <c r="AD66" s="287"/>
      <c r="AE66" s="1757"/>
      <c r="AF66" s="531">
        <v>1595.3</v>
      </c>
      <c r="AG66" s="519"/>
      <c r="AH66" s="264"/>
      <c r="AI66" s="264">
        <f t="shared" si="6"/>
        <v>539.79999999999995</v>
      </c>
      <c r="AJ66" s="264"/>
      <c r="AK66" s="542">
        <f t="shared" si="7"/>
        <v>0.33800000000000002</v>
      </c>
      <c r="AL66" s="1520"/>
    </row>
    <row r="67" spans="1:38" ht="15" customHeight="1">
      <c r="A67" s="35"/>
      <c r="B67" s="384" t="s">
        <v>131</v>
      </c>
      <c r="C67" s="291"/>
      <c r="D67" s="287">
        <v>397.1</v>
      </c>
      <c r="E67" s="268"/>
      <c r="F67" s="287">
        <v>431.29999999999995</v>
      </c>
      <c r="G67" s="287"/>
      <c r="H67" s="287">
        <v>894.19999999999993</v>
      </c>
      <c r="I67" s="268"/>
      <c r="J67" s="287">
        <f t="shared" si="5"/>
        <v>492.00000000000011</v>
      </c>
      <c r="K67" s="553"/>
      <c r="L67" s="287"/>
      <c r="M67" s="553"/>
      <c r="N67" s="287"/>
      <c r="O67" s="553"/>
      <c r="P67" s="287"/>
      <c r="Q67" s="553"/>
      <c r="R67" s="287"/>
      <c r="S67" s="553"/>
      <c r="T67" s="287"/>
      <c r="U67" s="553"/>
      <c r="V67" s="287"/>
      <c r="W67" s="553"/>
      <c r="X67" s="287"/>
      <c r="Y67" s="553"/>
      <c r="Z67" s="287"/>
      <c r="AA67" s="264"/>
      <c r="AB67" s="523"/>
      <c r="AC67" s="531">
        <v>2214.6</v>
      </c>
      <c r="AD67" s="287"/>
      <c r="AE67" s="1757"/>
      <c r="AF67" s="531">
        <v>2310.8000000000002</v>
      </c>
      <c r="AG67" s="519"/>
      <c r="AH67" s="264"/>
      <c r="AI67" s="264">
        <f t="shared" si="6"/>
        <v>-96.2</v>
      </c>
      <c r="AJ67" s="264"/>
      <c r="AK67" s="266">
        <f t="shared" si="7"/>
        <v>-4.2000000000000003E-2</v>
      </c>
      <c r="AL67" s="1520"/>
    </row>
    <row r="68" spans="1:38" ht="15" customHeight="1">
      <c r="A68" s="35"/>
      <c r="B68" s="384" t="s">
        <v>132</v>
      </c>
      <c r="C68" s="291"/>
      <c r="D68" s="287">
        <v>0</v>
      </c>
      <c r="E68" s="268"/>
      <c r="F68" s="287">
        <v>0</v>
      </c>
      <c r="G68" s="287"/>
      <c r="H68" s="287">
        <v>0</v>
      </c>
      <c r="I68" s="268"/>
      <c r="J68" s="287">
        <f t="shared" si="5"/>
        <v>0</v>
      </c>
      <c r="K68" s="553"/>
      <c r="L68" s="287"/>
      <c r="M68" s="553"/>
      <c r="N68" s="287"/>
      <c r="O68" s="553"/>
      <c r="P68" s="287"/>
      <c r="Q68" s="553"/>
      <c r="R68" s="287"/>
      <c r="S68" s="553"/>
      <c r="T68" s="287"/>
      <c r="U68" s="553"/>
      <c r="V68" s="287"/>
      <c r="W68" s="553"/>
      <c r="X68" s="287"/>
      <c r="Y68" s="553"/>
      <c r="Z68" s="287"/>
      <c r="AA68" s="264"/>
      <c r="AB68" s="523"/>
      <c r="AC68" s="531">
        <v>0</v>
      </c>
      <c r="AD68" s="287"/>
      <c r="AE68" s="1757"/>
      <c r="AF68" s="531">
        <v>176.4</v>
      </c>
      <c r="AG68" s="519"/>
      <c r="AH68" s="264"/>
      <c r="AI68" s="264">
        <f t="shared" si="6"/>
        <v>-176.4</v>
      </c>
      <c r="AJ68" s="264"/>
      <c r="AK68" s="930">
        <f>ROUND(IF(AF68=0,1,AI68/ABS(AF68)),3)</f>
        <v>-1</v>
      </c>
      <c r="AL68" s="1520"/>
    </row>
    <row r="69" spans="1:38" ht="15" customHeight="1">
      <c r="A69" s="35"/>
      <c r="B69" s="384" t="s">
        <v>133</v>
      </c>
      <c r="C69" s="291"/>
      <c r="D69" s="287">
        <v>4.5</v>
      </c>
      <c r="E69" s="268"/>
      <c r="F69" s="287">
        <v>17.2</v>
      </c>
      <c r="G69" s="287"/>
      <c r="H69" s="287">
        <v>9.5</v>
      </c>
      <c r="I69" s="268"/>
      <c r="J69" s="287">
        <f t="shared" si="5"/>
        <v>5.5000000000000036</v>
      </c>
      <c r="K69" s="553"/>
      <c r="L69" s="287"/>
      <c r="M69" s="553"/>
      <c r="N69" s="287"/>
      <c r="O69" s="553"/>
      <c r="P69" s="287"/>
      <c r="Q69" s="553"/>
      <c r="R69" s="287"/>
      <c r="S69" s="553"/>
      <c r="T69" s="287"/>
      <c r="U69" s="553"/>
      <c r="V69" s="287"/>
      <c r="W69" s="553"/>
      <c r="X69" s="287"/>
      <c r="Y69" s="553"/>
      <c r="Z69" s="287"/>
      <c r="AA69" s="264"/>
      <c r="AB69" s="523"/>
      <c r="AC69" s="531">
        <v>36.700000000000003</v>
      </c>
      <c r="AD69" s="287"/>
      <c r="AE69" s="1757"/>
      <c r="AF69" s="531">
        <v>27.9</v>
      </c>
      <c r="AG69" s="519"/>
      <c r="AH69" s="264"/>
      <c r="AI69" s="264">
        <f t="shared" si="6"/>
        <v>8.8000000000000007</v>
      </c>
      <c r="AJ69" s="264"/>
      <c r="AK69" s="533">
        <f t="shared" si="7"/>
        <v>0.315</v>
      </c>
      <c r="AL69" s="1520"/>
    </row>
    <row r="70" spans="1:38" ht="15" customHeight="1">
      <c r="A70" s="35"/>
      <c r="B70" s="3" t="s">
        <v>534</v>
      </c>
      <c r="C70" s="291"/>
      <c r="D70" s="616">
        <f>ROUND(SUM(D60:D69),2)</f>
        <v>7483.3</v>
      </c>
      <c r="E70" s="40"/>
      <c r="F70" s="616">
        <f>ROUND(SUM(F60:F69),2)</f>
        <v>7749.2</v>
      </c>
      <c r="G70" s="40"/>
      <c r="H70" s="616">
        <f>ROUND(SUM(H60:H69),2)</f>
        <v>8512.4</v>
      </c>
      <c r="I70" s="40"/>
      <c r="J70" s="616">
        <f>ROUND(SUM(J60:J69),2)</f>
        <v>7920.7</v>
      </c>
      <c r="K70" s="40"/>
      <c r="L70" s="616">
        <f>ROUND(SUM(L60:L69),2)</f>
        <v>0</v>
      </c>
      <c r="M70" s="40"/>
      <c r="N70" s="616">
        <f>ROUND(SUM(N60:N69),2)</f>
        <v>0</v>
      </c>
      <c r="O70" s="40"/>
      <c r="P70" s="616">
        <f>ROUND(SUM(P60:P69),2)</f>
        <v>0</v>
      </c>
      <c r="Q70" s="40"/>
      <c r="R70" s="616">
        <f>ROUND(SUM(R60:R69),2)</f>
        <v>0</v>
      </c>
      <c r="S70" s="13"/>
      <c r="T70" s="616">
        <f>ROUND(SUM(T60:T69),2)</f>
        <v>0</v>
      </c>
      <c r="U70" s="40"/>
      <c r="V70" s="616">
        <f>ROUND(SUM(V60:V69),2)</f>
        <v>0</v>
      </c>
      <c r="W70" s="13"/>
      <c r="X70" s="616">
        <f>ROUND(SUM(X60:X69),2)</f>
        <v>0</v>
      </c>
      <c r="Y70" s="13"/>
      <c r="Z70" s="616">
        <f>ROUND(SUM(Z60:Z69),2)</f>
        <v>0</v>
      </c>
      <c r="AA70" s="40"/>
      <c r="AB70" s="667"/>
      <c r="AC70" s="672">
        <f>ROUND(SUM(AC60:AC69),2)</f>
        <v>31665.599999999999</v>
      </c>
      <c r="AD70" s="13"/>
      <c r="AE70" s="668"/>
      <c r="AF70" s="672">
        <f>ROUND(SUM(AF60:AF69),2)</f>
        <v>30527.1</v>
      </c>
      <c r="AG70" s="75"/>
      <c r="AH70" s="13"/>
      <c r="AI70" s="960">
        <f>ROUND(SUM(AC70-AF70),1)</f>
        <v>1138.5</v>
      </c>
      <c r="AJ70" s="76"/>
      <c r="AK70" s="1044">
        <f>ROUND(SUM((AC70-AF70)/ABS(AF70)),3)</f>
        <v>3.6999999999999998E-2</v>
      </c>
      <c r="AL70" s="1520"/>
    </row>
    <row r="71" spans="1:38" ht="15" customHeight="1">
      <c r="A71" s="35"/>
      <c r="B71" s="291" t="s">
        <v>453</v>
      </c>
      <c r="C71" s="291"/>
      <c r="D71" s="268"/>
      <c r="E71" s="268"/>
      <c r="F71" s="264"/>
      <c r="G71" s="268"/>
      <c r="H71" s="264"/>
      <c r="I71" s="268"/>
      <c r="J71" s="264"/>
      <c r="K71" s="268"/>
      <c r="L71" s="264"/>
      <c r="M71" s="268"/>
      <c r="N71" s="264"/>
      <c r="O71" s="268"/>
      <c r="P71" s="264"/>
      <c r="Q71" s="268"/>
      <c r="R71" s="264"/>
      <c r="S71" s="268"/>
      <c r="T71" s="264"/>
      <c r="U71" s="268"/>
      <c r="V71" s="264"/>
      <c r="W71" s="264"/>
      <c r="X71" s="264"/>
      <c r="Y71" s="264"/>
      <c r="Z71" s="264"/>
      <c r="AA71" s="268"/>
      <c r="AB71" s="666"/>
      <c r="AC71" s="268"/>
      <c r="AD71" s="268"/>
      <c r="AE71" s="1043"/>
      <c r="AF71" s="268"/>
      <c r="AG71" s="1223"/>
      <c r="AH71" s="364"/>
      <c r="AI71" s="530"/>
      <c r="AJ71" s="530"/>
      <c r="AK71" s="535"/>
      <c r="AL71" s="1520"/>
    </row>
    <row r="72" spans="1:38" ht="15" customHeight="1">
      <c r="A72" s="35"/>
      <c r="B72" s="291" t="s">
        <v>454</v>
      </c>
      <c r="C72" s="291"/>
      <c r="D72" s="287">
        <v>66.900000000000006</v>
      </c>
      <c r="E72" s="268"/>
      <c r="F72" s="287">
        <v>59.399999999999991</v>
      </c>
      <c r="G72" s="268"/>
      <c r="H72" s="287">
        <v>58.000000000000014</v>
      </c>
      <c r="I72" s="268"/>
      <c r="J72" s="287">
        <f>$AC72-H72-F72-D72</f>
        <v>93.700000000000017</v>
      </c>
      <c r="K72" s="553"/>
      <c r="L72" s="287"/>
      <c r="M72" s="553"/>
      <c r="N72" s="287"/>
      <c r="O72" s="553"/>
      <c r="P72" s="287"/>
      <c r="Q72" s="553"/>
      <c r="R72" s="287"/>
      <c r="S72" s="553"/>
      <c r="T72" s="287"/>
      <c r="U72" s="553"/>
      <c r="V72" s="287"/>
      <c r="W72" s="553"/>
      <c r="X72" s="287"/>
      <c r="Y72" s="553"/>
      <c r="Z72" s="287"/>
      <c r="AA72" s="264"/>
      <c r="AB72" s="1323"/>
      <c r="AC72" s="531">
        <v>278</v>
      </c>
      <c r="AD72" s="287"/>
      <c r="AE72" s="1757"/>
      <c r="AF72" s="531">
        <v>314.3</v>
      </c>
      <c r="AG72" s="519"/>
      <c r="AH72" s="264"/>
      <c r="AI72" s="264">
        <f>ROUND(SUM(+AC72-AF72),1)</f>
        <v>-36.299999999999997</v>
      </c>
      <c r="AJ72" s="264"/>
      <c r="AK72" s="266">
        <f>ROUND(IF(AF72=0,0,AI72/ABS(AF72)),3)</f>
        <v>-0.115</v>
      </c>
      <c r="AL72" s="1520"/>
    </row>
    <row r="73" spans="1:38" ht="15" customHeight="1">
      <c r="A73" s="35"/>
      <c r="B73" s="291" t="s">
        <v>535</v>
      </c>
      <c r="C73" s="291"/>
      <c r="D73" s="287">
        <v>73.400000000000006</v>
      </c>
      <c r="E73" s="268"/>
      <c r="F73" s="287">
        <v>76.799999999999983</v>
      </c>
      <c r="G73" s="268"/>
      <c r="H73" s="287">
        <v>212.70000000000002</v>
      </c>
      <c r="I73" s="268"/>
      <c r="J73" s="287">
        <f t="shared" ref="J73:J77" si="8">$AC73-H73-F73-D73</f>
        <v>136.09999999999997</v>
      </c>
      <c r="K73" s="553"/>
      <c r="L73" s="287"/>
      <c r="M73" s="553"/>
      <c r="N73" s="287"/>
      <c r="O73" s="553"/>
      <c r="P73" s="287"/>
      <c r="Q73" s="553"/>
      <c r="R73" s="287"/>
      <c r="S73" s="553"/>
      <c r="T73" s="287"/>
      <c r="U73" s="553"/>
      <c r="V73" s="287"/>
      <c r="W73" s="553"/>
      <c r="X73" s="287"/>
      <c r="Y73" s="553"/>
      <c r="Z73" s="287"/>
      <c r="AA73" s="264"/>
      <c r="AB73" s="1323"/>
      <c r="AC73" s="531">
        <v>499</v>
      </c>
      <c r="AD73" s="287"/>
      <c r="AE73" s="1757"/>
      <c r="AF73" s="531">
        <v>448.3</v>
      </c>
      <c r="AG73" s="519"/>
      <c r="AH73" s="264"/>
      <c r="AI73" s="264">
        <f>ROUND(SUM(+AC73-AF73),1)</f>
        <v>50.7</v>
      </c>
      <c r="AJ73" s="264"/>
      <c r="AK73" s="266">
        <f>ROUND(IF(AF73=0,0,AI73/ABS(AF73)),3)</f>
        <v>0.113</v>
      </c>
      <c r="AL73" s="1520"/>
    </row>
    <row r="74" spans="1:38" ht="15" customHeight="1">
      <c r="A74" s="35"/>
      <c r="B74" s="291" t="s">
        <v>456</v>
      </c>
      <c r="C74" s="291"/>
      <c r="D74" s="287">
        <v>0</v>
      </c>
      <c r="E74" s="268"/>
      <c r="F74" s="287">
        <v>0</v>
      </c>
      <c r="G74" s="268"/>
      <c r="H74" s="287">
        <v>95.2</v>
      </c>
      <c r="I74" s="268"/>
      <c r="J74" s="287">
        <f t="shared" si="8"/>
        <v>32.299999999999997</v>
      </c>
      <c r="K74" s="553"/>
      <c r="L74" s="287"/>
      <c r="M74" s="553"/>
      <c r="N74" s="287"/>
      <c r="O74" s="553"/>
      <c r="P74" s="287"/>
      <c r="Q74" s="553"/>
      <c r="R74" s="287"/>
      <c r="S74" s="553"/>
      <c r="T74" s="287"/>
      <c r="U74" s="553"/>
      <c r="V74" s="287"/>
      <c r="W74" s="553"/>
      <c r="X74" s="287"/>
      <c r="Y74" s="553"/>
      <c r="Z74" s="287"/>
      <c r="AA74" s="264"/>
      <c r="AB74" s="1323"/>
      <c r="AC74" s="531">
        <v>127.5</v>
      </c>
      <c r="AD74" s="287"/>
      <c r="AE74" s="1757"/>
      <c r="AF74" s="531">
        <v>141.69999999999999</v>
      </c>
      <c r="AG74" s="519"/>
      <c r="AH74" s="264"/>
      <c r="AI74" s="264">
        <f>ROUND(SUM(+AC74-AF74),1)</f>
        <v>-14.2</v>
      </c>
      <c r="AJ74" s="264"/>
      <c r="AK74" s="266">
        <f>ROUND(IF(AF74=0,0,AI74/ABS(AF74)),3)</f>
        <v>-0.1</v>
      </c>
      <c r="AL74" s="1520"/>
    </row>
    <row r="75" spans="1:38" ht="15" customHeight="1">
      <c r="A75" s="35"/>
      <c r="B75" s="62" t="s">
        <v>512</v>
      </c>
      <c r="C75" s="291"/>
      <c r="D75" s="287"/>
      <c r="E75" s="268"/>
      <c r="F75" s="287"/>
      <c r="G75" s="268"/>
      <c r="H75" s="287"/>
      <c r="I75" s="268"/>
      <c r="J75" s="287"/>
      <c r="K75" s="553"/>
      <c r="L75" s="287"/>
      <c r="M75" s="553"/>
      <c r="N75" s="287"/>
      <c r="O75" s="553"/>
      <c r="P75" s="287"/>
      <c r="Q75" s="553"/>
      <c r="R75" s="287"/>
      <c r="S75" s="553"/>
      <c r="T75" s="287"/>
      <c r="U75" s="553"/>
      <c r="V75" s="287"/>
      <c r="W75" s="553"/>
      <c r="X75" s="287"/>
      <c r="Y75" s="553"/>
      <c r="Z75" s="287"/>
      <c r="AA75" s="264"/>
      <c r="AB75" s="523"/>
      <c r="AC75" s="531" t="s">
        <v>103</v>
      </c>
      <c r="AD75" s="264"/>
      <c r="AE75" s="524"/>
      <c r="AF75" s="531" t="s">
        <v>103</v>
      </c>
      <c r="AG75" s="519"/>
      <c r="AH75" s="264"/>
      <c r="AI75" s="264"/>
      <c r="AJ75" s="264"/>
      <c r="AK75" s="266"/>
      <c r="AL75" s="1520"/>
    </row>
    <row r="76" spans="1:38" ht="15" customHeight="1">
      <c r="A76" s="35"/>
      <c r="B76" s="62" t="s">
        <v>1425</v>
      </c>
      <c r="C76" s="291"/>
      <c r="D76" s="287">
        <v>0</v>
      </c>
      <c r="E76" s="268"/>
      <c r="F76" s="287">
        <v>0</v>
      </c>
      <c r="G76" s="268"/>
      <c r="H76" s="287">
        <v>0</v>
      </c>
      <c r="I76" s="268"/>
      <c r="J76" s="287">
        <f t="shared" si="8"/>
        <v>0</v>
      </c>
      <c r="K76" s="553"/>
      <c r="L76" s="287"/>
      <c r="M76" s="553"/>
      <c r="N76" s="287"/>
      <c r="O76" s="553"/>
      <c r="P76" s="287"/>
      <c r="Q76" s="553"/>
      <c r="R76" s="287"/>
      <c r="S76" s="553"/>
      <c r="T76" s="287"/>
      <c r="U76" s="553"/>
      <c r="V76" s="287"/>
      <c r="W76" s="553"/>
      <c r="X76" s="287"/>
      <c r="Y76" s="553"/>
      <c r="Z76" s="287"/>
      <c r="AA76" s="264"/>
      <c r="AB76" s="523"/>
      <c r="AC76" s="531">
        <v>0</v>
      </c>
      <c r="AD76" s="287"/>
      <c r="AE76" s="1757"/>
      <c r="AF76" s="531">
        <v>0</v>
      </c>
      <c r="AG76" s="519"/>
      <c r="AH76" s="264"/>
      <c r="AI76" s="264">
        <f>ROUND(SUM(+AC76-AF76),1)</f>
        <v>0</v>
      </c>
      <c r="AJ76" s="264"/>
      <c r="AK76" s="266">
        <f>ROUND(IF(AF76=0,0,AI76/ABS(AF76)),3)</f>
        <v>0</v>
      </c>
      <c r="AL76" s="1520"/>
    </row>
    <row r="77" spans="1:38" ht="15" customHeight="1">
      <c r="A77" s="35"/>
      <c r="B77" s="291" t="s">
        <v>536</v>
      </c>
      <c r="C77" s="291"/>
      <c r="D77" s="287">
        <v>0</v>
      </c>
      <c r="E77" s="268"/>
      <c r="F77" s="287">
        <v>0</v>
      </c>
      <c r="G77" s="268"/>
      <c r="H77" s="287">
        <v>0</v>
      </c>
      <c r="I77" s="268"/>
      <c r="J77" s="287">
        <f t="shared" si="8"/>
        <v>0</v>
      </c>
      <c r="K77" s="553"/>
      <c r="L77" s="287"/>
      <c r="M77" s="553"/>
      <c r="N77" s="287"/>
      <c r="O77" s="553"/>
      <c r="P77" s="287"/>
      <c r="Q77" s="553"/>
      <c r="R77" s="287"/>
      <c r="S77" s="553"/>
      <c r="T77" s="287"/>
      <c r="U77" s="553"/>
      <c r="V77" s="287"/>
      <c r="W77" s="553"/>
      <c r="X77" s="287"/>
      <c r="Y77" s="553"/>
      <c r="Z77" s="287"/>
      <c r="AA77" s="264"/>
      <c r="AB77" s="523"/>
      <c r="AC77" s="531">
        <v>0</v>
      </c>
      <c r="AD77" s="287"/>
      <c r="AE77" s="1757"/>
      <c r="AF77" s="531">
        <v>0</v>
      </c>
      <c r="AG77" s="519"/>
      <c r="AH77" s="264"/>
      <c r="AI77" s="264">
        <f>ROUND(SUM(+AC77-AF77),1)</f>
        <v>0</v>
      </c>
      <c r="AJ77" s="264"/>
      <c r="AK77" s="533">
        <f>ROUND(IF(AF77=0,0,AI77/ABS(AF77)),3)</f>
        <v>0</v>
      </c>
      <c r="AL77" s="1520"/>
    </row>
    <row r="78" spans="1:38" ht="15" customHeight="1">
      <c r="A78" s="35"/>
      <c r="B78" s="291"/>
      <c r="C78" s="291"/>
      <c r="D78" s="1025"/>
      <c r="E78" s="268"/>
      <c r="F78" s="615"/>
      <c r="G78" s="268"/>
      <c r="H78" s="615"/>
      <c r="I78" s="268"/>
      <c r="J78" s="615"/>
      <c r="K78" s="268"/>
      <c r="L78" s="615"/>
      <c r="M78" s="268"/>
      <c r="N78" s="615"/>
      <c r="O78" s="268"/>
      <c r="P78" s="615"/>
      <c r="Q78" s="268"/>
      <c r="R78" s="615"/>
      <c r="S78" s="268"/>
      <c r="T78" s="615"/>
      <c r="U78" s="268"/>
      <c r="V78" s="615"/>
      <c r="W78" s="264"/>
      <c r="X78" s="615"/>
      <c r="Y78" s="264"/>
      <c r="Z78" s="615"/>
      <c r="AA78" s="268"/>
      <c r="AB78" s="666"/>
      <c r="AC78" s="615"/>
      <c r="AD78" s="264"/>
      <c r="AE78" s="524"/>
      <c r="AF78" s="615"/>
      <c r="AG78" s="519"/>
      <c r="AH78" s="264"/>
      <c r="AI78" s="615"/>
      <c r="AJ78" s="530"/>
      <c r="AK78" s="283"/>
      <c r="AL78" s="1520"/>
    </row>
    <row r="79" spans="1:38" ht="15" customHeight="1">
      <c r="A79" s="35"/>
      <c r="B79" s="3" t="s">
        <v>457</v>
      </c>
      <c r="C79" s="291"/>
      <c r="D79" s="13">
        <f>ROUND(SUM(D70:D77),1)</f>
        <v>7623.6</v>
      </c>
      <c r="E79" s="40"/>
      <c r="F79" s="13">
        <f>ROUND(SUM(F70:F77),1)</f>
        <v>7885.4</v>
      </c>
      <c r="G79" s="40"/>
      <c r="H79" s="13">
        <f>ROUND(SUM(H70:H77),1)</f>
        <v>8878.2999999999993</v>
      </c>
      <c r="I79" s="40"/>
      <c r="J79" s="13">
        <f>ROUND(SUM(J70:J77),1)</f>
        <v>8182.8</v>
      </c>
      <c r="K79" s="40"/>
      <c r="L79" s="13">
        <f>ROUND(SUM(L70:L77),1)</f>
        <v>0</v>
      </c>
      <c r="M79" s="40"/>
      <c r="N79" s="13">
        <f>ROUND(SUM(N70:N77),1)</f>
        <v>0</v>
      </c>
      <c r="O79" s="40"/>
      <c r="P79" s="13">
        <f>ROUND(SUM(P70:P77),1)</f>
        <v>0</v>
      </c>
      <c r="Q79" s="40"/>
      <c r="R79" s="13">
        <f>ROUND(SUM(R70:R77),1)</f>
        <v>0</v>
      </c>
      <c r="S79" s="13"/>
      <c r="T79" s="13">
        <f>ROUND(SUM(T70:T77),1)</f>
        <v>0</v>
      </c>
      <c r="U79" s="40"/>
      <c r="V79" s="13">
        <f>ROUND(SUM(V70:V77),1)</f>
        <v>0</v>
      </c>
      <c r="W79" s="13"/>
      <c r="X79" s="13">
        <f>ROUND(SUM(X70:X77),1)</f>
        <v>0</v>
      </c>
      <c r="Y79" s="13"/>
      <c r="Z79" s="13">
        <f>ROUND(SUM(Z70:Z77),1)</f>
        <v>0</v>
      </c>
      <c r="AA79" s="40"/>
      <c r="AB79" s="667"/>
      <c r="AC79" s="13">
        <f>ROUND(SUM(AC70:AC77),1)</f>
        <v>32570.1</v>
      </c>
      <c r="AD79" s="13"/>
      <c r="AE79" s="668"/>
      <c r="AF79" s="13">
        <f>ROUND(SUM(AF70:AF77),1)</f>
        <v>31431.4</v>
      </c>
      <c r="AG79" s="75"/>
      <c r="AH79" s="13"/>
      <c r="AI79" s="980">
        <f>ROUND(SUM(AC79-AF79),1)</f>
        <v>1138.7</v>
      </c>
      <c r="AJ79" s="687"/>
      <c r="AK79" s="536">
        <f>ROUND(SUM((AC79-AF79)/ABS(AF79)),3)</f>
        <v>3.5999999999999997E-2</v>
      </c>
      <c r="AL79" s="1520"/>
    </row>
    <row r="80" spans="1:38" ht="15" customHeight="1">
      <c r="A80" s="35"/>
      <c r="B80" s="291"/>
      <c r="C80" s="291"/>
      <c r="D80" s="1025"/>
      <c r="E80" s="268"/>
      <c r="F80" s="615"/>
      <c r="G80" s="268"/>
      <c r="H80" s="615"/>
      <c r="I80" s="268"/>
      <c r="J80" s="615"/>
      <c r="K80" s="268"/>
      <c r="L80" s="615"/>
      <c r="M80" s="268"/>
      <c r="N80" s="615"/>
      <c r="O80" s="268"/>
      <c r="P80" s="615"/>
      <c r="Q80" s="268"/>
      <c r="R80" s="615"/>
      <c r="S80" s="268"/>
      <c r="T80" s="615"/>
      <c r="U80" s="268"/>
      <c r="V80" s="615"/>
      <c r="W80" s="264"/>
      <c r="X80" s="615"/>
      <c r="Y80" s="264"/>
      <c r="Z80" s="615"/>
      <c r="AA80" s="268"/>
      <c r="AB80" s="666"/>
      <c r="AC80" s="615"/>
      <c r="AD80" s="264"/>
      <c r="AE80" s="524"/>
      <c r="AF80" s="615"/>
      <c r="AG80" s="519"/>
      <c r="AH80" s="422"/>
      <c r="AI80" s="287"/>
      <c r="AJ80" s="530"/>
      <c r="AK80" s="535"/>
      <c r="AL80" s="1520"/>
    </row>
    <row r="81" spans="1:38" ht="15" customHeight="1">
      <c r="A81" s="35"/>
      <c r="B81" s="3" t="s">
        <v>458</v>
      </c>
      <c r="C81" s="291"/>
      <c r="D81" s="268"/>
      <c r="E81" s="268"/>
      <c r="F81" s="264"/>
      <c r="G81" s="268"/>
      <c r="H81" s="264"/>
      <c r="I81" s="268"/>
      <c r="J81" s="264"/>
      <c r="K81" s="268"/>
      <c r="L81" s="264"/>
      <c r="M81" s="268"/>
      <c r="N81" s="264"/>
      <c r="O81" s="268"/>
      <c r="P81" s="264"/>
      <c r="Q81" s="268"/>
      <c r="R81" s="264"/>
      <c r="S81" s="268"/>
      <c r="T81" s="264"/>
      <c r="U81" s="268"/>
      <c r="V81" s="264"/>
      <c r="W81" s="264"/>
      <c r="X81" s="264"/>
      <c r="Y81" s="264"/>
      <c r="Z81" s="264"/>
      <c r="AA81" s="268"/>
      <c r="AB81" s="666"/>
      <c r="AC81" s="264"/>
      <c r="AD81" s="1227"/>
      <c r="AE81" s="1773"/>
      <c r="AF81" s="264"/>
      <c r="AG81" s="519"/>
      <c r="AH81" s="422"/>
      <c r="AI81" s="287"/>
      <c r="AJ81" s="530"/>
      <c r="AK81" s="535"/>
      <c r="AL81" s="1520"/>
    </row>
    <row r="82" spans="1:38" ht="15" customHeight="1">
      <c r="A82" s="35"/>
      <c r="B82" s="3" t="s">
        <v>144</v>
      </c>
      <c r="C82" s="291"/>
      <c r="D82" s="13">
        <f>ROUND(SUM(D56-D79),1)</f>
        <v>1423.6</v>
      </c>
      <c r="E82" s="40"/>
      <c r="F82" s="13">
        <f>ROUND(SUM(F56-F79),1)</f>
        <v>-787.4</v>
      </c>
      <c r="G82" s="40"/>
      <c r="H82" s="13">
        <f>ROUND(SUM(H56-H79),1)</f>
        <v>4692.3</v>
      </c>
      <c r="I82" s="40"/>
      <c r="J82" s="13">
        <f>ROUND(SUM(J56-J79),1)</f>
        <v>507.9</v>
      </c>
      <c r="K82" s="40"/>
      <c r="L82" s="13">
        <f>ROUND(SUM(L56-L79),1)</f>
        <v>0</v>
      </c>
      <c r="M82" s="40"/>
      <c r="N82" s="13">
        <f>ROUND(SUM(N56-N79),1)</f>
        <v>0</v>
      </c>
      <c r="O82" s="40"/>
      <c r="P82" s="13">
        <f>ROUND(SUM(P56-P79),1)</f>
        <v>0</v>
      </c>
      <c r="Q82" s="40"/>
      <c r="R82" s="13">
        <f>ROUND(SUM(R56-R79),1)</f>
        <v>0</v>
      </c>
      <c r="S82" s="13"/>
      <c r="T82" s="13">
        <f>ROUND(SUM(T56-T79),1)</f>
        <v>0</v>
      </c>
      <c r="U82" s="40"/>
      <c r="V82" s="13">
        <f>ROUND(SUM(V56-V79),1)</f>
        <v>0</v>
      </c>
      <c r="W82" s="13"/>
      <c r="X82" s="13">
        <f>ROUND(SUM(X56-X79),1)</f>
        <v>0</v>
      </c>
      <c r="Y82" s="13"/>
      <c r="Z82" s="13">
        <f>ROUND(SUM(Z56-Z79),1)</f>
        <v>0</v>
      </c>
      <c r="AA82" s="40"/>
      <c r="AB82" s="667"/>
      <c r="AC82" s="13">
        <f>ROUND(SUM(AC56-AC79),1)</f>
        <v>5836.4</v>
      </c>
      <c r="AD82" s="13"/>
      <c r="AE82" s="668"/>
      <c r="AF82" s="13">
        <f>ROUND(SUM(AF56-AF79),1)</f>
        <v>2009.1</v>
      </c>
      <c r="AG82" s="75"/>
      <c r="AH82" s="13"/>
      <c r="AI82" s="980">
        <f>ROUND(SUM(AC82-AF82),1)</f>
        <v>3827.3</v>
      </c>
      <c r="AJ82" s="687"/>
      <c r="AK82" s="1046">
        <f>ROUND(SUM((AC82-AF82)/ABS(AF82)),3)</f>
        <v>1.905</v>
      </c>
      <c r="AL82" s="1520"/>
    </row>
    <row r="83" spans="1:38" ht="15" customHeight="1">
      <c r="A83" s="35"/>
      <c r="B83" s="291"/>
      <c r="C83" s="291"/>
      <c r="D83" s="1025"/>
      <c r="E83" s="268"/>
      <c r="F83" s="615"/>
      <c r="G83" s="268"/>
      <c r="H83" s="615"/>
      <c r="I83" s="268"/>
      <c r="J83" s="615"/>
      <c r="K83" s="268"/>
      <c r="L83" s="615"/>
      <c r="M83" s="268"/>
      <c r="N83" s="615"/>
      <c r="O83" s="268"/>
      <c r="P83" s="615"/>
      <c r="Q83" s="268"/>
      <c r="R83" s="615"/>
      <c r="S83" s="268"/>
      <c r="T83" s="615"/>
      <c r="U83" s="268"/>
      <c r="V83" s="615"/>
      <c r="W83" s="264"/>
      <c r="X83" s="615"/>
      <c r="Y83" s="264"/>
      <c r="Z83" s="615"/>
      <c r="AA83" s="268"/>
      <c r="AB83" s="666"/>
      <c r="AC83" s="615"/>
      <c r="AD83" s="264"/>
      <c r="AE83" s="524"/>
      <c r="AF83" s="615"/>
      <c r="AG83" s="519"/>
      <c r="AH83" s="264"/>
      <c r="AI83" s="287"/>
      <c r="AJ83" s="530"/>
      <c r="AK83" s="535"/>
      <c r="AL83" s="1520"/>
    </row>
    <row r="84" spans="1:38" ht="15" customHeight="1">
      <c r="A84" s="35"/>
      <c r="B84" s="3" t="s">
        <v>145</v>
      </c>
      <c r="C84" s="291"/>
      <c r="D84" s="268"/>
      <c r="E84" s="268"/>
      <c r="F84" s="264"/>
      <c r="G84" s="268"/>
      <c r="H84" s="264"/>
      <c r="I84" s="268"/>
      <c r="J84" s="264"/>
      <c r="K84" s="268"/>
      <c r="L84" s="264"/>
      <c r="M84" s="268"/>
      <c r="N84" s="264"/>
      <c r="O84" s="268"/>
      <c r="P84" s="264"/>
      <c r="Q84" s="268"/>
      <c r="R84" s="264"/>
      <c r="S84" s="268"/>
      <c r="T84" s="264"/>
      <c r="U84" s="268"/>
      <c r="V84" s="264"/>
      <c r="W84" s="264"/>
      <c r="X84" s="264"/>
      <c r="Y84" s="264"/>
      <c r="Z84" s="264"/>
      <c r="AA84" s="268"/>
      <c r="AB84" s="666"/>
      <c r="AC84" s="264"/>
      <c r="AD84" s="264"/>
      <c r="AE84" s="524"/>
      <c r="AF84" s="264"/>
      <c r="AG84" s="519"/>
      <c r="AH84" s="264"/>
      <c r="AI84" s="287"/>
      <c r="AJ84" s="530"/>
      <c r="AK84" s="535"/>
      <c r="AL84" s="1520"/>
    </row>
    <row r="85" spans="1:38" ht="15" customHeight="1">
      <c r="A85" s="35"/>
      <c r="B85" s="291" t="s">
        <v>537</v>
      </c>
      <c r="C85" s="291"/>
      <c r="D85" s="287">
        <v>0</v>
      </c>
      <c r="E85" s="268"/>
      <c r="F85" s="287">
        <v>0</v>
      </c>
      <c r="G85" s="268"/>
      <c r="H85" s="287">
        <v>0</v>
      </c>
      <c r="I85" s="268"/>
      <c r="J85" s="287">
        <f>$AC85-H85-F85-D85</f>
        <v>0</v>
      </c>
      <c r="K85" s="553"/>
      <c r="L85" s="287"/>
      <c r="M85" s="553"/>
      <c r="N85" s="287"/>
      <c r="O85" s="553"/>
      <c r="P85" s="287"/>
      <c r="Q85" s="553"/>
      <c r="R85" s="287"/>
      <c r="S85" s="553"/>
      <c r="T85" s="287"/>
      <c r="U85" s="553"/>
      <c r="V85" s="287"/>
      <c r="W85" s="553"/>
      <c r="X85" s="287"/>
      <c r="Y85" s="553"/>
      <c r="Z85" s="287"/>
      <c r="AA85" s="264"/>
      <c r="AB85" s="523"/>
      <c r="AC85" s="531">
        <v>0</v>
      </c>
      <c r="AD85" s="264"/>
      <c r="AE85" s="524"/>
      <c r="AF85" s="531">
        <v>0</v>
      </c>
      <c r="AG85" s="519"/>
      <c r="AH85" s="264"/>
      <c r="AI85" s="289">
        <f>ROUND(SUM(+AC85-AF85),1)</f>
        <v>0</v>
      </c>
      <c r="AJ85" s="264"/>
      <c r="AK85" s="266">
        <f>ROUND(IF(AF85=0,0,AI85/ABS(AF85)),3)</f>
        <v>0</v>
      </c>
      <c r="AL85" s="1520"/>
    </row>
    <row r="86" spans="1:38" ht="15" customHeight="1">
      <c r="A86" s="35"/>
      <c r="B86" s="291" t="s">
        <v>538</v>
      </c>
      <c r="C86" s="291"/>
      <c r="D86" s="287">
        <v>-253</v>
      </c>
      <c r="E86" s="268"/>
      <c r="F86" s="287">
        <v>-38</v>
      </c>
      <c r="G86" s="268"/>
      <c r="H86" s="287">
        <v>-322.5</v>
      </c>
      <c r="I86" s="268"/>
      <c r="J86" s="287">
        <f>$AC86-H86-F86-D86</f>
        <v>-1003.2</v>
      </c>
      <c r="K86" s="553"/>
      <c r="L86" s="287"/>
      <c r="M86" s="553"/>
      <c r="N86" s="287"/>
      <c r="O86" s="553"/>
      <c r="P86" s="287"/>
      <c r="Q86" s="553"/>
      <c r="R86" s="287"/>
      <c r="S86" s="553"/>
      <c r="T86" s="287"/>
      <c r="U86" s="553"/>
      <c r="V86" s="287"/>
      <c r="W86" s="553"/>
      <c r="X86" s="287"/>
      <c r="Y86" s="553"/>
      <c r="Z86" s="287"/>
      <c r="AA86" s="264"/>
      <c r="AB86" s="523"/>
      <c r="AC86" s="531">
        <v>-1616.7</v>
      </c>
      <c r="AD86" s="287"/>
      <c r="AE86" s="1757"/>
      <c r="AF86" s="981">
        <v>-1157.9000000000001</v>
      </c>
      <c r="AG86" s="519"/>
      <c r="AH86" s="264"/>
      <c r="AI86" s="264">
        <f>ROUND(SUM(+AC86-AF86)*-1,1)</f>
        <v>458.8</v>
      </c>
      <c r="AJ86" s="264"/>
      <c r="AK86" s="266">
        <f>ROUND(IF(AF86=0,0,AI86/ABS(AF86)),3)</f>
        <v>0.39600000000000002</v>
      </c>
      <c r="AL86" s="1520"/>
    </row>
    <row r="87" spans="1:38" ht="15" customHeight="1">
      <c r="A87" s="35"/>
      <c r="B87" s="291"/>
      <c r="C87" s="291"/>
      <c r="D87" s="1025"/>
      <c r="E87" s="268"/>
      <c r="F87" s="615"/>
      <c r="G87" s="268"/>
      <c r="H87" s="615"/>
      <c r="I87" s="268"/>
      <c r="J87" s="615"/>
      <c r="K87" s="268"/>
      <c r="L87" s="615"/>
      <c r="M87" s="268"/>
      <c r="N87" s="615"/>
      <c r="O87" s="268"/>
      <c r="P87" s="615"/>
      <c r="Q87" s="268"/>
      <c r="R87" s="615"/>
      <c r="S87" s="268"/>
      <c r="T87" s="615"/>
      <c r="U87" s="268"/>
      <c r="V87" s="615"/>
      <c r="W87" s="264"/>
      <c r="X87" s="615"/>
      <c r="Y87" s="264"/>
      <c r="Z87" s="615"/>
      <c r="AA87" s="268"/>
      <c r="AB87" s="666"/>
      <c r="AC87" s="615"/>
      <c r="AD87" s="264"/>
      <c r="AE87" s="524"/>
      <c r="AF87" s="264"/>
      <c r="AG87" s="519"/>
      <c r="AH87" s="264"/>
      <c r="AI87" s="1045"/>
      <c r="AJ87" s="530"/>
      <c r="AK87" s="1047"/>
      <c r="AL87" s="1520"/>
    </row>
    <row r="88" spans="1:38" ht="15" customHeight="1">
      <c r="A88" s="35"/>
      <c r="B88" s="3" t="s">
        <v>517</v>
      </c>
      <c r="C88" s="291"/>
      <c r="D88" s="13">
        <f>ROUND(SUM(D85:D87),1)</f>
        <v>-253</v>
      </c>
      <c r="E88" s="40"/>
      <c r="F88" s="13">
        <f>ROUND(SUM(F85:F87),1)</f>
        <v>-38</v>
      </c>
      <c r="G88" s="40"/>
      <c r="H88" s="13">
        <f>ROUND(SUM(H85:H87),1)</f>
        <v>-322.5</v>
      </c>
      <c r="I88" s="40"/>
      <c r="J88" s="13">
        <f>ROUND(SUM(J85:J87),1)</f>
        <v>-1003.2</v>
      </c>
      <c r="K88" s="40"/>
      <c r="L88" s="13">
        <f>ROUND(SUM(L85:L87),1)</f>
        <v>0</v>
      </c>
      <c r="M88" s="40"/>
      <c r="N88" s="13">
        <f>ROUND(SUM(N85:N87),1)</f>
        <v>0</v>
      </c>
      <c r="O88" s="40"/>
      <c r="P88" s="13">
        <f>ROUND(SUM(P85:P87),1)</f>
        <v>0</v>
      </c>
      <c r="Q88" s="40"/>
      <c r="R88" s="13">
        <f>ROUND(SUM(R85:R87),1)</f>
        <v>0</v>
      </c>
      <c r="S88" s="13"/>
      <c r="T88" s="13">
        <f>ROUND(SUM(T85:T87),1)</f>
        <v>0</v>
      </c>
      <c r="U88" s="40"/>
      <c r="V88" s="13">
        <f>ROUND(SUM(V85:V87),1)</f>
        <v>0</v>
      </c>
      <c r="W88" s="13"/>
      <c r="X88" s="13">
        <f>ROUND(SUM(X85:X87),1)</f>
        <v>0</v>
      </c>
      <c r="Y88" s="13"/>
      <c r="Z88" s="13">
        <f>ROUND(SUM(Z85:Z87),1)</f>
        <v>0</v>
      </c>
      <c r="AA88" s="40"/>
      <c r="AB88" s="667"/>
      <c r="AC88" s="13">
        <f>ROUND(SUM(AC85:AC87),1)</f>
        <v>-1616.7</v>
      </c>
      <c r="AD88" s="13"/>
      <c r="AE88" s="668"/>
      <c r="AF88" s="13">
        <f>ROUND(SUM(AF85:AF86),1)</f>
        <v>-1157.9000000000001</v>
      </c>
      <c r="AG88" s="75"/>
      <c r="AH88" s="13"/>
      <c r="AI88" s="980">
        <f>-ROUND(SUM(AC88-AF88),1)</f>
        <v>458.8</v>
      </c>
      <c r="AJ88" s="76"/>
      <c r="AK88" s="536">
        <f>ROUND(SUM((AC88-AF88)/(AF88)),3)</f>
        <v>0.39600000000000002</v>
      </c>
      <c r="AL88" s="1520"/>
    </row>
    <row r="89" spans="1:38" ht="15" customHeight="1">
      <c r="A89" s="35"/>
      <c r="B89" s="291"/>
      <c r="C89" s="291"/>
      <c r="D89" s="1025"/>
      <c r="E89" s="268"/>
      <c r="F89" s="1025"/>
      <c r="G89" s="268"/>
      <c r="H89" s="1025"/>
      <c r="I89" s="268"/>
      <c r="J89" s="1025"/>
      <c r="K89" s="268"/>
      <c r="L89" s="1025"/>
      <c r="M89" s="268"/>
      <c r="N89" s="1025"/>
      <c r="O89" s="268"/>
      <c r="P89" s="1025"/>
      <c r="Q89" s="268"/>
      <c r="R89" s="1025"/>
      <c r="S89" s="268"/>
      <c r="T89" s="1025"/>
      <c r="U89" s="268"/>
      <c r="V89" s="615"/>
      <c r="W89" s="264"/>
      <c r="X89" s="615"/>
      <c r="Y89" s="264"/>
      <c r="Z89" s="615"/>
      <c r="AA89" s="268"/>
      <c r="AB89" s="666"/>
      <c r="AC89" s="615"/>
      <c r="AD89" s="264"/>
      <c r="AE89" s="524"/>
      <c r="AF89" s="615"/>
      <c r="AG89" s="519"/>
      <c r="AH89" s="264"/>
      <c r="AI89" s="287"/>
      <c r="AJ89" s="530"/>
      <c r="AK89" s="535"/>
      <c r="AL89" s="1520"/>
    </row>
    <row r="90" spans="1:38" ht="15" customHeight="1">
      <c r="A90" s="35"/>
      <c r="B90" s="3" t="s">
        <v>469</v>
      </c>
      <c r="C90" s="291"/>
      <c r="D90" s="268"/>
      <c r="E90" s="268"/>
      <c r="F90" s="268"/>
      <c r="G90" s="268"/>
      <c r="H90" s="268"/>
      <c r="I90" s="268"/>
      <c r="J90" s="268"/>
      <c r="K90" s="268"/>
      <c r="L90" s="268"/>
      <c r="M90" s="268"/>
      <c r="N90" s="268"/>
      <c r="O90" s="268"/>
      <c r="P90" s="268"/>
      <c r="Q90" s="268"/>
      <c r="R90" s="268"/>
      <c r="S90" s="268"/>
      <c r="T90" s="268"/>
      <c r="U90" s="268"/>
      <c r="V90" s="268"/>
      <c r="W90" s="268"/>
      <c r="X90" s="268"/>
      <c r="Y90" s="268"/>
      <c r="Z90" s="268"/>
      <c r="AA90" s="268"/>
      <c r="AB90" s="666"/>
      <c r="AC90" s="268"/>
      <c r="AD90" s="268"/>
      <c r="AE90" s="1043"/>
      <c r="AF90" s="268"/>
      <c r="AG90" s="1223"/>
      <c r="AH90" s="364"/>
      <c r="AI90" s="530"/>
      <c r="AJ90" s="530"/>
      <c r="AK90" s="535"/>
      <c r="AL90" s="1520"/>
    </row>
    <row r="91" spans="1:38" ht="15" customHeight="1">
      <c r="A91" s="35"/>
      <c r="B91" s="3" t="s">
        <v>470</v>
      </c>
      <c r="C91" s="291"/>
      <c r="D91" s="268"/>
      <c r="E91" s="268"/>
      <c r="F91" s="268"/>
      <c r="G91" s="268"/>
      <c r="H91" s="268"/>
      <c r="I91" s="268"/>
      <c r="J91" s="268"/>
      <c r="K91" s="268"/>
      <c r="L91" s="268"/>
      <c r="M91" s="268"/>
      <c r="N91" s="268"/>
      <c r="O91" s="268"/>
      <c r="P91" s="268"/>
      <c r="Q91" s="268"/>
      <c r="R91" s="268"/>
      <c r="S91" s="268"/>
      <c r="T91" s="268"/>
      <c r="U91" s="268"/>
      <c r="V91" s="268"/>
      <c r="W91" s="268"/>
      <c r="X91" s="268"/>
      <c r="Y91" s="268"/>
      <c r="Z91" s="268"/>
      <c r="AA91" s="268"/>
      <c r="AB91" s="666"/>
      <c r="AC91" s="268"/>
      <c r="AD91" s="268"/>
      <c r="AE91" s="1043"/>
      <c r="AF91" s="20"/>
      <c r="AG91" s="1223"/>
      <c r="AH91" s="364"/>
      <c r="AI91" s="530"/>
      <c r="AJ91" s="530"/>
      <c r="AK91" s="535"/>
      <c r="AL91" s="1520"/>
    </row>
    <row r="92" spans="1:38" ht="15" customHeight="1">
      <c r="A92" s="35"/>
      <c r="B92" s="3" t="s">
        <v>518</v>
      </c>
      <c r="C92" s="291"/>
      <c r="D92" s="357">
        <f>ROUND(SUM(D82+D88),1)</f>
        <v>1170.5999999999999</v>
      </c>
      <c r="E92" s="268"/>
      <c r="F92" s="357">
        <f>ROUND(SUM(F82+F88),1)</f>
        <v>-825.4</v>
      </c>
      <c r="G92" s="268"/>
      <c r="H92" s="357">
        <f>ROUND(SUM(H82+H88),1)</f>
        <v>4369.8</v>
      </c>
      <c r="I92" s="264"/>
      <c r="J92" s="357">
        <f>ROUND(SUM(J82+J88),1)</f>
        <v>-495.3</v>
      </c>
      <c r="K92" s="264"/>
      <c r="L92" s="357">
        <f>ROUND(SUM(L82+L88),1)</f>
        <v>0</v>
      </c>
      <c r="M92" s="264"/>
      <c r="N92" s="357">
        <f>ROUND(SUM(N82+N88),1)</f>
        <v>0</v>
      </c>
      <c r="O92" s="264"/>
      <c r="P92" s="357">
        <f>ROUND(SUM(P82+P88),1)</f>
        <v>0</v>
      </c>
      <c r="Q92" s="264"/>
      <c r="R92" s="357">
        <f>ROUND(SUM(R82+R88),1)</f>
        <v>0</v>
      </c>
      <c r="S92" s="264"/>
      <c r="T92" s="357">
        <f>ROUND(SUM(T82+T88),1)</f>
        <v>0</v>
      </c>
      <c r="U92" s="264"/>
      <c r="V92" s="357">
        <f>ROUND(SUM(V82+V88),1)</f>
        <v>0</v>
      </c>
      <c r="W92" s="264"/>
      <c r="X92" s="357">
        <f>ROUND(SUM(X82+X88),1)</f>
        <v>0</v>
      </c>
      <c r="Y92" s="264"/>
      <c r="Z92" s="357">
        <f>ROUND(SUM(Z82+Z88),1)</f>
        <v>0</v>
      </c>
      <c r="AA92" s="1227"/>
      <c r="AB92" s="264"/>
      <c r="AC92" s="357">
        <f>ROUND(SUM(AC82+AC88),1)</f>
        <v>4219.7</v>
      </c>
      <c r="AD92" s="1774"/>
      <c r="AE92" s="264"/>
      <c r="AF92" s="357">
        <f>ROUND(SUM(AF82+AF88),1)</f>
        <v>851.2</v>
      </c>
      <c r="AG92" s="1223"/>
      <c r="AH92" s="264"/>
      <c r="AI92" s="357">
        <f>ROUND(SUM(AI82-AI88),1)</f>
        <v>3368.5</v>
      </c>
      <c r="AJ92" s="287"/>
      <c r="AK92" s="611">
        <f>ROUND(SUM((AC92-AF92)/ABS(AF92)),3)</f>
        <v>3.9569999999999999</v>
      </c>
      <c r="AL92" s="1520"/>
    </row>
    <row r="93" spans="1:38" ht="15" customHeight="1">
      <c r="A93" s="35"/>
      <c r="B93" s="291"/>
      <c r="C93" s="291"/>
      <c r="D93" s="364"/>
      <c r="E93" s="364"/>
      <c r="F93" s="364"/>
      <c r="G93" s="364"/>
      <c r="H93" s="364"/>
      <c r="I93" s="364"/>
      <c r="J93" s="364"/>
      <c r="K93" s="364"/>
      <c r="L93" s="364"/>
      <c r="M93" s="364"/>
      <c r="N93" s="364"/>
      <c r="O93" s="364"/>
      <c r="P93" s="364"/>
      <c r="Q93" s="364"/>
      <c r="R93" s="364"/>
      <c r="S93" s="364"/>
      <c r="T93" s="20"/>
      <c r="U93" s="364"/>
      <c r="V93" s="364"/>
      <c r="W93" s="364"/>
      <c r="X93" s="364"/>
      <c r="Y93" s="364"/>
      <c r="Z93" s="364"/>
      <c r="AA93" s="364"/>
      <c r="AB93" s="1043"/>
      <c r="AC93" s="364"/>
      <c r="AD93" s="364"/>
      <c r="AE93" s="1043"/>
      <c r="AF93" s="364"/>
      <c r="AG93" s="364"/>
      <c r="AH93" s="1027"/>
      <c r="AI93" s="530"/>
      <c r="AJ93" s="530"/>
      <c r="AK93" s="535" t="s">
        <v>103</v>
      </c>
      <c r="AL93" s="1520"/>
    </row>
    <row r="94" spans="1:38" ht="20.25" customHeight="1" thickBot="1">
      <c r="A94" s="35"/>
      <c r="B94" s="3" t="s">
        <v>532</v>
      </c>
      <c r="C94" s="291"/>
      <c r="D94" s="70">
        <f>ROUND(SUM(+D13+D92),1)</f>
        <v>9647.2999999999993</v>
      </c>
      <c r="E94" s="364"/>
      <c r="F94" s="70">
        <f>ROUND(SUM(+F13+F92),1)</f>
        <v>8821.9</v>
      </c>
      <c r="G94" s="364"/>
      <c r="H94" s="70">
        <f>ROUND(SUM(+H13+H92),1)</f>
        <v>13191.7</v>
      </c>
      <c r="I94" s="364"/>
      <c r="J94" s="70">
        <f>ROUND(SUM(+J13+J92),1)</f>
        <v>12696.4</v>
      </c>
      <c r="K94" s="364"/>
      <c r="L94" s="70">
        <f>ROUND(SUM(+L13+L92),1)</f>
        <v>0</v>
      </c>
      <c r="M94" s="364"/>
      <c r="N94" s="70">
        <f>ROUND(SUM(+N13+N92),1)</f>
        <v>0</v>
      </c>
      <c r="O94" s="364"/>
      <c r="P94" s="70">
        <f>ROUND(SUM(+P13+P92),1)</f>
        <v>0</v>
      </c>
      <c r="Q94" s="364"/>
      <c r="R94" s="70">
        <f>ROUND(SUM(+R13+R92),1)</f>
        <v>0</v>
      </c>
      <c r="S94" s="364"/>
      <c r="T94" s="70">
        <f>ROUND(SUM(+T13+T92),1)</f>
        <v>0</v>
      </c>
      <c r="U94" s="364"/>
      <c r="V94" s="70">
        <f>ROUND(SUM(+V13+V92),1)</f>
        <v>0</v>
      </c>
      <c r="W94" s="364"/>
      <c r="X94" s="70">
        <f>ROUND(SUM(+X13+X92),1)</f>
        <v>0</v>
      </c>
      <c r="Y94" s="364"/>
      <c r="Z94" s="70">
        <f>ROUND(SUM(+Z13+Z92),1)</f>
        <v>0</v>
      </c>
      <c r="AA94" s="364"/>
      <c r="AB94" s="1043"/>
      <c r="AC94" s="70">
        <f>ROUND(SUM(+AC13+AC92),1)</f>
        <v>12696.4</v>
      </c>
      <c r="AD94" s="364"/>
      <c r="AE94" s="1043"/>
      <c r="AF94" s="70">
        <f>ROUND(SUM(+AF13+AF92),1)</f>
        <v>8681.7000000000007</v>
      </c>
      <c r="AG94" s="364"/>
      <c r="AH94" s="1027"/>
      <c r="AI94" s="70">
        <f>ROUND(SUM(+AI13+AI92),1)</f>
        <v>4014.7</v>
      </c>
      <c r="AJ94" s="530"/>
      <c r="AK94" s="1048">
        <f>ROUND(+AI94/ABS(AF94),3)</f>
        <v>0.46200000000000002</v>
      </c>
      <c r="AL94" s="1520"/>
    </row>
    <row r="95" spans="1:38" ht="15" customHeight="1" thickTop="1">
      <c r="B95" s="364"/>
      <c r="C95" s="364"/>
      <c r="D95" s="405"/>
      <c r="E95" s="405"/>
      <c r="F95" s="405"/>
      <c r="G95" s="405"/>
      <c r="H95" s="405"/>
      <c r="I95" s="405"/>
      <c r="J95" s="405"/>
      <c r="K95" s="405"/>
      <c r="L95" s="405"/>
      <c r="M95" s="405"/>
      <c r="N95" s="405"/>
      <c r="O95" s="405"/>
      <c r="P95" s="405"/>
      <c r="Q95" s="405"/>
      <c r="R95" s="405"/>
      <c r="S95" s="405"/>
      <c r="T95" s="405"/>
      <c r="U95" s="405"/>
      <c r="V95" s="405"/>
      <c r="W95" s="405"/>
      <c r="X95" s="405"/>
      <c r="Y95" s="405"/>
      <c r="Z95" s="405"/>
      <c r="AA95" s="405"/>
      <c r="AB95" s="405"/>
      <c r="AC95" s="405"/>
      <c r="AD95" s="405"/>
      <c r="AE95" s="405"/>
      <c r="AF95" s="405"/>
      <c r="AG95" s="405"/>
      <c r="AH95" s="405"/>
      <c r="AI95" s="405"/>
      <c r="AJ95" s="405"/>
      <c r="AK95" s="283"/>
    </row>
    <row r="96" spans="1:38" ht="15" customHeight="1">
      <c r="B96" s="364"/>
      <c r="C96" s="364"/>
      <c r="D96" s="364"/>
      <c r="E96" s="364"/>
      <c r="F96" s="364"/>
      <c r="G96" s="364"/>
      <c r="H96" s="364"/>
      <c r="I96" s="364"/>
      <c r="J96" s="364"/>
      <c r="K96" s="364"/>
      <c r="L96" s="364"/>
      <c r="M96" s="364"/>
      <c r="N96" s="364"/>
      <c r="O96" s="364"/>
      <c r="P96" s="364"/>
      <c r="Q96" s="364"/>
      <c r="R96" s="364"/>
      <c r="S96" s="364"/>
      <c r="T96" s="364"/>
      <c r="U96" s="364"/>
      <c r="V96" s="364"/>
      <c r="W96" s="364"/>
      <c r="X96" s="364"/>
      <c r="Y96" s="364"/>
      <c r="Z96" s="364"/>
      <c r="AA96" s="364"/>
      <c r="AB96" s="364"/>
      <c r="AC96" s="364"/>
      <c r="AD96" s="364"/>
      <c r="AE96" s="364"/>
      <c r="AF96" s="364"/>
      <c r="AG96" s="364"/>
      <c r="AH96" s="364"/>
      <c r="AI96" s="364"/>
      <c r="AJ96" s="364"/>
      <c r="AK96" s="283"/>
    </row>
    <row r="97" spans="2:2" ht="15" customHeight="1">
      <c r="B97" s="364"/>
    </row>
  </sheetData>
  <mergeCells count="1">
    <mergeCell ref="AB9:AK9"/>
  </mergeCells>
  <printOptions horizontalCentered="1"/>
  <pageMargins left="0.25" right="0.25" top="0.5" bottom="0.25" header="0" footer="0.25"/>
  <pageSetup scale="41" firstPageNumber="26" fitToHeight="2" orientation="landscape" useFirstPageNumber="1" r:id="rId1"/>
  <headerFooter scaleWithDoc="0" alignWithMargins="0">
    <oddFooter>&amp;C&amp;8&amp;P</oddFooter>
  </headerFooter>
  <rowBreaks count="1" manualBreakCount="1">
    <brk id="57" min="1" max="37" man="1"/>
  </rowBreaks>
  <customProperties>
    <customPr name="SheetOptions" r:id="rId2"/>
  </customProperties>
  <ignoredErrors>
    <ignoredError sqref="AK16:AK18 AK20 AK34 AK40 AK53 AK57 AK55" unlockedFormula="1"/>
    <ignoredError sqref="AK48:AK49 AK63:AK67 AK61:AK62 AK68:AK77" 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AJ82"/>
  <sheetViews>
    <sheetView showGridLines="0" zoomScale="90" workbookViewId="0"/>
  </sheetViews>
  <sheetFormatPr defaultRowHeight="12.5"/>
  <cols>
    <col min="1" max="1" width="40.4609375" style="80" customWidth="1"/>
    <col min="2" max="2" width="10.4609375" style="80" customWidth="1"/>
    <col min="3" max="3" width="1.07421875" style="80" customWidth="1"/>
    <col min="4" max="4" width="10" style="80" customWidth="1"/>
    <col min="5" max="5" width="1.07421875" style="80" customWidth="1"/>
    <col min="6" max="6" width="9.84375" style="720" bestFit="1" customWidth="1"/>
    <col min="7" max="7" width="1.07421875" style="80" customWidth="1"/>
    <col min="8" max="8" width="10" style="80" customWidth="1"/>
    <col min="9" max="9" width="1.07421875" style="80" customWidth="1"/>
    <col min="10" max="10" width="10" style="80" bestFit="1" customWidth="1"/>
    <col min="11" max="11" width="1.07421875" style="80" customWidth="1"/>
    <col min="12" max="12" width="11.07421875" style="80" customWidth="1"/>
    <col min="13" max="13" width="1.07421875" style="80" customWidth="1"/>
    <col min="14" max="14" width="10.84375" style="80" customWidth="1"/>
    <col min="15" max="15" width="1.84375" style="80" customWidth="1"/>
    <col min="16" max="16" width="11" style="80" customWidth="1"/>
    <col min="17" max="17" width="1.07421875" style="80" customWidth="1"/>
    <col min="18" max="18" width="10.84375" style="80" customWidth="1"/>
    <col min="19" max="19" width="1.07421875" style="80" customWidth="1"/>
    <col min="20" max="20" width="10" style="80" customWidth="1"/>
    <col min="21" max="21" width="1.07421875" style="80" customWidth="1"/>
    <col min="22" max="22" width="12.84375" style="80" customWidth="1"/>
    <col min="23" max="23" width="1.07421875" style="80" customWidth="1"/>
    <col min="24" max="24" width="11.07421875" style="80" bestFit="1" customWidth="1"/>
    <col min="25" max="26" width="0.84375" style="80" customWidth="1"/>
    <col min="27" max="27" width="10.53515625" style="80" customWidth="1"/>
    <col min="28" max="29" width="0.84375" style="80" customWidth="1"/>
    <col min="30" max="30" width="10.53515625" style="80" customWidth="1"/>
    <col min="31" max="32" width="0.84375" style="80" customWidth="1"/>
    <col min="33" max="33" width="10.53515625" style="80" customWidth="1"/>
    <col min="34" max="34" width="1.07421875" style="80" customWidth="1"/>
    <col min="35" max="35" width="10.53515625" style="80" customWidth="1"/>
    <col min="36" max="36" width="14.53515625" style="721" customWidth="1"/>
    <col min="37" max="65" width="8.84375" style="80"/>
    <col min="66" max="66" width="38.4609375" style="80" customWidth="1"/>
    <col min="67" max="67" width="8.53515625" style="80" customWidth="1"/>
    <col min="68" max="68" width="1.07421875" style="80" customWidth="1"/>
    <col min="69" max="69" width="8.84375" style="80" customWidth="1"/>
    <col min="70" max="70" width="1.07421875" style="80" customWidth="1"/>
    <col min="71" max="71" width="9.07421875" style="80" customWidth="1"/>
    <col min="72" max="72" width="1.07421875" style="80" customWidth="1"/>
    <col min="73" max="73" width="10" style="80" customWidth="1"/>
    <col min="74" max="74" width="1.07421875" style="80" customWidth="1"/>
    <col min="75" max="75" width="9.07421875" style="80" customWidth="1"/>
    <col min="76" max="76" width="1.07421875" style="80" customWidth="1"/>
    <col min="77" max="77" width="11.07421875" style="80" customWidth="1"/>
    <col min="78" max="78" width="1.07421875" style="80" customWidth="1"/>
    <col min="79" max="79" width="9.07421875" style="80" customWidth="1"/>
    <col min="80" max="80" width="1.84375" style="80" customWidth="1"/>
    <col min="81" max="81" width="11" style="80" customWidth="1"/>
    <col min="82" max="82" width="1.07421875" style="80" customWidth="1"/>
    <col min="83" max="83" width="10.84375" style="80" customWidth="1"/>
    <col min="84" max="84" width="1.07421875" style="80" customWidth="1"/>
    <col min="85" max="85" width="10" style="80" customWidth="1"/>
    <col min="86" max="86" width="1.07421875" style="80" customWidth="1"/>
    <col min="87" max="87" width="9.07421875" style="80" customWidth="1"/>
    <col min="88" max="88" width="1.07421875" style="80" customWidth="1"/>
    <col min="89" max="89" width="7.84375" style="80" customWidth="1"/>
    <col min="90" max="90" width="1.07421875" style="80" customWidth="1"/>
    <col min="91" max="91" width="0.84375" style="80" customWidth="1"/>
    <col min="92" max="92" width="9.07421875" style="80" customWidth="1"/>
    <col min="93" max="93" width="1.07421875" style="80" customWidth="1"/>
    <col min="94" max="94" width="0.84375" style="80" customWidth="1"/>
    <col min="95" max="95" width="9.53515625" style="80" bestFit="1" customWidth="1"/>
    <col min="96" max="97" width="0.84375" style="80" customWidth="1"/>
    <col min="98" max="98" width="9.84375" style="80" customWidth="1"/>
    <col min="99" max="99" width="1.07421875" style="80" customWidth="1"/>
    <col min="100" max="100" width="8.53515625" style="80" customWidth="1"/>
    <col min="101" max="101" width="14.53515625" style="80" customWidth="1"/>
    <col min="102" max="102" width="10" style="80" customWidth="1"/>
    <col min="103" max="103" width="7.84375" style="80" bestFit="1" customWidth="1"/>
    <col min="104" max="104" width="9.84375" style="80" customWidth="1"/>
    <col min="105" max="321" width="8.84375" style="80"/>
    <col min="322" max="322" width="38.4609375" style="80" customWidth="1"/>
    <col min="323" max="323" width="8.53515625" style="80" customWidth="1"/>
    <col min="324" max="324" width="1.07421875" style="80" customWidth="1"/>
    <col min="325" max="325" width="8.84375" style="80" customWidth="1"/>
    <col min="326" max="326" width="1.07421875" style="80" customWidth="1"/>
    <col min="327" max="327" width="9.07421875" style="80" customWidth="1"/>
    <col min="328" max="328" width="1.07421875" style="80" customWidth="1"/>
    <col min="329" max="329" width="10" style="80" customWidth="1"/>
    <col min="330" max="330" width="1.07421875" style="80" customWidth="1"/>
    <col min="331" max="331" width="9.07421875" style="80" customWidth="1"/>
    <col min="332" max="332" width="1.07421875" style="80" customWidth="1"/>
    <col min="333" max="333" width="11.07421875" style="80" customWidth="1"/>
    <col min="334" max="334" width="1.07421875" style="80" customWidth="1"/>
    <col min="335" max="335" width="9.07421875" style="80" customWidth="1"/>
    <col min="336" max="336" width="1.84375" style="80" customWidth="1"/>
    <col min="337" max="337" width="11" style="80" customWidth="1"/>
    <col min="338" max="338" width="1.07421875" style="80" customWidth="1"/>
    <col min="339" max="339" width="10.84375" style="80" customWidth="1"/>
    <col min="340" max="340" width="1.07421875" style="80" customWidth="1"/>
    <col min="341" max="341" width="10" style="80" customWidth="1"/>
    <col min="342" max="342" width="1.07421875" style="80" customWidth="1"/>
    <col min="343" max="343" width="9.07421875" style="80" customWidth="1"/>
    <col min="344" max="344" width="1.07421875" style="80" customWidth="1"/>
    <col min="345" max="345" width="7.84375" style="80" customWidth="1"/>
    <col min="346" max="346" width="1.07421875" style="80" customWidth="1"/>
    <col min="347" max="347" width="0.84375" style="80" customWidth="1"/>
    <col min="348" max="348" width="9.07421875" style="80" customWidth="1"/>
    <col min="349" max="349" width="1.07421875" style="80" customWidth="1"/>
    <col min="350" max="350" width="0.84375" style="80" customWidth="1"/>
    <col min="351" max="351" width="9.53515625" style="80" bestFit="1" customWidth="1"/>
    <col min="352" max="353" width="0.84375" style="80" customWidth="1"/>
    <col min="354" max="354" width="9.84375" style="80" customWidth="1"/>
    <col min="355" max="355" width="1.07421875" style="80" customWidth="1"/>
    <col min="356" max="356" width="8.53515625" style="80" customWidth="1"/>
    <col min="357" max="357" width="14.53515625" style="80" customWidth="1"/>
    <col min="358" max="358" width="10" style="80" customWidth="1"/>
    <col min="359" max="359" width="7.84375" style="80" bestFit="1" customWidth="1"/>
    <col min="360" max="360" width="9.84375" style="80" customWidth="1"/>
    <col min="361" max="577" width="8.84375" style="80"/>
    <col min="578" max="578" width="38.4609375" style="80" customWidth="1"/>
    <col min="579" max="579" width="8.53515625" style="80" customWidth="1"/>
    <col min="580" max="580" width="1.07421875" style="80" customWidth="1"/>
    <col min="581" max="581" width="8.84375" style="80" customWidth="1"/>
    <col min="582" max="582" width="1.07421875" style="80" customWidth="1"/>
    <col min="583" max="583" width="9.07421875" style="80" customWidth="1"/>
    <col min="584" max="584" width="1.07421875" style="80" customWidth="1"/>
    <col min="585" max="585" width="10" style="80" customWidth="1"/>
    <col min="586" max="586" width="1.07421875" style="80" customWidth="1"/>
    <col min="587" max="587" width="9.07421875" style="80" customWidth="1"/>
    <col min="588" max="588" width="1.07421875" style="80" customWidth="1"/>
    <col min="589" max="589" width="11.07421875" style="80" customWidth="1"/>
    <col min="590" max="590" width="1.07421875" style="80" customWidth="1"/>
    <col min="591" max="591" width="9.07421875" style="80" customWidth="1"/>
    <col min="592" max="592" width="1.84375" style="80" customWidth="1"/>
    <col min="593" max="593" width="11" style="80" customWidth="1"/>
    <col min="594" max="594" width="1.07421875" style="80" customWidth="1"/>
    <col min="595" max="595" width="10.84375" style="80" customWidth="1"/>
    <col min="596" max="596" width="1.07421875" style="80" customWidth="1"/>
    <col min="597" max="597" width="10" style="80" customWidth="1"/>
    <col min="598" max="598" width="1.07421875" style="80" customWidth="1"/>
    <col min="599" max="599" width="9.07421875" style="80" customWidth="1"/>
    <col min="600" max="600" width="1.07421875" style="80" customWidth="1"/>
    <col min="601" max="601" width="7.84375" style="80" customWidth="1"/>
    <col min="602" max="602" width="1.07421875" style="80" customWidth="1"/>
    <col min="603" max="603" width="0.84375" style="80" customWidth="1"/>
    <col min="604" max="604" width="9.07421875" style="80" customWidth="1"/>
    <col min="605" max="605" width="1.07421875" style="80" customWidth="1"/>
    <col min="606" max="606" width="0.84375" style="80" customWidth="1"/>
    <col min="607" max="607" width="9.53515625" style="80" bestFit="1" customWidth="1"/>
    <col min="608" max="609" width="0.84375" style="80" customWidth="1"/>
    <col min="610" max="610" width="9.84375" style="80" customWidth="1"/>
    <col min="611" max="611" width="1.07421875" style="80" customWidth="1"/>
    <col min="612" max="612" width="8.53515625" style="80" customWidth="1"/>
    <col min="613" max="613" width="14.53515625" style="80" customWidth="1"/>
    <col min="614" max="614" width="10" style="80" customWidth="1"/>
    <col min="615" max="615" width="7.84375" style="80" bestFit="1" customWidth="1"/>
    <col min="616" max="616" width="9.84375" style="80" customWidth="1"/>
    <col min="617" max="833" width="8.84375" style="80"/>
    <col min="834" max="834" width="38.4609375" style="80" customWidth="1"/>
    <col min="835" max="835" width="8.53515625" style="80" customWidth="1"/>
    <col min="836" max="836" width="1.07421875" style="80" customWidth="1"/>
    <col min="837" max="837" width="8.84375" style="80" customWidth="1"/>
    <col min="838" max="838" width="1.07421875" style="80" customWidth="1"/>
    <col min="839" max="839" width="9.07421875" style="80" customWidth="1"/>
    <col min="840" max="840" width="1.07421875" style="80" customWidth="1"/>
    <col min="841" max="841" width="10" style="80" customWidth="1"/>
    <col min="842" max="842" width="1.07421875" style="80" customWidth="1"/>
    <col min="843" max="843" width="9.07421875" style="80" customWidth="1"/>
    <col min="844" max="844" width="1.07421875" style="80" customWidth="1"/>
    <col min="845" max="845" width="11.07421875" style="80" customWidth="1"/>
    <col min="846" max="846" width="1.07421875" style="80" customWidth="1"/>
    <col min="847" max="847" width="9.07421875" style="80" customWidth="1"/>
    <col min="848" max="848" width="1.84375" style="80" customWidth="1"/>
    <col min="849" max="849" width="11" style="80" customWidth="1"/>
    <col min="850" max="850" width="1.07421875" style="80" customWidth="1"/>
    <col min="851" max="851" width="10.84375" style="80" customWidth="1"/>
    <col min="852" max="852" width="1.07421875" style="80" customWidth="1"/>
    <col min="853" max="853" width="10" style="80" customWidth="1"/>
    <col min="854" max="854" width="1.07421875" style="80" customWidth="1"/>
    <col min="855" max="855" width="9.07421875" style="80" customWidth="1"/>
    <col min="856" max="856" width="1.07421875" style="80" customWidth="1"/>
    <col min="857" max="857" width="7.84375" style="80" customWidth="1"/>
    <col min="858" max="858" width="1.07421875" style="80" customWidth="1"/>
    <col min="859" max="859" width="0.84375" style="80" customWidth="1"/>
    <col min="860" max="860" width="9.07421875" style="80" customWidth="1"/>
    <col min="861" max="861" width="1.07421875" style="80" customWidth="1"/>
    <col min="862" max="862" width="0.84375" style="80" customWidth="1"/>
    <col min="863" max="863" width="9.53515625" style="80" bestFit="1" customWidth="1"/>
    <col min="864" max="865" width="0.84375" style="80" customWidth="1"/>
    <col min="866" max="866" width="9.84375" style="80" customWidth="1"/>
    <col min="867" max="867" width="1.07421875" style="80" customWidth="1"/>
    <col min="868" max="868" width="8.53515625" style="80" customWidth="1"/>
    <col min="869" max="869" width="14.53515625" style="80" customWidth="1"/>
    <col min="870" max="870" width="10" style="80" customWidth="1"/>
    <col min="871" max="871" width="7.84375" style="80" bestFit="1" customWidth="1"/>
    <col min="872" max="872" width="9.84375" style="80" customWidth="1"/>
    <col min="873" max="1089" width="8.84375" style="80"/>
    <col min="1090" max="1090" width="38.4609375" style="80" customWidth="1"/>
    <col min="1091" max="1091" width="8.53515625" style="80" customWidth="1"/>
    <col min="1092" max="1092" width="1.07421875" style="80" customWidth="1"/>
    <col min="1093" max="1093" width="8.84375" style="80" customWidth="1"/>
    <col min="1094" max="1094" width="1.07421875" style="80" customWidth="1"/>
    <col min="1095" max="1095" width="9.07421875" style="80" customWidth="1"/>
    <col min="1096" max="1096" width="1.07421875" style="80" customWidth="1"/>
    <col min="1097" max="1097" width="10" style="80" customWidth="1"/>
    <col min="1098" max="1098" width="1.07421875" style="80" customWidth="1"/>
    <col min="1099" max="1099" width="9.07421875" style="80" customWidth="1"/>
    <col min="1100" max="1100" width="1.07421875" style="80" customWidth="1"/>
    <col min="1101" max="1101" width="11.07421875" style="80" customWidth="1"/>
    <col min="1102" max="1102" width="1.07421875" style="80" customWidth="1"/>
    <col min="1103" max="1103" width="9.07421875" style="80" customWidth="1"/>
    <col min="1104" max="1104" width="1.84375" style="80" customWidth="1"/>
    <col min="1105" max="1105" width="11" style="80" customWidth="1"/>
    <col min="1106" max="1106" width="1.07421875" style="80" customWidth="1"/>
    <col min="1107" max="1107" width="10.84375" style="80" customWidth="1"/>
    <col min="1108" max="1108" width="1.07421875" style="80" customWidth="1"/>
    <col min="1109" max="1109" width="10" style="80" customWidth="1"/>
    <col min="1110" max="1110" width="1.07421875" style="80" customWidth="1"/>
    <col min="1111" max="1111" width="9.07421875" style="80" customWidth="1"/>
    <col min="1112" max="1112" width="1.07421875" style="80" customWidth="1"/>
    <col min="1113" max="1113" width="7.84375" style="80" customWidth="1"/>
    <col min="1114" max="1114" width="1.07421875" style="80" customWidth="1"/>
    <col min="1115" max="1115" width="0.84375" style="80" customWidth="1"/>
    <col min="1116" max="1116" width="9.07421875" style="80" customWidth="1"/>
    <col min="1117" max="1117" width="1.07421875" style="80" customWidth="1"/>
    <col min="1118" max="1118" width="0.84375" style="80" customWidth="1"/>
    <col min="1119" max="1119" width="9.53515625" style="80" bestFit="1" customWidth="1"/>
    <col min="1120" max="1121" width="0.84375" style="80" customWidth="1"/>
    <col min="1122" max="1122" width="9.84375" style="80" customWidth="1"/>
    <col min="1123" max="1123" width="1.07421875" style="80" customWidth="1"/>
    <col min="1124" max="1124" width="8.53515625" style="80" customWidth="1"/>
    <col min="1125" max="1125" width="14.53515625" style="80" customWidth="1"/>
    <col min="1126" max="1126" width="10" style="80" customWidth="1"/>
    <col min="1127" max="1127" width="7.84375" style="80" bestFit="1" customWidth="1"/>
    <col min="1128" max="1128" width="9.84375" style="80" customWidth="1"/>
    <col min="1129" max="1345" width="8.84375" style="80"/>
    <col min="1346" max="1346" width="38.4609375" style="80" customWidth="1"/>
    <col min="1347" max="1347" width="8.53515625" style="80" customWidth="1"/>
    <col min="1348" max="1348" width="1.07421875" style="80" customWidth="1"/>
    <col min="1349" max="1349" width="8.84375" style="80" customWidth="1"/>
    <col min="1350" max="1350" width="1.07421875" style="80" customWidth="1"/>
    <col min="1351" max="1351" width="9.07421875" style="80" customWidth="1"/>
    <col min="1352" max="1352" width="1.07421875" style="80" customWidth="1"/>
    <col min="1353" max="1353" width="10" style="80" customWidth="1"/>
    <col min="1354" max="1354" width="1.07421875" style="80" customWidth="1"/>
    <col min="1355" max="1355" width="9.07421875" style="80" customWidth="1"/>
    <col min="1356" max="1356" width="1.07421875" style="80" customWidth="1"/>
    <col min="1357" max="1357" width="11.07421875" style="80" customWidth="1"/>
    <col min="1358" max="1358" width="1.07421875" style="80" customWidth="1"/>
    <col min="1359" max="1359" width="9.07421875" style="80" customWidth="1"/>
    <col min="1360" max="1360" width="1.84375" style="80" customWidth="1"/>
    <col min="1361" max="1361" width="11" style="80" customWidth="1"/>
    <col min="1362" max="1362" width="1.07421875" style="80" customWidth="1"/>
    <col min="1363" max="1363" width="10.84375" style="80" customWidth="1"/>
    <col min="1364" max="1364" width="1.07421875" style="80" customWidth="1"/>
    <col min="1365" max="1365" width="10" style="80" customWidth="1"/>
    <col min="1366" max="1366" width="1.07421875" style="80" customWidth="1"/>
    <col min="1367" max="1367" width="9.07421875" style="80" customWidth="1"/>
    <col min="1368" max="1368" width="1.07421875" style="80" customWidth="1"/>
    <col min="1369" max="1369" width="7.84375" style="80" customWidth="1"/>
    <col min="1370" max="1370" width="1.07421875" style="80" customWidth="1"/>
    <col min="1371" max="1371" width="0.84375" style="80" customWidth="1"/>
    <col min="1372" max="1372" width="9.07421875" style="80" customWidth="1"/>
    <col min="1373" max="1373" width="1.07421875" style="80" customWidth="1"/>
    <col min="1374" max="1374" width="0.84375" style="80" customWidth="1"/>
    <col min="1375" max="1375" width="9.53515625" style="80" bestFit="1" customWidth="1"/>
    <col min="1376" max="1377" width="0.84375" style="80" customWidth="1"/>
    <col min="1378" max="1378" width="9.84375" style="80" customWidth="1"/>
    <col min="1379" max="1379" width="1.07421875" style="80" customWidth="1"/>
    <col min="1380" max="1380" width="8.53515625" style="80" customWidth="1"/>
    <col min="1381" max="1381" width="14.53515625" style="80" customWidth="1"/>
    <col min="1382" max="1382" width="10" style="80" customWidth="1"/>
    <col min="1383" max="1383" width="7.84375" style="80" bestFit="1" customWidth="1"/>
    <col min="1384" max="1384" width="9.84375" style="80" customWidth="1"/>
    <col min="1385" max="1601" width="8.84375" style="80"/>
    <col min="1602" max="1602" width="38.4609375" style="80" customWidth="1"/>
    <col min="1603" max="1603" width="8.53515625" style="80" customWidth="1"/>
    <col min="1604" max="1604" width="1.07421875" style="80" customWidth="1"/>
    <col min="1605" max="1605" width="8.84375" style="80" customWidth="1"/>
    <col min="1606" max="1606" width="1.07421875" style="80" customWidth="1"/>
    <col min="1607" max="1607" width="9.07421875" style="80" customWidth="1"/>
    <col min="1608" max="1608" width="1.07421875" style="80" customWidth="1"/>
    <col min="1609" max="1609" width="10" style="80" customWidth="1"/>
    <col min="1610" max="1610" width="1.07421875" style="80" customWidth="1"/>
    <col min="1611" max="1611" width="9.07421875" style="80" customWidth="1"/>
    <col min="1612" max="1612" width="1.07421875" style="80" customWidth="1"/>
    <col min="1613" max="1613" width="11.07421875" style="80" customWidth="1"/>
    <col min="1614" max="1614" width="1.07421875" style="80" customWidth="1"/>
    <col min="1615" max="1615" width="9.07421875" style="80" customWidth="1"/>
    <col min="1616" max="1616" width="1.84375" style="80" customWidth="1"/>
    <col min="1617" max="1617" width="11" style="80" customWidth="1"/>
    <col min="1618" max="1618" width="1.07421875" style="80" customWidth="1"/>
    <col min="1619" max="1619" width="10.84375" style="80" customWidth="1"/>
    <col min="1620" max="1620" width="1.07421875" style="80" customWidth="1"/>
    <col min="1621" max="1621" width="10" style="80" customWidth="1"/>
    <col min="1622" max="1622" width="1.07421875" style="80" customWidth="1"/>
    <col min="1623" max="1623" width="9.07421875" style="80" customWidth="1"/>
    <col min="1624" max="1624" width="1.07421875" style="80" customWidth="1"/>
    <col min="1625" max="1625" width="7.84375" style="80" customWidth="1"/>
    <col min="1626" max="1626" width="1.07421875" style="80" customWidth="1"/>
    <col min="1627" max="1627" width="0.84375" style="80" customWidth="1"/>
    <col min="1628" max="1628" width="9.07421875" style="80" customWidth="1"/>
    <col min="1629" max="1629" width="1.07421875" style="80" customWidth="1"/>
    <col min="1630" max="1630" width="0.84375" style="80" customWidth="1"/>
    <col min="1631" max="1631" width="9.53515625" style="80" bestFit="1" customWidth="1"/>
    <col min="1632" max="1633" width="0.84375" style="80" customWidth="1"/>
    <col min="1634" max="1634" width="9.84375" style="80" customWidth="1"/>
    <col min="1635" max="1635" width="1.07421875" style="80" customWidth="1"/>
    <col min="1636" max="1636" width="8.53515625" style="80" customWidth="1"/>
    <col min="1637" max="1637" width="14.53515625" style="80" customWidth="1"/>
    <col min="1638" max="1638" width="10" style="80" customWidth="1"/>
    <col min="1639" max="1639" width="7.84375" style="80" bestFit="1" customWidth="1"/>
    <col min="1640" max="1640" width="9.84375" style="80" customWidth="1"/>
    <col min="1641" max="1857" width="8.84375" style="80"/>
    <col min="1858" max="1858" width="38.4609375" style="80" customWidth="1"/>
    <col min="1859" max="1859" width="8.53515625" style="80" customWidth="1"/>
    <col min="1860" max="1860" width="1.07421875" style="80" customWidth="1"/>
    <col min="1861" max="1861" width="8.84375" style="80" customWidth="1"/>
    <col min="1862" max="1862" width="1.07421875" style="80" customWidth="1"/>
    <col min="1863" max="1863" width="9.07421875" style="80" customWidth="1"/>
    <col min="1864" max="1864" width="1.07421875" style="80" customWidth="1"/>
    <col min="1865" max="1865" width="10" style="80" customWidth="1"/>
    <col min="1866" max="1866" width="1.07421875" style="80" customWidth="1"/>
    <col min="1867" max="1867" width="9.07421875" style="80" customWidth="1"/>
    <col min="1868" max="1868" width="1.07421875" style="80" customWidth="1"/>
    <col min="1869" max="1869" width="11.07421875" style="80" customWidth="1"/>
    <col min="1870" max="1870" width="1.07421875" style="80" customWidth="1"/>
    <col min="1871" max="1871" width="9.07421875" style="80" customWidth="1"/>
    <col min="1872" max="1872" width="1.84375" style="80" customWidth="1"/>
    <col min="1873" max="1873" width="11" style="80" customWidth="1"/>
    <col min="1874" max="1874" width="1.07421875" style="80" customWidth="1"/>
    <col min="1875" max="1875" width="10.84375" style="80" customWidth="1"/>
    <col min="1876" max="1876" width="1.07421875" style="80" customWidth="1"/>
    <col min="1877" max="1877" width="10" style="80" customWidth="1"/>
    <col min="1878" max="1878" width="1.07421875" style="80" customWidth="1"/>
    <col min="1879" max="1879" width="9.07421875" style="80" customWidth="1"/>
    <col min="1880" max="1880" width="1.07421875" style="80" customWidth="1"/>
    <col min="1881" max="1881" width="7.84375" style="80" customWidth="1"/>
    <col min="1882" max="1882" width="1.07421875" style="80" customWidth="1"/>
    <col min="1883" max="1883" width="0.84375" style="80" customWidth="1"/>
    <col min="1884" max="1884" width="9.07421875" style="80" customWidth="1"/>
    <col min="1885" max="1885" width="1.07421875" style="80" customWidth="1"/>
    <col min="1886" max="1886" width="0.84375" style="80" customWidth="1"/>
    <col min="1887" max="1887" width="9.53515625" style="80" bestFit="1" customWidth="1"/>
    <col min="1888" max="1889" width="0.84375" style="80" customWidth="1"/>
    <col min="1890" max="1890" width="9.84375" style="80" customWidth="1"/>
    <col min="1891" max="1891" width="1.07421875" style="80" customWidth="1"/>
    <col min="1892" max="1892" width="8.53515625" style="80" customWidth="1"/>
    <col min="1893" max="1893" width="14.53515625" style="80" customWidth="1"/>
    <col min="1894" max="1894" width="10" style="80" customWidth="1"/>
    <col min="1895" max="1895" width="7.84375" style="80" bestFit="1" customWidth="1"/>
    <col min="1896" max="1896" width="9.84375" style="80" customWidth="1"/>
    <col min="1897" max="2113" width="8.84375" style="80"/>
    <col min="2114" max="2114" width="38.4609375" style="80" customWidth="1"/>
    <col min="2115" max="2115" width="8.53515625" style="80" customWidth="1"/>
    <col min="2116" max="2116" width="1.07421875" style="80" customWidth="1"/>
    <col min="2117" max="2117" width="8.84375" style="80" customWidth="1"/>
    <col min="2118" max="2118" width="1.07421875" style="80" customWidth="1"/>
    <col min="2119" max="2119" width="9.07421875" style="80" customWidth="1"/>
    <col min="2120" max="2120" width="1.07421875" style="80" customWidth="1"/>
    <col min="2121" max="2121" width="10" style="80" customWidth="1"/>
    <col min="2122" max="2122" width="1.07421875" style="80" customWidth="1"/>
    <col min="2123" max="2123" width="9.07421875" style="80" customWidth="1"/>
    <col min="2124" max="2124" width="1.07421875" style="80" customWidth="1"/>
    <col min="2125" max="2125" width="11.07421875" style="80" customWidth="1"/>
    <col min="2126" max="2126" width="1.07421875" style="80" customWidth="1"/>
    <col min="2127" max="2127" width="9.07421875" style="80" customWidth="1"/>
    <col min="2128" max="2128" width="1.84375" style="80" customWidth="1"/>
    <col min="2129" max="2129" width="11" style="80" customWidth="1"/>
    <col min="2130" max="2130" width="1.07421875" style="80" customWidth="1"/>
    <col min="2131" max="2131" width="10.84375" style="80" customWidth="1"/>
    <col min="2132" max="2132" width="1.07421875" style="80" customWidth="1"/>
    <col min="2133" max="2133" width="10" style="80" customWidth="1"/>
    <col min="2134" max="2134" width="1.07421875" style="80" customWidth="1"/>
    <col min="2135" max="2135" width="9.07421875" style="80" customWidth="1"/>
    <col min="2136" max="2136" width="1.07421875" style="80" customWidth="1"/>
    <col min="2137" max="2137" width="7.84375" style="80" customWidth="1"/>
    <col min="2138" max="2138" width="1.07421875" style="80" customWidth="1"/>
    <col min="2139" max="2139" width="0.84375" style="80" customWidth="1"/>
    <col min="2140" max="2140" width="9.07421875" style="80" customWidth="1"/>
    <col min="2141" max="2141" width="1.07421875" style="80" customWidth="1"/>
    <col min="2142" max="2142" width="0.84375" style="80" customWidth="1"/>
    <col min="2143" max="2143" width="9.53515625" style="80" bestFit="1" customWidth="1"/>
    <col min="2144" max="2145" width="0.84375" style="80" customWidth="1"/>
    <col min="2146" max="2146" width="9.84375" style="80" customWidth="1"/>
    <col min="2147" max="2147" width="1.07421875" style="80" customWidth="1"/>
    <col min="2148" max="2148" width="8.53515625" style="80" customWidth="1"/>
    <col min="2149" max="2149" width="14.53515625" style="80" customWidth="1"/>
    <col min="2150" max="2150" width="10" style="80" customWidth="1"/>
    <col min="2151" max="2151" width="7.84375" style="80" bestFit="1" customWidth="1"/>
    <col min="2152" max="2152" width="9.84375" style="80" customWidth="1"/>
    <col min="2153" max="2369" width="8.84375" style="80"/>
    <col min="2370" max="2370" width="38.4609375" style="80" customWidth="1"/>
    <col min="2371" max="2371" width="8.53515625" style="80" customWidth="1"/>
    <col min="2372" max="2372" width="1.07421875" style="80" customWidth="1"/>
    <col min="2373" max="2373" width="8.84375" style="80" customWidth="1"/>
    <col min="2374" max="2374" width="1.07421875" style="80" customWidth="1"/>
    <col min="2375" max="2375" width="9.07421875" style="80" customWidth="1"/>
    <col min="2376" max="2376" width="1.07421875" style="80" customWidth="1"/>
    <col min="2377" max="2377" width="10" style="80" customWidth="1"/>
    <col min="2378" max="2378" width="1.07421875" style="80" customWidth="1"/>
    <col min="2379" max="2379" width="9.07421875" style="80" customWidth="1"/>
    <col min="2380" max="2380" width="1.07421875" style="80" customWidth="1"/>
    <col min="2381" max="2381" width="11.07421875" style="80" customWidth="1"/>
    <col min="2382" max="2382" width="1.07421875" style="80" customWidth="1"/>
    <col min="2383" max="2383" width="9.07421875" style="80" customWidth="1"/>
    <col min="2384" max="2384" width="1.84375" style="80" customWidth="1"/>
    <col min="2385" max="2385" width="11" style="80" customWidth="1"/>
    <col min="2386" max="2386" width="1.07421875" style="80" customWidth="1"/>
    <col min="2387" max="2387" width="10.84375" style="80" customWidth="1"/>
    <col min="2388" max="2388" width="1.07421875" style="80" customWidth="1"/>
    <col min="2389" max="2389" width="10" style="80" customWidth="1"/>
    <col min="2390" max="2390" width="1.07421875" style="80" customWidth="1"/>
    <col min="2391" max="2391" width="9.07421875" style="80" customWidth="1"/>
    <col min="2392" max="2392" width="1.07421875" style="80" customWidth="1"/>
    <col min="2393" max="2393" width="7.84375" style="80" customWidth="1"/>
    <col min="2394" max="2394" width="1.07421875" style="80" customWidth="1"/>
    <col min="2395" max="2395" width="0.84375" style="80" customWidth="1"/>
    <col min="2396" max="2396" width="9.07421875" style="80" customWidth="1"/>
    <col min="2397" max="2397" width="1.07421875" style="80" customWidth="1"/>
    <col min="2398" max="2398" width="0.84375" style="80" customWidth="1"/>
    <col min="2399" max="2399" width="9.53515625" style="80" bestFit="1" customWidth="1"/>
    <col min="2400" max="2401" width="0.84375" style="80" customWidth="1"/>
    <col min="2402" max="2402" width="9.84375" style="80" customWidth="1"/>
    <col min="2403" max="2403" width="1.07421875" style="80" customWidth="1"/>
    <col min="2404" max="2404" width="8.53515625" style="80" customWidth="1"/>
    <col min="2405" max="2405" width="14.53515625" style="80" customWidth="1"/>
    <col min="2406" max="2406" width="10" style="80" customWidth="1"/>
    <col min="2407" max="2407" width="7.84375" style="80" bestFit="1" customWidth="1"/>
    <col min="2408" max="2408" width="9.84375" style="80" customWidth="1"/>
    <col min="2409" max="2625" width="8.84375" style="80"/>
    <col min="2626" max="2626" width="38.4609375" style="80" customWidth="1"/>
    <col min="2627" max="2627" width="8.53515625" style="80" customWidth="1"/>
    <col min="2628" max="2628" width="1.07421875" style="80" customWidth="1"/>
    <col min="2629" max="2629" width="8.84375" style="80" customWidth="1"/>
    <col min="2630" max="2630" width="1.07421875" style="80" customWidth="1"/>
    <col min="2631" max="2631" width="9.07421875" style="80" customWidth="1"/>
    <col min="2632" max="2632" width="1.07421875" style="80" customWidth="1"/>
    <col min="2633" max="2633" width="10" style="80" customWidth="1"/>
    <col min="2634" max="2634" width="1.07421875" style="80" customWidth="1"/>
    <col min="2635" max="2635" width="9.07421875" style="80" customWidth="1"/>
    <col min="2636" max="2636" width="1.07421875" style="80" customWidth="1"/>
    <col min="2637" max="2637" width="11.07421875" style="80" customWidth="1"/>
    <col min="2638" max="2638" width="1.07421875" style="80" customWidth="1"/>
    <col min="2639" max="2639" width="9.07421875" style="80" customWidth="1"/>
    <col min="2640" max="2640" width="1.84375" style="80" customWidth="1"/>
    <col min="2641" max="2641" width="11" style="80" customWidth="1"/>
    <col min="2642" max="2642" width="1.07421875" style="80" customWidth="1"/>
    <col min="2643" max="2643" width="10.84375" style="80" customWidth="1"/>
    <col min="2644" max="2644" width="1.07421875" style="80" customWidth="1"/>
    <col min="2645" max="2645" width="10" style="80" customWidth="1"/>
    <col min="2646" max="2646" width="1.07421875" style="80" customWidth="1"/>
    <col min="2647" max="2647" width="9.07421875" style="80" customWidth="1"/>
    <col min="2648" max="2648" width="1.07421875" style="80" customWidth="1"/>
    <col min="2649" max="2649" width="7.84375" style="80" customWidth="1"/>
    <col min="2650" max="2650" width="1.07421875" style="80" customWidth="1"/>
    <col min="2651" max="2651" width="0.84375" style="80" customWidth="1"/>
    <col min="2652" max="2652" width="9.07421875" style="80" customWidth="1"/>
    <col min="2653" max="2653" width="1.07421875" style="80" customWidth="1"/>
    <col min="2654" max="2654" width="0.84375" style="80" customWidth="1"/>
    <col min="2655" max="2655" width="9.53515625" style="80" bestFit="1" customWidth="1"/>
    <col min="2656" max="2657" width="0.84375" style="80" customWidth="1"/>
    <col min="2658" max="2658" width="9.84375" style="80" customWidth="1"/>
    <col min="2659" max="2659" width="1.07421875" style="80" customWidth="1"/>
    <col min="2660" max="2660" width="8.53515625" style="80" customWidth="1"/>
    <col min="2661" max="2661" width="14.53515625" style="80" customWidth="1"/>
    <col min="2662" max="2662" width="10" style="80" customWidth="1"/>
    <col min="2663" max="2663" width="7.84375" style="80" bestFit="1" customWidth="1"/>
    <col min="2664" max="2664" width="9.84375" style="80" customWidth="1"/>
    <col min="2665" max="2881" width="8.84375" style="80"/>
    <col min="2882" max="2882" width="38.4609375" style="80" customWidth="1"/>
    <col min="2883" max="2883" width="8.53515625" style="80" customWidth="1"/>
    <col min="2884" max="2884" width="1.07421875" style="80" customWidth="1"/>
    <col min="2885" max="2885" width="8.84375" style="80" customWidth="1"/>
    <col min="2886" max="2886" width="1.07421875" style="80" customWidth="1"/>
    <col min="2887" max="2887" width="9.07421875" style="80" customWidth="1"/>
    <col min="2888" max="2888" width="1.07421875" style="80" customWidth="1"/>
    <col min="2889" max="2889" width="10" style="80" customWidth="1"/>
    <col min="2890" max="2890" width="1.07421875" style="80" customWidth="1"/>
    <col min="2891" max="2891" width="9.07421875" style="80" customWidth="1"/>
    <col min="2892" max="2892" width="1.07421875" style="80" customWidth="1"/>
    <col min="2893" max="2893" width="11.07421875" style="80" customWidth="1"/>
    <col min="2894" max="2894" width="1.07421875" style="80" customWidth="1"/>
    <col min="2895" max="2895" width="9.07421875" style="80" customWidth="1"/>
    <col min="2896" max="2896" width="1.84375" style="80" customWidth="1"/>
    <col min="2897" max="2897" width="11" style="80" customWidth="1"/>
    <col min="2898" max="2898" width="1.07421875" style="80" customWidth="1"/>
    <col min="2899" max="2899" width="10.84375" style="80" customWidth="1"/>
    <col min="2900" max="2900" width="1.07421875" style="80" customWidth="1"/>
    <col min="2901" max="2901" width="10" style="80" customWidth="1"/>
    <col min="2902" max="2902" width="1.07421875" style="80" customWidth="1"/>
    <col min="2903" max="2903" width="9.07421875" style="80" customWidth="1"/>
    <col min="2904" max="2904" width="1.07421875" style="80" customWidth="1"/>
    <col min="2905" max="2905" width="7.84375" style="80" customWidth="1"/>
    <col min="2906" max="2906" width="1.07421875" style="80" customWidth="1"/>
    <col min="2907" max="2907" width="0.84375" style="80" customWidth="1"/>
    <col min="2908" max="2908" width="9.07421875" style="80" customWidth="1"/>
    <col min="2909" max="2909" width="1.07421875" style="80" customWidth="1"/>
    <col min="2910" max="2910" width="0.84375" style="80" customWidth="1"/>
    <col min="2911" max="2911" width="9.53515625" style="80" bestFit="1" customWidth="1"/>
    <col min="2912" max="2913" width="0.84375" style="80" customWidth="1"/>
    <col min="2914" max="2914" width="9.84375" style="80" customWidth="1"/>
    <col min="2915" max="2915" width="1.07421875" style="80" customWidth="1"/>
    <col min="2916" max="2916" width="8.53515625" style="80" customWidth="1"/>
    <col min="2917" max="2917" width="14.53515625" style="80" customWidth="1"/>
    <col min="2918" max="2918" width="10" style="80" customWidth="1"/>
    <col min="2919" max="2919" width="7.84375" style="80" bestFit="1" customWidth="1"/>
    <col min="2920" max="2920" width="9.84375" style="80" customWidth="1"/>
    <col min="2921" max="3137" width="8.84375" style="80"/>
    <col min="3138" max="3138" width="38.4609375" style="80" customWidth="1"/>
    <col min="3139" max="3139" width="8.53515625" style="80" customWidth="1"/>
    <col min="3140" max="3140" width="1.07421875" style="80" customWidth="1"/>
    <col min="3141" max="3141" width="8.84375" style="80" customWidth="1"/>
    <col min="3142" max="3142" width="1.07421875" style="80" customWidth="1"/>
    <col min="3143" max="3143" width="9.07421875" style="80" customWidth="1"/>
    <col min="3144" max="3144" width="1.07421875" style="80" customWidth="1"/>
    <col min="3145" max="3145" width="10" style="80" customWidth="1"/>
    <col min="3146" max="3146" width="1.07421875" style="80" customWidth="1"/>
    <col min="3147" max="3147" width="9.07421875" style="80" customWidth="1"/>
    <col min="3148" max="3148" width="1.07421875" style="80" customWidth="1"/>
    <col min="3149" max="3149" width="11.07421875" style="80" customWidth="1"/>
    <col min="3150" max="3150" width="1.07421875" style="80" customWidth="1"/>
    <col min="3151" max="3151" width="9.07421875" style="80" customWidth="1"/>
    <col min="3152" max="3152" width="1.84375" style="80" customWidth="1"/>
    <col min="3153" max="3153" width="11" style="80" customWidth="1"/>
    <col min="3154" max="3154" width="1.07421875" style="80" customWidth="1"/>
    <col min="3155" max="3155" width="10.84375" style="80" customWidth="1"/>
    <col min="3156" max="3156" width="1.07421875" style="80" customWidth="1"/>
    <col min="3157" max="3157" width="10" style="80" customWidth="1"/>
    <col min="3158" max="3158" width="1.07421875" style="80" customWidth="1"/>
    <col min="3159" max="3159" width="9.07421875" style="80" customWidth="1"/>
    <col min="3160" max="3160" width="1.07421875" style="80" customWidth="1"/>
    <col min="3161" max="3161" width="7.84375" style="80" customWidth="1"/>
    <col min="3162" max="3162" width="1.07421875" style="80" customWidth="1"/>
    <col min="3163" max="3163" width="0.84375" style="80" customWidth="1"/>
    <col min="3164" max="3164" width="9.07421875" style="80" customWidth="1"/>
    <col min="3165" max="3165" width="1.07421875" style="80" customWidth="1"/>
    <col min="3166" max="3166" width="0.84375" style="80" customWidth="1"/>
    <col min="3167" max="3167" width="9.53515625" style="80" bestFit="1" customWidth="1"/>
    <col min="3168" max="3169" width="0.84375" style="80" customWidth="1"/>
    <col min="3170" max="3170" width="9.84375" style="80" customWidth="1"/>
    <col min="3171" max="3171" width="1.07421875" style="80" customWidth="1"/>
    <col min="3172" max="3172" width="8.53515625" style="80" customWidth="1"/>
    <col min="3173" max="3173" width="14.53515625" style="80" customWidth="1"/>
    <col min="3174" max="3174" width="10" style="80" customWidth="1"/>
    <col min="3175" max="3175" width="7.84375" style="80" bestFit="1" customWidth="1"/>
    <col min="3176" max="3176" width="9.84375" style="80" customWidth="1"/>
    <col min="3177" max="3393" width="8.84375" style="80"/>
    <col min="3394" max="3394" width="38.4609375" style="80" customWidth="1"/>
    <col min="3395" max="3395" width="8.53515625" style="80" customWidth="1"/>
    <col min="3396" max="3396" width="1.07421875" style="80" customWidth="1"/>
    <col min="3397" max="3397" width="8.84375" style="80" customWidth="1"/>
    <col min="3398" max="3398" width="1.07421875" style="80" customWidth="1"/>
    <col min="3399" max="3399" width="9.07421875" style="80" customWidth="1"/>
    <col min="3400" max="3400" width="1.07421875" style="80" customWidth="1"/>
    <col min="3401" max="3401" width="10" style="80" customWidth="1"/>
    <col min="3402" max="3402" width="1.07421875" style="80" customWidth="1"/>
    <col min="3403" max="3403" width="9.07421875" style="80" customWidth="1"/>
    <col min="3404" max="3404" width="1.07421875" style="80" customWidth="1"/>
    <col min="3405" max="3405" width="11.07421875" style="80" customWidth="1"/>
    <col min="3406" max="3406" width="1.07421875" style="80" customWidth="1"/>
    <col min="3407" max="3407" width="9.07421875" style="80" customWidth="1"/>
    <col min="3408" max="3408" width="1.84375" style="80" customWidth="1"/>
    <col min="3409" max="3409" width="11" style="80" customWidth="1"/>
    <col min="3410" max="3410" width="1.07421875" style="80" customWidth="1"/>
    <col min="3411" max="3411" width="10.84375" style="80" customWidth="1"/>
    <col min="3412" max="3412" width="1.07421875" style="80" customWidth="1"/>
    <col min="3413" max="3413" width="10" style="80" customWidth="1"/>
    <col min="3414" max="3414" width="1.07421875" style="80" customWidth="1"/>
    <col min="3415" max="3415" width="9.07421875" style="80" customWidth="1"/>
    <col min="3416" max="3416" width="1.07421875" style="80" customWidth="1"/>
    <col min="3417" max="3417" width="7.84375" style="80" customWidth="1"/>
    <col min="3418" max="3418" width="1.07421875" style="80" customWidth="1"/>
    <col min="3419" max="3419" width="0.84375" style="80" customWidth="1"/>
    <col min="3420" max="3420" width="9.07421875" style="80" customWidth="1"/>
    <col min="3421" max="3421" width="1.07421875" style="80" customWidth="1"/>
    <col min="3422" max="3422" width="0.84375" style="80" customWidth="1"/>
    <col min="3423" max="3423" width="9.53515625" style="80" bestFit="1" customWidth="1"/>
    <col min="3424" max="3425" width="0.84375" style="80" customWidth="1"/>
    <col min="3426" max="3426" width="9.84375" style="80" customWidth="1"/>
    <col min="3427" max="3427" width="1.07421875" style="80" customWidth="1"/>
    <col min="3428" max="3428" width="8.53515625" style="80" customWidth="1"/>
    <col min="3429" max="3429" width="14.53515625" style="80" customWidth="1"/>
    <col min="3430" max="3430" width="10" style="80" customWidth="1"/>
    <col min="3431" max="3431" width="7.84375" style="80" bestFit="1" customWidth="1"/>
    <col min="3432" max="3432" width="9.84375" style="80" customWidth="1"/>
    <col min="3433" max="3649" width="8.84375" style="80"/>
    <col min="3650" max="3650" width="38.4609375" style="80" customWidth="1"/>
    <col min="3651" max="3651" width="8.53515625" style="80" customWidth="1"/>
    <col min="3652" max="3652" width="1.07421875" style="80" customWidth="1"/>
    <col min="3653" max="3653" width="8.84375" style="80" customWidth="1"/>
    <col min="3654" max="3654" width="1.07421875" style="80" customWidth="1"/>
    <col min="3655" max="3655" width="9.07421875" style="80" customWidth="1"/>
    <col min="3656" max="3656" width="1.07421875" style="80" customWidth="1"/>
    <col min="3657" max="3657" width="10" style="80" customWidth="1"/>
    <col min="3658" max="3658" width="1.07421875" style="80" customWidth="1"/>
    <col min="3659" max="3659" width="9.07421875" style="80" customWidth="1"/>
    <col min="3660" max="3660" width="1.07421875" style="80" customWidth="1"/>
    <col min="3661" max="3661" width="11.07421875" style="80" customWidth="1"/>
    <col min="3662" max="3662" width="1.07421875" style="80" customWidth="1"/>
    <col min="3663" max="3663" width="9.07421875" style="80" customWidth="1"/>
    <col min="3664" max="3664" width="1.84375" style="80" customWidth="1"/>
    <col min="3665" max="3665" width="11" style="80" customWidth="1"/>
    <col min="3666" max="3666" width="1.07421875" style="80" customWidth="1"/>
    <col min="3667" max="3667" width="10.84375" style="80" customWidth="1"/>
    <col min="3668" max="3668" width="1.07421875" style="80" customWidth="1"/>
    <col min="3669" max="3669" width="10" style="80" customWidth="1"/>
    <col min="3670" max="3670" width="1.07421875" style="80" customWidth="1"/>
    <col min="3671" max="3671" width="9.07421875" style="80" customWidth="1"/>
    <col min="3672" max="3672" width="1.07421875" style="80" customWidth="1"/>
    <col min="3673" max="3673" width="7.84375" style="80" customWidth="1"/>
    <col min="3674" max="3674" width="1.07421875" style="80" customWidth="1"/>
    <col min="3675" max="3675" width="0.84375" style="80" customWidth="1"/>
    <col min="3676" max="3676" width="9.07421875" style="80" customWidth="1"/>
    <col min="3677" max="3677" width="1.07421875" style="80" customWidth="1"/>
    <col min="3678" max="3678" width="0.84375" style="80" customWidth="1"/>
    <col min="3679" max="3679" width="9.53515625" style="80" bestFit="1" customWidth="1"/>
    <col min="3680" max="3681" width="0.84375" style="80" customWidth="1"/>
    <col min="3682" max="3682" width="9.84375" style="80" customWidth="1"/>
    <col min="3683" max="3683" width="1.07421875" style="80" customWidth="1"/>
    <col min="3684" max="3684" width="8.53515625" style="80" customWidth="1"/>
    <col min="3685" max="3685" width="14.53515625" style="80" customWidth="1"/>
    <col min="3686" max="3686" width="10" style="80" customWidth="1"/>
    <col min="3687" max="3687" width="7.84375" style="80" bestFit="1" customWidth="1"/>
    <col min="3688" max="3688" width="9.84375" style="80" customWidth="1"/>
    <col min="3689" max="3905" width="8.84375" style="80"/>
    <col min="3906" max="3906" width="38.4609375" style="80" customWidth="1"/>
    <col min="3907" max="3907" width="8.53515625" style="80" customWidth="1"/>
    <col min="3908" max="3908" width="1.07421875" style="80" customWidth="1"/>
    <col min="3909" max="3909" width="8.84375" style="80" customWidth="1"/>
    <col min="3910" max="3910" width="1.07421875" style="80" customWidth="1"/>
    <col min="3911" max="3911" width="9.07421875" style="80" customWidth="1"/>
    <col min="3912" max="3912" width="1.07421875" style="80" customWidth="1"/>
    <col min="3913" max="3913" width="10" style="80" customWidth="1"/>
    <col min="3914" max="3914" width="1.07421875" style="80" customWidth="1"/>
    <col min="3915" max="3915" width="9.07421875" style="80" customWidth="1"/>
    <col min="3916" max="3916" width="1.07421875" style="80" customWidth="1"/>
    <col min="3917" max="3917" width="11.07421875" style="80" customWidth="1"/>
    <col min="3918" max="3918" width="1.07421875" style="80" customWidth="1"/>
    <col min="3919" max="3919" width="9.07421875" style="80" customWidth="1"/>
    <col min="3920" max="3920" width="1.84375" style="80" customWidth="1"/>
    <col min="3921" max="3921" width="11" style="80" customWidth="1"/>
    <col min="3922" max="3922" width="1.07421875" style="80" customWidth="1"/>
    <col min="3923" max="3923" width="10.84375" style="80" customWidth="1"/>
    <col min="3924" max="3924" width="1.07421875" style="80" customWidth="1"/>
    <col min="3925" max="3925" width="10" style="80" customWidth="1"/>
    <col min="3926" max="3926" width="1.07421875" style="80" customWidth="1"/>
    <col min="3927" max="3927" width="9.07421875" style="80" customWidth="1"/>
    <col min="3928" max="3928" width="1.07421875" style="80" customWidth="1"/>
    <col min="3929" max="3929" width="7.84375" style="80" customWidth="1"/>
    <col min="3930" max="3930" width="1.07421875" style="80" customWidth="1"/>
    <col min="3931" max="3931" width="0.84375" style="80" customWidth="1"/>
    <col min="3932" max="3932" width="9.07421875" style="80" customWidth="1"/>
    <col min="3933" max="3933" width="1.07421875" style="80" customWidth="1"/>
    <col min="3934" max="3934" width="0.84375" style="80" customWidth="1"/>
    <col min="3935" max="3935" width="9.53515625" style="80" bestFit="1" customWidth="1"/>
    <col min="3936" max="3937" width="0.84375" style="80" customWidth="1"/>
    <col min="3938" max="3938" width="9.84375" style="80" customWidth="1"/>
    <col min="3939" max="3939" width="1.07421875" style="80" customWidth="1"/>
    <col min="3940" max="3940" width="8.53515625" style="80" customWidth="1"/>
    <col min="3941" max="3941" width="14.53515625" style="80" customWidth="1"/>
    <col min="3942" max="3942" width="10" style="80" customWidth="1"/>
    <col min="3943" max="3943" width="7.84375" style="80" bestFit="1" customWidth="1"/>
    <col min="3944" max="3944" width="9.84375" style="80" customWidth="1"/>
    <col min="3945" max="4161" width="8.84375" style="80"/>
    <col min="4162" max="4162" width="38.4609375" style="80" customWidth="1"/>
    <col min="4163" max="4163" width="8.53515625" style="80" customWidth="1"/>
    <col min="4164" max="4164" width="1.07421875" style="80" customWidth="1"/>
    <col min="4165" max="4165" width="8.84375" style="80" customWidth="1"/>
    <col min="4166" max="4166" width="1.07421875" style="80" customWidth="1"/>
    <col min="4167" max="4167" width="9.07421875" style="80" customWidth="1"/>
    <col min="4168" max="4168" width="1.07421875" style="80" customWidth="1"/>
    <col min="4169" max="4169" width="10" style="80" customWidth="1"/>
    <col min="4170" max="4170" width="1.07421875" style="80" customWidth="1"/>
    <col min="4171" max="4171" width="9.07421875" style="80" customWidth="1"/>
    <col min="4172" max="4172" width="1.07421875" style="80" customWidth="1"/>
    <col min="4173" max="4173" width="11.07421875" style="80" customWidth="1"/>
    <col min="4174" max="4174" width="1.07421875" style="80" customWidth="1"/>
    <col min="4175" max="4175" width="9.07421875" style="80" customWidth="1"/>
    <col min="4176" max="4176" width="1.84375" style="80" customWidth="1"/>
    <col min="4177" max="4177" width="11" style="80" customWidth="1"/>
    <col min="4178" max="4178" width="1.07421875" style="80" customWidth="1"/>
    <col min="4179" max="4179" width="10.84375" style="80" customWidth="1"/>
    <col min="4180" max="4180" width="1.07421875" style="80" customWidth="1"/>
    <col min="4181" max="4181" width="10" style="80" customWidth="1"/>
    <col min="4182" max="4182" width="1.07421875" style="80" customWidth="1"/>
    <col min="4183" max="4183" width="9.07421875" style="80" customWidth="1"/>
    <col min="4184" max="4184" width="1.07421875" style="80" customWidth="1"/>
    <col min="4185" max="4185" width="7.84375" style="80" customWidth="1"/>
    <col min="4186" max="4186" width="1.07421875" style="80" customWidth="1"/>
    <col min="4187" max="4187" width="0.84375" style="80" customWidth="1"/>
    <col min="4188" max="4188" width="9.07421875" style="80" customWidth="1"/>
    <col min="4189" max="4189" width="1.07421875" style="80" customWidth="1"/>
    <col min="4190" max="4190" width="0.84375" style="80" customWidth="1"/>
    <col min="4191" max="4191" width="9.53515625" style="80" bestFit="1" customWidth="1"/>
    <col min="4192" max="4193" width="0.84375" style="80" customWidth="1"/>
    <col min="4194" max="4194" width="9.84375" style="80" customWidth="1"/>
    <col min="4195" max="4195" width="1.07421875" style="80" customWidth="1"/>
    <col min="4196" max="4196" width="8.53515625" style="80" customWidth="1"/>
    <col min="4197" max="4197" width="14.53515625" style="80" customWidth="1"/>
    <col min="4198" max="4198" width="10" style="80" customWidth="1"/>
    <col min="4199" max="4199" width="7.84375" style="80" bestFit="1" customWidth="1"/>
    <col min="4200" max="4200" width="9.84375" style="80" customWidth="1"/>
    <col min="4201" max="4417" width="8.84375" style="80"/>
    <col min="4418" max="4418" width="38.4609375" style="80" customWidth="1"/>
    <col min="4419" max="4419" width="8.53515625" style="80" customWidth="1"/>
    <col min="4420" max="4420" width="1.07421875" style="80" customWidth="1"/>
    <col min="4421" max="4421" width="8.84375" style="80" customWidth="1"/>
    <col min="4422" max="4422" width="1.07421875" style="80" customWidth="1"/>
    <col min="4423" max="4423" width="9.07421875" style="80" customWidth="1"/>
    <col min="4424" max="4424" width="1.07421875" style="80" customWidth="1"/>
    <col min="4425" max="4425" width="10" style="80" customWidth="1"/>
    <col min="4426" max="4426" width="1.07421875" style="80" customWidth="1"/>
    <col min="4427" max="4427" width="9.07421875" style="80" customWidth="1"/>
    <col min="4428" max="4428" width="1.07421875" style="80" customWidth="1"/>
    <col min="4429" max="4429" width="11.07421875" style="80" customWidth="1"/>
    <col min="4430" max="4430" width="1.07421875" style="80" customWidth="1"/>
    <col min="4431" max="4431" width="9.07421875" style="80" customWidth="1"/>
    <col min="4432" max="4432" width="1.84375" style="80" customWidth="1"/>
    <col min="4433" max="4433" width="11" style="80" customWidth="1"/>
    <col min="4434" max="4434" width="1.07421875" style="80" customWidth="1"/>
    <col min="4435" max="4435" width="10.84375" style="80" customWidth="1"/>
    <col min="4436" max="4436" width="1.07421875" style="80" customWidth="1"/>
    <col min="4437" max="4437" width="10" style="80" customWidth="1"/>
    <col min="4438" max="4438" width="1.07421875" style="80" customWidth="1"/>
    <col min="4439" max="4439" width="9.07421875" style="80" customWidth="1"/>
    <col min="4440" max="4440" width="1.07421875" style="80" customWidth="1"/>
    <col min="4441" max="4441" width="7.84375" style="80" customWidth="1"/>
    <col min="4442" max="4442" width="1.07421875" style="80" customWidth="1"/>
    <col min="4443" max="4443" width="0.84375" style="80" customWidth="1"/>
    <col min="4444" max="4444" width="9.07421875" style="80" customWidth="1"/>
    <col min="4445" max="4445" width="1.07421875" style="80" customWidth="1"/>
    <col min="4446" max="4446" width="0.84375" style="80" customWidth="1"/>
    <col min="4447" max="4447" width="9.53515625" style="80" bestFit="1" customWidth="1"/>
    <col min="4448" max="4449" width="0.84375" style="80" customWidth="1"/>
    <col min="4450" max="4450" width="9.84375" style="80" customWidth="1"/>
    <col min="4451" max="4451" width="1.07421875" style="80" customWidth="1"/>
    <col min="4452" max="4452" width="8.53515625" style="80" customWidth="1"/>
    <col min="4453" max="4453" width="14.53515625" style="80" customWidth="1"/>
    <col min="4454" max="4454" width="10" style="80" customWidth="1"/>
    <col min="4455" max="4455" width="7.84375" style="80" bestFit="1" customWidth="1"/>
    <col min="4456" max="4456" width="9.84375" style="80" customWidth="1"/>
    <col min="4457" max="4673" width="8.84375" style="80"/>
    <col min="4674" max="4674" width="38.4609375" style="80" customWidth="1"/>
    <col min="4675" max="4675" width="8.53515625" style="80" customWidth="1"/>
    <col min="4676" max="4676" width="1.07421875" style="80" customWidth="1"/>
    <col min="4677" max="4677" width="8.84375" style="80" customWidth="1"/>
    <col min="4678" max="4678" width="1.07421875" style="80" customWidth="1"/>
    <col min="4679" max="4679" width="9.07421875" style="80" customWidth="1"/>
    <col min="4680" max="4680" width="1.07421875" style="80" customWidth="1"/>
    <col min="4681" max="4681" width="10" style="80" customWidth="1"/>
    <col min="4682" max="4682" width="1.07421875" style="80" customWidth="1"/>
    <col min="4683" max="4683" width="9.07421875" style="80" customWidth="1"/>
    <col min="4684" max="4684" width="1.07421875" style="80" customWidth="1"/>
    <col min="4685" max="4685" width="11.07421875" style="80" customWidth="1"/>
    <col min="4686" max="4686" width="1.07421875" style="80" customWidth="1"/>
    <col min="4687" max="4687" width="9.07421875" style="80" customWidth="1"/>
    <col min="4688" max="4688" width="1.84375" style="80" customWidth="1"/>
    <col min="4689" max="4689" width="11" style="80" customWidth="1"/>
    <col min="4690" max="4690" width="1.07421875" style="80" customWidth="1"/>
    <col min="4691" max="4691" width="10.84375" style="80" customWidth="1"/>
    <col min="4692" max="4692" width="1.07421875" style="80" customWidth="1"/>
    <col min="4693" max="4693" width="10" style="80" customWidth="1"/>
    <col min="4694" max="4694" width="1.07421875" style="80" customWidth="1"/>
    <col min="4695" max="4695" width="9.07421875" style="80" customWidth="1"/>
    <col min="4696" max="4696" width="1.07421875" style="80" customWidth="1"/>
    <col min="4697" max="4697" width="7.84375" style="80" customWidth="1"/>
    <col min="4698" max="4698" width="1.07421875" style="80" customWidth="1"/>
    <col min="4699" max="4699" width="0.84375" style="80" customWidth="1"/>
    <col min="4700" max="4700" width="9.07421875" style="80" customWidth="1"/>
    <col min="4701" max="4701" width="1.07421875" style="80" customWidth="1"/>
    <col min="4702" max="4702" width="0.84375" style="80" customWidth="1"/>
    <col min="4703" max="4703" width="9.53515625" style="80" bestFit="1" customWidth="1"/>
    <col min="4704" max="4705" width="0.84375" style="80" customWidth="1"/>
    <col min="4706" max="4706" width="9.84375" style="80" customWidth="1"/>
    <col min="4707" max="4707" width="1.07421875" style="80" customWidth="1"/>
    <col min="4708" max="4708" width="8.53515625" style="80" customWidth="1"/>
    <col min="4709" max="4709" width="14.53515625" style="80" customWidth="1"/>
    <col min="4710" max="4710" width="10" style="80" customWidth="1"/>
    <col min="4711" max="4711" width="7.84375" style="80" bestFit="1" customWidth="1"/>
    <col min="4712" max="4712" width="9.84375" style="80" customWidth="1"/>
    <col min="4713" max="4929" width="8.84375" style="80"/>
    <col min="4930" max="4930" width="38.4609375" style="80" customWidth="1"/>
    <col min="4931" max="4931" width="8.53515625" style="80" customWidth="1"/>
    <col min="4932" max="4932" width="1.07421875" style="80" customWidth="1"/>
    <col min="4933" max="4933" width="8.84375" style="80" customWidth="1"/>
    <col min="4934" max="4934" width="1.07421875" style="80" customWidth="1"/>
    <col min="4935" max="4935" width="9.07421875" style="80" customWidth="1"/>
    <col min="4936" max="4936" width="1.07421875" style="80" customWidth="1"/>
    <col min="4937" max="4937" width="10" style="80" customWidth="1"/>
    <col min="4938" max="4938" width="1.07421875" style="80" customWidth="1"/>
    <col min="4939" max="4939" width="9.07421875" style="80" customWidth="1"/>
    <col min="4940" max="4940" width="1.07421875" style="80" customWidth="1"/>
    <col min="4941" max="4941" width="11.07421875" style="80" customWidth="1"/>
    <col min="4942" max="4942" width="1.07421875" style="80" customWidth="1"/>
    <col min="4943" max="4943" width="9.07421875" style="80" customWidth="1"/>
    <col min="4944" max="4944" width="1.84375" style="80" customWidth="1"/>
    <col min="4945" max="4945" width="11" style="80" customWidth="1"/>
    <col min="4946" max="4946" width="1.07421875" style="80" customWidth="1"/>
    <col min="4947" max="4947" width="10.84375" style="80" customWidth="1"/>
    <col min="4948" max="4948" width="1.07421875" style="80" customWidth="1"/>
    <col min="4949" max="4949" width="10" style="80" customWidth="1"/>
    <col min="4950" max="4950" width="1.07421875" style="80" customWidth="1"/>
    <col min="4951" max="4951" width="9.07421875" style="80" customWidth="1"/>
    <col min="4952" max="4952" width="1.07421875" style="80" customWidth="1"/>
    <col min="4953" max="4953" width="7.84375" style="80" customWidth="1"/>
    <col min="4954" max="4954" width="1.07421875" style="80" customWidth="1"/>
    <col min="4955" max="4955" width="0.84375" style="80" customWidth="1"/>
    <col min="4956" max="4956" width="9.07421875" style="80" customWidth="1"/>
    <col min="4957" max="4957" width="1.07421875" style="80" customWidth="1"/>
    <col min="4958" max="4958" width="0.84375" style="80" customWidth="1"/>
    <col min="4959" max="4959" width="9.53515625" style="80" bestFit="1" customWidth="1"/>
    <col min="4960" max="4961" width="0.84375" style="80" customWidth="1"/>
    <col min="4962" max="4962" width="9.84375" style="80" customWidth="1"/>
    <col min="4963" max="4963" width="1.07421875" style="80" customWidth="1"/>
    <col min="4964" max="4964" width="8.53515625" style="80" customWidth="1"/>
    <col min="4965" max="4965" width="14.53515625" style="80" customWidth="1"/>
    <col min="4966" max="4966" width="10" style="80" customWidth="1"/>
    <col min="4967" max="4967" width="7.84375" style="80" bestFit="1" customWidth="1"/>
    <col min="4968" max="4968" width="9.84375" style="80" customWidth="1"/>
    <col min="4969" max="5185" width="8.84375" style="80"/>
    <col min="5186" max="5186" width="38.4609375" style="80" customWidth="1"/>
    <col min="5187" max="5187" width="8.53515625" style="80" customWidth="1"/>
    <col min="5188" max="5188" width="1.07421875" style="80" customWidth="1"/>
    <col min="5189" max="5189" width="8.84375" style="80" customWidth="1"/>
    <col min="5190" max="5190" width="1.07421875" style="80" customWidth="1"/>
    <col min="5191" max="5191" width="9.07421875" style="80" customWidth="1"/>
    <col min="5192" max="5192" width="1.07421875" style="80" customWidth="1"/>
    <col min="5193" max="5193" width="10" style="80" customWidth="1"/>
    <col min="5194" max="5194" width="1.07421875" style="80" customWidth="1"/>
    <col min="5195" max="5195" width="9.07421875" style="80" customWidth="1"/>
    <col min="5196" max="5196" width="1.07421875" style="80" customWidth="1"/>
    <col min="5197" max="5197" width="11.07421875" style="80" customWidth="1"/>
    <col min="5198" max="5198" width="1.07421875" style="80" customWidth="1"/>
    <col min="5199" max="5199" width="9.07421875" style="80" customWidth="1"/>
    <col min="5200" max="5200" width="1.84375" style="80" customWidth="1"/>
    <col min="5201" max="5201" width="11" style="80" customWidth="1"/>
    <col min="5202" max="5202" width="1.07421875" style="80" customWidth="1"/>
    <col min="5203" max="5203" width="10.84375" style="80" customWidth="1"/>
    <col min="5204" max="5204" width="1.07421875" style="80" customWidth="1"/>
    <col min="5205" max="5205" width="10" style="80" customWidth="1"/>
    <col min="5206" max="5206" width="1.07421875" style="80" customWidth="1"/>
    <col min="5207" max="5207" width="9.07421875" style="80" customWidth="1"/>
    <col min="5208" max="5208" width="1.07421875" style="80" customWidth="1"/>
    <col min="5209" max="5209" width="7.84375" style="80" customWidth="1"/>
    <col min="5210" max="5210" width="1.07421875" style="80" customWidth="1"/>
    <col min="5211" max="5211" width="0.84375" style="80" customWidth="1"/>
    <col min="5212" max="5212" width="9.07421875" style="80" customWidth="1"/>
    <col min="5213" max="5213" width="1.07421875" style="80" customWidth="1"/>
    <col min="5214" max="5214" width="0.84375" style="80" customWidth="1"/>
    <col min="5215" max="5215" width="9.53515625" style="80" bestFit="1" customWidth="1"/>
    <col min="5216" max="5217" width="0.84375" style="80" customWidth="1"/>
    <col min="5218" max="5218" width="9.84375" style="80" customWidth="1"/>
    <col min="5219" max="5219" width="1.07421875" style="80" customWidth="1"/>
    <col min="5220" max="5220" width="8.53515625" style="80" customWidth="1"/>
    <col min="5221" max="5221" width="14.53515625" style="80" customWidth="1"/>
    <col min="5222" max="5222" width="10" style="80" customWidth="1"/>
    <col min="5223" max="5223" width="7.84375" style="80" bestFit="1" customWidth="1"/>
    <col min="5224" max="5224" width="9.84375" style="80" customWidth="1"/>
    <col min="5225" max="5441" width="8.84375" style="80"/>
    <col min="5442" max="5442" width="38.4609375" style="80" customWidth="1"/>
    <col min="5443" max="5443" width="8.53515625" style="80" customWidth="1"/>
    <col min="5444" max="5444" width="1.07421875" style="80" customWidth="1"/>
    <col min="5445" max="5445" width="8.84375" style="80" customWidth="1"/>
    <col min="5446" max="5446" width="1.07421875" style="80" customWidth="1"/>
    <col min="5447" max="5447" width="9.07421875" style="80" customWidth="1"/>
    <col min="5448" max="5448" width="1.07421875" style="80" customWidth="1"/>
    <col min="5449" max="5449" width="10" style="80" customWidth="1"/>
    <col min="5450" max="5450" width="1.07421875" style="80" customWidth="1"/>
    <col min="5451" max="5451" width="9.07421875" style="80" customWidth="1"/>
    <col min="5452" max="5452" width="1.07421875" style="80" customWidth="1"/>
    <col min="5453" max="5453" width="11.07421875" style="80" customWidth="1"/>
    <col min="5454" max="5454" width="1.07421875" style="80" customWidth="1"/>
    <col min="5455" max="5455" width="9.07421875" style="80" customWidth="1"/>
    <col min="5456" max="5456" width="1.84375" style="80" customWidth="1"/>
    <col min="5457" max="5457" width="11" style="80" customWidth="1"/>
    <col min="5458" max="5458" width="1.07421875" style="80" customWidth="1"/>
    <col min="5459" max="5459" width="10.84375" style="80" customWidth="1"/>
    <col min="5460" max="5460" width="1.07421875" style="80" customWidth="1"/>
    <col min="5461" max="5461" width="10" style="80" customWidth="1"/>
    <col min="5462" max="5462" width="1.07421875" style="80" customWidth="1"/>
    <col min="5463" max="5463" width="9.07421875" style="80" customWidth="1"/>
    <col min="5464" max="5464" width="1.07421875" style="80" customWidth="1"/>
    <col min="5465" max="5465" width="7.84375" style="80" customWidth="1"/>
    <col min="5466" max="5466" width="1.07421875" style="80" customWidth="1"/>
    <col min="5467" max="5467" width="0.84375" style="80" customWidth="1"/>
    <col min="5468" max="5468" width="9.07421875" style="80" customWidth="1"/>
    <col min="5469" max="5469" width="1.07421875" style="80" customWidth="1"/>
    <col min="5470" max="5470" width="0.84375" style="80" customWidth="1"/>
    <col min="5471" max="5471" width="9.53515625" style="80" bestFit="1" customWidth="1"/>
    <col min="5472" max="5473" width="0.84375" style="80" customWidth="1"/>
    <col min="5474" max="5474" width="9.84375" style="80" customWidth="1"/>
    <col min="5475" max="5475" width="1.07421875" style="80" customWidth="1"/>
    <col min="5476" max="5476" width="8.53515625" style="80" customWidth="1"/>
    <col min="5477" max="5477" width="14.53515625" style="80" customWidth="1"/>
    <col min="5478" max="5478" width="10" style="80" customWidth="1"/>
    <col min="5479" max="5479" width="7.84375" style="80" bestFit="1" customWidth="1"/>
    <col min="5480" max="5480" width="9.84375" style="80" customWidth="1"/>
    <col min="5481" max="5697" width="8.84375" style="80"/>
    <col min="5698" max="5698" width="38.4609375" style="80" customWidth="1"/>
    <col min="5699" max="5699" width="8.53515625" style="80" customWidth="1"/>
    <col min="5700" max="5700" width="1.07421875" style="80" customWidth="1"/>
    <col min="5701" max="5701" width="8.84375" style="80" customWidth="1"/>
    <col min="5702" max="5702" width="1.07421875" style="80" customWidth="1"/>
    <col min="5703" max="5703" width="9.07421875" style="80" customWidth="1"/>
    <col min="5704" max="5704" width="1.07421875" style="80" customWidth="1"/>
    <col min="5705" max="5705" width="10" style="80" customWidth="1"/>
    <col min="5706" max="5706" width="1.07421875" style="80" customWidth="1"/>
    <col min="5707" max="5707" width="9.07421875" style="80" customWidth="1"/>
    <col min="5708" max="5708" width="1.07421875" style="80" customWidth="1"/>
    <col min="5709" max="5709" width="11.07421875" style="80" customWidth="1"/>
    <col min="5710" max="5710" width="1.07421875" style="80" customWidth="1"/>
    <col min="5711" max="5711" width="9.07421875" style="80" customWidth="1"/>
    <col min="5712" max="5712" width="1.84375" style="80" customWidth="1"/>
    <col min="5713" max="5713" width="11" style="80" customWidth="1"/>
    <col min="5714" max="5714" width="1.07421875" style="80" customWidth="1"/>
    <col min="5715" max="5715" width="10.84375" style="80" customWidth="1"/>
    <col min="5716" max="5716" width="1.07421875" style="80" customWidth="1"/>
    <col min="5717" max="5717" width="10" style="80" customWidth="1"/>
    <col min="5718" max="5718" width="1.07421875" style="80" customWidth="1"/>
    <col min="5719" max="5719" width="9.07421875" style="80" customWidth="1"/>
    <col min="5720" max="5720" width="1.07421875" style="80" customWidth="1"/>
    <col min="5721" max="5721" width="7.84375" style="80" customWidth="1"/>
    <col min="5722" max="5722" width="1.07421875" style="80" customWidth="1"/>
    <col min="5723" max="5723" width="0.84375" style="80" customWidth="1"/>
    <col min="5724" max="5724" width="9.07421875" style="80" customWidth="1"/>
    <col min="5725" max="5725" width="1.07421875" style="80" customWidth="1"/>
    <col min="5726" max="5726" width="0.84375" style="80" customWidth="1"/>
    <col min="5727" max="5727" width="9.53515625" style="80" bestFit="1" customWidth="1"/>
    <col min="5728" max="5729" width="0.84375" style="80" customWidth="1"/>
    <col min="5730" max="5730" width="9.84375" style="80" customWidth="1"/>
    <col min="5731" max="5731" width="1.07421875" style="80" customWidth="1"/>
    <col min="5732" max="5732" width="8.53515625" style="80" customWidth="1"/>
    <col min="5733" max="5733" width="14.53515625" style="80" customWidth="1"/>
    <col min="5734" max="5734" width="10" style="80" customWidth="1"/>
    <col min="5735" max="5735" width="7.84375" style="80" bestFit="1" customWidth="1"/>
    <col min="5736" max="5736" width="9.84375" style="80" customWidth="1"/>
    <col min="5737" max="5953" width="8.84375" style="80"/>
    <col min="5954" max="5954" width="38.4609375" style="80" customWidth="1"/>
    <col min="5955" max="5955" width="8.53515625" style="80" customWidth="1"/>
    <col min="5956" max="5956" width="1.07421875" style="80" customWidth="1"/>
    <col min="5957" max="5957" width="8.84375" style="80" customWidth="1"/>
    <col min="5958" max="5958" width="1.07421875" style="80" customWidth="1"/>
    <col min="5959" max="5959" width="9.07421875" style="80" customWidth="1"/>
    <col min="5960" max="5960" width="1.07421875" style="80" customWidth="1"/>
    <col min="5961" max="5961" width="10" style="80" customWidth="1"/>
    <col min="5962" max="5962" width="1.07421875" style="80" customWidth="1"/>
    <col min="5963" max="5963" width="9.07421875" style="80" customWidth="1"/>
    <col min="5964" max="5964" width="1.07421875" style="80" customWidth="1"/>
    <col min="5965" max="5965" width="11.07421875" style="80" customWidth="1"/>
    <col min="5966" max="5966" width="1.07421875" style="80" customWidth="1"/>
    <col min="5967" max="5967" width="9.07421875" style="80" customWidth="1"/>
    <col min="5968" max="5968" width="1.84375" style="80" customWidth="1"/>
    <col min="5969" max="5969" width="11" style="80" customWidth="1"/>
    <col min="5970" max="5970" width="1.07421875" style="80" customWidth="1"/>
    <col min="5971" max="5971" width="10.84375" style="80" customWidth="1"/>
    <col min="5972" max="5972" width="1.07421875" style="80" customWidth="1"/>
    <col min="5973" max="5973" width="10" style="80" customWidth="1"/>
    <col min="5974" max="5974" width="1.07421875" style="80" customWidth="1"/>
    <col min="5975" max="5975" width="9.07421875" style="80" customWidth="1"/>
    <col min="5976" max="5976" width="1.07421875" style="80" customWidth="1"/>
    <col min="5977" max="5977" width="7.84375" style="80" customWidth="1"/>
    <col min="5978" max="5978" width="1.07421875" style="80" customWidth="1"/>
    <col min="5979" max="5979" width="0.84375" style="80" customWidth="1"/>
    <col min="5980" max="5980" width="9.07421875" style="80" customWidth="1"/>
    <col min="5981" max="5981" width="1.07421875" style="80" customWidth="1"/>
    <col min="5982" max="5982" width="0.84375" style="80" customWidth="1"/>
    <col min="5983" max="5983" width="9.53515625" style="80" bestFit="1" customWidth="1"/>
    <col min="5984" max="5985" width="0.84375" style="80" customWidth="1"/>
    <col min="5986" max="5986" width="9.84375" style="80" customWidth="1"/>
    <col min="5987" max="5987" width="1.07421875" style="80" customWidth="1"/>
    <col min="5988" max="5988" width="8.53515625" style="80" customWidth="1"/>
    <col min="5989" max="5989" width="14.53515625" style="80" customWidth="1"/>
    <col min="5990" max="5990" width="10" style="80" customWidth="1"/>
    <col min="5991" max="5991" width="7.84375" style="80" bestFit="1" customWidth="1"/>
    <col min="5992" max="5992" width="9.84375" style="80" customWidth="1"/>
    <col min="5993" max="6209" width="8.84375" style="80"/>
    <col min="6210" max="6210" width="38.4609375" style="80" customWidth="1"/>
    <col min="6211" max="6211" width="8.53515625" style="80" customWidth="1"/>
    <col min="6212" max="6212" width="1.07421875" style="80" customWidth="1"/>
    <col min="6213" max="6213" width="8.84375" style="80" customWidth="1"/>
    <col min="6214" max="6214" width="1.07421875" style="80" customWidth="1"/>
    <col min="6215" max="6215" width="9.07421875" style="80" customWidth="1"/>
    <col min="6216" max="6216" width="1.07421875" style="80" customWidth="1"/>
    <col min="6217" max="6217" width="10" style="80" customWidth="1"/>
    <col min="6218" max="6218" width="1.07421875" style="80" customWidth="1"/>
    <col min="6219" max="6219" width="9.07421875" style="80" customWidth="1"/>
    <col min="6220" max="6220" width="1.07421875" style="80" customWidth="1"/>
    <col min="6221" max="6221" width="11.07421875" style="80" customWidth="1"/>
    <col min="6222" max="6222" width="1.07421875" style="80" customWidth="1"/>
    <col min="6223" max="6223" width="9.07421875" style="80" customWidth="1"/>
    <col min="6224" max="6224" width="1.84375" style="80" customWidth="1"/>
    <col min="6225" max="6225" width="11" style="80" customWidth="1"/>
    <col min="6226" max="6226" width="1.07421875" style="80" customWidth="1"/>
    <col min="6227" max="6227" width="10.84375" style="80" customWidth="1"/>
    <col min="6228" max="6228" width="1.07421875" style="80" customWidth="1"/>
    <col min="6229" max="6229" width="10" style="80" customWidth="1"/>
    <col min="6230" max="6230" width="1.07421875" style="80" customWidth="1"/>
    <col min="6231" max="6231" width="9.07421875" style="80" customWidth="1"/>
    <col min="6232" max="6232" width="1.07421875" style="80" customWidth="1"/>
    <col min="6233" max="6233" width="7.84375" style="80" customWidth="1"/>
    <col min="6234" max="6234" width="1.07421875" style="80" customWidth="1"/>
    <col min="6235" max="6235" width="0.84375" style="80" customWidth="1"/>
    <col min="6236" max="6236" width="9.07421875" style="80" customWidth="1"/>
    <col min="6237" max="6237" width="1.07421875" style="80" customWidth="1"/>
    <col min="6238" max="6238" width="0.84375" style="80" customWidth="1"/>
    <col min="6239" max="6239" width="9.53515625" style="80" bestFit="1" customWidth="1"/>
    <col min="6240" max="6241" width="0.84375" style="80" customWidth="1"/>
    <col min="6242" max="6242" width="9.84375" style="80" customWidth="1"/>
    <col min="6243" max="6243" width="1.07421875" style="80" customWidth="1"/>
    <col min="6244" max="6244" width="8.53515625" style="80" customWidth="1"/>
    <col min="6245" max="6245" width="14.53515625" style="80" customWidth="1"/>
    <col min="6246" max="6246" width="10" style="80" customWidth="1"/>
    <col min="6247" max="6247" width="7.84375" style="80" bestFit="1" customWidth="1"/>
    <col min="6248" max="6248" width="9.84375" style="80" customWidth="1"/>
    <col min="6249" max="6465" width="8.84375" style="80"/>
    <col min="6466" max="6466" width="38.4609375" style="80" customWidth="1"/>
    <col min="6467" max="6467" width="8.53515625" style="80" customWidth="1"/>
    <col min="6468" max="6468" width="1.07421875" style="80" customWidth="1"/>
    <col min="6469" max="6469" width="8.84375" style="80" customWidth="1"/>
    <col min="6470" max="6470" width="1.07421875" style="80" customWidth="1"/>
    <col min="6471" max="6471" width="9.07421875" style="80" customWidth="1"/>
    <col min="6472" max="6472" width="1.07421875" style="80" customWidth="1"/>
    <col min="6473" max="6473" width="10" style="80" customWidth="1"/>
    <col min="6474" max="6474" width="1.07421875" style="80" customWidth="1"/>
    <col min="6475" max="6475" width="9.07421875" style="80" customWidth="1"/>
    <col min="6476" max="6476" width="1.07421875" style="80" customWidth="1"/>
    <col min="6477" max="6477" width="11.07421875" style="80" customWidth="1"/>
    <col min="6478" max="6478" width="1.07421875" style="80" customWidth="1"/>
    <col min="6479" max="6479" width="9.07421875" style="80" customWidth="1"/>
    <col min="6480" max="6480" width="1.84375" style="80" customWidth="1"/>
    <col min="6481" max="6481" width="11" style="80" customWidth="1"/>
    <col min="6482" max="6482" width="1.07421875" style="80" customWidth="1"/>
    <col min="6483" max="6483" width="10.84375" style="80" customWidth="1"/>
    <col min="6484" max="6484" width="1.07421875" style="80" customWidth="1"/>
    <col min="6485" max="6485" width="10" style="80" customWidth="1"/>
    <col min="6486" max="6486" width="1.07421875" style="80" customWidth="1"/>
    <col min="6487" max="6487" width="9.07421875" style="80" customWidth="1"/>
    <col min="6488" max="6488" width="1.07421875" style="80" customWidth="1"/>
    <col min="6489" max="6489" width="7.84375" style="80" customWidth="1"/>
    <col min="6490" max="6490" width="1.07421875" style="80" customWidth="1"/>
    <col min="6491" max="6491" width="0.84375" style="80" customWidth="1"/>
    <col min="6492" max="6492" width="9.07421875" style="80" customWidth="1"/>
    <col min="6493" max="6493" width="1.07421875" style="80" customWidth="1"/>
    <col min="6494" max="6494" width="0.84375" style="80" customWidth="1"/>
    <col min="6495" max="6495" width="9.53515625" style="80" bestFit="1" customWidth="1"/>
    <col min="6496" max="6497" width="0.84375" style="80" customWidth="1"/>
    <col min="6498" max="6498" width="9.84375" style="80" customWidth="1"/>
    <col min="6499" max="6499" width="1.07421875" style="80" customWidth="1"/>
    <col min="6500" max="6500" width="8.53515625" style="80" customWidth="1"/>
    <col min="6501" max="6501" width="14.53515625" style="80" customWidth="1"/>
    <col min="6502" max="6502" width="10" style="80" customWidth="1"/>
    <col min="6503" max="6503" width="7.84375" style="80" bestFit="1" customWidth="1"/>
    <col min="6504" max="6504" width="9.84375" style="80" customWidth="1"/>
    <col min="6505" max="6721" width="8.84375" style="80"/>
    <col min="6722" max="6722" width="38.4609375" style="80" customWidth="1"/>
    <col min="6723" max="6723" width="8.53515625" style="80" customWidth="1"/>
    <col min="6724" max="6724" width="1.07421875" style="80" customWidth="1"/>
    <col min="6725" max="6725" width="8.84375" style="80" customWidth="1"/>
    <col min="6726" max="6726" width="1.07421875" style="80" customWidth="1"/>
    <col min="6727" max="6727" width="9.07421875" style="80" customWidth="1"/>
    <col min="6728" max="6728" width="1.07421875" style="80" customWidth="1"/>
    <col min="6729" max="6729" width="10" style="80" customWidth="1"/>
    <col min="6730" max="6730" width="1.07421875" style="80" customWidth="1"/>
    <col min="6731" max="6731" width="9.07421875" style="80" customWidth="1"/>
    <col min="6732" max="6732" width="1.07421875" style="80" customWidth="1"/>
    <col min="6733" max="6733" width="11.07421875" style="80" customWidth="1"/>
    <col min="6734" max="6734" width="1.07421875" style="80" customWidth="1"/>
    <col min="6735" max="6735" width="9.07421875" style="80" customWidth="1"/>
    <col min="6736" max="6736" width="1.84375" style="80" customWidth="1"/>
    <col min="6737" max="6737" width="11" style="80" customWidth="1"/>
    <col min="6738" max="6738" width="1.07421875" style="80" customWidth="1"/>
    <col min="6739" max="6739" width="10.84375" style="80" customWidth="1"/>
    <col min="6740" max="6740" width="1.07421875" style="80" customWidth="1"/>
    <col min="6741" max="6741" width="10" style="80" customWidth="1"/>
    <col min="6742" max="6742" width="1.07421875" style="80" customWidth="1"/>
    <col min="6743" max="6743" width="9.07421875" style="80" customWidth="1"/>
    <col min="6744" max="6744" width="1.07421875" style="80" customWidth="1"/>
    <col min="6745" max="6745" width="7.84375" style="80" customWidth="1"/>
    <col min="6746" max="6746" width="1.07421875" style="80" customWidth="1"/>
    <col min="6747" max="6747" width="0.84375" style="80" customWidth="1"/>
    <col min="6748" max="6748" width="9.07421875" style="80" customWidth="1"/>
    <col min="6749" max="6749" width="1.07421875" style="80" customWidth="1"/>
    <col min="6750" max="6750" width="0.84375" style="80" customWidth="1"/>
    <col min="6751" max="6751" width="9.53515625" style="80" bestFit="1" customWidth="1"/>
    <col min="6752" max="6753" width="0.84375" style="80" customWidth="1"/>
    <col min="6754" max="6754" width="9.84375" style="80" customWidth="1"/>
    <col min="6755" max="6755" width="1.07421875" style="80" customWidth="1"/>
    <col min="6756" max="6756" width="8.53515625" style="80" customWidth="1"/>
    <col min="6757" max="6757" width="14.53515625" style="80" customWidth="1"/>
    <col min="6758" max="6758" width="10" style="80" customWidth="1"/>
    <col min="6759" max="6759" width="7.84375" style="80" bestFit="1" customWidth="1"/>
    <col min="6760" max="6760" width="9.84375" style="80" customWidth="1"/>
    <col min="6761" max="6977" width="8.84375" style="80"/>
    <col min="6978" max="6978" width="38.4609375" style="80" customWidth="1"/>
    <col min="6979" max="6979" width="8.53515625" style="80" customWidth="1"/>
    <col min="6980" max="6980" width="1.07421875" style="80" customWidth="1"/>
    <col min="6981" max="6981" width="8.84375" style="80" customWidth="1"/>
    <col min="6982" max="6982" width="1.07421875" style="80" customWidth="1"/>
    <col min="6983" max="6983" width="9.07421875" style="80" customWidth="1"/>
    <col min="6984" max="6984" width="1.07421875" style="80" customWidth="1"/>
    <col min="6985" max="6985" width="10" style="80" customWidth="1"/>
    <col min="6986" max="6986" width="1.07421875" style="80" customWidth="1"/>
    <col min="6987" max="6987" width="9.07421875" style="80" customWidth="1"/>
    <col min="6988" max="6988" width="1.07421875" style="80" customWidth="1"/>
    <col min="6989" max="6989" width="11.07421875" style="80" customWidth="1"/>
    <col min="6990" max="6990" width="1.07421875" style="80" customWidth="1"/>
    <col min="6991" max="6991" width="9.07421875" style="80" customWidth="1"/>
    <col min="6992" max="6992" width="1.84375" style="80" customWidth="1"/>
    <col min="6993" max="6993" width="11" style="80" customWidth="1"/>
    <col min="6994" max="6994" width="1.07421875" style="80" customWidth="1"/>
    <col min="6995" max="6995" width="10.84375" style="80" customWidth="1"/>
    <col min="6996" max="6996" width="1.07421875" style="80" customWidth="1"/>
    <col min="6997" max="6997" width="10" style="80" customWidth="1"/>
    <col min="6998" max="6998" width="1.07421875" style="80" customWidth="1"/>
    <col min="6999" max="6999" width="9.07421875" style="80" customWidth="1"/>
    <col min="7000" max="7000" width="1.07421875" style="80" customWidth="1"/>
    <col min="7001" max="7001" width="7.84375" style="80" customWidth="1"/>
    <col min="7002" max="7002" width="1.07421875" style="80" customWidth="1"/>
    <col min="7003" max="7003" width="0.84375" style="80" customWidth="1"/>
    <col min="7004" max="7004" width="9.07421875" style="80" customWidth="1"/>
    <col min="7005" max="7005" width="1.07421875" style="80" customWidth="1"/>
    <col min="7006" max="7006" width="0.84375" style="80" customWidth="1"/>
    <col min="7007" max="7007" width="9.53515625" style="80" bestFit="1" customWidth="1"/>
    <col min="7008" max="7009" width="0.84375" style="80" customWidth="1"/>
    <col min="7010" max="7010" width="9.84375" style="80" customWidth="1"/>
    <col min="7011" max="7011" width="1.07421875" style="80" customWidth="1"/>
    <col min="7012" max="7012" width="8.53515625" style="80" customWidth="1"/>
    <col min="7013" max="7013" width="14.53515625" style="80" customWidth="1"/>
    <col min="7014" max="7014" width="10" style="80" customWidth="1"/>
    <col min="7015" max="7015" width="7.84375" style="80" bestFit="1" customWidth="1"/>
    <col min="7016" max="7016" width="9.84375" style="80" customWidth="1"/>
    <col min="7017" max="7233" width="8.84375" style="80"/>
    <col min="7234" max="7234" width="38.4609375" style="80" customWidth="1"/>
    <col min="7235" max="7235" width="8.53515625" style="80" customWidth="1"/>
    <col min="7236" max="7236" width="1.07421875" style="80" customWidth="1"/>
    <col min="7237" max="7237" width="8.84375" style="80" customWidth="1"/>
    <col min="7238" max="7238" width="1.07421875" style="80" customWidth="1"/>
    <col min="7239" max="7239" width="9.07421875" style="80" customWidth="1"/>
    <col min="7240" max="7240" width="1.07421875" style="80" customWidth="1"/>
    <col min="7241" max="7241" width="10" style="80" customWidth="1"/>
    <col min="7242" max="7242" width="1.07421875" style="80" customWidth="1"/>
    <col min="7243" max="7243" width="9.07421875" style="80" customWidth="1"/>
    <col min="7244" max="7244" width="1.07421875" style="80" customWidth="1"/>
    <col min="7245" max="7245" width="11.07421875" style="80" customWidth="1"/>
    <col min="7246" max="7246" width="1.07421875" style="80" customWidth="1"/>
    <col min="7247" max="7247" width="9.07421875" style="80" customWidth="1"/>
    <col min="7248" max="7248" width="1.84375" style="80" customWidth="1"/>
    <col min="7249" max="7249" width="11" style="80" customWidth="1"/>
    <col min="7250" max="7250" width="1.07421875" style="80" customWidth="1"/>
    <col min="7251" max="7251" width="10.84375" style="80" customWidth="1"/>
    <col min="7252" max="7252" width="1.07421875" style="80" customWidth="1"/>
    <col min="7253" max="7253" width="10" style="80" customWidth="1"/>
    <col min="7254" max="7254" width="1.07421875" style="80" customWidth="1"/>
    <col min="7255" max="7255" width="9.07421875" style="80" customWidth="1"/>
    <col min="7256" max="7256" width="1.07421875" style="80" customWidth="1"/>
    <col min="7257" max="7257" width="7.84375" style="80" customWidth="1"/>
    <col min="7258" max="7258" width="1.07421875" style="80" customWidth="1"/>
    <col min="7259" max="7259" width="0.84375" style="80" customWidth="1"/>
    <col min="7260" max="7260" width="9.07421875" style="80" customWidth="1"/>
    <col min="7261" max="7261" width="1.07421875" style="80" customWidth="1"/>
    <col min="7262" max="7262" width="0.84375" style="80" customWidth="1"/>
    <col min="7263" max="7263" width="9.53515625" style="80" bestFit="1" customWidth="1"/>
    <col min="7264" max="7265" width="0.84375" style="80" customWidth="1"/>
    <col min="7266" max="7266" width="9.84375" style="80" customWidth="1"/>
    <col min="7267" max="7267" width="1.07421875" style="80" customWidth="1"/>
    <col min="7268" max="7268" width="8.53515625" style="80" customWidth="1"/>
    <col min="7269" max="7269" width="14.53515625" style="80" customWidth="1"/>
    <col min="7270" max="7270" width="10" style="80" customWidth="1"/>
    <col min="7271" max="7271" width="7.84375" style="80" bestFit="1" customWidth="1"/>
    <col min="7272" max="7272" width="9.84375" style="80" customWidth="1"/>
    <col min="7273" max="7489" width="8.84375" style="80"/>
    <col min="7490" max="7490" width="38.4609375" style="80" customWidth="1"/>
    <col min="7491" max="7491" width="8.53515625" style="80" customWidth="1"/>
    <col min="7492" max="7492" width="1.07421875" style="80" customWidth="1"/>
    <col min="7493" max="7493" width="8.84375" style="80" customWidth="1"/>
    <col min="7494" max="7494" width="1.07421875" style="80" customWidth="1"/>
    <col min="7495" max="7495" width="9.07421875" style="80" customWidth="1"/>
    <col min="7496" max="7496" width="1.07421875" style="80" customWidth="1"/>
    <col min="7497" max="7497" width="10" style="80" customWidth="1"/>
    <col min="7498" max="7498" width="1.07421875" style="80" customWidth="1"/>
    <col min="7499" max="7499" width="9.07421875" style="80" customWidth="1"/>
    <col min="7500" max="7500" width="1.07421875" style="80" customWidth="1"/>
    <col min="7501" max="7501" width="11.07421875" style="80" customWidth="1"/>
    <col min="7502" max="7502" width="1.07421875" style="80" customWidth="1"/>
    <col min="7503" max="7503" width="9.07421875" style="80" customWidth="1"/>
    <col min="7504" max="7504" width="1.84375" style="80" customWidth="1"/>
    <col min="7505" max="7505" width="11" style="80" customWidth="1"/>
    <col min="7506" max="7506" width="1.07421875" style="80" customWidth="1"/>
    <col min="7507" max="7507" width="10.84375" style="80" customWidth="1"/>
    <col min="7508" max="7508" width="1.07421875" style="80" customWidth="1"/>
    <col min="7509" max="7509" width="10" style="80" customWidth="1"/>
    <col min="7510" max="7510" width="1.07421875" style="80" customWidth="1"/>
    <col min="7511" max="7511" width="9.07421875" style="80" customWidth="1"/>
    <col min="7512" max="7512" width="1.07421875" style="80" customWidth="1"/>
    <col min="7513" max="7513" width="7.84375" style="80" customWidth="1"/>
    <col min="7514" max="7514" width="1.07421875" style="80" customWidth="1"/>
    <col min="7515" max="7515" width="0.84375" style="80" customWidth="1"/>
    <col min="7516" max="7516" width="9.07421875" style="80" customWidth="1"/>
    <col min="7517" max="7517" width="1.07421875" style="80" customWidth="1"/>
    <col min="7518" max="7518" width="0.84375" style="80" customWidth="1"/>
    <col min="7519" max="7519" width="9.53515625" style="80" bestFit="1" customWidth="1"/>
    <col min="7520" max="7521" width="0.84375" style="80" customWidth="1"/>
    <col min="7522" max="7522" width="9.84375" style="80" customWidth="1"/>
    <col min="7523" max="7523" width="1.07421875" style="80" customWidth="1"/>
    <col min="7524" max="7524" width="8.53515625" style="80" customWidth="1"/>
    <col min="7525" max="7525" width="14.53515625" style="80" customWidth="1"/>
    <col min="7526" max="7526" width="10" style="80" customWidth="1"/>
    <col min="7527" max="7527" width="7.84375" style="80" bestFit="1" customWidth="1"/>
    <col min="7528" max="7528" width="9.84375" style="80" customWidth="1"/>
    <col min="7529" max="7745" width="8.84375" style="80"/>
    <col min="7746" max="7746" width="38.4609375" style="80" customWidth="1"/>
    <col min="7747" max="7747" width="8.53515625" style="80" customWidth="1"/>
    <col min="7748" max="7748" width="1.07421875" style="80" customWidth="1"/>
    <col min="7749" max="7749" width="8.84375" style="80" customWidth="1"/>
    <col min="7750" max="7750" width="1.07421875" style="80" customWidth="1"/>
    <col min="7751" max="7751" width="9.07421875" style="80" customWidth="1"/>
    <col min="7752" max="7752" width="1.07421875" style="80" customWidth="1"/>
    <col min="7753" max="7753" width="10" style="80" customWidth="1"/>
    <col min="7754" max="7754" width="1.07421875" style="80" customWidth="1"/>
    <col min="7755" max="7755" width="9.07421875" style="80" customWidth="1"/>
    <col min="7756" max="7756" width="1.07421875" style="80" customWidth="1"/>
    <col min="7757" max="7757" width="11.07421875" style="80" customWidth="1"/>
    <col min="7758" max="7758" width="1.07421875" style="80" customWidth="1"/>
    <col min="7759" max="7759" width="9.07421875" style="80" customWidth="1"/>
    <col min="7760" max="7760" width="1.84375" style="80" customWidth="1"/>
    <col min="7761" max="7761" width="11" style="80" customWidth="1"/>
    <col min="7762" max="7762" width="1.07421875" style="80" customWidth="1"/>
    <col min="7763" max="7763" width="10.84375" style="80" customWidth="1"/>
    <col min="7764" max="7764" width="1.07421875" style="80" customWidth="1"/>
    <col min="7765" max="7765" width="10" style="80" customWidth="1"/>
    <col min="7766" max="7766" width="1.07421875" style="80" customWidth="1"/>
    <col min="7767" max="7767" width="9.07421875" style="80" customWidth="1"/>
    <col min="7768" max="7768" width="1.07421875" style="80" customWidth="1"/>
    <col min="7769" max="7769" width="7.84375" style="80" customWidth="1"/>
    <col min="7770" max="7770" width="1.07421875" style="80" customWidth="1"/>
    <col min="7771" max="7771" width="0.84375" style="80" customWidth="1"/>
    <col min="7772" max="7772" width="9.07421875" style="80" customWidth="1"/>
    <col min="7773" max="7773" width="1.07421875" style="80" customWidth="1"/>
    <col min="7774" max="7774" width="0.84375" style="80" customWidth="1"/>
    <col min="7775" max="7775" width="9.53515625" style="80" bestFit="1" customWidth="1"/>
    <col min="7776" max="7777" width="0.84375" style="80" customWidth="1"/>
    <col min="7778" max="7778" width="9.84375" style="80" customWidth="1"/>
    <col min="7779" max="7779" width="1.07421875" style="80" customWidth="1"/>
    <col min="7780" max="7780" width="8.53515625" style="80" customWidth="1"/>
    <col min="7781" max="7781" width="14.53515625" style="80" customWidth="1"/>
    <col min="7782" max="7782" width="10" style="80" customWidth="1"/>
    <col min="7783" max="7783" width="7.84375" style="80" bestFit="1" customWidth="1"/>
    <col min="7784" max="7784" width="9.84375" style="80" customWidth="1"/>
    <col min="7785" max="8001" width="8.84375" style="80"/>
    <col min="8002" max="8002" width="38.4609375" style="80" customWidth="1"/>
    <col min="8003" max="8003" width="8.53515625" style="80" customWidth="1"/>
    <col min="8004" max="8004" width="1.07421875" style="80" customWidth="1"/>
    <col min="8005" max="8005" width="8.84375" style="80" customWidth="1"/>
    <col min="8006" max="8006" width="1.07421875" style="80" customWidth="1"/>
    <col min="8007" max="8007" width="9.07421875" style="80" customWidth="1"/>
    <col min="8008" max="8008" width="1.07421875" style="80" customWidth="1"/>
    <col min="8009" max="8009" width="10" style="80" customWidth="1"/>
    <col min="8010" max="8010" width="1.07421875" style="80" customWidth="1"/>
    <col min="8011" max="8011" width="9.07421875" style="80" customWidth="1"/>
    <col min="8012" max="8012" width="1.07421875" style="80" customWidth="1"/>
    <col min="8013" max="8013" width="11.07421875" style="80" customWidth="1"/>
    <col min="8014" max="8014" width="1.07421875" style="80" customWidth="1"/>
    <col min="8015" max="8015" width="9.07421875" style="80" customWidth="1"/>
    <col min="8016" max="8016" width="1.84375" style="80" customWidth="1"/>
    <col min="8017" max="8017" width="11" style="80" customWidth="1"/>
    <col min="8018" max="8018" width="1.07421875" style="80" customWidth="1"/>
    <col min="8019" max="8019" width="10.84375" style="80" customWidth="1"/>
    <col min="8020" max="8020" width="1.07421875" style="80" customWidth="1"/>
    <col min="8021" max="8021" width="10" style="80" customWidth="1"/>
    <col min="8022" max="8022" width="1.07421875" style="80" customWidth="1"/>
    <col min="8023" max="8023" width="9.07421875" style="80" customWidth="1"/>
    <col min="8024" max="8024" width="1.07421875" style="80" customWidth="1"/>
    <col min="8025" max="8025" width="7.84375" style="80" customWidth="1"/>
    <col min="8026" max="8026" width="1.07421875" style="80" customWidth="1"/>
    <col min="8027" max="8027" width="0.84375" style="80" customWidth="1"/>
    <col min="8028" max="8028" width="9.07421875" style="80" customWidth="1"/>
    <col min="8029" max="8029" width="1.07421875" style="80" customWidth="1"/>
    <col min="8030" max="8030" width="0.84375" style="80" customWidth="1"/>
    <col min="8031" max="8031" width="9.53515625" style="80" bestFit="1" customWidth="1"/>
    <col min="8032" max="8033" width="0.84375" style="80" customWidth="1"/>
    <col min="8034" max="8034" width="9.84375" style="80" customWidth="1"/>
    <col min="8035" max="8035" width="1.07421875" style="80" customWidth="1"/>
    <col min="8036" max="8036" width="8.53515625" style="80" customWidth="1"/>
    <col min="8037" max="8037" width="14.53515625" style="80" customWidth="1"/>
    <col min="8038" max="8038" width="10" style="80" customWidth="1"/>
    <col min="8039" max="8039" width="7.84375" style="80" bestFit="1" customWidth="1"/>
    <col min="8040" max="8040" width="9.84375" style="80" customWidth="1"/>
    <col min="8041" max="8257" width="8.84375" style="80"/>
    <col min="8258" max="8258" width="38.4609375" style="80" customWidth="1"/>
    <col min="8259" max="8259" width="8.53515625" style="80" customWidth="1"/>
    <col min="8260" max="8260" width="1.07421875" style="80" customWidth="1"/>
    <col min="8261" max="8261" width="8.84375" style="80" customWidth="1"/>
    <col min="8262" max="8262" width="1.07421875" style="80" customWidth="1"/>
    <col min="8263" max="8263" width="9.07421875" style="80" customWidth="1"/>
    <col min="8264" max="8264" width="1.07421875" style="80" customWidth="1"/>
    <col min="8265" max="8265" width="10" style="80" customWidth="1"/>
    <col min="8266" max="8266" width="1.07421875" style="80" customWidth="1"/>
    <col min="8267" max="8267" width="9.07421875" style="80" customWidth="1"/>
    <col min="8268" max="8268" width="1.07421875" style="80" customWidth="1"/>
    <col min="8269" max="8269" width="11.07421875" style="80" customWidth="1"/>
    <col min="8270" max="8270" width="1.07421875" style="80" customWidth="1"/>
    <col min="8271" max="8271" width="9.07421875" style="80" customWidth="1"/>
    <col min="8272" max="8272" width="1.84375" style="80" customWidth="1"/>
    <col min="8273" max="8273" width="11" style="80" customWidth="1"/>
    <col min="8274" max="8274" width="1.07421875" style="80" customWidth="1"/>
    <col min="8275" max="8275" width="10.84375" style="80" customWidth="1"/>
    <col min="8276" max="8276" width="1.07421875" style="80" customWidth="1"/>
    <col min="8277" max="8277" width="10" style="80" customWidth="1"/>
    <col min="8278" max="8278" width="1.07421875" style="80" customWidth="1"/>
    <col min="8279" max="8279" width="9.07421875" style="80" customWidth="1"/>
    <col min="8280" max="8280" width="1.07421875" style="80" customWidth="1"/>
    <col min="8281" max="8281" width="7.84375" style="80" customWidth="1"/>
    <col min="8282" max="8282" width="1.07421875" style="80" customWidth="1"/>
    <col min="8283" max="8283" width="0.84375" style="80" customWidth="1"/>
    <col min="8284" max="8284" width="9.07421875" style="80" customWidth="1"/>
    <col min="8285" max="8285" width="1.07421875" style="80" customWidth="1"/>
    <col min="8286" max="8286" width="0.84375" style="80" customWidth="1"/>
    <col min="8287" max="8287" width="9.53515625" style="80" bestFit="1" customWidth="1"/>
    <col min="8288" max="8289" width="0.84375" style="80" customWidth="1"/>
    <col min="8290" max="8290" width="9.84375" style="80" customWidth="1"/>
    <col min="8291" max="8291" width="1.07421875" style="80" customWidth="1"/>
    <col min="8292" max="8292" width="8.53515625" style="80" customWidth="1"/>
    <col min="8293" max="8293" width="14.53515625" style="80" customWidth="1"/>
    <col min="8294" max="8294" width="10" style="80" customWidth="1"/>
    <col min="8295" max="8295" width="7.84375" style="80" bestFit="1" customWidth="1"/>
    <col min="8296" max="8296" width="9.84375" style="80" customWidth="1"/>
    <col min="8297" max="8513" width="8.84375" style="80"/>
    <col min="8514" max="8514" width="38.4609375" style="80" customWidth="1"/>
    <col min="8515" max="8515" width="8.53515625" style="80" customWidth="1"/>
    <col min="8516" max="8516" width="1.07421875" style="80" customWidth="1"/>
    <col min="8517" max="8517" width="8.84375" style="80" customWidth="1"/>
    <col min="8518" max="8518" width="1.07421875" style="80" customWidth="1"/>
    <col min="8519" max="8519" width="9.07421875" style="80" customWidth="1"/>
    <col min="8520" max="8520" width="1.07421875" style="80" customWidth="1"/>
    <col min="8521" max="8521" width="10" style="80" customWidth="1"/>
    <col min="8522" max="8522" width="1.07421875" style="80" customWidth="1"/>
    <col min="8523" max="8523" width="9.07421875" style="80" customWidth="1"/>
    <col min="8524" max="8524" width="1.07421875" style="80" customWidth="1"/>
    <col min="8525" max="8525" width="11.07421875" style="80" customWidth="1"/>
    <col min="8526" max="8526" width="1.07421875" style="80" customWidth="1"/>
    <col min="8527" max="8527" width="9.07421875" style="80" customWidth="1"/>
    <col min="8528" max="8528" width="1.84375" style="80" customWidth="1"/>
    <col min="8529" max="8529" width="11" style="80" customWidth="1"/>
    <col min="8530" max="8530" width="1.07421875" style="80" customWidth="1"/>
    <col min="8531" max="8531" width="10.84375" style="80" customWidth="1"/>
    <col min="8532" max="8532" width="1.07421875" style="80" customWidth="1"/>
    <col min="8533" max="8533" width="10" style="80" customWidth="1"/>
    <col min="8534" max="8534" width="1.07421875" style="80" customWidth="1"/>
    <col min="8535" max="8535" width="9.07421875" style="80" customWidth="1"/>
    <col min="8536" max="8536" width="1.07421875" style="80" customWidth="1"/>
    <col min="8537" max="8537" width="7.84375" style="80" customWidth="1"/>
    <col min="8538" max="8538" width="1.07421875" style="80" customWidth="1"/>
    <col min="8539" max="8539" width="0.84375" style="80" customWidth="1"/>
    <col min="8540" max="8540" width="9.07421875" style="80" customWidth="1"/>
    <col min="8541" max="8541" width="1.07421875" style="80" customWidth="1"/>
    <col min="8542" max="8542" width="0.84375" style="80" customWidth="1"/>
    <col min="8543" max="8543" width="9.53515625" style="80" bestFit="1" customWidth="1"/>
    <col min="8544" max="8545" width="0.84375" style="80" customWidth="1"/>
    <col min="8546" max="8546" width="9.84375" style="80" customWidth="1"/>
    <col min="8547" max="8547" width="1.07421875" style="80" customWidth="1"/>
    <col min="8548" max="8548" width="8.53515625" style="80" customWidth="1"/>
    <col min="8549" max="8549" width="14.53515625" style="80" customWidth="1"/>
    <col min="8550" max="8550" width="10" style="80" customWidth="1"/>
    <col min="8551" max="8551" width="7.84375" style="80" bestFit="1" customWidth="1"/>
    <col min="8552" max="8552" width="9.84375" style="80" customWidth="1"/>
    <col min="8553" max="8769" width="8.84375" style="80"/>
    <col min="8770" max="8770" width="38.4609375" style="80" customWidth="1"/>
    <col min="8771" max="8771" width="8.53515625" style="80" customWidth="1"/>
    <col min="8772" max="8772" width="1.07421875" style="80" customWidth="1"/>
    <col min="8773" max="8773" width="8.84375" style="80" customWidth="1"/>
    <col min="8774" max="8774" width="1.07421875" style="80" customWidth="1"/>
    <col min="8775" max="8775" width="9.07421875" style="80" customWidth="1"/>
    <col min="8776" max="8776" width="1.07421875" style="80" customWidth="1"/>
    <col min="8777" max="8777" width="10" style="80" customWidth="1"/>
    <col min="8778" max="8778" width="1.07421875" style="80" customWidth="1"/>
    <col min="8779" max="8779" width="9.07421875" style="80" customWidth="1"/>
    <col min="8780" max="8780" width="1.07421875" style="80" customWidth="1"/>
    <col min="8781" max="8781" width="11.07421875" style="80" customWidth="1"/>
    <col min="8782" max="8782" width="1.07421875" style="80" customWidth="1"/>
    <col min="8783" max="8783" width="9.07421875" style="80" customWidth="1"/>
    <col min="8784" max="8784" width="1.84375" style="80" customWidth="1"/>
    <col min="8785" max="8785" width="11" style="80" customWidth="1"/>
    <col min="8786" max="8786" width="1.07421875" style="80" customWidth="1"/>
    <col min="8787" max="8787" width="10.84375" style="80" customWidth="1"/>
    <col min="8788" max="8788" width="1.07421875" style="80" customWidth="1"/>
    <col min="8789" max="8789" width="10" style="80" customWidth="1"/>
    <col min="8790" max="8790" width="1.07421875" style="80" customWidth="1"/>
    <col min="8791" max="8791" width="9.07421875" style="80" customWidth="1"/>
    <col min="8792" max="8792" width="1.07421875" style="80" customWidth="1"/>
    <col min="8793" max="8793" width="7.84375" style="80" customWidth="1"/>
    <col min="8794" max="8794" width="1.07421875" style="80" customWidth="1"/>
    <col min="8795" max="8795" width="0.84375" style="80" customWidth="1"/>
    <col min="8796" max="8796" width="9.07421875" style="80" customWidth="1"/>
    <col min="8797" max="8797" width="1.07421875" style="80" customWidth="1"/>
    <col min="8798" max="8798" width="0.84375" style="80" customWidth="1"/>
    <col min="8799" max="8799" width="9.53515625" style="80" bestFit="1" customWidth="1"/>
    <col min="8800" max="8801" width="0.84375" style="80" customWidth="1"/>
    <col min="8802" max="8802" width="9.84375" style="80" customWidth="1"/>
    <col min="8803" max="8803" width="1.07421875" style="80" customWidth="1"/>
    <col min="8804" max="8804" width="8.53515625" style="80" customWidth="1"/>
    <col min="8805" max="8805" width="14.53515625" style="80" customWidth="1"/>
    <col min="8806" max="8806" width="10" style="80" customWidth="1"/>
    <col min="8807" max="8807" width="7.84375" style="80" bestFit="1" customWidth="1"/>
    <col min="8808" max="8808" width="9.84375" style="80" customWidth="1"/>
    <col min="8809" max="9025" width="8.84375" style="80"/>
    <col min="9026" max="9026" width="38.4609375" style="80" customWidth="1"/>
    <col min="9027" max="9027" width="8.53515625" style="80" customWidth="1"/>
    <col min="9028" max="9028" width="1.07421875" style="80" customWidth="1"/>
    <col min="9029" max="9029" width="8.84375" style="80" customWidth="1"/>
    <col min="9030" max="9030" width="1.07421875" style="80" customWidth="1"/>
    <col min="9031" max="9031" width="9.07421875" style="80" customWidth="1"/>
    <col min="9032" max="9032" width="1.07421875" style="80" customWidth="1"/>
    <col min="9033" max="9033" width="10" style="80" customWidth="1"/>
    <col min="9034" max="9034" width="1.07421875" style="80" customWidth="1"/>
    <col min="9035" max="9035" width="9.07421875" style="80" customWidth="1"/>
    <col min="9036" max="9036" width="1.07421875" style="80" customWidth="1"/>
    <col min="9037" max="9037" width="11.07421875" style="80" customWidth="1"/>
    <col min="9038" max="9038" width="1.07421875" style="80" customWidth="1"/>
    <col min="9039" max="9039" width="9.07421875" style="80" customWidth="1"/>
    <col min="9040" max="9040" width="1.84375" style="80" customWidth="1"/>
    <col min="9041" max="9041" width="11" style="80" customWidth="1"/>
    <col min="9042" max="9042" width="1.07421875" style="80" customWidth="1"/>
    <col min="9043" max="9043" width="10.84375" style="80" customWidth="1"/>
    <col min="9044" max="9044" width="1.07421875" style="80" customWidth="1"/>
    <col min="9045" max="9045" width="10" style="80" customWidth="1"/>
    <col min="9046" max="9046" width="1.07421875" style="80" customWidth="1"/>
    <col min="9047" max="9047" width="9.07421875" style="80" customWidth="1"/>
    <col min="9048" max="9048" width="1.07421875" style="80" customWidth="1"/>
    <col min="9049" max="9049" width="7.84375" style="80" customWidth="1"/>
    <col min="9050" max="9050" width="1.07421875" style="80" customWidth="1"/>
    <col min="9051" max="9051" width="0.84375" style="80" customWidth="1"/>
    <col min="9052" max="9052" width="9.07421875" style="80" customWidth="1"/>
    <col min="9053" max="9053" width="1.07421875" style="80" customWidth="1"/>
    <col min="9054" max="9054" width="0.84375" style="80" customWidth="1"/>
    <col min="9055" max="9055" width="9.53515625" style="80" bestFit="1" customWidth="1"/>
    <col min="9056" max="9057" width="0.84375" style="80" customWidth="1"/>
    <col min="9058" max="9058" width="9.84375" style="80" customWidth="1"/>
    <col min="9059" max="9059" width="1.07421875" style="80" customWidth="1"/>
    <col min="9060" max="9060" width="8.53515625" style="80" customWidth="1"/>
    <col min="9061" max="9061" width="14.53515625" style="80" customWidth="1"/>
    <col min="9062" max="9062" width="10" style="80" customWidth="1"/>
    <col min="9063" max="9063" width="7.84375" style="80" bestFit="1" customWidth="1"/>
    <col min="9064" max="9064" width="9.84375" style="80" customWidth="1"/>
    <col min="9065" max="9281" width="8.84375" style="80"/>
    <col min="9282" max="9282" width="38.4609375" style="80" customWidth="1"/>
    <col min="9283" max="9283" width="8.53515625" style="80" customWidth="1"/>
    <col min="9284" max="9284" width="1.07421875" style="80" customWidth="1"/>
    <col min="9285" max="9285" width="8.84375" style="80" customWidth="1"/>
    <col min="9286" max="9286" width="1.07421875" style="80" customWidth="1"/>
    <col min="9287" max="9287" width="9.07421875" style="80" customWidth="1"/>
    <col min="9288" max="9288" width="1.07421875" style="80" customWidth="1"/>
    <col min="9289" max="9289" width="10" style="80" customWidth="1"/>
    <col min="9290" max="9290" width="1.07421875" style="80" customWidth="1"/>
    <col min="9291" max="9291" width="9.07421875" style="80" customWidth="1"/>
    <col min="9292" max="9292" width="1.07421875" style="80" customWidth="1"/>
    <col min="9293" max="9293" width="11.07421875" style="80" customWidth="1"/>
    <col min="9294" max="9294" width="1.07421875" style="80" customWidth="1"/>
    <col min="9295" max="9295" width="9.07421875" style="80" customWidth="1"/>
    <col min="9296" max="9296" width="1.84375" style="80" customWidth="1"/>
    <col min="9297" max="9297" width="11" style="80" customWidth="1"/>
    <col min="9298" max="9298" width="1.07421875" style="80" customWidth="1"/>
    <col min="9299" max="9299" width="10.84375" style="80" customWidth="1"/>
    <col min="9300" max="9300" width="1.07421875" style="80" customWidth="1"/>
    <col min="9301" max="9301" width="10" style="80" customWidth="1"/>
    <col min="9302" max="9302" width="1.07421875" style="80" customWidth="1"/>
    <col min="9303" max="9303" width="9.07421875" style="80" customWidth="1"/>
    <col min="9304" max="9304" width="1.07421875" style="80" customWidth="1"/>
    <col min="9305" max="9305" width="7.84375" style="80" customWidth="1"/>
    <col min="9306" max="9306" width="1.07421875" style="80" customWidth="1"/>
    <col min="9307" max="9307" width="0.84375" style="80" customWidth="1"/>
    <col min="9308" max="9308" width="9.07421875" style="80" customWidth="1"/>
    <col min="9309" max="9309" width="1.07421875" style="80" customWidth="1"/>
    <col min="9310" max="9310" width="0.84375" style="80" customWidth="1"/>
    <col min="9311" max="9311" width="9.53515625" style="80" bestFit="1" customWidth="1"/>
    <col min="9312" max="9313" width="0.84375" style="80" customWidth="1"/>
    <col min="9314" max="9314" width="9.84375" style="80" customWidth="1"/>
    <col min="9315" max="9315" width="1.07421875" style="80" customWidth="1"/>
    <col min="9316" max="9316" width="8.53515625" style="80" customWidth="1"/>
    <col min="9317" max="9317" width="14.53515625" style="80" customWidth="1"/>
    <col min="9318" max="9318" width="10" style="80" customWidth="1"/>
    <col min="9319" max="9319" width="7.84375" style="80" bestFit="1" customWidth="1"/>
    <col min="9320" max="9320" width="9.84375" style="80" customWidth="1"/>
    <col min="9321" max="9537" width="8.84375" style="80"/>
    <col min="9538" max="9538" width="38.4609375" style="80" customWidth="1"/>
    <col min="9539" max="9539" width="8.53515625" style="80" customWidth="1"/>
    <col min="9540" max="9540" width="1.07421875" style="80" customWidth="1"/>
    <col min="9541" max="9541" width="8.84375" style="80" customWidth="1"/>
    <col min="9542" max="9542" width="1.07421875" style="80" customWidth="1"/>
    <col min="9543" max="9543" width="9.07421875" style="80" customWidth="1"/>
    <col min="9544" max="9544" width="1.07421875" style="80" customWidth="1"/>
    <col min="9545" max="9545" width="10" style="80" customWidth="1"/>
    <col min="9546" max="9546" width="1.07421875" style="80" customWidth="1"/>
    <col min="9547" max="9547" width="9.07421875" style="80" customWidth="1"/>
    <col min="9548" max="9548" width="1.07421875" style="80" customWidth="1"/>
    <col min="9549" max="9549" width="11.07421875" style="80" customWidth="1"/>
    <col min="9550" max="9550" width="1.07421875" style="80" customWidth="1"/>
    <col min="9551" max="9551" width="9.07421875" style="80" customWidth="1"/>
    <col min="9552" max="9552" width="1.84375" style="80" customWidth="1"/>
    <col min="9553" max="9553" width="11" style="80" customWidth="1"/>
    <col min="9554" max="9554" width="1.07421875" style="80" customWidth="1"/>
    <col min="9555" max="9555" width="10.84375" style="80" customWidth="1"/>
    <col min="9556" max="9556" width="1.07421875" style="80" customWidth="1"/>
    <col min="9557" max="9557" width="10" style="80" customWidth="1"/>
    <col min="9558" max="9558" width="1.07421875" style="80" customWidth="1"/>
    <col min="9559" max="9559" width="9.07421875" style="80" customWidth="1"/>
    <col min="9560" max="9560" width="1.07421875" style="80" customWidth="1"/>
    <col min="9561" max="9561" width="7.84375" style="80" customWidth="1"/>
    <col min="9562" max="9562" width="1.07421875" style="80" customWidth="1"/>
    <col min="9563" max="9563" width="0.84375" style="80" customWidth="1"/>
    <col min="9564" max="9564" width="9.07421875" style="80" customWidth="1"/>
    <col min="9565" max="9565" width="1.07421875" style="80" customWidth="1"/>
    <col min="9566" max="9566" width="0.84375" style="80" customWidth="1"/>
    <col min="9567" max="9567" width="9.53515625" style="80" bestFit="1" customWidth="1"/>
    <col min="9568" max="9569" width="0.84375" style="80" customWidth="1"/>
    <col min="9570" max="9570" width="9.84375" style="80" customWidth="1"/>
    <col min="9571" max="9571" width="1.07421875" style="80" customWidth="1"/>
    <col min="9572" max="9572" width="8.53515625" style="80" customWidth="1"/>
    <col min="9573" max="9573" width="14.53515625" style="80" customWidth="1"/>
    <col min="9574" max="9574" width="10" style="80" customWidth="1"/>
    <col min="9575" max="9575" width="7.84375" style="80" bestFit="1" customWidth="1"/>
    <col min="9576" max="9576" width="9.84375" style="80" customWidth="1"/>
    <col min="9577" max="9793" width="8.84375" style="80"/>
    <col min="9794" max="9794" width="38.4609375" style="80" customWidth="1"/>
    <col min="9795" max="9795" width="8.53515625" style="80" customWidth="1"/>
    <col min="9796" max="9796" width="1.07421875" style="80" customWidth="1"/>
    <col min="9797" max="9797" width="8.84375" style="80" customWidth="1"/>
    <col min="9798" max="9798" width="1.07421875" style="80" customWidth="1"/>
    <col min="9799" max="9799" width="9.07421875" style="80" customWidth="1"/>
    <col min="9800" max="9800" width="1.07421875" style="80" customWidth="1"/>
    <col min="9801" max="9801" width="10" style="80" customWidth="1"/>
    <col min="9802" max="9802" width="1.07421875" style="80" customWidth="1"/>
    <col min="9803" max="9803" width="9.07421875" style="80" customWidth="1"/>
    <col min="9804" max="9804" width="1.07421875" style="80" customWidth="1"/>
    <col min="9805" max="9805" width="11.07421875" style="80" customWidth="1"/>
    <col min="9806" max="9806" width="1.07421875" style="80" customWidth="1"/>
    <col min="9807" max="9807" width="9.07421875" style="80" customWidth="1"/>
    <col min="9808" max="9808" width="1.84375" style="80" customWidth="1"/>
    <col min="9809" max="9809" width="11" style="80" customWidth="1"/>
    <col min="9810" max="9810" width="1.07421875" style="80" customWidth="1"/>
    <col min="9811" max="9811" width="10.84375" style="80" customWidth="1"/>
    <col min="9812" max="9812" width="1.07421875" style="80" customWidth="1"/>
    <col min="9813" max="9813" width="10" style="80" customWidth="1"/>
    <col min="9814" max="9814" width="1.07421875" style="80" customWidth="1"/>
    <col min="9815" max="9815" width="9.07421875" style="80" customWidth="1"/>
    <col min="9816" max="9816" width="1.07421875" style="80" customWidth="1"/>
    <col min="9817" max="9817" width="7.84375" style="80" customWidth="1"/>
    <col min="9818" max="9818" width="1.07421875" style="80" customWidth="1"/>
    <col min="9819" max="9819" width="0.84375" style="80" customWidth="1"/>
    <col min="9820" max="9820" width="9.07421875" style="80" customWidth="1"/>
    <col min="9821" max="9821" width="1.07421875" style="80" customWidth="1"/>
    <col min="9822" max="9822" width="0.84375" style="80" customWidth="1"/>
    <col min="9823" max="9823" width="9.53515625" style="80" bestFit="1" customWidth="1"/>
    <col min="9824" max="9825" width="0.84375" style="80" customWidth="1"/>
    <col min="9826" max="9826" width="9.84375" style="80" customWidth="1"/>
    <col min="9827" max="9827" width="1.07421875" style="80" customWidth="1"/>
    <col min="9828" max="9828" width="8.53515625" style="80" customWidth="1"/>
    <col min="9829" max="9829" width="14.53515625" style="80" customWidth="1"/>
    <col min="9830" max="9830" width="10" style="80" customWidth="1"/>
    <col min="9831" max="9831" width="7.84375" style="80" bestFit="1" customWidth="1"/>
    <col min="9832" max="9832" width="9.84375" style="80" customWidth="1"/>
    <col min="9833" max="10049" width="8.84375" style="80"/>
    <col min="10050" max="10050" width="38.4609375" style="80" customWidth="1"/>
    <col min="10051" max="10051" width="8.53515625" style="80" customWidth="1"/>
    <col min="10052" max="10052" width="1.07421875" style="80" customWidth="1"/>
    <col min="10053" max="10053" width="8.84375" style="80" customWidth="1"/>
    <col min="10054" max="10054" width="1.07421875" style="80" customWidth="1"/>
    <col min="10055" max="10055" width="9.07421875" style="80" customWidth="1"/>
    <col min="10056" max="10056" width="1.07421875" style="80" customWidth="1"/>
    <col min="10057" max="10057" width="10" style="80" customWidth="1"/>
    <col min="10058" max="10058" width="1.07421875" style="80" customWidth="1"/>
    <col min="10059" max="10059" width="9.07421875" style="80" customWidth="1"/>
    <col min="10060" max="10060" width="1.07421875" style="80" customWidth="1"/>
    <col min="10061" max="10061" width="11.07421875" style="80" customWidth="1"/>
    <col min="10062" max="10062" width="1.07421875" style="80" customWidth="1"/>
    <col min="10063" max="10063" width="9.07421875" style="80" customWidth="1"/>
    <col min="10064" max="10064" width="1.84375" style="80" customWidth="1"/>
    <col min="10065" max="10065" width="11" style="80" customWidth="1"/>
    <col min="10066" max="10066" width="1.07421875" style="80" customWidth="1"/>
    <col min="10067" max="10067" width="10.84375" style="80" customWidth="1"/>
    <col min="10068" max="10068" width="1.07421875" style="80" customWidth="1"/>
    <col min="10069" max="10069" width="10" style="80" customWidth="1"/>
    <col min="10070" max="10070" width="1.07421875" style="80" customWidth="1"/>
    <col min="10071" max="10071" width="9.07421875" style="80" customWidth="1"/>
    <col min="10072" max="10072" width="1.07421875" style="80" customWidth="1"/>
    <col min="10073" max="10073" width="7.84375" style="80" customWidth="1"/>
    <col min="10074" max="10074" width="1.07421875" style="80" customWidth="1"/>
    <col min="10075" max="10075" width="0.84375" style="80" customWidth="1"/>
    <col min="10076" max="10076" width="9.07421875" style="80" customWidth="1"/>
    <col min="10077" max="10077" width="1.07421875" style="80" customWidth="1"/>
    <col min="10078" max="10078" width="0.84375" style="80" customWidth="1"/>
    <col min="10079" max="10079" width="9.53515625" style="80" bestFit="1" customWidth="1"/>
    <col min="10080" max="10081" width="0.84375" style="80" customWidth="1"/>
    <col min="10082" max="10082" width="9.84375" style="80" customWidth="1"/>
    <col min="10083" max="10083" width="1.07421875" style="80" customWidth="1"/>
    <col min="10084" max="10084" width="8.53515625" style="80" customWidth="1"/>
    <col min="10085" max="10085" width="14.53515625" style="80" customWidth="1"/>
    <col min="10086" max="10086" width="10" style="80" customWidth="1"/>
    <col min="10087" max="10087" width="7.84375" style="80" bestFit="1" customWidth="1"/>
    <col min="10088" max="10088" width="9.84375" style="80" customWidth="1"/>
    <col min="10089" max="10305" width="8.84375" style="80"/>
    <col min="10306" max="10306" width="38.4609375" style="80" customWidth="1"/>
    <col min="10307" max="10307" width="8.53515625" style="80" customWidth="1"/>
    <col min="10308" max="10308" width="1.07421875" style="80" customWidth="1"/>
    <col min="10309" max="10309" width="8.84375" style="80" customWidth="1"/>
    <col min="10310" max="10310" width="1.07421875" style="80" customWidth="1"/>
    <col min="10311" max="10311" width="9.07421875" style="80" customWidth="1"/>
    <col min="10312" max="10312" width="1.07421875" style="80" customWidth="1"/>
    <col min="10313" max="10313" width="10" style="80" customWidth="1"/>
    <col min="10314" max="10314" width="1.07421875" style="80" customWidth="1"/>
    <col min="10315" max="10315" width="9.07421875" style="80" customWidth="1"/>
    <col min="10316" max="10316" width="1.07421875" style="80" customWidth="1"/>
    <col min="10317" max="10317" width="11.07421875" style="80" customWidth="1"/>
    <col min="10318" max="10318" width="1.07421875" style="80" customWidth="1"/>
    <col min="10319" max="10319" width="9.07421875" style="80" customWidth="1"/>
    <col min="10320" max="10320" width="1.84375" style="80" customWidth="1"/>
    <col min="10321" max="10321" width="11" style="80" customWidth="1"/>
    <col min="10322" max="10322" width="1.07421875" style="80" customWidth="1"/>
    <col min="10323" max="10323" width="10.84375" style="80" customWidth="1"/>
    <col min="10324" max="10324" width="1.07421875" style="80" customWidth="1"/>
    <col min="10325" max="10325" width="10" style="80" customWidth="1"/>
    <col min="10326" max="10326" width="1.07421875" style="80" customWidth="1"/>
    <col min="10327" max="10327" width="9.07421875" style="80" customWidth="1"/>
    <col min="10328" max="10328" width="1.07421875" style="80" customWidth="1"/>
    <col min="10329" max="10329" width="7.84375" style="80" customWidth="1"/>
    <col min="10330" max="10330" width="1.07421875" style="80" customWidth="1"/>
    <col min="10331" max="10331" width="0.84375" style="80" customWidth="1"/>
    <col min="10332" max="10332" width="9.07421875" style="80" customWidth="1"/>
    <col min="10333" max="10333" width="1.07421875" style="80" customWidth="1"/>
    <col min="10334" max="10334" width="0.84375" style="80" customWidth="1"/>
    <col min="10335" max="10335" width="9.53515625" style="80" bestFit="1" customWidth="1"/>
    <col min="10336" max="10337" width="0.84375" style="80" customWidth="1"/>
    <col min="10338" max="10338" width="9.84375" style="80" customWidth="1"/>
    <col min="10339" max="10339" width="1.07421875" style="80" customWidth="1"/>
    <col min="10340" max="10340" width="8.53515625" style="80" customWidth="1"/>
    <col min="10341" max="10341" width="14.53515625" style="80" customWidth="1"/>
    <col min="10342" max="10342" width="10" style="80" customWidth="1"/>
    <col min="10343" max="10343" width="7.84375" style="80" bestFit="1" customWidth="1"/>
    <col min="10344" max="10344" width="9.84375" style="80" customWidth="1"/>
    <col min="10345" max="10561" width="8.84375" style="80"/>
    <col min="10562" max="10562" width="38.4609375" style="80" customWidth="1"/>
    <col min="10563" max="10563" width="8.53515625" style="80" customWidth="1"/>
    <col min="10564" max="10564" width="1.07421875" style="80" customWidth="1"/>
    <col min="10565" max="10565" width="8.84375" style="80" customWidth="1"/>
    <col min="10566" max="10566" width="1.07421875" style="80" customWidth="1"/>
    <col min="10567" max="10567" width="9.07421875" style="80" customWidth="1"/>
    <col min="10568" max="10568" width="1.07421875" style="80" customWidth="1"/>
    <col min="10569" max="10569" width="10" style="80" customWidth="1"/>
    <col min="10570" max="10570" width="1.07421875" style="80" customWidth="1"/>
    <col min="10571" max="10571" width="9.07421875" style="80" customWidth="1"/>
    <col min="10572" max="10572" width="1.07421875" style="80" customWidth="1"/>
    <col min="10573" max="10573" width="11.07421875" style="80" customWidth="1"/>
    <col min="10574" max="10574" width="1.07421875" style="80" customWidth="1"/>
    <col min="10575" max="10575" width="9.07421875" style="80" customWidth="1"/>
    <col min="10576" max="10576" width="1.84375" style="80" customWidth="1"/>
    <col min="10577" max="10577" width="11" style="80" customWidth="1"/>
    <col min="10578" max="10578" width="1.07421875" style="80" customWidth="1"/>
    <col min="10579" max="10579" width="10.84375" style="80" customWidth="1"/>
    <col min="10580" max="10580" width="1.07421875" style="80" customWidth="1"/>
    <col min="10581" max="10581" width="10" style="80" customWidth="1"/>
    <col min="10582" max="10582" width="1.07421875" style="80" customWidth="1"/>
    <col min="10583" max="10583" width="9.07421875" style="80" customWidth="1"/>
    <col min="10584" max="10584" width="1.07421875" style="80" customWidth="1"/>
    <col min="10585" max="10585" width="7.84375" style="80" customWidth="1"/>
    <col min="10586" max="10586" width="1.07421875" style="80" customWidth="1"/>
    <col min="10587" max="10587" width="0.84375" style="80" customWidth="1"/>
    <col min="10588" max="10588" width="9.07421875" style="80" customWidth="1"/>
    <col min="10589" max="10589" width="1.07421875" style="80" customWidth="1"/>
    <col min="10590" max="10590" width="0.84375" style="80" customWidth="1"/>
    <col min="10591" max="10591" width="9.53515625" style="80" bestFit="1" customWidth="1"/>
    <col min="10592" max="10593" width="0.84375" style="80" customWidth="1"/>
    <col min="10594" max="10594" width="9.84375" style="80" customWidth="1"/>
    <col min="10595" max="10595" width="1.07421875" style="80" customWidth="1"/>
    <col min="10596" max="10596" width="8.53515625" style="80" customWidth="1"/>
    <col min="10597" max="10597" width="14.53515625" style="80" customWidth="1"/>
    <col min="10598" max="10598" width="10" style="80" customWidth="1"/>
    <col min="10599" max="10599" width="7.84375" style="80" bestFit="1" customWidth="1"/>
    <col min="10600" max="10600" width="9.84375" style="80" customWidth="1"/>
    <col min="10601" max="10817" width="8.84375" style="80"/>
    <col min="10818" max="10818" width="38.4609375" style="80" customWidth="1"/>
    <col min="10819" max="10819" width="8.53515625" style="80" customWidth="1"/>
    <col min="10820" max="10820" width="1.07421875" style="80" customWidth="1"/>
    <col min="10821" max="10821" width="8.84375" style="80" customWidth="1"/>
    <col min="10822" max="10822" width="1.07421875" style="80" customWidth="1"/>
    <col min="10823" max="10823" width="9.07421875" style="80" customWidth="1"/>
    <col min="10824" max="10824" width="1.07421875" style="80" customWidth="1"/>
    <col min="10825" max="10825" width="10" style="80" customWidth="1"/>
    <col min="10826" max="10826" width="1.07421875" style="80" customWidth="1"/>
    <col min="10827" max="10827" width="9.07421875" style="80" customWidth="1"/>
    <col min="10828" max="10828" width="1.07421875" style="80" customWidth="1"/>
    <col min="10829" max="10829" width="11.07421875" style="80" customWidth="1"/>
    <col min="10830" max="10830" width="1.07421875" style="80" customWidth="1"/>
    <col min="10831" max="10831" width="9.07421875" style="80" customWidth="1"/>
    <col min="10832" max="10832" width="1.84375" style="80" customWidth="1"/>
    <col min="10833" max="10833" width="11" style="80" customWidth="1"/>
    <col min="10834" max="10834" width="1.07421875" style="80" customWidth="1"/>
    <col min="10835" max="10835" width="10.84375" style="80" customWidth="1"/>
    <col min="10836" max="10836" width="1.07421875" style="80" customWidth="1"/>
    <col min="10837" max="10837" width="10" style="80" customWidth="1"/>
    <col min="10838" max="10838" width="1.07421875" style="80" customWidth="1"/>
    <col min="10839" max="10839" width="9.07421875" style="80" customWidth="1"/>
    <col min="10840" max="10840" width="1.07421875" style="80" customWidth="1"/>
    <col min="10841" max="10841" width="7.84375" style="80" customWidth="1"/>
    <col min="10842" max="10842" width="1.07421875" style="80" customWidth="1"/>
    <col min="10843" max="10843" width="0.84375" style="80" customWidth="1"/>
    <col min="10844" max="10844" width="9.07421875" style="80" customWidth="1"/>
    <col min="10845" max="10845" width="1.07421875" style="80" customWidth="1"/>
    <col min="10846" max="10846" width="0.84375" style="80" customWidth="1"/>
    <col min="10847" max="10847" width="9.53515625" style="80" bestFit="1" customWidth="1"/>
    <col min="10848" max="10849" width="0.84375" style="80" customWidth="1"/>
    <col min="10850" max="10850" width="9.84375" style="80" customWidth="1"/>
    <col min="10851" max="10851" width="1.07421875" style="80" customWidth="1"/>
    <col min="10852" max="10852" width="8.53515625" style="80" customWidth="1"/>
    <col min="10853" max="10853" width="14.53515625" style="80" customWidth="1"/>
    <col min="10854" max="10854" width="10" style="80" customWidth="1"/>
    <col min="10855" max="10855" width="7.84375" style="80" bestFit="1" customWidth="1"/>
    <col min="10856" max="10856" width="9.84375" style="80" customWidth="1"/>
    <col min="10857" max="11073" width="8.84375" style="80"/>
    <col min="11074" max="11074" width="38.4609375" style="80" customWidth="1"/>
    <col min="11075" max="11075" width="8.53515625" style="80" customWidth="1"/>
    <col min="11076" max="11076" width="1.07421875" style="80" customWidth="1"/>
    <col min="11077" max="11077" width="8.84375" style="80" customWidth="1"/>
    <col min="11078" max="11078" width="1.07421875" style="80" customWidth="1"/>
    <col min="11079" max="11079" width="9.07421875" style="80" customWidth="1"/>
    <col min="11080" max="11080" width="1.07421875" style="80" customWidth="1"/>
    <col min="11081" max="11081" width="10" style="80" customWidth="1"/>
    <col min="11082" max="11082" width="1.07421875" style="80" customWidth="1"/>
    <col min="11083" max="11083" width="9.07421875" style="80" customWidth="1"/>
    <col min="11084" max="11084" width="1.07421875" style="80" customWidth="1"/>
    <col min="11085" max="11085" width="11.07421875" style="80" customWidth="1"/>
    <col min="11086" max="11086" width="1.07421875" style="80" customWidth="1"/>
    <col min="11087" max="11087" width="9.07421875" style="80" customWidth="1"/>
    <col min="11088" max="11088" width="1.84375" style="80" customWidth="1"/>
    <col min="11089" max="11089" width="11" style="80" customWidth="1"/>
    <col min="11090" max="11090" width="1.07421875" style="80" customWidth="1"/>
    <col min="11091" max="11091" width="10.84375" style="80" customWidth="1"/>
    <col min="11092" max="11092" width="1.07421875" style="80" customWidth="1"/>
    <col min="11093" max="11093" width="10" style="80" customWidth="1"/>
    <col min="11094" max="11094" width="1.07421875" style="80" customWidth="1"/>
    <col min="11095" max="11095" width="9.07421875" style="80" customWidth="1"/>
    <col min="11096" max="11096" width="1.07421875" style="80" customWidth="1"/>
    <col min="11097" max="11097" width="7.84375" style="80" customWidth="1"/>
    <col min="11098" max="11098" width="1.07421875" style="80" customWidth="1"/>
    <col min="11099" max="11099" width="0.84375" style="80" customWidth="1"/>
    <col min="11100" max="11100" width="9.07421875" style="80" customWidth="1"/>
    <col min="11101" max="11101" width="1.07421875" style="80" customWidth="1"/>
    <col min="11102" max="11102" width="0.84375" style="80" customWidth="1"/>
    <col min="11103" max="11103" width="9.53515625" style="80" bestFit="1" customWidth="1"/>
    <col min="11104" max="11105" width="0.84375" style="80" customWidth="1"/>
    <col min="11106" max="11106" width="9.84375" style="80" customWidth="1"/>
    <col min="11107" max="11107" width="1.07421875" style="80" customWidth="1"/>
    <col min="11108" max="11108" width="8.53515625" style="80" customWidth="1"/>
    <col min="11109" max="11109" width="14.53515625" style="80" customWidth="1"/>
    <col min="11110" max="11110" width="10" style="80" customWidth="1"/>
    <col min="11111" max="11111" width="7.84375" style="80" bestFit="1" customWidth="1"/>
    <col min="11112" max="11112" width="9.84375" style="80" customWidth="1"/>
    <col min="11113" max="11329" width="8.84375" style="80"/>
    <col min="11330" max="11330" width="38.4609375" style="80" customWidth="1"/>
    <col min="11331" max="11331" width="8.53515625" style="80" customWidth="1"/>
    <col min="11332" max="11332" width="1.07421875" style="80" customWidth="1"/>
    <col min="11333" max="11333" width="8.84375" style="80" customWidth="1"/>
    <col min="11334" max="11334" width="1.07421875" style="80" customWidth="1"/>
    <col min="11335" max="11335" width="9.07421875" style="80" customWidth="1"/>
    <col min="11336" max="11336" width="1.07421875" style="80" customWidth="1"/>
    <col min="11337" max="11337" width="10" style="80" customWidth="1"/>
    <col min="11338" max="11338" width="1.07421875" style="80" customWidth="1"/>
    <col min="11339" max="11339" width="9.07421875" style="80" customWidth="1"/>
    <col min="11340" max="11340" width="1.07421875" style="80" customWidth="1"/>
    <col min="11341" max="11341" width="11.07421875" style="80" customWidth="1"/>
    <col min="11342" max="11342" width="1.07421875" style="80" customWidth="1"/>
    <col min="11343" max="11343" width="9.07421875" style="80" customWidth="1"/>
    <col min="11344" max="11344" width="1.84375" style="80" customWidth="1"/>
    <col min="11345" max="11345" width="11" style="80" customWidth="1"/>
    <col min="11346" max="11346" width="1.07421875" style="80" customWidth="1"/>
    <col min="11347" max="11347" width="10.84375" style="80" customWidth="1"/>
    <col min="11348" max="11348" width="1.07421875" style="80" customWidth="1"/>
    <col min="11349" max="11349" width="10" style="80" customWidth="1"/>
    <col min="11350" max="11350" width="1.07421875" style="80" customWidth="1"/>
    <col min="11351" max="11351" width="9.07421875" style="80" customWidth="1"/>
    <col min="11352" max="11352" width="1.07421875" style="80" customWidth="1"/>
    <col min="11353" max="11353" width="7.84375" style="80" customWidth="1"/>
    <col min="11354" max="11354" width="1.07421875" style="80" customWidth="1"/>
    <col min="11355" max="11355" width="0.84375" style="80" customWidth="1"/>
    <col min="11356" max="11356" width="9.07421875" style="80" customWidth="1"/>
    <col min="11357" max="11357" width="1.07421875" style="80" customWidth="1"/>
    <col min="11358" max="11358" width="0.84375" style="80" customWidth="1"/>
    <col min="11359" max="11359" width="9.53515625" style="80" bestFit="1" customWidth="1"/>
    <col min="11360" max="11361" width="0.84375" style="80" customWidth="1"/>
    <col min="11362" max="11362" width="9.84375" style="80" customWidth="1"/>
    <col min="11363" max="11363" width="1.07421875" style="80" customWidth="1"/>
    <col min="11364" max="11364" width="8.53515625" style="80" customWidth="1"/>
    <col min="11365" max="11365" width="14.53515625" style="80" customWidth="1"/>
    <col min="11366" max="11366" width="10" style="80" customWidth="1"/>
    <col min="11367" max="11367" width="7.84375" style="80" bestFit="1" customWidth="1"/>
    <col min="11368" max="11368" width="9.84375" style="80" customWidth="1"/>
    <col min="11369" max="11585" width="8.84375" style="80"/>
    <col min="11586" max="11586" width="38.4609375" style="80" customWidth="1"/>
    <col min="11587" max="11587" width="8.53515625" style="80" customWidth="1"/>
    <col min="11588" max="11588" width="1.07421875" style="80" customWidth="1"/>
    <col min="11589" max="11589" width="8.84375" style="80" customWidth="1"/>
    <col min="11590" max="11590" width="1.07421875" style="80" customWidth="1"/>
    <col min="11591" max="11591" width="9.07421875" style="80" customWidth="1"/>
    <col min="11592" max="11592" width="1.07421875" style="80" customWidth="1"/>
    <col min="11593" max="11593" width="10" style="80" customWidth="1"/>
    <col min="11594" max="11594" width="1.07421875" style="80" customWidth="1"/>
    <col min="11595" max="11595" width="9.07421875" style="80" customWidth="1"/>
    <col min="11596" max="11596" width="1.07421875" style="80" customWidth="1"/>
    <col min="11597" max="11597" width="11.07421875" style="80" customWidth="1"/>
    <col min="11598" max="11598" width="1.07421875" style="80" customWidth="1"/>
    <col min="11599" max="11599" width="9.07421875" style="80" customWidth="1"/>
    <col min="11600" max="11600" width="1.84375" style="80" customWidth="1"/>
    <col min="11601" max="11601" width="11" style="80" customWidth="1"/>
    <col min="11602" max="11602" width="1.07421875" style="80" customWidth="1"/>
    <col min="11603" max="11603" width="10.84375" style="80" customWidth="1"/>
    <col min="11604" max="11604" width="1.07421875" style="80" customWidth="1"/>
    <col min="11605" max="11605" width="10" style="80" customWidth="1"/>
    <col min="11606" max="11606" width="1.07421875" style="80" customWidth="1"/>
    <col min="11607" max="11607" width="9.07421875" style="80" customWidth="1"/>
    <col min="11608" max="11608" width="1.07421875" style="80" customWidth="1"/>
    <col min="11609" max="11609" width="7.84375" style="80" customWidth="1"/>
    <col min="11610" max="11610" width="1.07421875" style="80" customWidth="1"/>
    <col min="11611" max="11611" width="0.84375" style="80" customWidth="1"/>
    <col min="11612" max="11612" width="9.07421875" style="80" customWidth="1"/>
    <col min="11613" max="11613" width="1.07421875" style="80" customWidth="1"/>
    <col min="11614" max="11614" width="0.84375" style="80" customWidth="1"/>
    <col min="11615" max="11615" width="9.53515625" style="80" bestFit="1" customWidth="1"/>
    <col min="11616" max="11617" width="0.84375" style="80" customWidth="1"/>
    <col min="11618" max="11618" width="9.84375" style="80" customWidth="1"/>
    <col min="11619" max="11619" width="1.07421875" style="80" customWidth="1"/>
    <col min="11620" max="11620" width="8.53515625" style="80" customWidth="1"/>
    <col min="11621" max="11621" width="14.53515625" style="80" customWidth="1"/>
    <col min="11622" max="11622" width="10" style="80" customWidth="1"/>
    <col min="11623" max="11623" width="7.84375" style="80" bestFit="1" customWidth="1"/>
    <col min="11624" max="11624" width="9.84375" style="80" customWidth="1"/>
    <col min="11625" max="11841" width="8.84375" style="80"/>
    <col min="11842" max="11842" width="38.4609375" style="80" customWidth="1"/>
    <col min="11843" max="11843" width="8.53515625" style="80" customWidth="1"/>
    <col min="11844" max="11844" width="1.07421875" style="80" customWidth="1"/>
    <col min="11845" max="11845" width="8.84375" style="80" customWidth="1"/>
    <col min="11846" max="11846" width="1.07421875" style="80" customWidth="1"/>
    <col min="11847" max="11847" width="9.07421875" style="80" customWidth="1"/>
    <col min="11848" max="11848" width="1.07421875" style="80" customWidth="1"/>
    <col min="11849" max="11849" width="10" style="80" customWidth="1"/>
    <col min="11850" max="11850" width="1.07421875" style="80" customWidth="1"/>
    <col min="11851" max="11851" width="9.07421875" style="80" customWidth="1"/>
    <col min="11852" max="11852" width="1.07421875" style="80" customWidth="1"/>
    <col min="11853" max="11853" width="11.07421875" style="80" customWidth="1"/>
    <col min="11854" max="11854" width="1.07421875" style="80" customWidth="1"/>
    <col min="11855" max="11855" width="9.07421875" style="80" customWidth="1"/>
    <col min="11856" max="11856" width="1.84375" style="80" customWidth="1"/>
    <col min="11857" max="11857" width="11" style="80" customWidth="1"/>
    <col min="11858" max="11858" width="1.07421875" style="80" customWidth="1"/>
    <col min="11859" max="11859" width="10.84375" style="80" customWidth="1"/>
    <col min="11860" max="11860" width="1.07421875" style="80" customWidth="1"/>
    <col min="11861" max="11861" width="10" style="80" customWidth="1"/>
    <col min="11862" max="11862" width="1.07421875" style="80" customWidth="1"/>
    <col min="11863" max="11863" width="9.07421875" style="80" customWidth="1"/>
    <col min="11864" max="11864" width="1.07421875" style="80" customWidth="1"/>
    <col min="11865" max="11865" width="7.84375" style="80" customWidth="1"/>
    <col min="11866" max="11866" width="1.07421875" style="80" customWidth="1"/>
    <col min="11867" max="11867" width="0.84375" style="80" customWidth="1"/>
    <col min="11868" max="11868" width="9.07421875" style="80" customWidth="1"/>
    <col min="11869" max="11869" width="1.07421875" style="80" customWidth="1"/>
    <col min="11870" max="11870" width="0.84375" style="80" customWidth="1"/>
    <col min="11871" max="11871" width="9.53515625" style="80" bestFit="1" customWidth="1"/>
    <col min="11872" max="11873" width="0.84375" style="80" customWidth="1"/>
    <col min="11874" max="11874" width="9.84375" style="80" customWidth="1"/>
    <col min="11875" max="11875" width="1.07421875" style="80" customWidth="1"/>
    <col min="11876" max="11876" width="8.53515625" style="80" customWidth="1"/>
    <col min="11877" max="11877" width="14.53515625" style="80" customWidth="1"/>
    <col min="11878" max="11878" width="10" style="80" customWidth="1"/>
    <col min="11879" max="11879" width="7.84375" style="80" bestFit="1" customWidth="1"/>
    <col min="11880" max="11880" width="9.84375" style="80" customWidth="1"/>
    <col min="11881" max="12097" width="8.84375" style="80"/>
    <col min="12098" max="12098" width="38.4609375" style="80" customWidth="1"/>
    <col min="12099" max="12099" width="8.53515625" style="80" customWidth="1"/>
    <col min="12100" max="12100" width="1.07421875" style="80" customWidth="1"/>
    <col min="12101" max="12101" width="8.84375" style="80" customWidth="1"/>
    <col min="12102" max="12102" width="1.07421875" style="80" customWidth="1"/>
    <col min="12103" max="12103" width="9.07421875" style="80" customWidth="1"/>
    <col min="12104" max="12104" width="1.07421875" style="80" customWidth="1"/>
    <col min="12105" max="12105" width="10" style="80" customWidth="1"/>
    <col min="12106" max="12106" width="1.07421875" style="80" customWidth="1"/>
    <col min="12107" max="12107" width="9.07421875" style="80" customWidth="1"/>
    <col min="12108" max="12108" width="1.07421875" style="80" customWidth="1"/>
    <col min="12109" max="12109" width="11.07421875" style="80" customWidth="1"/>
    <col min="12110" max="12110" width="1.07421875" style="80" customWidth="1"/>
    <col min="12111" max="12111" width="9.07421875" style="80" customWidth="1"/>
    <col min="12112" max="12112" width="1.84375" style="80" customWidth="1"/>
    <col min="12113" max="12113" width="11" style="80" customWidth="1"/>
    <col min="12114" max="12114" width="1.07421875" style="80" customWidth="1"/>
    <col min="12115" max="12115" width="10.84375" style="80" customWidth="1"/>
    <col min="12116" max="12116" width="1.07421875" style="80" customWidth="1"/>
    <col min="12117" max="12117" width="10" style="80" customWidth="1"/>
    <col min="12118" max="12118" width="1.07421875" style="80" customWidth="1"/>
    <col min="12119" max="12119" width="9.07421875" style="80" customWidth="1"/>
    <col min="12120" max="12120" width="1.07421875" style="80" customWidth="1"/>
    <col min="12121" max="12121" width="7.84375" style="80" customWidth="1"/>
    <col min="12122" max="12122" width="1.07421875" style="80" customWidth="1"/>
    <col min="12123" max="12123" width="0.84375" style="80" customWidth="1"/>
    <col min="12124" max="12124" width="9.07421875" style="80" customWidth="1"/>
    <col min="12125" max="12125" width="1.07421875" style="80" customWidth="1"/>
    <col min="12126" max="12126" width="0.84375" style="80" customWidth="1"/>
    <col min="12127" max="12127" width="9.53515625" style="80" bestFit="1" customWidth="1"/>
    <col min="12128" max="12129" width="0.84375" style="80" customWidth="1"/>
    <col min="12130" max="12130" width="9.84375" style="80" customWidth="1"/>
    <col min="12131" max="12131" width="1.07421875" style="80" customWidth="1"/>
    <col min="12132" max="12132" width="8.53515625" style="80" customWidth="1"/>
    <col min="12133" max="12133" width="14.53515625" style="80" customWidth="1"/>
    <col min="12134" max="12134" width="10" style="80" customWidth="1"/>
    <col min="12135" max="12135" width="7.84375" style="80" bestFit="1" customWidth="1"/>
    <col min="12136" max="12136" width="9.84375" style="80" customWidth="1"/>
    <col min="12137" max="12353" width="8.84375" style="80"/>
    <col min="12354" max="12354" width="38.4609375" style="80" customWidth="1"/>
    <col min="12355" max="12355" width="8.53515625" style="80" customWidth="1"/>
    <col min="12356" max="12356" width="1.07421875" style="80" customWidth="1"/>
    <col min="12357" max="12357" width="8.84375" style="80" customWidth="1"/>
    <col min="12358" max="12358" width="1.07421875" style="80" customWidth="1"/>
    <col min="12359" max="12359" width="9.07421875" style="80" customWidth="1"/>
    <col min="12360" max="12360" width="1.07421875" style="80" customWidth="1"/>
    <col min="12361" max="12361" width="10" style="80" customWidth="1"/>
    <col min="12362" max="12362" width="1.07421875" style="80" customWidth="1"/>
    <col min="12363" max="12363" width="9.07421875" style="80" customWidth="1"/>
    <col min="12364" max="12364" width="1.07421875" style="80" customWidth="1"/>
    <col min="12365" max="12365" width="11.07421875" style="80" customWidth="1"/>
    <col min="12366" max="12366" width="1.07421875" style="80" customWidth="1"/>
    <col min="12367" max="12367" width="9.07421875" style="80" customWidth="1"/>
    <col min="12368" max="12368" width="1.84375" style="80" customWidth="1"/>
    <col min="12369" max="12369" width="11" style="80" customWidth="1"/>
    <col min="12370" max="12370" width="1.07421875" style="80" customWidth="1"/>
    <col min="12371" max="12371" width="10.84375" style="80" customWidth="1"/>
    <col min="12372" max="12372" width="1.07421875" style="80" customWidth="1"/>
    <col min="12373" max="12373" width="10" style="80" customWidth="1"/>
    <col min="12374" max="12374" width="1.07421875" style="80" customWidth="1"/>
    <col min="12375" max="12375" width="9.07421875" style="80" customWidth="1"/>
    <col min="12376" max="12376" width="1.07421875" style="80" customWidth="1"/>
    <col min="12377" max="12377" width="7.84375" style="80" customWidth="1"/>
    <col min="12378" max="12378" width="1.07421875" style="80" customWidth="1"/>
    <col min="12379" max="12379" width="0.84375" style="80" customWidth="1"/>
    <col min="12380" max="12380" width="9.07421875" style="80" customWidth="1"/>
    <col min="12381" max="12381" width="1.07421875" style="80" customWidth="1"/>
    <col min="12382" max="12382" width="0.84375" style="80" customWidth="1"/>
    <col min="12383" max="12383" width="9.53515625" style="80" bestFit="1" customWidth="1"/>
    <col min="12384" max="12385" width="0.84375" style="80" customWidth="1"/>
    <col min="12386" max="12386" width="9.84375" style="80" customWidth="1"/>
    <col min="12387" max="12387" width="1.07421875" style="80" customWidth="1"/>
    <col min="12388" max="12388" width="8.53515625" style="80" customWidth="1"/>
    <col min="12389" max="12389" width="14.53515625" style="80" customWidth="1"/>
    <col min="12390" max="12390" width="10" style="80" customWidth="1"/>
    <col min="12391" max="12391" width="7.84375" style="80" bestFit="1" customWidth="1"/>
    <col min="12392" max="12392" width="9.84375" style="80" customWidth="1"/>
    <col min="12393" max="12609" width="8.84375" style="80"/>
    <col min="12610" max="12610" width="38.4609375" style="80" customWidth="1"/>
    <col min="12611" max="12611" width="8.53515625" style="80" customWidth="1"/>
    <col min="12612" max="12612" width="1.07421875" style="80" customWidth="1"/>
    <col min="12613" max="12613" width="8.84375" style="80" customWidth="1"/>
    <col min="12614" max="12614" width="1.07421875" style="80" customWidth="1"/>
    <col min="12615" max="12615" width="9.07421875" style="80" customWidth="1"/>
    <col min="12616" max="12616" width="1.07421875" style="80" customWidth="1"/>
    <col min="12617" max="12617" width="10" style="80" customWidth="1"/>
    <col min="12618" max="12618" width="1.07421875" style="80" customWidth="1"/>
    <col min="12619" max="12619" width="9.07421875" style="80" customWidth="1"/>
    <col min="12620" max="12620" width="1.07421875" style="80" customWidth="1"/>
    <col min="12621" max="12621" width="11.07421875" style="80" customWidth="1"/>
    <col min="12622" max="12622" width="1.07421875" style="80" customWidth="1"/>
    <col min="12623" max="12623" width="9.07421875" style="80" customWidth="1"/>
    <col min="12624" max="12624" width="1.84375" style="80" customWidth="1"/>
    <col min="12625" max="12625" width="11" style="80" customWidth="1"/>
    <col min="12626" max="12626" width="1.07421875" style="80" customWidth="1"/>
    <col min="12627" max="12627" width="10.84375" style="80" customWidth="1"/>
    <col min="12628" max="12628" width="1.07421875" style="80" customWidth="1"/>
    <col min="12629" max="12629" width="10" style="80" customWidth="1"/>
    <col min="12630" max="12630" width="1.07421875" style="80" customWidth="1"/>
    <col min="12631" max="12631" width="9.07421875" style="80" customWidth="1"/>
    <col min="12632" max="12632" width="1.07421875" style="80" customWidth="1"/>
    <col min="12633" max="12633" width="7.84375" style="80" customWidth="1"/>
    <col min="12634" max="12634" width="1.07421875" style="80" customWidth="1"/>
    <col min="12635" max="12635" width="0.84375" style="80" customWidth="1"/>
    <col min="12636" max="12636" width="9.07421875" style="80" customWidth="1"/>
    <col min="12637" max="12637" width="1.07421875" style="80" customWidth="1"/>
    <col min="12638" max="12638" width="0.84375" style="80" customWidth="1"/>
    <col min="12639" max="12639" width="9.53515625" style="80" bestFit="1" customWidth="1"/>
    <col min="12640" max="12641" width="0.84375" style="80" customWidth="1"/>
    <col min="12642" max="12642" width="9.84375" style="80" customWidth="1"/>
    <col min="12643" max="12643" width="1.07421875" style="80" customWidth="1"/>
    <col min="12644" max="12644" width="8.53515625" style="80" customWidth="1"/>
    <col min="12645" max="12645" width="14.53515625" style="80" customWidth="1"/>
    <col min="12646" max="12646" width="10" style="80" customWidth="1"/>
    <col min="12647" max="12647" width="7.84375" style="80" bestFit="1" customWidth="1"/>
    <col min="12648" max="12648" width="9.84375" style="80" customWidth="1"/>
    <col min="12649" max="12865" width="8.84375" style="80"/>
    <col min="12866" max="12866" width="38.4609375" style="80" customWidth="1"/>
    <col min="12867" max="12867" width="8.53515625" style="80" customWidth="1"/>
    <col min="12868" max="12868" width="1.07421875" style="80" customWidth="1"/>
    <col min="12869" max="12869" width="8.84375" style="80" customWidth="1"/>
    <col min="12870" max="12870" width="1.07421875" style="80" customWidth="1"/>
    <col min="12871" max="12871" width="9.07421875" style="80" customWidth="1"/>
    <col min="12872" max="12872" width="1.07421875" style="80" customWidth="1"/>
    <col min="12873" max="12873" width="10" style="80" customWidth="1"/>
    <col min="12874" max="12874" width="1.07421875" style="80" customWidth="1"/>
    <col min="12875" max="12875" width="9.07421875" style="80" customWidth="1"/>
    <col min="12876" max="12876" width="1.07421875" style="80" customWidth="1"/>
    <col min="12877" max="12877" width="11.07421875" style="80" customWidth="1"/>
    <col min="12878" max="12878" width="1.07421875" style="80" customWidth="1"/>
    <col min="12879" max="12879" width="9.07421875" style="80" customWidth="1"/>
    <col min="12880" max="12880" width="1.84375" style="80" customWidth="1"/>
    <col min="12881" max="12881" width="11" style="80" customWidth="1"/>
    <col min="12882" max="12882" width="1.07421875" style="80" customWidth="1"/>
    <col min="12883" max="12883" width="10.84375" style="80" customWidth="1"/>
    <col min="12884" max="12884" width="1.07421875" style="80" customWidth="1"/>
    <col min="12885" max="12885" width="10" style="80" customWidth="1"/>
    <col min="12886" max="12886" width="1.07421875" style="80" customWidth="1"/>
    <col min="12887" max="12887" width="9.07421875" style="80" customWidth="1"/>
    <col min="12888" max="12888" width="1.07421875" style="80" customWidth="1"/>
    <col min="12889" max="12889" width="7.84375" style="80" customWidth="1"/>
    <col min="12890" max="12890" width="1.07421875" style="80" customWidth="1"/>
    <col min="12891" max="12891" width="0.84375" style="80" customWidth="1"/>
    <col min="12892" max="12892" width="9.07421875" style="80" customWidth="1"/>
    <col min="12893" max="12893" width="1.07421875" style="80" customWidth="1"/>
    <col min="12894" max="12894" width="0.84375" style="80" customWidth="1"/>
    <col min="12895" max="12895" width="9.53515625" style="80" bestFit="1" customWidth="1"/>
    <col min="12896" max="12897" width="0.84375" style="80" customWidth="1"/>
    <col min="12898" max="12898" width="9.84375" style="80" customWidth="1"/>
    <col min="12899" max="12899" width="1.07421875" style="80" customWidth="1"/>
    <col min="12900" max="12900" width="8.53515625" style="80" customWidth="1"/>
    <col min="12901" max="12901" width="14.53515625" style="80" customWidth="1"/>
    <col min="12902" max="12902" width="10" style="80" customWidth="1"/>
    <col min="12903" max="12903" width="7.84375" style="80" bestFit="1" customWidth="1"/>
    <col min="12904" max="12904" width="9.84375" style="80" customWidth="1"/>
    <col min="12905" max="13121" width="8.84375" style="80"/>
    <col min="13122" max="13122" width="38.4609375" style="80" customWidth="1"/>
    <col min="13123" max="13123" width="8.53515625" style="80" customWidth="1"/>
    <col min="13124" max="13124" width="1.07421875" style="80" customWidth="1"/>
    <col min="13125" max="13125" width="8.84375" style="80" customWidth="1"/>
    <col min="13126" max="13126" width="1.07421875" style="80" customWidth="1"/>
    <col min="13127" max="13127" width="9.07421875" style="80" customWidth="1"/>
    <col min="13128" max="13128" width="1.07421875" style="80" customWidth="1"/>
    <col min="13129" max="13129" width="10" style="80" customWidth="1"/>
    <col min="13130" max="13130" width="1.07421875" style="80" customWidth="1"/>
    <col min="13131" max="13131" width="9.07421875" style="80" customWidth="1"/>
    <col min="13132" max="13132" width="1.07421875" style="80" customWidth="1"/>
    <col min="13133" max="13133" width="11.07421875" style="80" customWidth="1"/>
    <col min="13134" max="13134" width="1.07421875" style="80" customWidth="1"/>
    <col min="13135" max="13135" width="9.07421875" style="80" customWidth="1"/>
    <col min="13136" max="13136" width="1.84375" style="80" customWidth="1"/>
    <col min="13137" max="13137" width="11" style="80" customWidth="1"/>
    <col min="13138" max="13138" width="1.07421875" style="80" customWidth="1"/>
    <col min="13139" max="13139" width="10.84375" style="80" customWidth="1"/>
    <col min="13140" max="13140" width="1.07421875" style="80" customWidth="1"/>
    <col min="13141" max="13141" width="10" style="80" customWidth="1"/>
    <col min="13142" max="13142" width="1.07421875" style="80" customWidth="1"/>
    <col min="13143" max="13143" width="9.07421875" style="80" customWidth="1"/>
    <col min="13144" max="13144" width="1.07421875" style="80" customWidth="1"/>
    <col min="13145" max="13145" width="7.84375" style="80" customWidth="1"/>
    <col min="13146" max="13146" width="1.07421875" style="80" customWidth="1"/>
    <col min="13147" max="13147" width="0.84375" style="80" customWidth="1"/>
    <col min="13148" max="13148" width="9.07421875" style="80" customWidth="1"/>
    <col min="13149" max="13149" width="1.07421875" style="80" customWidth="1"/>
    <col min="13150" max="13150" width="0.84375" style="80" customWidth="1"/>
    <col min="13151" max="13151" width="9.53515625" style="80" bestFit="1" customWidth="1"/>
    <col min="13152" max="13153" width="0.84375" style="80" customWidth="1"/>
    <col min="13154" max="13154" width="9.84375" style="80" customWidth="1"/>
    <col min="13155" max="13155" width="1.07421875" style="80" customWidth="1"/>
    <col min="13156" max="13156" width="8.53515625" style="80" customWidth="1"/>
    <col min="13157" max="13157" width="14.53515625" style="80" customWidth="1"/>
    <col min="13158" max="13158" width="10" style="80" customWidth="1"/>
    <col min="13159" max="13159" width="7.84375" style="80" bestFit="1" customWidth="1"/>
    <col min="13160" max="13160" width="9.84375" style="80" customWidth="1"/>
    <col min="13161" max="13377" width="8.84375" style="80"/>
    <col min="13378" max="13378" width="38.4609375" style="80" customWidth="1"/>
    <col min="13379" max="13379" width="8.53515625" style="80" customWidth="1"/>
    <col min="13380" max="13380" width="1.07421875" style="80" customWidth="1"/>
    <col min="13381" max="13381" width="8.84375" style="80" customWidth="1"/>
    <col min="13382" max="13382" width="1.07421875" style="80" customWidth="1"/>
    <col min="13383" max="13383" width="9.07421875" style="80" customWidth="1"/>
    <col min="13384" max="13384" width="1.07421875" style="80" customWidth="1"/>
    <col min="13385" max="13385" width="10" style="80" customWidth="1"/>
    <col min="13386" max="13386" width="1.07421875" style="80" customWidth="1"/>
    <col min="13387" max="13387" width="9.07421875" style="80" customWidth="1"/>
    <col min="13388" max="13388" width="1.07421875" style="80" customWidth="1"/>
    <col min="13389" max="13389" width="11.07421875" style="80" customWidth="1"/>
    <col min="13390" max="13390" width="1.07421875" style="80" customWidth="1"/>
    <col min="13391" max="13391" width="9.07421875" style="80" customWidth="1"/>
    <col min="13392" max="13392" width="1.84375" style="80" customWidth="1"/>
    <col min="13393" max="13393" width="11" style="80" customWidth="1"/>
    <col min="13394" max="13394" width="1.07421875" style="80" customWidth="1"/>
    <col min="13395" max="13395" width="10.84375" style="80" customWidth="1"/>
    <col min="13396" max="13396" width="1.07421875" style="80" customWidth="1"/>
    <col min="13397" max="13397" width="10" style="80" customWidth="1"/>
    <col min="13398" max="13398" width="1.07421875" style="80" customWidth="1"/>
    <col min="13399" max="13399" width="9.07421875" style="80" customWidth="1"/>
    <col min="13400" max="13400" width="1.07421875" style="80" customWidth="1"/>
    <col min="13401" max="13401" width="7.84375" style="80" customWidth="1"/>
    <col min="13402" max="13402" width="1.07421875" style="80" customWidth="1"/>
    <col min="13403" max="13403" width="0.84375" style="80" customWidth="1"/>
    <col min="13404" max="13404" width="9.07421875" style="80" customWidth="1"/>
    <col min="13405" max="13405" width="1.07421875" style="80" customWidth="1"/>
    <col min="13406" max="13406" width="0.84375" style="80" customWidth="1"/>
    <col min="13407" max="13407" width="9.53515625" style="80" bestFit="1" customWidth="1"/>
    <col min="13408" max="13409" width="0.84375" style="80" customWidth="1"/>
    <col min="13410" max="13410" width="9.84375" style="80" customWidth="1"/>
    <col min="13411" max="13411" width="1.07421875" style="80" customWidth="1"/>
    <col min="13412" max="13412" width="8.53515625" style="80" customWidth="1"/>
    <col min="13413" max="13413" width="14.53515625" style="80" customWidth="1"/>
    <col min="13414" max="13414" width="10" style="80" customWidth="1"/>
    <col min="13415" max="13415" width="7.84375" style="80" bestFit="1" customWidth="1"/>
    <col min="13416" max="13416" width="9.84375" style="80" customWidth="1"/>
    <col min="13417" max="13633" width="8.84375" style="80"/>
    <col min="13634" max="13634" width="38.4609375" style="80" customWidth="1"/>
    <col min="13635" max="13635" width="8.53515625" style="80" customWidth="1"/>
    <col min="13636" max="13636" width="1.07421875" style="80" customWidth="1"/>
    <col min="13637" max="13637" width="8.84375" style="80" customWidth="1"/>
    <col min="13638" max="13638" width="1.07421875" style="80" customWidth="1"/>
    <col min="13639" max="13639" width="9.07421875" style="80" customWidth="1"/>
    <col min="13640" max="13640" width="1.07421875" style="80" customWidth="1"/>
    <col min="13641" max="13641" width="10" style="80" customWidth="1"/>
    <col min="13642" max="13642" width="1.07421875" style="80" customWidth="1"/>
    <col min="13643" max="13643" width="9.07421875" style="80" customWidth="1"/>
    <col min="13644" max="13644" width="1.07421875" style="80" customWidth="1"/>
    <col min="13645" max="13645" width="11.07421875" style="80" customWidth="1"/>
    <col min="13646" max="13646" width="1.07421875" style="80" customWidth="1"/>
    <col min="13647" max="13647" width="9.07421875" style="80" customWidth="1"/>
    <col min="13648" max="13648" width="1.84375" style="80" customWidth="1"/>
    <col min="13649" max="13649" width="11" style="80" customWidth="1"/>
    <col min="13650" max="13650" width="1.07421875" style="80" customWidth="1"/>
    <col min="13651" max="13651" width="10.84375" style="80" customWidth="1"/>
    <col min="13652" max="13652" width="1.07421875" style="80" customWidth="1"/>
    <col min="13653" max="13653" width="10" style="80" customWidth="1"/>
    <col min="13654" max="13654" width="1.07421875" style="80" customWidth="1"/>
    <col min="13655" max="13655" width="9.07421875" style="80" customWidth="1"/>
    <col min="13656" max="13656" width="1.07421875" style="80" customWidth="1"/>
    <col min="13657" max="13657" width="7.84375" style="80" customWidth="1"/>
    <col min="13658" max="13658" width="1.07421875" style="80" customWidth="1"/>
    <col min="13659" max="13659" width="0.84375" style="80" customWidth="1"/>
    <col min="13660" max="13660" width="9.07421875" style="80" customWidth="1"/>
    <col min="13661" max="13661" width="1.07421875" style="80" customWidth="1"/>
    <col min="13662" max="13662" width="0.84375" style="80" customWidth="1"/>
    <col min="13663" max="13663" width="9.53515625" style="80" bestFit="1" customWidth="1"/>
    <col min="13664" max="13665" width="0.84375" style="80" customWidth="1"/>
    <col min="13666" max="13666" width="9.84375" style="80" customWidth="1"/>
    <col min="13667" max="13667" width="1.07421875" style="80" customWidth="1"/>
    <col min="13668" max="13668" width="8.53515625" style="80" customWidth="1"/>
    <col min="13669" max="13669" width="14.53515625" style="80" customWidth="1"/>
    <col min="13670" max="13670" width="10" style="80" customWidth="1"/>
    <col min="13671" max="13671" width="7.84375" style="80" bestFit="1" customWidth="1"/>
    <col min="13672" max="13672" width="9.84375" style="80" customWidth="1"/>
    <col min="13673" max="13889" width="8.84375" style="80"/>
    <col min="13890" max="13890" width="38.4609375" style="80" customWidth="1"/>
    <col min="13891" max="13891" width="8.53515625" style="80" customWidth="1"/>
    <col min="13892" max="13892" width="1.07421875" style="80" customWidth="1"/>
    <col min="13893" max="13893" width="8.84375" style="80" customWidth="1"/>
    <col min="13894" max="13894" width="1.07421875" style="80" customWidth="1"/>
    <col min="13895" max="13895" width="9.07421875" style="80" customWidth="1"/>
    <col min="13896" max="13896" width="1.07421875" style="80" customWidth="1"/>
    <col min="13897" max="13897" width="10" style="80" customWidth="1"/>
    <col min="13898" max="13898" width="1.07421875" style="80" customWidth="1"/>
    <col min="13899" max="13899" width="9.07421875" style="80" customWidth="1"/>
    <col min="13900" max="13900" width="1.07421875" style="80" customWidth="1"/>
    <col min="13901" max="13901" width="11.07421875" style="80" customWidth="1"/>
    <col min="13902" max="13902" width="1.07421875" style="80" customWidth="1"/>
    <col min="13903" max="13903" width="9.07421875" style="80" customWidth="1"/>
    <col min="13904" max="13904" width="1.84375" style="80" customWidth="1"/>
    <col min="13905" max="13905" width="11" style="80" customWidth="1"/>
    <col min="13906" max="13906" width="1.07421875" style="80" customWidth="1"/>
    <col min="13907" max="13907" width="10.84375" style="80" customWidth="1"/>
    <col min="13908" max="13908" width="1.07421875" style="80" customWidth="1"/>
    <col min="13909" max="13909" width="10" style="80" customWidth="1"/>
    <col min="13910" max="13910" width="1.07421875" style="80" customWidth="1"/>
    <col min="13911" max="13911" width="9.07421875" style="80" customWidth="1"/>
    <col min="13912" max="13912" width="1.07421875" style="80" customWidth="1"/>
    <col min="13913" max="13913" width="7.84375" style="80" customWidth="1"/>
    <col min="13914" max="13914" width="1.07421875" style="80" customWidth="1"/>
    <col min="13915" max="13915" width="0.84375" style="80" customWidth="1"/>
    <col min="13916" max="13916" width="9.07421875" style="80" customWidth="1"/>
    <col min="13917" max="13917" width="1.07421875" style="80" customWidth="1"/>
    <col min="13918" max="13918" width="0.84375" style="80" customWidth="1"/>
    <col min="13919" max="13919" width="9.53515625" style="80" bestFit="1" customWidth="1"/>
    <col min="13920" max="13921" width="0.84375" style="80" customWidth="1"/>
    <col min="13922" max="13922" width="9.84375" style="80" customWidth="1"/>
    <col min="13923" max="13923" width="1.07421875" style="80" customWidth="1"/>
    <col min="13924" max="13924" width="8.53515625" style="80" customWidth="1"/>
    <col min="13925" max="13925" width="14.53515625" style="80" customWidth="1"/>
    <col min="13926" max="13926" width="10" style="80" customWidth="1"/>
    <col min="13927" max="13927" width="7.84375" style="80" bestFit="1" customWidth="1"/>
    <col min="13928" max="13928" width="9.84375" style="80" customWidth="1"/>
    <col min="13929" max="14145" width="8.84375" style="80"/>
    <col min="14146" max="14146" width="38.4609375" style="80" customWidth="1"/>
    <col min="14147" max="14147" width="8.53515625" style="80" customWidth="1"/>
    <col min="14148" max="14148" width="1.07421875" style="80" customWidth="1"/>
    <col min="14149" max="14149" width="8.84375" style="80" customWidth="1"/>
    <col min="14150" max="14150" width="1.07421875" style="80" customWidth="1"/>
    <col min="14151" max="14151" width="9.07421875" style="80" customWidth="1"/>
    <col min="14152" max="14152" width="1.07421875" style="80" customWidth="1"/>
    <col min="14153" max="14153" width="10" style="80" customWidth="1"/>
    <col min="14154" max="14154" width="1.07421875" style="80" customWidth="1"/>
    <col min="14155" max="14155" width="9.07421875" style="80" customWidth="1"/>
    <col min="14156" max="14156" width="1.07421875" style="80" customWidth="1"/>
    <col min="14157" max="14157" width="11.07421875" style="80" customWidth="1"/>
    <col min="14158" max="14158" width="1.07421875" style="80" customWidth="1"/>
    <col min="14159" max="14159" width="9.07421875" style="80" customWidth="1"/>
    <col min="14160" max="14160" width="1.84375" style="80" customWidth="1"/>
    <col min="14161" max="14161" width="11" style="80" customWidth="1"/>
    <col min="14162" max="14162" width="1.07421875" style="80" customWidth="1"/>
    <col min="14163" max="14163" width="10.84375" style="80" customWidth="1"/>
    <col min="14164" max="14164" width="1.07421875" style="80" customWidth="1"/>
    <col min="14165" max="14165" width="10" style="80" customWidth="1"/>
    <col min="14166" max="14166" width="1.07421875" style="80" customWidth="1"/>
    <col min="14167" max="14167" width="9.07421875" style="80" customWidth="1"/>
    <col min="14168" max="14168" width="1.07421875" style="80" customWidth="1"/>
    <col min="14169" max="14169" width="7.84375" style="80" customWidth="1"/>
    <col min="14170" max="14170" width="1.07421875" style="80" customWidth="1"/>
    <col min="14171" max="14171" width="0.84375" style="80" customWidth="1"/>
    <col min="14172" max="14172" width="9.07421875" style="80" customWidth="1"/>
    <col min="14173" max="14173" width="1.07421875" style="80" customWidth="1"/>
    <col min="14174" max="14174" width="0.84375" style="80" customWidth="1"/>
    <col min="14175" max="14175" width="9.53515625" style="80" bestFit="1" customWidth="1"/>
    <col min="14176" max="14177" width="0.84375" style="80" customWidth="1"/>
    <col min="14178" max="14178" width="9.84375" style="80" customWidth="1"/>
    <col min="14179" max="14179" width="1.07421875" style="80" customWidth="1"/>
    <col min="14180" max="14180" width="8.53515625" style="80" customWidth="1"/>
    <col min="14181" max="14181" width="14.53515625" style="80" customWidth="1"/>
    <col min="14182" max="14182" width="10" style="80" customWidth="1"/>
    <col min="14183" max="14183" width="7.84375" style="80" bestFit="1" customWidth="1"/>
    <col min="14184" max="14184" width="9.84375" style="80" customWidth="1"/>
    <col min="14185" max="14401" width="8.84375" style="80"/>
    <col min="14402" max="14402" width="38.4609375" style="80" customWidth="1"/>
    <col min="14403" max="14403" width="8.53515625" style="80" customWidth="1"/>
    <col min="14404" max="14404" width="1.07421875" style="80" customWidth="1"/>
    <col min="14405" max="14405" width="8.84375" style="80" customWidth="1"/>
    <col min="14406" max="14406" width="1.07421875" style="80" customWidth="1"/>
    <col min="14407" max="14407" width="9.07421875" style="80" customWidth="1"/>
    <col min="14408" max="14408" width="1.07421875" style="80" customWidth="1"/>
    <col min="14409" max="14409" width="10" style="80" customWidth="1"/>
    <col min="14410" max="14410" width="1.07421875" style="80" customWidth="1"/>
    <col min="14411" max="14411" width="9.07421875" style="80" customWidth="1"/>
    <col min="14412" max="14412" width="1.07421875" style="80" customWidth="1"/>
    <col min="14413" max="14413" width="11.07421875" style="80" customWidth="1"/>
    <col min="14414" max="14414" width="1.07421875" style="80" customWidth="1"/>
    <col min="14415" max="14415" width="9.07421875" style="80" customWidth="1"/>
    <col min="14416" max="14416" width="1.84375" style="80" customWidth="1"/>
    <col min="14417" max="14417" width="11" style="80" customWidth="1"/>
    <col min="14418" max="14418" width="1.07421875" style="80" customWidth="1"/>
    <col min="14419" max="14419" width="10.84375" style="80" customWidth="1"/>
    <col min="14420" max="14420" width="1.07421875" style="80" customWidth="1"/>
    <col min="14421" max="14421" width="10" style="80" customWidth="1"/>
    <col min="14422" max="14422" width="1.07421875" style="80" customWidth="1"/>
    <col min="14423" max="14423" width="9.07421875" style="80" customWidth="1"/>
    <col min="14424" max="14424" width="1.07421875" style="80" customWidth="1"/>
    <col min="14425" max="14425" width="7.84375" style="80" customWidth="1"/>
    <col min="14426" max="14426" width="1.07421875" style="80" customWidth="1"/>
    <col min="14427" max="14427" width="0.84375" style="80" customWidth="1"/>
    <col min="14428" max="14428" width="9.07421875" style="80" customWidth="1"/>
    <col min="14429" max="14429" width="1.07421875" style="80" customWidth="1"/>
    <col min="14430" max="14430" width="0.84375" style="80" customWidth="1"/>
    <col min="14431" max="14431" width="9.53515625" style="80" bestFit="1" customWidth="1"/>
    <col min="14432" max="14433" width="0.84375" style="80" customWidth="1"/>
    <col min="14434" max="14434" width="9.84375" style="80" customWidth="1"/>
    <col min="14435" max="14435" width="1.07421875" style="80" customWidth="1"/>
    <col min="14436" max="14436" width="8.53515625" style="80" customWidth="1"/>
    <col min="14437" max="14437" width="14.53515625" style="80" customWidth="1"/>
    <col min="14438" max="14438" width="10" style="80" customWidth="1"/>
    <col min="14439" max="14439" width="7.84375" style="80" bestFit="1" customWidth="1"/>
    <col min="14440" max="14440" width="9.84375" style="80" customWidth="1"/>
    <col min="14441" max="14657" width="8.84375" style="80"/>
    <col min="14658" max="14658" width="38.4609375" style="80" customWidth="1"/>
    <col min="14659" max="14659" width="8.53515625" style="80" customWidth="1"/>
    <col min="14660" max="14660" width="1.07421875" style="80" customWidth="1"/>
    <col min="14661" max="14661" width="8.84375" style="80" customWidth="1"/>
    <col min="14662" max="14662" width="1.07421875" style="80" customWidth="1"/>
    <col min="14663" max="14663" width="9.07421875" style="80" customWidth="1"/>
    <col min="14664" max="14664" width="1.07421875" style="80" customWidth="1"/>
    <col min="14665" max="14665" width="10" style="80" customWidth="1"/>
    <col min="14666" max="14666" width="1.07421875" style="80" customWidth="1"/>
    <col min="14667" max="14667" width="9.07421875" style="80" customWidth="1"/>
    <col min="14668" max="14668" width="1.07421875" style="80" customWidth="1"/>
    <col min="14669" max="14669" width="11.07421875" style="80" customWidth="1"/>
    <col min="14670" max="14670" width="1.07421875" style="80" customWidth="1"/>
    <col min="14671" max="14671" width="9.07421875" style="80" customWidth="1"/>
    <col min="14672" max="14672" width="1.84375" style="80" customWidth="1"/>
    <col min="14673" max="14673" width="11" style="80" customWidth="1"/>
    <col min="14674" max="14674" width="1.07421875" style="80" customWidth="1"/>
    <col min="14675" max="14675" width="10.84375" style="80" customWidth="1"/>
    <col min="14676" max="14676" width="1.07421875" style="80" customWidth="1"/>
    <col min="14677" max="14677" width="10" style="80" customWidth="1"/>
    <col min="14678" max="14678" width="1.07421875" style="80" customWidth="1"/>
    <col min="14679" max="14679" width="9.07421875" style="80" customWidth="1"/>
    <col min="14680" max="14680" width="1.07421875" style="80" customWidth="1"/>
    <col min="14681" max="14681" width="7.84375" style="80" customWidth="1"/>
    <col min="14682" max="14682" width="1.07421875" style="80" customWidth="1"/>
    <col min="14683" max="14683" width="0.84375" style="80" customWidth="1"/>
    <col min="14684" max="14684" width="9.07421875" style="80" customWidth="1"/>
    <col min="14685" max="14685" width="1.07421875" style="80" customWidth="1"/>
    <col min="14686" max="14686" width="0.84375" style="80" customWidth="1"/>
    <col min="14687" max="14687" width="9.53515625" style="80" bestFit="1" customWidth="1"/>
    <col min="14688" max="14689" width="0.84375" style="80" customWidth="1"/>
    <col min="14690" max="14690" width="9.84375" style="80" customWidth="1"/>
    <col min="14691" max="14691" width="1.07421875" style="80" customWidth="1"/>
    <col min="14692" max="14692" width="8.53515625" style="80" customWidth="1"/>
    <col min="14693" max="14693" width="14.53515625" style="80" customWidth="1"/>
    <col min="14694" max="14694" width="10" style="80" customWidth="1"/>
    <col min="14695" max="14695" width="7.84375" style="80" bestFit="1" customWidth="1"/>
    <col min="14696" max="14696" width="9.84375" style="80" customWidth="1"/>
    <col min="14697" max="14913" width="8.84375" style="80"/>
    <col min="14914" max="14914" width="38.4609375" style="80" customWidth="1"/>
    <col min="14915" max="14915" width="8.53515625" style="80" customWidth="1"/>
    <col min="14916" max="14916" width="1.07421875" style="80" customWidth="1"/>
    <col min="14917" max="14917" width="8.84375" style="80" customWidth="1"/>
    <col min="14918" max="14918" width="1.07421875" style="80" customWidth="1"/>
    <col min="14919" max="14919" width="9.07421875" style="80" customWidth="1"/>
    <col min="14920" max="14920" width="1.07421875" style="80" customWidth="1"/>
    <col min="14921" max="14921" width="10" style="80" customWidth="1"/>
    <col min="14922" max="14922" width="1.07421875" style="80" customWidth="1"/>
    <col min="14923" max="14923" width="9.07421875" style="80" customWidth="1"/>
    <col min="14924" max="14924" width="1.07421875" style="80" customWidth="1"/>
    <col min="14925" max="14925" width="11.07421875" style="80" customWidth="1"/>
    <col min="14926" max="14926" width="1.07421875" style="80" customWidth="1"/>
    <col min="14927" max="14927" width="9.07421875" style="80" customWidth="1"/>
    <col min="14928" max="14928" width="1.84375" style="80" customWidth="1"/>
    <col min="14929" max="14929" width="11" style="80" customWidth="1"/>
    <col min="14930" max="14930" width="1.07421875" style="80" customWidth="1"/>
    <col min="14931" max="14931" width="10.84375" style="80" customWidth="1"/>
    <col min="14932" max="14932" width="1.07421875" style="80" customWidth="1"/>
    <col min="14933" max="14933" width="10" style="80" customWidth="1"/>
    <col min="14934" max="14934" width="1.07421875" style="80" customWidth="1"/>
    <col min="14935" max="14935" width="9.07421875" style="80" customWidth="1"/>
    <col min="14936" max="14936" width="1.07421875" style="80" customWidth="1"/>
    <col min="14937" max="14937" width="7.84375" style="80" customWidth="1"/>
    <col min="14938" max="14938" width="1.07421875" style="80" customWidth="1"/>
    <col min="14939" max="14939" width="0.84375" style="80" customWidth="1"/>
    <col min="14940" max="14940" width="9.07421875" style="80" customWidth="1"/>
    <col min="14941" max="14941" width="1.07421875" style="80" customWidth="1"/>
    <col min="14942" max="14942" width="0.84375" style="80" customWidth="1"/>
    <col min="14943" max="14943" width="9.53515625" style="80" bestFit="1" customWidth="1"/>
    <col min="14944" max="14945" width="0.84375" style="80" customWidth="1"/>
    <col min="14946" max="14946" width="9.84375" style="80" customWidth="1"/>
    <col min="14947" max="14947" width="1.07421875" style="80" customWidth="1"/>
    <col min="14948" max="14948" width="8.53515625" style="80" customWidth="1"/>
    <col min="14949" max="14949" width="14.53515625" style="80" customWidth="1"/>
    <col min="14950" max="14950" width="10" style="80" customWidth="1"/>
    <col min="14951" max="14951" width="7.84375" style="80" bestFit="1" customWidth="1"/>
    <col min="14952" max="14952" width="9.84375" style="80" customWidth="1"/>
    <col min="14953" max="15169" width="8.84375" style="80"/>
    <col min="15170" max="15170" width="38.4609375" style="80" customWidth="1"/>
    <col min="15171" max="15171" width="8.53515625" style="80" customWidth="1"/>
    <col min="15172" max="15172" width="1.07421875" style="80" customWidth="1"/>
    <col min="15173" max="15173" width="8.84375" style="80" customWidth="1"/>
    <col min="15174" max="15174" width="1.07421875" style="80" customWidth="1"/>
    <col min="15175" max="15175" width="9.07421875" style="80" customWidth="1"/>
    <col min="15176" max="15176" width="1.07421875" style="80" customWidth="1"/>
    <col min="15177" max="15177" width="10" style="80" customWidth="1"/>
    <col min="15178" max="15178" width="1.07421875" style="80" customWidth="1"/>
    <col min="15179" max="15179" width="9.07421875" style="80" customWidth="1"/>
    <col min="15180" max="15180" width="1.07421875" style="80" customWidth="1"/>
    <col min="15181" max="15181" width="11.07421875" style="80" customWidth="1"/>
    <col min="15182" max="15182" width="1.07421875" style="80" customWidth="1"/>
    <col min="15183" max="15183" width="9.07421875" style="80" customWidth="1"/>
    <col min="15184" max="15184" width="1.84375" style="80" customWidth="1"/>
    <col min="15185" max="15185" width="11" style="80" customWidth="1"/>
    <col min="15186" max="15186" width="1.07421875" style="80" customWidth="1"/>
    <col min="15187" max="15187" width="10.84375" style="80" customWidth="1"/>
    <col min="15188" max="15188" width="1.07421875" style="80" customWidth="1"/>
    <col min="15189" max="15189" width="10" style="80" customWidth="1"/>
    <col min="15190" max="15190" width="1.07421875" style="80" customWidth="1"/>
    <col min="15191" max="15191" width="9.07421875" style="80" customWidth="1"/>
    <col min="15192" max="15192" width="1.07421875" style="80" customWidth="1"/>
    <col min="15193" max="15193" width="7.84375" style="80" customWidth="1"/>
    <col min="15194" max="15194" width="1.07421875" style="80" customWidth="1"/>
    <col min="15195" max="15195" width="0.84375" style="80" customWidth="1"/>
    <col min="15196" max="15196" width="9.07421875" style="80" customWidth="1"/>
    <col min="15197" max="15197" width="1.07421875" style="80" customWidth="1"/>
    <col min="15198" max="15198" width="0.84375" style="80" customWidth="1"/>
    <col min="15199" max="15199" width="9.53515625" style="80" bestFit="1" customWidth="1"/>
    <col min="15200" max="15201" width="0.84375" style="80" customWidth="1"/>
    <col min="15202" max="15202" width="9.84375" style="80" customWidth="1"/>
    <col min="15203" max="15203" width="1.07421875" style="80" customWidth="1"/>
    <col min="15204" max="15204" width="8.53515625" style="80" customWidth="1"/>
    <col min="15205" max="15205" width="14.53515625" style="80" customWidth="1"/>
    <col min="15206" max="15206" width="10" style="80" customWidth="1"/>
    <col min="15207" max="15207" width="7.84375" style="80" bestFit="1" customWidth="1"/>
    <col min="15208" max="15208" width="9.84375" style="80" customWidth="1"/>
    <col min="15209" max="15425" width="8.84375" style="80"/>
    <col min="15426" max="15426" width="38.4609375" style="80" customWidth="1"/>
    <col min="15427" max="15427" width="8.53515625" style="80" customWidth="1"/>
    <col min="15428" max="15428" width="1.07421875" style="80" customWidth="1"/>
    <col min="15429" max="15429" width="8.84375" style="80" customWidth="1"/>
    <col min="15430" max="15430" width="1.07421875" style="80" customWidth="1"/>
    <col min="15431" max="15431" width="9.07421875" style="80" customWidth="1"/>
    <col min="15432" max="15432" width="1.07421875" style="80" customWidth="1"/>
    <col min="15433" max="15433" width="10" style="80" customWidth="1"/>
    <col min="15434" max="15434" width="1.07421875" style="80" customWidth="1"/>
    <col min="15435" max="15435" width="9.07421875" style="80" customWidth="1"/>
    <col min="15436" max="15436" width="1.07421875" style="80" customWidth="1"/>
    <col min="15437" max="15437" width="11.07421875" style="80" customWidth="1"/>
    <col min="15438" max="15438" width="1.07421875" style="80" customWidth="1"/>
    <col min="15439" max="15439" width="9.07421875" style="80" customWidth="1"/>
    <col min="15440" max="15440" width="1.84375" style="80" customWidth="1"/>
    <col min="15441" max="15441" width="11" style="80" customWidth="1"/>
    <col min="15442" max="15442" width="1.07421875" style="80" customWidth="1"/>
    <col min="15443" max="15443" width="10.84375" style="80" customWidth="1"/>
    <col min="15444" max="15444" width="1.07421875" style="80" customWidth="1"/>
    <col min="15445" max="15445" width="10" style="80" customWidth="1"/>
    <col min="15446" max="15446" width="1.07421875" style="80" customWidth="1"/>
    <col min="15447" max="15447" width="9.07421875" style="80" customWidth="1"/>
    <col min="15448" max="15448" width="1.07421875" style="80" customWidth="1"/>
    <col min="15449" max="15449" width="7.84375" style="80" customWidth="1"/>
    <col min="15450" max="15450" width="1.07421875" style="80" customWidth="1"/>
    <col min="15451" max="15451" width="0.84375" style="80" customWidth="1"/>
    <col min="15452" max="15452" width="9.07421875" style="80" customWidth="1"/>
    <col min="15453" max="15453" width="1.07421875" style="80" customWidth="1"/>
    <col min="15454" max="15454" width="0.84375" style="80" customWidth="1"/>
    <col min="15455" max="15455" width="9.53515625" style="80" bestFit="1" customWidth="1"/>
    <col min="15456" max="15457" width="0.84375" style="80" customWidth="1"/>
    <col min="15458" max="15458" width="9.84375" style="80" customWidth="1"/>
    <col min="15459" max="15459" width="1.07421875" style="80" customWidth="1"/>
    <col min="15460" max="15460" width="8.53515625" style="80" customWidth="1"/>
    <col min="15461" max="15461" width="14.53515625" style="80" customWidth="1"/>
    <col min="15462" max="15462" width="10" style="80" customWidth="1"/>
    <col min="15463" max="15463" width="7.84375" style="80" bestFit="1" customWidth="1"/>
    <col min="15464" max="15464" width="9.84375" style="80" customWidth="1"/>
    <col min="15465" max="15681" width="8.84375" style="80"/>
    <col min="15682" max="15682" width="38.4609375" style="80" customWidth="1"/>
    <col min="15683" max="15683" width="8.53515625" style="80" customWidth="1"/>
    <col min="15684" max="15684" width="1.07421875" style="80" customWidth="1"/>
    <col min="15685" max="15685" width="8.84375" style="80" customWidth="1"/>
    <col min="15686" max="15686" width="1.07421875" style="80" customWidth="1"/>
    <col min="15687" max="15687" width="9.07421875" style="80" customWidth="1"/>
    <col min="15688" max="15688" width="1.07421875" style="80" customWidth="1"/>
    <col min="15689" max="15689" width="10" style="80" customWidth="1"/>
    <col min="15690" max="15690" width="1.07421875" style="80" customWidth="1"/>
    <col min="15691" max="15691" width="9.07421875" style="80" customWidth="1"/>
    <col min="15692" max="15692" width="1.07421875" style="80" customWidth="1"/>
    <col min="15693" max="15693" width="11.07421875" style="80" customWidth="1"/>
    <col min="15694" max="15694" width="1.07421875" style="80" customWidth="1"/>
    <col min="15695" max="15695" width="9.07421875" style="80" customWidth="1"/>
    <col min="15696" max="15696" width="1.84375" style="80" customWidth="1"/>
    <col min="15697" max="15697" width="11" style="80" customWidth="1"/>
    <col min="15698" max="15698" width="1.07421875" style="80" customWidth="1"/>
    <col min="15699" max="15699" width="10.84375" style="80" customWidth="1"/>
    <col min="15700" max="15700" width="1.07421875" style="80" customWidth="1"/>
    <col min="15701" max="15701" width="10" style="80" customWidth="1"/>
    <col min="15702" max="15702" width="1.07421875" style="80" customWidth="1"/>
    <col min="15703" max="15703" width="9.07421875" style="80" customWidth="1"/>
    <col min="15704" max="15704" width="1.07421875" style="80" customWidth="1"/>
    <col min="15705" max="15705" width="7.84375" style="80" customWidth="1"/>
    <col min="15706" max="15706" width="1.07421875" style="80" customWidth="1"/>
    <col min="15707" max="15707" width="0.84375" style="80" customWidth="1"/>
    <col min="15708" max="15708" width="9.07421875" style="80" customWidth="1"/>
    <col min="15709" max="15709" width="1.07421875" style="80" customWidth="1"/>
    <col min="15710" max="15710" width="0.84375" style="80" customWidth="1"/>
    <col min="15711" max="15711" width="9.53515625" style="80" bestFit="1" customWidth="1"/>
    <col min="15712" max="15713" width="0.84375" style="80" customWidth="1"/>
    <col min="15714" max="15714" width="9.84375" style="80" customWidth="1"/>
    <col min="15715" max="15715" width="1.07421875" style="80" customWidth="1"/>
    <col min="15716" max="15716" width="8.53515625" style="80" customWidth="1"/>
    <col min="15717" max="15717" width="14.53515625" style="80" customWidth="1"/>
    <col min="15718" max="15718" width="10" style="80" customWidth="1"/>
    <col min="15719" max="15719" width="7.84375" style="80" bestFit="1" customWidth="1"/>
    <col min="15720" max="15720" width="9.84375" style="80" customWidth="1"/>
    <col min="15721" max="15937" width="8.84375" style="80"/>
    <col min="15938" max="15938" width="38.4609375" style="80" customWidth="1"/>
    <col min="15939" max="15939" width="8.53515625" style="80" customWidth="1"/>
    <col min="15940" max="15940" width="1.07421875" style="80" customWidth="1"/>
    <col min="15941" max="15941" width="8.84375" style="80" customWidth="1"/>
    <col min="15942" max="15942" width="1.07421875" style="80" customWidth="1"/>
    <col min="15943" max="15943" width="9.07421875" style="80" customWidth="1"/>
    <col min="15944" max="15944" width="1.07421875" style="80" customWidth="1"/>
    <col min="15945" max="15945" width="10" style="80" customWidth="1"/>
    <col min="15946" max="15946" width="1.07421875" style="80" customWidth="1"/>
    <col min="15947" max="15947" width="9.07421875" style="80" customWidth="1"/>
    <col min="15948" max="15948" width="1.07421875" style="80" customWidth="1"/>
    <col min="15949" max="15949" width="11.07421875" style="80" customWidth="1"/>
    <col min="15950" max="15950" width="1.07421875" style="80" customWidth="1"/>
    <col min="15951" max="15951" width="9.07421875" style="80" customWidth="1"/>
    <col min="15952" max="15952" width="1.84375" style="80" customWidth="1"/>
    <col min="15953" max="15953" width="11" style="80" customWidth="1"/>
    <col min="15954" max="15954" width="1.07421875" style="80" customWidth="1"/>
    <col min="15955" max="15955" width="10.84375" style="80" customWidth="1"/>
    <col min="15956" max="15956" width="1.07421875" style="80" customWidth="1"/>
    <col min="15957" max="15957" width="10" style="80" customWidth="1"/>
    <col min="15958" max="15958" width="1.07421875" style="80" customWidth="1"/>
    <col min="15959" max="15959" width="9.07421875" style="80" customWidth="1"/>
    <col min="15960" max="15960" width="1.07421875" style="80" customWidth="1"/>
    <col min="15961" max="15961" width="7.84375" style="80" customWidth="1"/>
    <col min="15962" max="15962" width="1.07421875" style="80" customWidth="1"/>
    <col min="15963" max="15963" width="0.84375" style="80" customWidth="1"/>
    <col min="15964" max="15964" width="9.07421875" style="80" customWidth="1"/>
    <col min="15965" max="15965" width="1.07421875" style="80" customWidth="1"/>
    <col min="15966" max="15966" width="0.84375" style="80" customWidth="1"/>
    <col min="15967" max="15967" width="9.53515625" style="80" bestFit="1" customWidth="1"/>
    <col min="15968" max="15969" width="0.84375" style="80" customWidth="1"/>
    <col min="15970" max="15970" width="9.84375" style="80" customWidth="1"/>
    <col min="15971" max="15971" width="1.07421875" style="80" customWidth="1"/>
    <col min="15972" max="15972" width="8.53515625" style="80" customWidth="1"/>
    <col min="15973" max="15973" width="14.53515625" style="80" customWidth="1"/>
    <col min="15974" max="15974" width="10" style="80" customWidth="1"/>
    <col min="15975" max="15975" width="7.84375" style="80" bestFit="1" customWidth="1"/>
    <col min="15976" max="15976" width="9.84375" style="80" customWidth="1"/>
    <col min="15977" max="16199" width="8.84375" style="80"/>
    <col min="16200" max="16384" width="8.84375" style="80" customWidth="1"/>
  </cols>
  <sheetData>
    <row r="1" spans="1:36" ht="15.5">
      <c r="A1" s="284" t="s">
        <v>97</v>
      </c>
    </row>
    <row r="2" spans="1:36" ht="10.5" customHeight="1"/>
    <row r="3" spans="1:36" ht="18">
      <c r="A3" s="722" t="s">
        <v>98</v>
      </c>
      <c r="AI3" s="723" t="s">
        <v>539</v>
      </c>
    </row>
    <row r="4" spans="1:36" ht="18">
      <c r="A4" s="81" t="s">
        <v>540</v>
      </c>
    </row>
    <row r="5" spans="1:36" ht="18">
      <c r="A5" s="81" t="s">
        <v>444</v>
      </c>
      <c r="AB5" s="2066"/>
      <c r="AC5" s="2067"/>
      <c r="AD5" s="2067"/>
      <c r="AE5" s="1216"/>
      <c r="AF5" s="1216"/>
      <c r="AG5" s="1216"/>
      <c r="AH5" s="1216"/>
      <c r="AI5" s="1216"/>
    </row>
    <row r="6" spans="1:36" ht="18">
      <c r="A6" s="722" t="str">
        <f>'Cashflow Governmental'!A6</f>
        <v>FISCAL YEAR 2026-2027</v>
      </c>
    </row>
    <row r="7" spans="1:36" ht="18">
      <c r="A7" s="81" t="s">
        <v>102</v>
      </c>
    </row>
    <row r="8" spans="1:36" ht="18">
      <c r="A8" s="81"/>
      <c r="AJ8" s="80"/>
    </row>
    <row r="9" spans="1:36" ht="15.5">
      <c r="B9" s="1543"/>
      <c r="Z9" s="2063" t="str">
        <f>'Cashflow Governmental'!$AB$12</f>
        <v>4 Months Ended July 31</v>
      </c>
      <c r="AA9" s="2063"/>
      <c r="AB9" s="2063"/>
      <c r="AC9" s="2063"/>
      <c r="AD9" s="2063"/>
      <c r="AE9" s="2063"/>
      <c r="AF9" s="2063"/>
      <c r="AG9" s="2063"/>
      <c r="AH9" s="2063"/>
      <c r="AI9" s="2063"/>
      <c r="AJ9" s="80"/>
    </row>
    <row r="10" spans="1:36" ht="15.5">
      <c r="B10" s="724" t="str">
        <f>'Cashflow Governmental'!C13</f>
        <v>2026</v>
      </c>
      <c r="C10" s="83"/>
      <c r="D10" s="83"/>
      <c r="E10" s="83"/>
      <c r="F10" s="1124"/>
      <c r="G10" s="83"/>
      <c r="H10" s="83"/>
      <c r="I10" s="83"/>
      <c r="J10" s="83"/>
      <c r="K10" s="83"/>
      <c r="L10" s="83"/>
      <c r="M10" s="83"/>
      <c r="N10" s="83"/>
      <c r="O10" s="83"/>
      <c r="P10" s="83"/>
      <c r="Q10" s="83"/>
      <c r="R10" s="83"/>
      <c r="S10" s="83"/>
      <c r="T10" s="724">
        <f>'Cashflow Governmental'!U13</f>
        <v>2027</v>
      </c>
      <c r="U10" s="83"/>
      <c r="V10" s="83"/>
      <c r="W10" s="83"/>
      <c r="X10" s="724"/>
      <c r="Y10" s="83"/>
      <c r="Z10" s="83"/>
      <c r="AA10" s="83"/>
      <c r="AB10" s="83"/>
      <c r="AC10" s="83"/>
      <c r="AD10" s="83"/>
      <c r="AE10" s="83"/>
      <c r="AF10" s="83"/>
      <c r="AG10" s="725" t="s">
        <v>110</v>
      </c>
      <c r="AH10" s="726"/>
      <c r="AI10" s="727" t="s">
        <v>111</v>
      </c>
      <c r="AJ10" s="80"/>
    </row>
    <row r="11" spans="1:36" ht="15.5">
      <c r="B11" s="1049" t="s">
        <v>329</v>
      </c>
      <c r="C11" s="83"/>
      <c r="D11" s="1049" t="s">
        <v>330</v>
      </c>
      <c r="E11" s="724"/>
      <c r="F11" s="1050" t="s">
        <v>331</v>
      </c>
      <c r="G11" s="724"/>
      <c r="H11" s="1049" t="s">
        <v>332</v>
      </c>
      <c r="I11" s="724"/>
      <c r="J11" s="1049" t="s">
        <v>333</v>
      </c>
      <c r="K11" s="724"/>
      <c r="L11" s="1217" t="s">
        <v>445</v>
      </c>
      <c r="M11" s="724"/>
      <c r="N11" s="1049" t="s">
        <v>446</v>
      </c>
      <c r="O11" s="724"/>
      <c r="P11" s="1049" t="s">
        <v>336</v>
      </c>
      <c r="Q11" s="724"/>
      <c r="R11" s="1049" t="s">
        <v>337</v>
      </c>
      <c r="S11" s="83"/>
      <c r="T11" s="1049" t="s">
        <v>338</v>
      </c>
      <c r="U11" s="724"/>
      <c r="V11" s="1049" t="s">
        <v>339</v>
      </c>
      <c r="W11" s="724"/>
      <c r="X11" s="1049" t="s">
        <v>447</v>
      </c>
      <c r="Y11" s="724"/>
      <c r="Z11" s="724"/>
      <c r="AA11" s="1049" t="str">
        <f>'Cashflow Governmental'!AB14</f>
        <v>2026</v>
      </c>
      <c r="AB11" s="724"/>
      <c r="AC11" s="724"/>
      <c r="AD11" s="1049" t="str">
        <f>'Cashflow Governmental'!AE14</f>
        <v>2025</v>
      </c>
      <c r="AE11" s="724"/>
      <c r="AF11" s="724"/>
      <c r="AG11" s="1050" t="s">
        <v>112</v>
      </c>
      <c r="AH11" s="726"/>
      <c r="AI11" s="1050" t="s">
        <v>113</v>
      </c>
    </row>
    <row r="12" spans="1:36" ht="3" customHeight="1">
      <c r="B12" s="899"/>
      <c r="C12" s="735"/>
      <c r="D12" s="899"/>
      <c r="E12" s="899"/>
      <c r="F12" s="1051"/>
      <c r="G12" s="899"/>
      <c r="H12" s="899"/>
      <c r="I12" s="899"/>
      <c r="J12" s="899"/>
      <c r="K12" s="899"/>
      <c r="L12" s="1052"/>
      <c r="M12" s="899"/>
      <c r="N12" s="899"/>
      <c r="O12" s="899"/>
      <c r="P12" s="899"/>
      <c r="Q12" s="899"/>
      <c r="R12" s="899"/>
      <c r="S12" s="735"/>
      <c r="T12" s="1053"/>
      <c r="U12" s="899"/>
      <c r="V12" s="899"/>
      <c r="W12" s="899"/>
      <c r="X12" s="899"/>
      <c r="Y12" s="899"/>
      <c r="Z12" s="899"/>
      <c r="AA12" s="899"/>
      <c r="AB12" s="899"/>
      <c r="AC12" s="899"/>
      <c r="AD12" s="899"/>
      <c r="AE12" s="899"/>
      <c r="AF12" s="899"/>
      <c r="AG12" s="899"/>
      <c r="AH12" s="735"/>
      <c r="AI12" s="735"/>
    </row>
    <row r="13" spans="1:36" ht="15.5">
      <c r="A13" s="728" t="s">
        <v>541</v>
      </c>
      <c r="B13" s="82">
        <v>104.7</v>
      </c>
      <c r="C13" s="82"/>
      <c r="D13" s="729">
        <f>B78</f>
        <v>262.2</v>
      </c>
      <c r="E13" s="729"/>
      <c r="F13" s="729">
        <f>D78</f>
        <v>270.5</v>
      </c>
      <c r="G13" s="82"/>
      <c r="H13" s="729">
        <f>F78</f>
        <v>258.2</v>
      </c>
      <c r="I13" s="82"/>
      <c r="J13" s="729"/>
      <c r="K13" s="82"/>
      <c r="L13" s="729"/>
      <c r="M13" s="82"/>
      <c r="N13" s="729"/>
      <c r="O13" s="82"/>
      <c r="P13" s="729"/>
      <c r="Q13" s="729"/>
      <c r="R13" s="729"/>
      <c r="S13" s="729"/>
      <c r="T13" s="729"/>
      <c r="U13" s="729"/>
      <c r="V13" s="729"/>
      <c r="W13" s="729"/>
      <c r="X13" s="729"/>
      <c r="Y13" s="1231"/>
      <c r="Z13" s="82"/>
      <c r="AA13" s="82">
        <f>B13</f>
        <v>104.7</v>
      </c>
      <c r="AB13" s="1231"/>
      <c r="AC13" s="82"/>
      <c r="AD13" s="1936">
        <v>117.4</v>
      </c>
      <c r="AE13" s="1811"/>
      <c r="AF13" s="730"/>
      <c r="AG13" s="82">
        <f>ROUND(SUM(AA13-AD13),1)</f>
        <v>-12.7</v>
      </c>
      <c r="AH13" s="83"/>
      <c r="AI13" s="731">
        <f>ROUND(SUM(AG13/AD13),3)</f>
        <v>-0.108</v>
      </c>
      <c r="AJ13" s="1544"/>
    </row>
    <row r="14" spans="1:36" ht="12.75" customHeight="1">
      <c r="A14" s="735"/>
      <c r="B14" s="735"/>
      <c r="C14" s="735"/>
      <c r="D14" s="735"/>
      <c r="E14" s="735"/>
      <c r="F14" s="898"/>
      <c r="G14" s="735"/>
      <c r="H14" s="898"/>
      <c r="I14" s="735"/>
      <c r="J14" s="735"/>
      <c r="K14" s="735"/>
      <c r="L14" s="735"/>
      <c r="M14" s="735"/>
      <c r="N14" s="735"/>
      <c r="O14" s="735"/>
      <c r="P14" s="735"/>
      <c r="Q14" s="735"/>
      <c r="R14" s="735"/>
      <c r="S14" s="735"/>
      <c r="T14" s="735"/>
      <c r="U14" s="735"/>
      <c r="V14" s="735"/>
      <c r="W14" s="735"/>
      <c r="X14" s="735"/>
      <c r="Y14" s="1232"/>
      <c r="Z14" s="735"/>
      <c r="AA14" s="898"/>
      <c r="AB14" s="1233"/>
      <c r="AC14" s="898"/>
      <c r="AD14" s="552"/>
      <c r="AE14" s="899"/>
      <c r="AF14" s="900"/>
      <c r="AG14" s="898"/>
      <c r="AH14" s="735"/>
      <c r="AI14" s="735"/>
      <c r="AJ14" s="1544"/>
    </row>
    <row r="15" spans="1:36" ht="14.25" customHeight="1">
      <c r="A15" s="83" t="s">
        <v>114</v>
      </c>
      <c r="B15" s="735"/>
      <c r="C15" s="735"/>
      <c r="D15" s="735"/>
      <c r="E15" s="735"/>
      <c r="F15" s="898"/>
      <c r="G15" s="735"/>
      <c r="H15" s="898"/>
      <c r="I15" s="735"/>
      <c r="J15" s="735"/>
      <c r="K15" s="735"/>
      <c r="L15" s="735"/>
      <c r="M15" s="735"/>
      <c r="N15" s="735"/>
      <c r="O15" s="735"/>
      <c r="P15" s="735"/>
      <c r="Q15" s="735"/>
      <c r="R15" s="735"/>
      <c r="S15" s="735"/>
      <c r="T15" s="735"/>
      <c r="U15" s="735"/>
      <c r="V15" s="735"/>
      <c r="W15" s="735"/>
      <c r="X15" s="735"/>
      <c r="Y15" s="1232"/>
      <c r="Z15" s="735"/>
      <c r="AA15" s="898"/>
      <c r="AB15" s="1233"/>
      <c r="AC15" s="898"/>
      <c r="AD15" s="552"/>
      <c r="AE15" s="899"/>
      <c r="AF15" s="900"/>
      <c r="AG15" s="898"/>
      <c r="AH15" s="735"/>
      <c r="AI15" s="735"/>
      <c r="AJ15" s="1544"/>
    </row>
    <row r="16" spans="1:36" ht="14.25" customHeight="1">
      <c r="A16" s="1211" t="s">
        <v>342</v>
      </c>
      <c r="B16" s="62"/>
      <c r="C16" s="62"/>
      <c r="D16" s="62"/>
      <c r="E16" s="192"/>
      <c r="F16" s="62"/>
      <c r="G16" s="192"/>
      <c r="H16" s="62"/>
      <c r="I16" s="735"/>
      <c r="J16" s="735"/>
      <c r="K16" s="735"/>
      <c r="L16" s="735"/>
      <c r="M16" s="735"/>
      <c r="N16" s="735"/>
      <c r="O16" s="735"/>
      <c r="P16" s="735"/>
      <c r="Q16" s="735"/>
      <c r="R16" s="735"/>
      <c r="S16" s="735"/>
      <c r="T16" s="735"/>
      <c r="U16" s="735"/>
      <c r="V16" s="735"/>
      <c r="W16" s="735"/>
      <c r="X16" s="735"/>
      <c r="Y16" s="1232"/>
      <c r="Z16" s="735"/>
      <c r="AA16" s="898"/>
      <c r="AB16" s="1233"/>
      <c r="AC16" s="898"/>
      <c r="AD16" s="62"/>
      <c r="AE16" s="899"/>
      <c r="AF16" s="900"/>
      <c r="AG16" s="898"/>
      <c r="AH16" s="735"/>
      <c r="AI16" s="735"/>
      <c r="AJ16" s="1544"/>
    </row>
    <row r="17" spans="1:36" ht="14.25" customHeight="1">
      <c r="A17" s="412" t="s">
        <v>479</v>
      </c>
      <c r="B17" s="531">
        <v>5227.2</v>
      </c>
      <c r="C17" s="512"/>
      <c r="D17" s="531">
        <v>2024.5</v>
      </c>
      <c r="E17" s="512"/>
      <c r="F17" s="531">
        <v>3191.4000000000005</v>
      </c>
      <c r="G17" s="512"/>
      <c r="H17" s="531">
        <f>$AA17-F17-D17-B17</f>
        <v>2391.3999999999987</v>
      </c>
      <c r="I17" s="552"/>
      <c r="J17" s="531"/>
      <c r="K17" s="552"/>
      <c r="L17" s="531"/>
      <c r="M17" s="552"/>
      <c r="N17" s="531"/>
      <c r="O17" s="552"/>
      <c r="P17" s="512"/>
      <c r="Q17" s="512"/>
      <c r="R17" s="512"/>
      <c r="S17" s="512"/>
      <c r="T17" s="512"/>
      <c r="U17" s="512"/>
      <c r="V17" s="512"/>
      <c r="W17" s="512"/>
      <c r="X17" s="512"/>
      <c r="Y17" s="1232"/>
      <c r="Z17" s="735"/>
      <c r="AA17" s="531">
        <v>12834.5</v>
      </c>
      <c r="AB17" s="276"/>
      <c r="AC17" s="1771"/>
      <c r="AD17" s="531">
        <v>11852.9</v>
      </c>
      <c r="AE17" s="899"/>
      <c r="AF17" s="900"/>
      <c r="AG17" s="938">
        <f>ROUND(SUM(AA17-AD17),1)</f>
        <v>981.6</v>
      </c>
      <c r="AH17" s="735"/>
      <c r="AI17" s="266">
        <f>ROUND(IF(AD17=0,0,AG17/ABS(AD17)),3)</f>
        <v>8.3000000000000004E-2</v>
      </c>
      <c r="AJ17" s="1544"/>
    </row>
    <row r="18" spans="1:36" ht="6" customHeight="1">
      <c r="A18" s="412"/>
      <c r="B18" s="512"/>
      <c r="C18" s="531"/>
      <c r="D18" s="531"/>
      <c r="E18" s="531"/>
      <c r="F18" s="512"/>
      <c r="G18" s="291"/>
      <c r="H18" s="531"/>
      <c r="I18" s="735"/>
      <c r="J18" s="531"/>
      <c r="K18" s="735"/>
      <c r="L18" s="512"/>
      <c r="M18" s="735"/>
      <c r="N18" s="512"/>
      <c r="O18" s="735"/>
      <c r="P18" s="512"/>
      <c r="Q18" s="735"/>
      <c r="R18" s="512"/>
      <c r="S18" s="735"/>
      <c r="T18" s="512"/>
      <c r="U18" s="735"/>
      <c r="V18" s="512"/>
      <c r="W18" s="735"/>
      <c r="X18" s="512"/>
      <c r="Y18" s="1232"/>
      <c r="Z18" s="735"/>
      <c r="AA18" s="512"/>
      <c r="AB18" s="1233"/>
      <c r="AC18" s="898"/>
      <c r="AD18" s="512"/>
      <c r="AE18" s="899"/>
      <c r="AF18" s="900"/>
      <c r="AG18" s="938"/>
      <c r="AH18" s="735"/>
      <c r="AI18" s="266"/>
      <c r="AJ18" s="1544"/>
    </row>
    <row r="19" spans="1:36" ht="14.25" customHeight="1">
      <c r="A19" s="412" t="s">
        <v>354</v>
      </c>
      <c r="B19" s="13"/>
      <c r="C19" s="264"/>
      <c r="D19" s="531"/>
      <c r="E19" s="264"/>
      <c r="F19" s="512"/>
      <c r="G19" s="264"/>
      <c r="H19" s="531"/>
      <c r="I19" s="735"/>
      <c r="J19" s="531"/>
      <c r="K19" s="735"/>
      <c r="L19" s="512"/>
      <c r="M19" s="735"/>
      <c r="N19" s="512"/>
      <c r="O19" s="735"/>
      <c r="P19" s="512"/>
      <c r="Q19" s="735"/>
      <c r="R19" s="512"/>
      <c r="S19" s="735"/>
      <c r="T19" s="512"/>
      <c r="U19" s="735"/>
      <c r="V19" s="512"/>
      <c r="W19" s="735"/>
      <c r="X19" s="512"/>
      <c r="Y19" s="1232"/>
      <c r="Z19" s="735"/>
      <c r="AA19" s="13"/>
      <c r="AB19" s="1233"/>
      <c r="AC19" s="898"/>
      <c r="AD19" s="13"/>
      <c r="AE19" s="899"/>
      <c r="AF19" s="900"/>
      <c r="AG19" s="898"/>
      <c r="AH19" s="735"/>
      <c r="AI19" s="735"/>
      <c r="AJ19" s="1544"/>
    </row>
    <row r="20" spans="1:36" ht="14.25" customHeight="1">
      <c r="A20" s="284" t="s">
        <v>355</v>
      </c>
      <c r="B20" s="531">
        <v>802.5</v>
      </c>
      <c r="C20" s="531"/>
      <c r="D20" s="531">
        <v>812.09999999999991</v>
      </c>
      <c r="E20" s="531"/>
      <c r="F20" s="531">
        <v>1017.5</v>
      </c>
      <c r="G20" s="264"/>
      <c r="H20" s="531">
        <f>$AA20-F20-D20-B20</f>
        <v>895.80000000000018</v>
      </c>
      <c r="I20" s="552"/>
      <c r="J20" s="531"/>
      <c r="K20" s="552"/>
      <c r="L20" s="531"/>
      <c r="M20" s="552"/>
      <c r="N20" s="531"/>
      <c r="O20" s="552"/>
      <c r="P20" s="512"/>
      <c r="Q20" s="552"/>
      <c r="R20" s="512"/>
      <c r="S20" s="552"/>
      <c r="T20" s="512"/>
      <c r="U20" s="552"/>
      <c r="V20" s="512"/>
      <c r="W20" s="552"/>
      <c r="X20" s="512"/>
      <c r="Y20" s="1232"/>
      <c r="Z20" s="735"/>
      <c r="AA20" s="1187">
        <v>3527.9</v>
      </c>
      <c r="AB20" s="287"/>
      <c r="AC20" s="1757"/>
      <c r="AD20" s="1187">
        <v>3226.1</v>
      </c>
      <c r="AE20" s="899"/>
      <c r="AF20" s="900"/>
      <c r="AG20" s="938">
        <f>ROUND(SUM(AA20-AD20),1)</f>
        <v>301.8</v>
      </c>
      <c r="AH20" s="735"/>
      <c r="AI20" s="266">
        <f>ROUND(IF(AD20=0,0,AG20/ABS(AD20)),3)</f>
        <v>9.4E-2</v>
      </c>
      <c r="AJ20" s="1544"/>
    </row>
    <row r="21" spans="1:36" ht="14.25" customHeight="1">
      <c r="A21" s="83" t="s">
        <v>365</v>
      </c>
      <c r="B21" s="68">
        <f>ROUND(SUM(B20:B20),1)</f>
        <v>802.5</v>
      </c>
      <c r="C21" s="13"/>
      <c r="D21" s="68">
        <f>ROUND(SUM(D20:D20),1)</f>
        <v>812.1</v>
      </c>
      <c r="E21" s="13"/>
      <c r="F21" s="68">
        <f>ROUND(SUM(F20:F20),1)</f>
        <v>1017.5</v>
      </c>
      <c r="G21" s="13"/>
      <c r="H21" s="68">
        <f>ROUND(SUM(H20:H20),1)</f>
        <v>895.8</v>
      </c>
      <c r="I21" s="735"/>
      <c r="J21" s="68">
        <f>ROUND(SUM(J20:J20),1)</f>
        <v>0</v>
      </c>
      <c r="K21" s="735"/>
      <c r="L21" s="68">
        <f>ROUND(SUM(L20:L20),1)</f>
        <v>0</v>
      </c>
      <c r="M21" s="735"/>
      <c r="N21" s="68">
        <f>ROUND(SUM(N20:N20),1)</f>
        <v>0</v>
      </c>
      <c r="O21" s="735"/>
      <c r="P21" s="68">
        <f>ROUND(SUM(P20:P20),1)</f>
        <v>0</v>
      </c>
      <c r="Q21" s="13"/>
      <c r="R21" s="68">
        <f>ROUND(SUM(R20:R20),1)</f>
        <v>0</v>
      </c>
      <c r="S21" s="735"/>
      <c r="T21" s="68">
        <f>ROUND(SUM(T20:T20),1)</f>
        <v>0</v>
      </c>
      <c r="U21" s="735"/>
      <c r="V21" s="68">
        <f>ROUND(SUM(V20:V20),1)</f>
        <v>0</v>
      </c>
      <c r="W21" s="735"/>
      <c r="X21" s="68">
        <f>ROUND(SUM(X20:X20),1)</f>
        <v>0</v>
      </c>
      <c r="Y21" s="1232"/>
      <c r="Z21" s="735"/>
      <c r="AA21" s="68">
        <f>ROUND(SUM(AA20:AA20),1)</f>
        <v>3527.9</v>
      </c>
      <c r="AB21" s="1233"/>
      <c r="AC21" s="898"/>
      <c r="AD21" s="68">
        <f>ROUND(SUM(AD20:AD20),1)</f>
        <v>3226.1</v>
      </c>
      <c r="AE21" s="899"/>
      <c r="AF21" s="900"/>
      <c r="AG21" s="1093">
        <f>ROUND(SUM(AA21-AD21),1)</f>
        <v>301.8</v>
      </c>
      <c r="AH21" s="83"/>
      <c r="AI21" s="537">
        <f>ROUND(IF(AD21=0,0,AG21/ABS(AD21)),3)</f>
        <v>9.4E-2</v>
      </c>
      <c r="AJ21" s="1544"/>
    </row>
    <row r="22" spans="1:36" ht="14.25" customHeight="1">
      <c r="A22" s="412" t="s">
        <v>366</v>
      </c>
      <c r="B22" s="13"/>
      <c r="C22" s="13"/>
      <c r="D22" s="13"/>
      <c r="E22" s="13"/>
      <c r="F22" s="13"/>
      <c r="G22" s="13"/>
      <c r="H22" s="13"/>
      <c r="I22" s="735"/>
      <c r="J22" s="13"/>
      <c r="K22" s="735"/>
      <c r="L22" s="13"/>
      <c r="M22" s="735"/>
      <c r="N22" s="13"/>
      <c r="O22" s="735"/>
      <c r="P22" s="13"/>
      <c r="Q22" s="735"/>
      <c r="R22" s="13"/>
      <c r="S22" s="735"/>
      <c r="T22" s="13"/>
      <c r="U22" s="735"/>
      <c r="V22" s="13"/>
      <c r="W22" s="735"/>
      <c r="X22" s="13"/>
      <c r="Y22" s="1232"/>
      <c r="Z22" s="735"/>
      <c r="AA22" s="13"/>
      <c r="AB22" s="1233"/>
      <c r="AC22" s="898"/>
      <c r="AD22" s="13"/>
      <c r="AE22" s="899"/>
      <c r="AF22" s="900"/>
      <c r="AG22" s="413"/>
      <c r="AH22" s="83"/>
      <c r="AI22" s="281"/>
      <c r="AJ22" s="1544"/>
    </row>
    <row r="23" spans="1:36" ht="14.25" customHeight="1">
      <c r="A23" s="284" t="s">
        <v>371</v>
      </c>
      <c r="B23" s="531">
        <v>24.4</v>
      </c>
      <c r="C23" s="264"/>
      <c r="D23" s="531">
        <v>118.1</v>
      </c>
      <c r="E23" s="264"/>
      <c r="F23" s="531">
        <v>2292.9</v>
      </c>
      <c r="G23" s="264"/>
      <c r="H23" s="531">
        <f>$AA23-B23-D23-F23</f>
        <v>10.799999999999727</v>
      </c>
      <c r="I23" s="735"/>
      <c r="J23" s="531"/>
      <c r="K23" s="735"/>
      <c r="L23" s="531"/>
      <c r="M23" s="735"/>
      <c r="N23" s="531"/>
      <c r="O23" s="735"/>
      <c r="P23" s="512"/>
      <c r="Q23" s="735"/>
      <c r="R23" s="512"/>
      <c r="S23" s="735"/>
      <c r="T23" s="512"/>
      <c r="U23" s="735"/>
      <c r="V23" s="512"/>
      <c r="W23" s="735"/>
      <c r="X23" s="512"/>
      <c r="Y23" s="1232"/>
      <c r="Z23" s="735"/>
      <c r="AA23" s="531">
        <v>2446.1999999999998</v>
      </c>
      <c r="AB23" s="264"/>
      <c r="AC23" s="524" t="s">
        <v>103</v>
      </c>
      <c r="AD23" s="531">
        <v>1956.7</v>
      </c>
      <c r="AE23" s="899"/>
      <c r="AF23" s="900"/>
      <c r="AG23" s="938">
        <f>ROUND(SUM(AA23-AD23),1)</f>
        <v>489.5</v>
      </c>
      <c r="AH23" s="735"/>
      <c r="AI23" s="266">
        <f>ROUND(IF(AD23=0,1,AG23/ABS(AD23)),3)</f>
        <v>0.25</v>
      </c>
      <c r="AJ23" s="1544"/>
    </row>
    <row r="24" spans="1:36" ht="14.25" customHeight="1">
      <c r="A24" s="83" t="s">
        <v>373</v>
      </c>
      <c r="B24" s="68">
        <f>ROUND(SUM(B23),1)</f>
        <v>24.4</v>
      </c>
      <c r="C24" s="13"/>
      <c r="D24" s="68">
        <f>ROUND(SUM(D23),1)</f>
        <v>118.1</v>
      </c>
      <c r="E24" s="13"/>
      <c r="F24" s="68">
        <f>ROUND(SUM(F23),1)</f>
        <v>2292.9</v>
      </c>
      <c r="G24" s="13"/>
      <c r="H24" s="68">
        <f>ROUND(SUM(H23),1)</f>
        <v>10.8</v>
      </c>
      <c r="I24" s="735"/>
      <c r="J24" s="68">
        <f>ROUND(SUM(J23),1)</f>
        <v>0</v>
      </c>
      <c r="K24" s="735"/>
      <c r="L24" s="68">
        <f>ROUND(SUM(L23),1)</f>
        <v>0</v>
      </c>
      <c r="M24" s="735"/>
      <c r="N24" s="68">
        <f>ROUND(SUM(N23),1)</f>
        <v>0</v>
      </c>
      <c r="O24" s="735"/>
      <c r="P24" s="68">
        <f>ROUND(SUM(P23),1)</f>
        <v>0</v>
      </c>
      <c r="Q24" s="13"/>
      <c r="R24" s="68">
        <f>ROUND(SUM(R23),1)</f>
        <v>0</v>
      </c>
      <c r="S24" s="735"/>
      <c r="T24" s="68">
        <f>ROUND(SUM(T23),1)</f>
        <v>0</v>
      </c>
      <c r="U24" s="735"/>
      <c r="V24" s="68">
        <f>ROUND(SUM(V23),1)</f>
        <v>0</v>
      </c>
      <c r="W24" s="735"/>
      <c r="X24" s="68">
        <f>ROUND(SUM(X23),1)</f>
        <v>0</v>
      </c>
      <c r="Y24" s="1232"/>
      <c r="Z24" s="735"/>
      <c r="AA24" s="68">
        <f>ROUND(SUM(AA23),1)</f>
        <v>2446.1999999999998</v>
      </c>
      <c r="AB24" s="1233"/>
      <c r="AC24" s="898"/>
      <c r="AD24" s="68">
        <f>ROUND(SUM(AD23),1)</f>
        <v>1956.7</v>
      </c>
      <c r="AE24" s="899"/>
      <c r="AF24" s="900"/>
      <c r="AG24" s="1093">
        <f>ROUND(SUM(AA24-AD24),1)</f>
        <v>489.5</v>
      </c>
      <c r="AH24" s="83"/>
      <c r="AI24" s="537">
        <f>ROUND(IF(AD24=0,1,AG24/ABS(AD24)),3)</f>
        <v>0.25</v>
      </c>
      <c r="AJ24" s="1544"/>
    </row>
    <row r="25" spans="1:36" ht="14.25" customHeight="1">
      <c r="A25" s="412" t="s">
        <v>374</v>
      </c>
      <c r="B25" s="13"/>
      <c r="C25" s="13"/>
      <c r="D25" s="13"/>
      <c r="E25" s="13"/>
      <c r="F25" s="13"/>
      <c r="G25" s="13"/>
      <c r="H25" s="13"/>
      <c r="I25" s="735"/>
      <c r="J25" s="13"/>
      <c r="K25" s="735"/>
      <c r="L25" s="13"/>
      <c r="M25" s="735"/>
      <c r="N25" s="13"/>
      <c r="O25" s="735"/>
      <c r="P25" s="13"/>
      <c r="Q25" s="735"/>
      <c r="R25" s="13"/>
      <c r="S25" s="735"/>
      <c r="T25" s="13"/>
      <c r="U25" s="735"/>
      <c r="V25" s="13"/>
      <c r="W25" s="735"/>
      <c r="X25" s="13"/>
      <c r="Y25" s="1232"/>
      <c r="Z25" s="735"/>
      <c r="AA25" s="13"/>
      <c r="AB25" s="1233"/>
      <c r="AC25" s="898"/>
      <c r="AD25" s="13"/>
      <c r="AE25" s="899"/>
      <c r="AF25" s="900"/>
      <c r="AG25" s="898"/>
      <c r="AH25" s="735"/>
      <c r="AI25" s="735"/>
      <c r="AJ25" s="1544"/>
    </row>
    <row r="26" spans="1:36" ht="14.25" customHeight="1">
      <c r="A26" s="284" t="s">
        <v>378</v>
      </c>
      <c r="B26" s="531">
        <v>118.6</v>
      </c>
      <c r="C26" s="531"/>
      <c r="D26" s="531">
        <v>104.70000000000002</v>
      </c>
      <c r="E26" s="531"/>
      <c r="F26" s="531">
        <v>98.099999999999966</v>
      </c>
      <c r="G26" s="13"/>
      <c r="H26" s="531">
        <f>$AA26-F26-D26-B26</f>
        <v>114.19999999999999</v>
      </c>
      <c r="I26" s="552"/>
      <c r="J26" s="531"/>
      <c r="K26" s="552"/>
      <c r="L26" s="531"/>
      <c r="M26" s="552"/>
      <c r="N26" s="531"/>
      <c r="O26" s="552"/>
      <c r="P26" s="512"/>
      <c r="Q26" s="552"/>
      <c r="R26" s="512"/>
      <c r="S26" s="552"/>
      <c r="T26" s="512"/>
      <c r="U26" s="552"/>
      <c r="V26" s="512"/>
      <c r="W26" s="552"/>
      <c r="X26" s="512"/>
      <c r="Y26" s="1232"/>
      <c r="Z26" s="735"/>
      <c r="AA26" s="531">
        <v>435.59999999999997</v>
      </c>
      <c r="AB26" s="264">
        <f>'Exhibit F'!AD1121</f>
        <v>0</v>
      </c>
      <c r="AC26" s="524" t="s">
        <v>103</v>
      </c>
      <c r="AD26" s="531">
        <v>377.4</v>
      </c>
      <c r="AE26" s="899"/>
      <c r="AF26" s="900"/>
      <c r="AG26" s="938">
        <f>ROUND(SUM(AA26-AD26),1)</f>
        <v>58.2</v>
      </c>
      <c r="AH26" s="735"/>
      <c r="AI26" s="266">
        <f>ROUND(IF(AD26=0,0,AG26/ABS(AD26)),3)</f>
        <v>0.154</v>
      </c>
      <c r="AJ26" s="1544"/>
    </row>
    <row r="27" spans="1:36" ht="14.25" customHeight="1">
      <c r="A27" s="420" t="s">
        <v>380</v>
      </c>
      <c r="B27" s="531">
        <v>0.1</v>
      </c>
      <c r="C27" s="264"/>
      <c r="D27" s="531">
        <v>0.1</v>
      </c>
      <c r="E27" s="264"/>
      <c r="F27" s="531">
        <v>0.20000000000000004</v>
      </c>
      <c r="G27" s="264"/>
      <c r="H27" s="531">
        <f>$AA27-F27-D27-B27</f>
        <v>0.19999999999999993</v>
      </c>
      <c r="I27" s="735"/>
      <c r="J27" s="531"/>
      <c r="K27" s="735"/>
      <c r="L27" s="531"/>
      <c r="M27" s="735"/>
      <c r="N27" s="531"/>
      <c r="O27" s="735"/>
      <c r="P27" s="512"/>
      <c r="Q27" s="735"/>
      <c r="R27" s="512"/>
      <c r="S27" s="735"/>
      <c r="T27" s="512"/>
      <c r="U27" s="735"/>
      <c r="V27" s="512"/>
      <c r="W27" s="735"/>
      <c r="X27" s="512"/>
      <c r="Y27" s="1232"/>
      <c r="Z27" s="735"/>
      <c r="AA27" s="531">
        <v>0.6</v>
      </c>
      <c r="AB27" s="264"/>
      <c r="AC27" s="524" t="s">
        <v>103</v>
      </c>
      <c r="AD27" s="531">
        <v>0.70000000000000007</v>
      </c>
      <c r="AE27" s="899"/>
      <c r="AF27" s="900"/>
      <c r="AG27" s="938">
        <f>ROUND(SUM(AA27-AD27),1)</f>
        <v>-0.1</v>
      </c>
      <c r="AH27" s="735"/>
      <c r="AI27" s="266">
        <f>ROUND(IF(AD27=0,1,AG27/ABS(AD27)),3)</f>
        <v>-0.14299999999999999</v>
      </c>
      <c r="AJ27" s="1544"/>
    </row>
    <row r="28" spans="1:36" ht="14.25" customHeight="1">
      <c r="A28" s="83" t="s">
        <v>381</v>
      </c>
      <c r="B28" s="1094">
        <f>ROUND(SUM(B26:B27),1)</f>
        <v>118.7</v>
      </c>
      <c r="C28" s="13"/>
      <c r="D28" s="68">
        <f>ROUND(SUM(D26:D27),1)</f>
        <v>104.8</v>
      </c>
      <c r="E28" s="13"/>
      <c r="F28" s="68">
        <f>ROUND(SUM(F26:F27),1)</f>
        <v>98.3</v>
      </c>
      <c r="G28" s="13"/>
      <c r="H28" s="68">
        <f>ROUND(SUM(H26:H27),1)</f>
        <v>114.4</v>
      </c>
      <c r="I28" s="735"/>
      <c r="J28" s="68">
        <f>ROUND(SUM(J26:J27),1)</f>
        <v>0</v>
      </c>
      <c r="K28" s="735"/>
      <c r="L28" s="68">
        <f>ROUND(SUM(L26:L27),1)</f>
        <v>0</v>
      </c>
      <c r="M28" s="735"/>
      <c r="N28" s="68">
        <f>ROUND(SUM(N26:N27),1)</f>
        <v>0</v>
      </c>
      <c r="O28" s="735"/>
      <c r="P28" s="68">
        <f>ROUND(SUM(P26:P27),1)</f>
        <v>0</v>
      </c>
      <c r="Q28" s="13"/>
      <c r="R28" s="68">
        <f>ROUND(SUM(R26:R27),1)</f>
        <v>0</v>
      </c>
      <c r="S28" s="735"/>
      <c r="T28" s="68">
        <f>ROUND(SUM(T26:T27),1)</f>
        <v>0</v>
      </c>
      <c r="U28" s="735"/>
      <c r="V28" s="68">
        <f>ROUND(SUM(V26:V27),1)</f>
        <v>0</v>
      </c>
      <c r="W28" s="735"/>
      <c r="X28" s="68">
        <f>ROUND(SUM(X26:X27),1)</f>
        <v>0</v>
      </c>
      <c r="Y28" s="1232"/>
      <c r="Z28" s="735"/>
      <c r="AA28" s="68">
        <f>ROUND(SUM(AA26:AA27),1)</f>
        <v>436.2</v>
      </c>
      <c r="AB28" s="1233"/>
      <c r="AC28" s="898"/>
      <c r="AD28" s="68">
        <f>ROUND(SUM(AD26:AD27),1)</f>
        <v>378.1</v>
      </c>
      <c r="AE28" s="899"/>
      <c r="AF28" s="900"/>
      <c r="AG28" s="1093">
        <f>ROUND(SUM(AA28-AD28),1)</f>
        <v>58.1</v>
      </c>
      <c r="AH28" s="83"/>
      <c r="AI28" s="537">
        <f>ROUND(IF(AD28=0,0,AG28/ABS(AD28)),3)</f>
        <v>0.154</v>
      </c>
      <c r="AJ28" s="1544"/>
    </row>
    <row r="29" spans="1:36" ht="14.25" customHeight="1">
      <c r="A29" s="83"/>
      <c r="B29" s="1094"/>
      <c r="C29" s="13"/>
      <c r="D29" s="13"/>
      <c r="E29" s="13"/>
      <c r="F29" s="13"/>
      <c r="G29" s="13"/>
      <c r="H29" s="13"/>
      <c r="I29" s="735"/>
      <c r="J29" s="13"/>
      <c r="K29" s="735"/>
      <c r="L29" s="13"/>
      <c r="M29" s="735"/>
      <c r="N29" s="13"/>
      <c r="O29" s="735"/>
      <c r="P29" s="13"/>
      <c r="Q29" s="735"/>
      <c r="R29" s="13"/>
      <c r="S29" s="735"/>
      <c r="T29" s="13"/>
      <c r="U29" s="735"/>
      <c r="V29" s="13"/>
      <c r="W29" s="735"/>
      <c r="X29" s="13"/>
      <c r="Y29" s="1232"/>
      <c r="Z29" s="735"/>
      <c r="AA29" s="1094"/>
      <c r="AB29" s="1233"/>
      <c r="AC29" s="898"/>
      <c r="AD29" s="1094"/>
      <c r="AE29" s="899"/>
      <c r="AF29" s="900"/>
      <c r="AG29" s="898"/>
      <c r="AH29" s="735"/>
      <c r="AI29" s="735"/>
      <c r="AJ29" s="1544"/>
    </row>
    <row r="30" spans="1:36" ht="14.25" customHeight="1">
      <c r="A30" s="83" t="s">
        <v>382</v>
      </c>
      <c r="B30" s="707">
        <f>ROUND(SUM(B17+B21+B24+B28),1)</f>
        <v>6172.8</v>
      </c>
      <c r="C30" s="264"/>
      <c r="D30" s="707">
        <f>ROUND(SUM(D17+D21+D24+D28),1)</f>
        <v>3059.5</v>
      </c>
      <c r="E30" s="264"/>
      <c r="F30" s="707">
        <f>ROUND(SUM(F17+F21+F24+F28),1)</f>
        <v>6600.1</v>
      </c>
      <c r="G30" s="264"/>
      <c r="H30" s="707">
        <f>ROUND(SUM(H17+H21+H24+H28),1)</f>
        <v>3412.4</v>
      </c>
      <c r="I30" s="735"/>
      <c r="J30" s="1014">
        <f>ROUND(SUM(J17+J21+J24+J28),1)</f>
        <v>0</v>
      </c>
      <c r="K30" s="735"/>
      <c r="L30" s="1014">
        <f>ROUND(SUM(L17+L21+L24+L28),1)</f>
        <v>0</v>
      </c>
      <c r="M30" s="735"/>
      <c r="N30" s="1014">
        <f>ROUND(SUM(N17+N21+N24+N28),1)</f>
        <v>0</v>
      </c>
      <c r="O30" s="735"/>
      <c r="P30" s="1014">
        <f>ROUND(SUM(P17+P21+P24+P28),1)</f>
        <v>0</v>
      </c>
      <c r="Q30" s="669"/>
      <c r="R30" s="1014">
        <f>ROUND(SUM(R17+R21+R24+R28),1)</f>
        <v>0</v>
      </c>
      <c r="S30" s="735"/>
      <c r="T30" s="1014">
        <f>ROUND(SUM(T17+T21+T24+T28),1)</f>
        <v>0</v>
      </c>
      <c r="U30" s="735"/>
      <c r="V30" s="1014">
        <f>ROUND(SUM(V17+V21+V24+V28),1)</f>
        <v>0</v>
      </c>
      <c r="W30" s="735"/>
      <c r="X30" s="1014">
        <f>ROUND(SUM(X17+X21+X24+X28),1)</f>
        <v>0</v>
      </c>
      <c r="Y30" s="1232"/>
      <c r="Z30" s="735"/>
      <c r="AA30" s="1014">
        <f>ROUND(SUM(AA17+AA21+AA24+AA28),1)</f>
        <v>19244.8</v>
      </c>
      <c r="AB30" s="1233"/>
      <c r="AC30" s="898"/>
      <c r="AD30" s="1014">
        <f>ROUND(SUM(AD17+AD21+AD24+AD28),1)</f>
        <v>17413.8</v>
      </c>
      <c r="AE30" s="899"/>
      <c r="AF30" s="900"/>
      <c r="AG30" s="1014">
        <f>ROUND(SUM(AG17+AG21+AG24+AG28),1)</f>
        <v>1831</v>
      </c>
      <c r="AH30" s="83"/>
      <c r="AI30" s="538">
        <f>ROUND(IF(AD30=0,0,AG30/ABS(AD30)),3)</f>
        <v>0.105</v>
      </c>
      <c r="AJ30" s="1544"/>
    </row>
    <row r="31" spans="1:36" ht="14.25" customHeight="1">
      <c r="A31" s="1211"/>
      <c r="B31" s="264"/>
      <c r="C31" s="264"/>
      <c r="D31" s="264"/>
      <c r="E31" s="264"/>
      <c r="F31" s="264"/>
      <c r="G31" s="264"/>
      <c r="H31" s="264"/>
      <c r="I31" s="735"/>
      <c r="J31" s="264"/>
      <c r="K31" s="735"/>
      <c r="L31" s="264"/>
      <c r="M31" s="735"/>
      <c r="N31" s="264"/>
      <c r="O31" s="735"/>
      <c r="P31" s="264"/>
      <c r="Q31" s="735"/>
      <c r="R31" s="264"/>
      <c r="S31" s="735"/>
      <c r="T31" s="264"/>
      <c r="U31" s="735"/>
      <c r="V31" s="264"/>
      <c r="W31" s="735"/>
      <c r="X31" s="264"/>
      <c r="Y31" s="1232"/>
      <c r="Z31" s="735"/>
      <c r="AA31" s="264"/>
      <c r="AB31" s="1233"/>
      <c r="AC31" s="898"/>
      <c r="AD31" s="264"/>
      <c r="AE31" s="899"/>
      <c r="AF31" s="900"/>
      <c r="AG31" s="898"/>
      <c r="AH31" s="735"/>
      <c r="AI31" s="735"/>
      <c r="AJ31" s="1544"/>
    </row>
    <row r="32" spans="1:36" ht="14.25" customHeight="1">
      <c r="A32" s="1211" t="s">
        <v>383</v>
      </c>
      <c r="B32" s="665"/>
      <c r="C32" s="553"/>
      <c r="D32" s="553"/>
      <c r="E32" s="553"/>
      <c r="F32" s="553"/>
      <c r="G32" s="553"/>
      <c r="H32" s="553"/>
      <c r="I32" s="938"/>
      <c r="J32" s="938"/>
      <c r="K32" s="938"/>
      <c r="L32" s="938"/>
      <c r="M32" s="938"/>
      <c r="N32" s="938"/>
      <c r="O32" s="938"/>
      <c r="P32" s="938"/>
      <c r="Q32" s="938"/>
      <c r="R32" s="938"/>
      <c r="S32" s="938"/>
      <c r="T32" s="938"/>
      <c r="U32" s="938"/>
      <c r="V32" s="938"/>
      <c r="W32" s="938"/>
      <c r="X32" s="938"/>
      <c r="Y32" s="1234"/>
      <c r="Z32" s="938"/>
      <c r="AA32" s="665"/>
      <c r="AB32" s="1234"/>
      <c r="AC32" s="938"/>
      <c r="AD32" s="665"/>
      <c r="AE32" s="1054"/>
      <c r="AF32" s="937"/>
      <c r="AG32" s="938"/>
      <c r="AH32" s="735"/>
      <c r="AI32" s="1055"/>
      <c r="AJ32" s="1544"/>
    </row>
    <row r="33" spans="1:36" ht="14.25" customHeight="1">
      <c r="A33" s="350" t="s">
        <v>387</v>
      </c>
      <c r="B33" s="665"/>
      <c r="C33" s="553"/>
      <c r="D33" s="553"/>
      <c r="E33" s="553"/>
      <c r="F33" s="553"/>
      <c r="G33" s="553"/>
      <c r="H33" s="553"/>
      <c r="I33" s="938"/>
      <c r="J33" s="938"/>
      <c r="K33" s="938"/>
      <c r="L33" s="938"/>
      <c r="M33" s="938"/>
      <c r="N33" s="938"/>
      <c r="O33" s="938"/>
      <c r="P33" s="938"/>
      <c r="Q33" s="938"/>
      <c r="R33" s="938"/>
      <c r="S33" s="938"/>
      <c r="T33" s="938"/>
      <c r="U33" s="938"/>
      <c r="V33" s="938"/>
      <c r="W33" s="938"/>
      <c r="X33" s="938"/>
      <c r="Y33" s="1234"/>
      <c r="Z33" s="938"/>
      <c r="AA33" s="665"/>
      <c r="AB33" s="1234"/>
      <c r="AC33" s="938"/>
      <c r="AD33" s="665"/>
      <c r="AE33" s="1054"/>
      <c r="AF33" s="937"/>
      <c r="AG33" s="938"/>
      <c r="AH33" s="735"/>
      <c r="AI33" s="1055"/>
      <c r="AJ33" s="1544"/>
    </row>
    <row r="34" spans="1:36" ht="14.25" customHeight="1">
      <c r="A34" s="350" t="s">
        <v>389</v>
      </c>
      <c r="B34" s="531">
        <v>0</v>
      </c>
      <c r="C34" s="553"/>
      <c r="D34" s="531">
        <v>0</v>
      </c>
      <c r="E34" s="553"/>
      <c r="F34" s="531">
        <v>0</v>
      </c>
      <c r="G34" s="553"/>
      <c r="H34" s="531">
        <f>$AA34-F34-D34-B34</f>
        <v>0</v>
      </c>
      <c r="I34" s="552"/>
      <c r="J34" s="531"/>
      <c r="K34" s="552"/>
      <c r="L34" s="531"/>
      <c r="M34" s="552"/>
      <c r="N34" s="531"/>
      <c r="O34" s="552"/>
      <c r="P34" s="512"/>
      <c r="Q34" s="552"/>
      <c r="R34" s="512"/>
      <c r="S34" s="552"/>
      <c r="T34" s="512"/>
      <c r="U34" s="552"/>
      <c r="V34" s="512"/>
      <c r="W34" s="552"/>
      <c r="X34" s="512"/>
      <c r="Y34" s="1232"/>
      <c r="Z34" s="735"/>
      <c r="AA34" s="531">
        <v>0</v>
      </c>
      <c r="AB34" s="264"/>
      <c r="AC34" s="524" t="s">
        <v>103</v>
      </c>
      <c r="AD34" s="531">
        <v>0</v>
      </c>
      <c r="AE34" s="1054"/>
      <c r="AF34" s="937"/>
      <c r="AG34" s="938">
        <f>ROUND(SUM(AA34-AD34),1)</f>
        <v>0</v>
      </c>
      <c r="AH34" s="735"/>
      <c r="AI34" s="266">
        <f>ROUND(IF(AD34=0,0,AG34/ABS(AD34)),3)</f>
        <v>0</v>
      </c>
      <c r="AJ34" s="1544"/>
    </row>
    <row r="35" spans="1:36" ht="14.25" customHeight="1">
      <c r="A35" s="350" t="s">
        <v>392</v>
      </c>
      <c r="B35" s="531"/>
      <c r="C35" s="553"/>
      <c r="D35" s="531"/>
      <c r="E35" s="553"/>
      <c r="F35" s="531"/>
      <c r="G35" s="553"/>
      <c r="H35" s="531"/>
      <c r="I35" s="552"/>
      <c r="J35" s="531"/>
      <c r="K35" s="552"/>
      <c r="L35" s="531"/>
      <c r="M35" s="552"/>
      <c r="N35" s="531"/>
      <c r="O35" s="552"/>
      <c r="P35" s="512"/>
      <c r="Q35" s="552"/>
      <c r="R35" s="512"/>
      <c r="S35" s="552"/>
      <c r="T35" s="512"/>
      <c r="U35" s="552"/>
      <c r="V35" s="512"/>
      <c r="W35" s="552"/>
      <c r="X35" s="512"/>
      <c r="Y35" s="1232"/>
      <c r="Z35" s="735"/>
      <c r="AA35" s="512" t="s">
        <v>103</v>
      </c>
      <c r="AB35" s="1233"/>
      <c r="AC35" s="898"/>
      <c r="AD35" s="512" t="s">
        <v>103</v>
      </c>
      <c r="AE35" s="1054"/>
      <c r="AF35" s="937"/>
      <c r="AG35" s="938"/>
      <c r="AH35" s="735"/>
      <c r="AI35" s="1055"/>
      <c r="AJ35" s="1544"/>
    </row>
    <row r="36" spans="1:36" ht="14.25" customHeight="1">
      <c r="A36" s="350" t="s">
        <v>393</v>
      </c>
      <c r="B36" s="531">
        <v>0</v>
      </c>
      <c r="C36" s="553"/>
      <c r="D36" s="531">
        <v>0</v>
      </c>
      <c r="E36" s="553"/>
      <c r="F36" s="531">
        <v>0</v>
      </c>
      <c r="G36" s="553"/>
      <c r="H36" s="531">
        <f>$AA36-F36-D36-B36</f>
        <v>0</v>
      </c>
      <c r="I36" s="552"/>
      <c r="J36" s="531"/>
      <c r="K36" s="552"/>
      <c r="L36" s="531"/>
      <c r="M36" s="552"/>
      <c r="N36" s="531"/>
      <c r="O36" s="552"/>
      <c r="P36" s="512"/>
      <c r="Q36" s="552"/>
      <c r="R36" s="512"/>
      <c r="S36" s="552"/>
      <c r="T36" s="512"/>
      <c r="U36" s="552"/>
      <c r="V36" s="512"/>
      <c r="W36" s="552"/>
      <c r="X36" s="512"/>
      <c r="Y36" s="1232"/>
      <c r="Z36" s="735"/>
      <c r="AA36" s="531">
        <v>0</v>
      </c>
      <c r="AB36" s="264"/>
      <c r="AC36" s="524" t="s">
        <v>103</v>
      </c>
      <c r="AD36" s="531">
        <v>0</v>
      </c>
      <c r="AE36" s="1054"/>
      <c r="AF36" s="937"/>
      <c r="AG36" s="938">
        <f t="shared" ref="AG36:AG46" si="0">ROUND(SUM(AA36-AD36),1)</f>
        <v>0</v>
      </c>
      <c r="AH36" s="735"/>
      <c r="AI36" s="266">
        <f t="shared" ref="AI36:AI46" si="1">ROUND(IF(AD36=0,0,AG36/ABS(AD36)),3)</f>
        <v>0</v>
      </c>
      <c r="AJ36" s="1544"/>
    </row>
    <row r="37" spans="1:36" ht="14.25" customHeight="1">
      <c r="A37" s="350" t="s">
        <v>395</v>
      </c>
      <c r="B37" s="531">
        <v>0</v>
      </c>
      <c r="C37" s="553"/>
      <c r="D37" s="531">
        <v>0</v>
      </c>
      <c r="E37" s="553"/>
      <c r="F37" s="531">
        <v>0</v>
      </c>
      <c r="G37" s="553"/>
      <c r="H37" s="531">
        <f t="shared" ref="H37:H50" si="2">$AA37-F37-D37-B37</f>
        <v>0</v>
      </c>
      <c r="I37" s="552"/>
      <c r="J37" s="531"/>
      <c r="K37" s="552"/>
      <c r="L37" s="531"/>
      <c r="M37" s="552"/>
      <c r="N37" s="531"/>
      <c r="O37" s="552"/>
      <c r="P37" s="512"/>
      <c r="Q37" s="552"/>
      <c r="R37" s="512"/>
      <c r="S37" s="552"/>
      <c r="T37" s="512"/>
      <c r="U37" s="552"/>
      <c r="V37" s="512"/>
      <c r="W37" s="552"/>
      <c r="X37" s="512"/>
      <c r="Y37" s="1232"/>
      <c r="Z37" s="735"/>
      <c r="AA37" s="531">
        <v>0</v>
      </c>
      <c r="AB37" s="264"/>
      <c r="AC37" s="524" t="s">
        <v>103</v>
      </c>
      <c r="AD37" s="531">
        <v>0</v>
      </c>
      <c r="AE37" s="1054"/>
      <c r="AF37" s="937"/>
      <c r="AG37" s="938">
        <f t="shared" si="0"/>
        <v>0</v>
      </c>
      <c r="AH37" s="735"/>
      <c r="AI37" s="266">
        <f t="shared" si="1"/>
        <v>0</v>
      </c>
      <c r="AJ37" s="1544"/>
    </row>
    <row r="38" spans="1:36" ht="14.25" customHeight="1">
      <c r="A38" s="350" t="s">
        <v>396</v>
      </c>
      <c r="B38" s="531">
        <v>0</v>
      </c>
      <c r="C38" s="553"/>
      <c r="D38" s="531">
        <v>0</v>
      </c>
      <c r="E38" s="553"/>
      <c r="F38" s="531">
        <v>0</v>
      </c>
      <c r="G38" s="553"/>
      <c r="H38" s="531">
        <f t="shared" si="2"/>
        <v>0</v>
      </c>
      <c r="I38" s="552"/>
      <c r="J38" s="531"/>
      <c r="K38" s="552"/>
      <c r="L38" s="531"/>
      <c r="M38" s="552"/>
      <c r="N38" s="531"/>
      <c r="O38" s="552"/>
      <c r="P38" s="512"/>
      <c r="Q38" s="552"/>
      <c r="R38" s="512"/>
      <c r="S38" s="552"/>
      <c r="T38" s="512"/>
      <c r="U38" s="552"/>
      <c r="V38" s="512"/>
      <c r="W38" s="552"/>
      <c r="X38" s="512"/>
      <c r="Y38" s="1232"/>
      <c r="Z38" s="735"/>
      <c r="AA38" s="531">
        <v>0</v>
      </c>
      <c r="AB38" s="264"/>
      <c r="AC38" s="524" t="s">
        <v>103</v>
      </c>
      <c r="AD38" s="531">
        <v>0</v>
      </c>
      <c r="AE38" s="1054"/>
      <c r="AF38" s="937"/>
      <c r="AG38" s="938">
        <f t="shared" si="0"/>
        <v>0</v>
      </c>
      <c r="AH38" s="735"/>
      <c r="AI38" s="266">
        <f t="shared" si="1"/>
        <v>0</v>
      </c>
      <c r="AJ38" s="1544"/>
    </row>
    <row r="39" spans="1:36" ht="14.25" customHeight="1">
      <c r="A39" s="350" t="s">
        <v>397</v>
      </c>
      <c r="B39" s="531">
        <v>0</v>
      </c>
      <c r="C39" s="553"/>
      <c r="D39" s="531">
        <v>0</v>
      </c>
      <c r="E39" s="553"/>
      <c r="F39" s="531">
        <v>0</v>
      </c>
      <c r="G39" s="553"/>
      <c r="H39" s="531">
        <f t="shared" si="2"/>
        <v>0</v>
      </c>
      <c r="I39" s="552"/>
      <c r="J39" s="531"/>
      <c r="K39" s="552"/>
      <c r="L39" s="531"/>
      <c r="M39" s="552"/>
      <c r="N39" s="531"/>
      <c r="O39" s="552"/>
      <c r="P39" s="512"/>
      <c r="Q39" s="552"/>
      <c r="R39" s="512"/>
      <c r="S39" s="552"/>
      <c r="T39" s="512"/>
      <c r="U39" s="552"/>
      <c r="V39" s="512"/>
      <c r="W39" s="552"/>
      <c r="X39" s="512"/>
      <c r="Y39" s="1232"/>
      <c r="Z39" s="735"/>
      <c r="AA39" s="531">
        <v>0</v>
      </c>
      <c r="AB39" s="264"/>
      <c r="AC39" s="524" t="s">
        <v>103</v>
      </c>
      <c r="AD39" s="531">
        <v>0</v>
      </c>
      <c r="AE39" s="1054"/>
      <c r="AF39" s="937"/>
      <c r="AG39" s="938">
        <f t="shared" si="0"/>
        <v>0</v>
      </c>
      <c r="AH39" s="735"/>
      <c r="AI39" s="266">
        <f t="shared" si="1"/>
        <v>0</v>
      </c>
      <c r="AJ39" s="1544"/>
    </row>
    <row r="40" spans="1:36" ht="14.25" customHeight="1">
      <c r="A40" s="350" t="s">
        <v>398</v>
      </c>
      <c r="B40" s="531">
        <v>0</v>
      </c>
      <c r="C40" s="553"/>
      <c r="D40" s="531">
        <v>0</v>
      </c>
      <c r="E40" s="553"/>
      <c r="F40" s="531">
        <v>0</v>
      </c>
      <c r="G40" s="553"/>
      <c r="H40" s="531">
        <f t="shared" si="2"/>
        <v>0</v>
      </c>
      <c r="I40" s="552"/>
      <c r="J40" s="531"/>
      <c r="K40" s="552"/>
      <c r="L40" s="531"/>
      <c r="M40" s="552"/>
      <c r="N40" s="531"/>
      <c r="O40" s="552"/>
      <c r="P40" s="512"/>
      <c r="Q40" s="552"/>
      <c r="R40" s="512"/>
      <c r="S40" s="552"/>
      <c r="T40" s="512"/>
      <c r="U40" s="552"/>
      <c r="V40" s="512"/>
      <c r="W40" s="552"/>
      <c r="X40" s="512"/>
      <c r="Y40" s="1232"/>
      <c r="Z40" s="735"/>
      <c r="AA40" s="531">
        <v>0</v>
      </c>
      <c r="AB40" s="264"/>
      <c r="AC40" s="524" t="s">
        <v>103</v>
      </c>
      <c r="AD40" s="531">
        <v>0</v>
      </c>
      <c r="AE40" s="1054"/>
      <c r="AF40" s="937"/>
      <c r="AG40" s="938">
        <f>ROUND(SUM(AA40-AD40),1)</f>
        <v>0</v>
      </c>
      <c r="AH40" s="735"/>
      <c r="AI40" s="266">
        <f t="shared" si="1"/>
        <v>0</v>
      </c>
      <c r="AJ40" s="1544"/>
    </row>
    <row r="41" spans="1:36" ht="14.25" customHeight="1">
      <c r="A41" s="350" t="s">
        <v>399</v>
      </c>
      <c r="B41" s="531">
        <v>0</v>
      </c>
      <c r="C41" s="553"/>
      <c r="D41" s="531">
        <v>0</v>
      </c>
      <c r="E41" s="553"/>
      <c r="F41" s="531">
        <v>0</v>
      </c>
      <c r="G41" s="553"/>
      <c r="H41" s="531">
        <f t="shared" si="2"/>
        <v>0</v>
      </c>
      <c r="I41" s="552"/>
      <c r="J41" s="531"/>
      <c r="K41" s="552"/>
      <c r="L41" s="531"/>
      <c r="M41" s="552"/>
      <c r="N41" s="531"/>
      <c r="O41" s="552"/>
      <c r="P41" s="512"/>
      <c r="Q41" s="552"/>
      <c r="R41" s="512"/>
      <c r="S41" s="552"/>
      <c r="T41" s="512"/>
      <c r="U41" s="552"/>
      <c r="V41" s="512"/>
      <c r="W41" s="552"/>
      <c r="X41" s="512"/>
      <c r="Y41" s="1232"/>
      <c r="Z41" s="735"/>
      <c r="AA41" s="531">
        <v>0</v>
      </c>
      <c r="AB41" s="264"/>
      <c r="AC41" s="524" t="s">
        <v>103</v>
      </c>
      <c r="AD41" s="531">
        <v>0</v>
      </c>
      <c r="AE41" s="1054"/>
      <c r="AF41" s="937"/>
      <c r="AG41" s="938">
        <f t="shared" si="0"/>
        <v>0</v>
      </c>
      <c r="AH41" s="735"/>
      <c r="AI41" s="266">
        <f t="shared" si="1"/>
        <v>0</v>
      </c>
      <c r="AJ41" s="1544"/>
    </row>
    <row r="42" spans="1:36" ht="14.25" customHeight="1">
      <c r="A42" s="350" t="s">
        <v>406</v>
      </c>
      <c r="B42" s="531">
        <v>0</v>
      </c>
      <c r="C42" s="553"/>
      <c r="D42" s="531">
        <v>0</v>
      </c>
      <c r="E42" s="553"/>
      <c r="F42" s="531">
        <v>0.1</v>
      </c>
      <c r="G42" s="553"/>
      <c r="H42" s="531">
        <f t="shared" si="2"/>
        <v>0</v>
      </c>
      <c r="I42" s="552"/>
      <c r="J42" s="531"/>
      <c r="K42" s="552"/>
      <c r="L42" s="531"/>
      <c r="M42" s="552"/>
      <c r="N42" s="531"/>
      <c r="O42" s="552"/>
      <c r="P42" s="512"/>
      <c r="Q42" s="552"/>
      <c r="R42" s="512"/>
      <c r="S42" s="552"/>
      <c r="T42" s="512"/>
      <c r="U42" s="552"/>
      <c r="V42" s="512"/>
      <c r="W42" s="552"/>
      <c r="X42" s="512"/>
      <c r="Y42" s="1232"/>
      <c r="Z42" s="735"/>
      <c r="AA42" s="531">
        <v>0.1</v>
      </c>
      <c r="AB42" s="1227"/>
      <c r="AC42" s="264" t="s">
        <v>103</v>
      </c>
      <c r="AD42" s="531">
        <v>0.3</v>
      </c>
      <c r="AE42" s="1054"/>
      <c r="AF42" s="937"/>
      <c r="AG42" s="938">
        <f t="shared" si="0"/>
        <v>-0.2</v>
      </c>
      <c r="AH42" s="735"/>
      <c r="AI42" s="266">
        <f>ROUND(IF(AD42=0,1,AG42/ABS(AD42)),3)</f>
        <v>-0.66700000000000004</v>
      </c>
      <c r="AJ42" s="1544"/>
    </row>
    <row r="43" spans="1:36" ht="14.25" customHeight="1">
      <c r="A43" s="350" t="s">
        <v>407</v>
      </c>
      <c r="B43" s="531">
        <v>0</v>
      </c>
      <c r="C43" s="553"/>
      <c r="D43" s="531">
        <v>0</v>
      </c>
      <c r="E43" s="553"/>
      <c r="F43" s="531">
        <v>0</v>
      </c>
      <c r="G43" s="553"/>
      <c r="H43" s="531">
        <f t="shared" si="2"/>
        <v>0</v>
      </c>
      <c r="I43" s="552"/>
      <c r="J43" s="531"/>
      <c r="K43" s="552"/>
      <c r="L43" s="531"/>
      <c r="M43" s="552"/>
      <c r="N43" s="531"/>
      <c r="O43" s="552"/>
      <c r="P43" s="512"/>
      <c r="Q43" s="552"/>
      <c r="R43" s="512"/>
      <c r="S43" s="552"/>
      <c r="T43" s="512"/>
      <c r="U43" s="552"/>
      <c r="V43" s="512"/>
      <c r="W43" s="552"/>
      <c r="X43" s="512"/>
      <c r="Y43" s="1232"/>
      <c r="Z43" s="735"/>
      <c r="AA43" s="531">
        <v>0</v>
      </c>
      <c r="AB43" s="264"/>
      <c r="AC43" s="524" t="s">
        <v>103</v>
      </c>
      <c r="AD43" s="531">
        <v>0</v>
      </c>
      <c r="AE43" s="1054"/>
      <c r="AF43" s="937"/>
      <c r="AG43" s="938">
        <f>ROUND(SUM(AA43-AD43),1)</f>
        <v>0</v>
      </c>
      <c r="AH43" s="735"/>
      <c r="AI43" s="266">
        <f>ROUND(IF(AD43=0,0,AG43/ABS(AD43)),3)</f>
        <v>0</v>
      </c>
      <c r="AJ43" s="1544"/>
    </row>
    <row r="44" spans="1:36" ht="14.25" customHeight="1">
      <c r="A44" s="350" t="s">
        <v>408</v>
      </c>
      <c r="B44" s="531"/>
      <c r="C44" s="553"/>
      <c r="D44" s="531"/>
      <c r="E44" s="553"/>
      <c r="F44" s="531"/>
      <c r="G44" s="553"/>
      <c r="H44" s="531"/>
      <c r="I44" s="552"/>
      <c r="J44" s="531"/>
      <c r="K44" s="552"/>
      <c r="L44" s="531"/>
      <c r="M44" s="552"/>
      <c r="N44" s="531"/>
      <c r="O44" s="552"/>
      <c r="P44" s="512"/>
      <c r="Q44" s="552"/>
      <c r="R44" s="512"/>
      <c r="S44" s="552"/>
      <c r="T44" s="512"/>
      <c r="U44" s="552"/>
      <c r="V44" s="512"/>
      <c r="W44" s="552"/>
      <c r="X44" s="512"/>
      <c r="Y44" s="1232"/>
      <c r="Z44" s="735"/>
      <c r="AA44" s="512" t="s">
        <v>103</v>
      </c>
      <c r="AB44" s="1233"/>
      <c r="AC44" s="898" t="s">
        <v>103</v>
      </c>
      <c r="AD44" s="512" t="s">
        <v>103</v>
      </c>
      <c r="AE44" s="1054"/>
      <c r="AF44" s="937" t="s">
        <v>103</v>
      </c>
      <c r="AG44" s="938" t="s">
        <v>103</v>
      </c>
      <c r="AH44" s="735"/>
      <c r="AI44" s="266" t="s">
        <v>103</v>
      </c>
      <c r="AJ44" s="1544"/>
    </row>
    <row r="45" spans="1:36" ht="14.25" customHeight="1">
      <c r="A45" s="350" t="s">
        <v>494</v>
      </c>
      <c r="B45" s="531">
        <v>0</v>
      </c>
      <c r="C45" s="553"/>
      <c r="D45" s="531">
        <v>0</v>
      </c>
      <c r="E45" s="553"/>
      <c r="F45" s="531">
        <v>0</v>
      </c>
      <c r="G45" s="553"/>
      <c r="H45" s="531">
        <f t="shared" si="2"/>
        <v>0</v>
      </c>
      <c r="I45" s="552"/>
      <c r="J45" s="531"/>
      <c r="K45" s="552"/>
      <c r="L45" s="531"/>
      <c r="M45" s="552"/>
      <c r="N45" s="531"/>
      <c r="O45" s="552"/>
      <c r="P45" s="512"/>
      <c r="Q45" s="552"/>
      <c r="R45" s="512"/>
      <c r="S45" s="552"/>
      <c r="T45" s="512"/>
      <c r="U45" s="552"/>
      <c r="V45" s="512"/>
      <c r="W45" s="552"/>
      <c r="X45" s="512"/>
      <c r="Y45" s="1232"/>
      <c r="Z45" s="735"/>
      <c r="AA45" s="531">
        <v>0</v>
      </c>
      <c r="AB45" s="264"/>
      <c r="AC45" s="524"/>
      <c r="AD45" s="531">
        <v>0</v>
      </c>
      <c r="AE45" s="1054"/>
      <c r="AF45" s="937"/>
      <c r="AG45" s="938">
        <f>ROUND(SUM(AA45-AD45),1)</f>
        <v>0</v>
      </c>
      <c r="AH45" s="735"/>
      <c r="AI45" s="266">
        <f>ROUND(IF(AD45=0,0,AG45/ABS(AD45)),3)</f>
        <v>0</v>
      </c>
      <c r="AJ45" s="1544"/>
    </row>
    <row r="46" spans="1:36" ht="14.25" customHeight="1">
      <c r="A46" s="350" t="s">
        <v>413</v>
      </c>
      <c r="B46" s="531">
        <v>0</v>
      </c>
      <c r="C46" s="553"/>
      <c r="D46" s="531">
        <v>0</v>
      </c>
      <c r="E46" s="553"/>
      <c r="F46" s="531">
        <v>0</v>
      </c>
      <c r="G46" s="553"/>
      <c r="H46" s="531">
        <f t="shared" si="2"/>
        <v>0</v>
      </c>
      <c r="I46" s="552"/>
      <c r="J46" s="531"/>
      <c r="K46" s="552"/>
      <c r="L46" s="531"/>
      <c r="M46" s="552"/>
      <c r="N46" s="531"/>
      <c r="O46" s="552"/>
      <c r="P46" s="512"/>
      <c r="Q46" s="552"/>
      <c r="R46" s="512"/>
      <c r="S46" s="552"/>
      <c r="T46" s="512"/>
      <c r="U46" s="552"/>
      <c r="V46" s="512"/>
      <c r="W46" s="552"/>
      <c r="X46" s="512"/>
      <c r="Y46" s="1232"/>
      <c r="Z46" s="735"/>
      <c r="AA46" s="531">
        <v>0</v>
      </c>
      <c r="AB46" s="264"/>
      <c r="AC46" s="524" t="s">
        <v>103</v>
      </c>
      <c r="AD46" s="531">
        <v>0</v>
      </c>
      <c r="AE46" s="1054"/>
      <c r="AF46" s="937"/>
      <c r="AG46" s="938">
        <f t="shared" si="0"/>
        <v>0</v>
      </c>
      <c r="AH46" s="735"/>
      <c r="AI46" s="266">
        <f t="shared" si="1"/>
        <v>0</v>
      </c>
      <c r="AJ46" s="1544"/>
    </row>
    <row r="47" spans="1:36" ht="14.25" customHeight="1">
      <c r="A47" s="350" t="s">
        <v>414</v>
      </c>
      <c r="B47" s="531"/>
      <c r="C47" s="553"/>
      <c r="D47" s="531"/>
      <c r="E47" s="553"/>
      <c r="F47" s="531"/>
      <c r="G47" s="553"/>
      <c r="H47" s="531"/>
      <c r="I47" s="552"/>
      <c r="J47" s="531"/>
      <c r="K47" s="552"/>
      <c r="L47" s="531"/>
      <c r="M47" s="552"/>
      <c r="N47" s="531"/>
      <c r="O47" s="552"/>
      <c r="P47" s="512"/>
      <c r="Q47" s="552"/>
      <c r="R47" s="512"/>
      <c r="S47" s="552"/>
      <c r="T47" s="512"/>
      <c r="U47" s="552"/>
      <c r="V47" s="512"/>
      <c r="W47" s="552"/>
      <c r="X47" s="512"/>
      <c r="Y47" s="1232"/>
      <c r="Z47" s="735"/>
      <c r="AA47" s="512" t="s">
        <v>103</v>
      </c>
      <c r="AB47" s="1233"/>
      <c r="AC47" s="898"/>
      <c r="AD47" s="512" t="s">
        <v>103</v>
      </c>
      <c r="AE47" s="1054"/>
      <c r="AF47" s="937"/>
      <c r="AG47" s="938"/>
      <c r="AH47" s="735"/>
      <c r="AI47" s="1055"/>
      <c r="AJ47" s="1544"/>
    </row>
    <row r="48" spans="1:36" ht="14.25" customHeight="1">
      <c r="A48" s="350" t="s">
        <v>542</v>
      </c>
      <c r="B48" s="531">
        <v>83.5</v>
      </c>
      <c r="C48" s="553"/>
      <c r="D48" s="531">
        <v>52.400000000000006</v>
      </c>
      <c r="E48" s="553"/>
      <c r="F48" s="531">
        <v>52.900000000000006</v>
      </c>
      <c r="G48" s="553"/>
      <c r="H48" s="531">
        <f t="shared" si="2"/>
        <v>69.199999999999989</v>
      </c>
      <c r="I48" s="552"/>
      <c r="J48" s="531"/>
      <c r="K48" s="552"/>
      <c r="L48" s="531"/>
      <c r="M48" s="552"/>
      <c r="N48" s="531"/>
      <c r="O48" s="552"/>
      <c r="P48" s="512"/>
      <c r="Q48" s="552"/>
      <c r="R48" s="512"/>
      <c r="S48" s="552"/>
      <c r="T48" s="512"/>
      <c r="U48" s="552"/>
      <c r="V48" s="512"/>
      <c r="W48" s="552"/>
      <c r="X48" s="512"/>
      <c r="Y48" s="1232"/>
      <c r="Z48" s="735"/>
      <c r="AA48" s="531">
        <v>258</v>
      </c>
      <c r="AB48" s="264"/>
      <c r="AC48" s="524" t="s">
        <v>103</v>
      </c>
      <c r="AD48" s="531">
        <v>239.2</v>
      </c>
      <c r="AE48" s="1054"/>
      <c r="AF48" s="937"/>
      <c r="AG48" s="938">
        <f>ROUND(SUM(AA48-AD48),1)</f>
        <v>18.8</v>
      </c>
      <c r="AH48" s="735"/>
      <c r="AI48" s="542">
        <f>ROUND(IF(AD48=0,0,AG48/ABS(AD48)),3)</f>
        <v>7.9000000000000001E-2</v>
      </c>
      <c r="AJ48" s="1544"/>
    </row>
    <row r="49" spans="1:36" ht="14.25" customHeight="1">
      <c r="A49" s="350" t="s">
        <v>423</v>
      </c>
      <c r="B49" s="531">
        <v>0</v>
      </c>
      <c r="C49" s="553"/>
      <c r="D49" s="531">
        <v>0</v>
      </c>
      <c r="E49" s="553"/>
      <c r="F49" s="531">
        <v>0</v>
      </c>
      <c r="G49" s="553"/>
      <c r="H49" s="531">
        <f t="shared" si="2"/>
        <v>0</v>
      </c>
      <c r="I49" s="552"/>
      <c r="J49" s="531"/>
      <c r="K49" s="552"/>
      <c r="L49" s="531"/>
      <c r="M49" s="552"/>
      <c r="N49" s="531"/>
      <c r="O49" s="552"/>
      <c r="P49" s="512"/>
      <c r="Q49" s="552"/>
      <c r="R49" s="512"/>
      <c r="S49" s="552"/>
      <c r="T49" s="512"/>
      <c r="U49" s="552"/>
      <c r="V49" s="512"/>
      <c r="W49" s="552"/>
      <c r="X49" s="512"/>
      <c r="Y49" s="1232"/>
      <c r="Z49" s="735"/>
      <c r="AA49" s="531">
        <v>0</v>
      </c>
      <c r="AB49" s="264"/>
      <c r="AC49" s="524" t="s">
        <v>103</v>
      </c>
      <c r="AD49" s="531">
        <v>0</v>
      </c>
      <c r="AE49" s="1054"/>
      <c r="AF49" s="937"/>
      <c r="AG49" s="938">
        <f>ROUND(SUM(AA49-AD49),1)</f>
        <v>0</v>
      </c>
      <c r="AH49" s="735"/>
      <c r="AI49" s="266">
        <f>ROUND(IF(AD49=0,0,AG49/ABS(AD49)),3)</f>
        <v>0</v>
      </c>
      <c r="AJ49" s="1544"/>
    </row>
    <row r="50" spans="1:36" ht="14.25" customHeight="1">
      <c r="A50" s="350" t="s">
        <v>424</v>
      </c>
      <c r="B50" s="531">
        <v>0</v>
      </c>
      <c r="C50" s="553"/>
      <c r="D50" s="531">
        <v>0</v>
      </c>
      <c r="E50" s="553"/>
      <c r="F50" s="531">
        <v>0</v>
      </c>
      <c r="G50" s="553"/>
      <c r="H50" s="531">
        <f t="shared" si="2"/>
        <v>0</v>
      </c>
      <c r="I50" s="552"/>
      <c r="J50" s="531"/>
      <c r="K50" s="552"/>
      <c r="L50" s="531"/>
      <c r="M50" s="552"/>
      <c r="N50" s="531"/>
      <c r="O50" s="552"/>
      <c r="P50" s="512"/>
      <c r="Q50" s="552"/>
      <c r="R50" s="512"/>
      <c r="S50" s="552"/>
      <c r="T50" s="512"/>
      <c r="U50" s="552"/>
      <c r="V50" s="512"/>
      <c r="W50" s="552"/>
      <c r="X50" s="512"/>
      <c r="Y50" s="1232"/>
      <c r="Z50" s="735"/>
      <c r="AA50" s="531">
        <v>0</v>
      </c>
      <c r="AB50" s="264"/>
      <c r="AC50" s="524" t="s">
        <v>103</v>
      </c>
      <c r="AD50" s="531">
        <v>0</v>
      </c>
      <c r="AE50" s="1054"/>
      <c r="AF50" s="937"/>
      <c r="AG50" s="938">
        <f>ROUND(SUM(AA50-AD50),1)</f>
        <v>0</v>
      </c>
      <c r="AH50" s="735"/>
      <c r="AI50" s="266">
        <f>ROUND(IF(AD50=0,0,AG50/ABS(AD50)),3)</f>
        <v>0</v>
      </c>
      <c r="AJ50" s="1544"/>
    </row>
    <row r="51" spans="1:36" s="734" customFormat="1" ht="15.5">
      <c r="A51" s="83" t="s">
        <v>426</v>
      </c>
      <c r="B51" s="68">
        <f>ROUND(SUM(B34:B50),1)</f>
        <v>83.5</v>
      </c>
      <c r="C51" s="732"/>
      <c r="D51" s="68">
        <f>ROUND(SUM(D34:D50),1)</f>
        <v>52.4</v>
      </c>
      <c r="E51" s="732"/>
      <c r="F51" s="68">
        <f>ROUND(SUM(F34:F50),1)</f>
        <v>53</v>
      </c>
      <c r="G51" s="732"/>
      <c r="H51" s="68">
        <f>ROUND(SUM(H34:H50),1)</f>
        <v>69.2</v>
      </c>
      <c r="I51" s="413"/>
      <c r="J51" s="68">
        <f>ROUND(SUM(J34:J50),1)</f>
        <v>0</v>
      </c>
      <c r="K51" s="413"/>
      <c r="L51" s="68">
        <f>ROUND(SUM(L34:L50),1)</f>
        <v>0</v>
      </c>
      <c r="M51" s="413"/>
      <c r="N51" s="68">
        <f>ROUND(SUM(N34:N50),1)</f>
        <v>0</v>
      </c>
      <c r="O51" s="413"/>
      <c r="P51" s="68">
        <f>ROUND(SUM(P34:P50),1)</f>
        <v>0</v>
      </c>
      <c r="Q51" s="13"/>
      <c r="R51" s="68">
        <f>ROUND(SUM(R34:R50),1)</f>
        <v>0</v>
      </c>
      <c r="S51" s="413"/>
      <c r="T51" s="68">
        <f>ROUND(SUM(T34:T50),1)</f>
        <v>0</v>
      </c>
      <c r="U51" s="413"/>
      <c r="V51" s="68">
        <f>ROUND(SUM(V34:V50),1)</f>
        <v>0</v>
      </c>
      <c r="W51" s="413"/>
      <c r="X51" s="68">
        <f>ROUND(SUM(X34:X50),1)</f>
        <v>0</v>
      </c>
      <c r="Y51" s="1235"/>
      <c r="Z51" s="413"/>
      <c r="AA51" s="68">
        <f>ROUND(SUM(AA34:AA50),1)</f>
        <v>258.10000000000002</v>
      </c>
      <c r="AB51" s="1235"/>
      <c r="AC51" s="413"/>
      <c r="AD51" s="68">
        <f>ROUND(SUM(AD34:AD50),1)</f>
        <v>239.5</v>
      </c>
      <c r="AE51" s="1812"/>
      <c r="AF51" s="733"/>
      <c r="AG51" s="68">
        <f>ROUND(SUM(AG34:AG50),1)</f>
        <v>18.600000000000001</v>
      </c>
      <c r="AH51" s="83"/>
      <c r="AI51" s="1095">
        <f>ROUND(IF(AD51=0,0,AG51/ABS(AD51)),3)</f>
        <v>7.8E-2</v>
      </c>
      <c r="AJ51" s="1544"/>
    </row>
    <row r="52" spans="1:36" s="734" customFormat="1" ht="14.25" customHeight="1">
      <c r="A52" s="83"/>
      <c r="B52" s="13"/>
      <c r="C52" s="732"/>
      <c r="D52" s="13"/>
      <c r="E52" s="732"/>
      <c r="F52" s="13"/>
      <c r="G52" s="732"/>
      <c r="H52" s="13"/>
      <c r="I52" s="413"/>
      <c r="J52" s="13"/>
      <c r="K52" s="413"/>
      <c r="L52" s="13"/>
      <c r="M52" s="413"/>
      <c r="N52" s="13"/>
      <c r="O52" s="413"/>
      <c r="P52" s="13"/>
      <c r="Q52" s="413"/>
      <c r="R52" s="13"/>
      <c r="S52" s="413"/>
      <c r="T52" s="13"/>
      <c r="U52" s="413"/>
      <c r="V52" s="13"/>
      <c r="W52" s="413"/>
      <c r="X52" s="13"/>
      <c r="Y52" s="1235"/>
      <c r="Z52" s="413"/>
      <c r="AA52" s="13"/>
      <c r="AB52" s="1235"/>
      <c r="AC52" s="413"/>
      <c r="AD52" s="13"/>
      <c r="AE52" s="1812"/>
      <c r="AF52" s="733"/>
      <c r="AG52" s="413"/>
      <c r="AH52" s="83"/>
      <c r="AI52" s="731"/>
      <c r="AJ52" s="1544"/>
    </row>
    <row r="53" spans="1:36" ht="15.5">
      <c r="A53" s="735" t="s">
        <v>543</v>
      </c>
      <c r="B53" s="531">
        <v>27.1</v>
      </c>
      <c r="C53" s="553"/>
      <c r="D53" s="531">
        <v>0</v>
      </c>
      <c r="E53" s="553"/>
      <c r="F53" s="531">
        <v>0</v>
      </c>
      <c r="G53" s="553"/>
      <c r="H53" s="531">
        <f>$AA53-F53-D53-B53</f>
        <v>0.59999999999999787</v>
      </c>
      <c r="I53" s="938"/>
      <c r="J53" s="531"/>
      <c r="K53" s="938"/>
      <c r="L53" s="531"/>
      <c r="M53" s="938"/>
      <c r="N53" s="531"/>
      <c r="O53" s="938"/>
      <c r="P53" s="512"/>
      <c r="Q53" s="938"/>
      <c r="R53" s="512"/>
      <c r="S53" s="938"/>
      <c r="T53" s="512"/>
      <c r="U53" s="938"/>
      <c r="V53" s="512"/>
      <c r="W53" s="938"/>
      <c r="X53" s="512"/>
      <c r="Y53" s="1234"/>
      <c r="Z53" s="938"/>
      <c r="AA53" s="981">
        <v>27.7</v>
      </c>
      <c r="AB53" s="264"/>
      <c r="AC53" s="524" t="s">
        <v>103</v>
      </c>
      <c r="AD53" s="981">
        <v>30</v>
      </c>
      <c r="AE53" s="1054"/>
      <c r="AF53" s="937"/>
      <c r="AG53" s="1056">
        <f>ROUND(SUM(AA53-AD53),1)</f>
        <v>-2.2999999999999998</v>
      </c>
      <c r="AH53" s="735"/>
      <c r="AI53" s="533">
        <f>ROUND(IF(AD53=0,1,AG53/ABS(AD53)),3)</f>
        <v>-7.6999999999999999E-2</v>
      </c>
      <c r="AJ53" s="1544"/>
    </row>
    <row r="54" spans="1:36" ht="12" customHeight="1">
      <c r="A54" s="735"/>
      <c r="B54" s="1096"/>
      <c r="C54" s="553"/>
      <c r="D54" s="1096"/>
      <c r="E54" s="553"/>
      <c r="F54" s="1096"/>
      <c r="G54" s="553"/>
      <c r="H54" s="1096"/>
      <c r="I54" s="938"/>
      <c r="J54" s="1097"/>
      <c r="K54" s="938"/>
      <c r="L54" s="1097"/>
      <c r="M54" s="938"/>
      <c r="N54" s="1097"/>
      <c r="O54" s="938"/>
      <c r="P54" s="1097"/>
      <c r="Q54" s="938"/>
      <c r="R54" s="1097"/>
      <c r="S54" s="938"/>
      <c r="T54" s="1097"/>
      <c r="U54" s="938"/>
      <c r="V54" s="1097"/>
      <c r="W54" s="938"/>
      <c r="X54" s="1097"/>
      <c r="Y54" s="1234"/>
      <c r="Z54" s="938"/>
      <c r="AA54" s="553"/>
      <c r="AB54" s="1234"/>
      <c r="AC54" s="938"/>
      <c r="AD54" s="553"/>
      <c r="AE54" s="1054"/>
      <c r="AF54" s="937"/>
      <c r="AG54" s="938"/>
      <c r="AH54" s="735"/>
      <c r="AI54" s="735"/>
      <c r="AJ54" s="1544"/>
    </row>
    <row r="55" spans="1:36" ht="14.25" customHeight="1">
      <c r="A55" s="83" t="s">
        <v>544</v>
      </c>
      <c r="B55" s="608">
        <f>B30+B51+B53</f>
        <v>6283.4000000000005</v>
      </c>
      <c r="C55" s="732"/>
      <c r="D55" s="608">
        <f>D30+D51+D53</f>
        <v>3111.9</v>
      </c>
      <c r="E55" s="736"/>
      <c r="F55" s="608">
        <f>F30+F51+F53</f>
        <v>6653.1</v>
      </c>
      <c r="G55" s="736"/>
      <c r="H55" s="608">
        <f>H30+H51+H53</f>
        <v>3482.2</v>
      </c>
      <c r="I55" s="737"/>
      <c r="J55" s="1057">
        <f>J30+J51+J53</f>
        <v>0</v>
      </c>
      <c r="K55" s="737"/>
      <c r="L55" s="1057">
        <f>L30+L51+L53</f>
        <v>0</v>
      </c>
      <c r="M55" s="737"/>
      <c r="N55" s="1057">
        <f>N30+N51+N53</f>
        <v>0</v>
      </c>
      <c r="O55" s="737"/>
      <c r="P55" s="1057">
        <f>P30+P51+P53</f>
        <v>0</v>
      </c>
      <c r="Q55" s="413"/>
      <c r="R55" s="1057">
        <f>R30+R51+R53</f>
        <v>0</v>
      </c>
      <c r="S55" s="737"/>
      <c r="T55" s="1057">
        <f>T30+T51+T53</f>
        <v>0</v>
      </c>
      <c r="U55" s="737"/>
      <c r="V55" s="1057">
        <f>V30+V51+V53</f>
        <v>0</v>
      </c>
      <c r="W55" s="737"/>
      <c r="X55" s="1057">
        <f>X30+X51+X53</f>
        <v>0</v>
      </c>
      <c r="Y55" s="1235"/>
      <c r="Z55" s="413"/>
      <c r="AA55" s="1057">
        <f>AA30+AA51+AA53</f>
        <v>19530.599999999999</v>
      </c>
      <c r="AB55" s="1235"/>
      <c r="AC55" s="413"/>
      <c r="AD55" s="1057">
        <f>AD30+AD51+AD53</f>
        <v>17683.3</v>
      </c>
      <c r="AE55" s="1812"/>
      <c r="AF55" s="733"/>
      <c r="AG55" s="1057">
        <f>ROUND(SUM(AG30+AG51+AG53),1)</f>
        <v>1847.3</v>
      </c>
      <c r="AH55" s="83"/>
      <c r="AI55" s="538">
        <f>ROUND(IF(AD55=0,0,AG55/ABS(AD55)),3)</f>
        <v>0.104</v>
      </c>
      <c r="AJ55" s="1520"/>
    </row>
    <row r="56" spans="1:36" ht="19.5" customHeight="1">
      <c r="A56" s="735"/>
      <c r="B56" s="553"/>
      <c r="C56" s="553"/>
      <c r="D56" s="553"/>
      <c r="E56" s="553"/>
      <c r="F56" s="553"/>
      <c r="G56" s="553"/>
      <c r="H56" s="553"/>
      <c r="I56" s="938"/>
      <c r="J56" s="938"/>
      <c r="K56" s="938"/>
      <c r="L56" s="938"/>
      <c r="M56" s="938"/>
      <c r="N56" s="938"/>
      <c r="O56" s="938"/>
      <c r="P56" s="938"/>
      <c r="Q56" s="938"/>
      <c r="R56" s="938"/>
      <c r="S56" s="938"/>
      <c r="T56" s="938"/>
      <c r="U56" s="938"/>
      <c r="V56" s="938"/>
      <c r="W56" s="938"/>
      <c r="X56" s="938"/>
      <c r="Y56" s="1234"/>
      <c r="Z56" s="938"/>
      <c r="AA56" s="553"/>
      <c r="AB56" s="1234"/>
      <c r="AC56" s="938"/>
      <c r="AD56" s="553"/>
      <c r="AE56" s="1054"/>
      <c r="AF56" s="937"/>
      <c r="AG56" s="938"/>
      <c r="AH56" s="735"/>
      <c r="AI56" s="735"/>
      <c r="AJ56" s="1544"/>
    </row>
    <row r="57" spans="1:36" ht="15.5">
      <c r="A57" s="738" t="s">
        <v>545</v>
      </c>
      <c r="B57" s="553"/>
      <c r="C57" s="553"/>
      <c r="D57" s="553"/>
      <c r="E57" s="553"/>
      <c r="F57" s="553"/>
      <c r="G57" s="553"/>
      <c r="H57" s="553"/>
      <c r="I57" s="938"/>
      <c r="J57" s="938"/>
      <c r="K57" s="938"/>
      <c r="L57" s="938"/>
      <c r="M57" s="938"/>
      <c r="N57" s="938"/>
      <c r="O57" s="938"/>
      <c r="P57" s="938"/>
      <c r="Q57" s="938"/>
      <c r="R57" s="938"/>
      <c r="S57" s="938"/>
      <c r="T57" s="938"/>
      <c r="U57" s="938"/>
      <c r="V57" s="938"/>
      <c r="W57" s="938"/>
      <c r="X57" s="938"/>
      <c r="Y57" s="1234"/>
      <c r="Z57" s="938"/>
      <c r="AA57" s="553"/>
      <c r="AB57" s="1234"/>
      <c r="AC57" s="938"/>
      <c r="AD57" s="553"/>
      <c r="AE57" s="1054"/>
      <c r="AF57" s="937"/>
      <c r="AG57" s="938"/>
      <c r="AH57" s="735"/>
      <c r="AI57" s="735"/>
      <c r="AJ57" s="1544"/>
    </row>
    <row r="58" spans="1:36" ht="14.25" customHeight="1">
      <c r="A58" s="739" t="s">
        <v>453</v>
      </c>
      <c r="B58" s="553"/>
      <c r="C58" s="553"/>
      <c r="D58" s="553"/>
      <c r="E58" s="553"/>
      <c r="F58" s="553"/>
      <c r="G58" s="553"/>
      <c r="H58" s="553"/>
      <c r="I58" s="938"/>
      <c r="J58" s="938"/>
      <c r="K58" s="938"/>
      <c r="L58" s="938"/>
      <c r="M58" s="938"/>
      <c r="N58" s="938"/>
      <c r="O58" s="938"/>
      <c r="P58" s="938"/>
      <c r="Q58" s="938"/>
      <c r="R58" s="938"/>
      <c r="S58" s="938"/>
      <c r="T58" s="938"/>
      <c r="U58" s="938"/>
      <c r="V58" s="938"/>
      <c r="W58" s="938"/>
      <c r="X58" s="938"/>
      <c r="Y58" s="1234"/>
      <c r="Z58" s="938"/>
      <c r="AA58" s="553"/>
      <c r="AB58" s="1234"/>
      <c r="AC58" s="938"/>
      <c r="AD58" s="553"/>
      <c r="AE58" s="1054"/>
      <c r="AF58" s="937"/>
      <c r="AG58" s="938"/>
      <c r="AH58" s="735"/>
      <c r="AI58" s="735"/>
      <c r="AJ58" s="1544"/>
    </row>
    <row r="59" spans="1:36" ht="14.25" customHeight="1">
      <c r="A59" s="739" t="s">
        <v>137</v>
      </c>
      <c r="B59" s="531">
        <v>0.1</v>
      </c>
      <c r="C59" s="553"/>
      <c r="D59" s="531">
        <v>1.2999999999999998</v>
      </c>
      <c r="E59" s="1125"/>
      <c r="F59" s="531">
        <v>0</v>
      </c>
      <c r="G59" s="553"/>
      <c r="H59" s="531">
        <f>$AA59-F59-D59-B59</f>
        <v>7.7</v>
      </c>
      <c r="I59" s="938"/>
      <c r="J59" s="531"/>
      <c r="K59" s="938"/>
      <c r="L59" s="531"/>
      <c r="M59" s="938"/>
      <c r="N59" s="531"/>
      <c r="O59" s="938"/>
      <c r="P59" s="512"/>
      <c r="Q59" s="938"/>
      <c r="R59" s="512"/>
      <c r="S59" s="938"/>
      <c r="T59" s="512"/>
      <c r="U59" s="938"/>
      <c r="V59" s="512"/>
      <c r="W59" s="938"/>
      <c r="X59" s="512"/>
      <c r="Y59" s="1234"/>
      <c r="Z59" s="938"/>
      <c r="AA59" s="531">
        <v>9.1</v>
      </c>
      <c r="AB59" s="264"/>
      <c r="AC59" s="524" t="s">
        <v>103</v>
      </c>
      <c r="AD59" s="531">
        <v>15.7</v>
      </c>
      <c r="AE59" s="1054"/>
      <c r="AF59" s="937"/>
      <c r="AG59" s="938">
        <f>ROUND(SUM(AA59-AD59),1)</f>
        <v>-6.6</v>
      </c>
      <c r="AH59" s="735"/>
      <c r="AI59" s="542">
        <f>ROUND(IF(AD59=0,1,AG59/ABS(AD59)),3)</f>
        <v>-0.42</v>
      </c>
      <c r="AJ59" s="1544"/>
    </row>
    <row r="60" spans="1:36" ht="14.25" customHeight="1">
      <c r="A60" s="739" t="s">
        <v>512</v>
      </c>
      <c r="B60" s="531"/>
      <c r="C60" s="553"/>
      <c r="D60" s="531"/>
      <c r="E60" s="553"/>
      <c r="F60" s="512"/>
      <c r="G60" s="553"/>
      <c r="H60" s="531"/>
      <c r="I60" s="938"/>
      <c r="J60" s="531"/>
      <c r="K60" s="938"/>
      <c r="L60" s="531"/>
      <c r="M60" s="938"/>
      <c r="N60" s="531"/>
      <c r="O60" s="938"/>
      <c r="P60" s="512"/>
      <c r="Q60" s="938"/>
      <c r="R60" s="512"/>
      <c r="S60" s="938"/>
      <c r="T60" s="512"/>
      <c r="U60" s="938"/>
      <c r="V60" s="512"/>
      <c r="W60" s="938"/>
      <c r="X60" s="512"/>
      <c r="Y60" s="1234"/>
      <c r="Z60" s="938"/>
      <c r="AA60" s="553" t="s">
        <v>230</v>
      </c>
      <c r="AB60" s="1234"/>
      <c r="AC60" s="938"/>
      <c r="AD60" s="553" t="s">
        <v>230</v>
      </c>
      <c r="AE60" s="1054"/>
      <c r="AF60" s="937"/>
      <c r="AG60" s="938"/>
      <c r="AH60" s="735"/>
      <c r="AI60" s="735"/>
      <c r="AJ60" s="1544"/>
    </row>
    <row r="61" spans="1:36" ht="14.25" customHeight="1">
      <c r="A61" s="740" t="s">
        <v>1426</v>
      </c>
      <c r="B61" s="531">
        <v>1.5</v>
      </c>
      <c r="C61" s="553"/>
      <c r="D61" s="531">
        <v>6</v>
      </c>
      <c r="E61" s="553"/>
      <c r="F61" s="531">
        <v>7.5</v>
      </c>
      <c r="G61" s="553"/>
      <c r="H61" s="531">
        <f t="shared" ref="H61" si="3">$AA61-F61-D61-B61</f>
        <v>0</v>
      </c>
      <c r="I61" s="938"/>
      <c r="J61" s="531"/>
      <c r="K61" s="938"/>
      <c r="L61" s="531"/>
      <c r="M61" s="938"/>
      <c r="N61" s="531"/>
      <c r="O61" s="938"/>
      <c r="P61" s="512"/>
      <c r="Q61" s="938"/>
      <c r="R61" s="512"/>
      <c r="S61" s="938"/>
      <c r="T61" s="512"/>
      <c r="U61" s="938"/>
      <c r="V61" s="512"/>
      <c r="W61" s="938"/>
      <c r="X61" s="512"/>
      <c r="Y61" s="1234"/>
      <c r="Z61" s="938"/>
      <c r="AA61" s="981">
        <v>15</v>
      </c>
      <c r="AB61" s="264"/>
      <c r="AC61" s="524" t="s">
        <v>103</v>
      </c>
      <c r="AD61" s="981">
        <v>27.7</v>
      </c>
      <c r="AE61" s="1054"/>
      <c r="AF61" s="937"/>
      <c r="AG61" s="1058">
        <f>ROUND(SUM(AA61-AD61),1)</f>
        <v>-12.7</v>
      </c>
      <c r="AH61" s="735"/>
      <c r="AI61" s="533">
        <f>ROUND(IF(AD61=0,0,AG61/ABS(AD61)),3)</f>
        <v>-0.45800000000000002</v>
      </c>
      <c r="AJ61" s="1544"/>
    </row>
    <row r="62" spans="1:36" ht="15.5">
      <c r="A62" s="735"/>
      <c r="B62" s="1096"/>
      <c r="C62" s="553"/>
      <c r="D62" s="1096"/>
      <c r="E62" s="553"/>
      <c r="F62" s="1096"/>
      <c r="G62" s="553"/>
      <c r="H62" s="1096"/>
      <c r="I62" s="938"/>
      <c r="J62" s="1097"/>
      <c r="K62" s="938"/>
      <c r="L62" s="1097"/>
      <c r="M62" s="938"/>
      <c r="N62" s="1097"/>
      <c r="O62" s="938"/>
      <c r="P62" s="1097"/>
      <c r="Q62" s="938"/>
      <c r="R62" s="1097"/>
      <c r="S62" s="938"/>
      <c r="T62" s="1097"/>
      <c r="U62" s="938"/>
      <c r="V62" s="1097"/>
      <c r="W62" s="938"/>
      <c r="X62" s="1097"/>
      <c r="Y62" s="1234"/>
      <c r="Z62" s="938"/>
      <c r="AA62" s="553"/>
      <c r="AB62" s="1234"/>
      <c r="AC62" s="938"/>
      <c r="AD62" s="553"/>
      <c r="AE62" s="1054"/>
      <c r="AF62" s="937"/>
      <c r="AG62" s="938"/>
      <c r="AH62" s="735"/>
      <c r="AI62" s="735"/>
      <c r="AJ62" s="1544"/>
    </row>
    <row r="63" spans="1:36" ht="14.25" customHeight="1">
      <c r="A63" s="738" t="s">
        <v>546</v>
      </c>
      <c r="B63" s="608">
        <f>ROUND(SUM(B59:B61),1)</f>
        <v>1.6</v>
      </c>
      <c r="C63" s="732"/>
      <c r="D63" s="608">
        <f>ROUND(SUM(D59:D61),1)</f>
        <v>7.3</v>
      </c>
      <c r="E63" s="736"/>
      <c r="F63" s="608">
        <f>ROUND(SUM(F59:F61),1)</f>
        <v>7.5</v>
      </c>
      <c r="G63" s="736"/>
      <c r="H63" s="608">
        <f>ROUND(SUM(H59:H61),1)</f>
        <v>7.7</v>
      </c>
      <c r="I63" s="737"/>
      <c r="J63" s="1057">
        <f>ROUND(SUM(J59:J61),1)</f>
        <v>0</v>
      </c>
      <c r="K63" s="737"/>
      <c r="L63" s="1057">
        <f>ROUND(SUM(L59:L61),1)</f>
        <v>0</v>
      </c>
      <c r="M63" s="737"/>
      <c r="N63" s="1057">
        <f>ROUND(SUM(N59:N61),1)</f>
        <v>0</v>
      </c>
      <c r="O63" s="737"/>
      <c r="P63" s="1057">
        <f>ROUND(SUM(P59:P61),1)</f>
        <v>0</v>
      </c>
      <c r="Q63" s="413"/>
      <c r="R63" s="1057">
        <f>ROUND(SUM(R59:R61),1)</f>
        <v>0</v>
      </c>
      <c r="S63" s="737"/>
      <c r="T63" s="1057">
        <f>ROUND(SUM(T59:T61),1)</f>
        <v>0</v>
      </c>
      <c r="U63" s="737"/>
      <c r="V63" s="1057">
        <f>ROUND(SUM(V59:V61),1)</f>
        <v>0</v>
      </c>
      <c r="W63" s="737"/>
      <c r="X63" s="1057">
        <f>ROUND(SUM(X59:X61),1)</f>
        <v>0</v>
      </c>
      <c r="Y63" s="1235"/>
      <c r="Z63" s="413"/>
      <c r="AA63" s="1057">
        <f>ROUND(SUM(AA59:AA61),1)</f>
        <v>24.1</v>
      </c>
      <c r="AB63" s="1235"/>
      <c r="AC63" s="413"/>
      <c r="AD63" s="1057">
        <f>ROUND(SUM(AD59:AD61),1)</f>
        <v>43.4</v>
      </c>
      <c r="AE63" s="1812"/>
      <c r="AF63" s="733"/>
      <c r="AG63" s="1057">
        <f>ROUND(SUM(AG59:AG61),1)</f>
        <v>-19.3</v>
      </c>
      <c r="AH63" s="83"/>
      <c r="AI63" s="538">
        <f>ROUND(IF(AD63=0,0,AG63/ABS(AD63)),3)</f>
        <v>-0.44500000000000001</v>
      </c>
      <c r="AJ63" s="1520"/>
    </row>
    <row r="64" spans="1:36" ht="12" customHeight="1">
      <c r="A64" s="735"/>
      <c r="B64" s="553"/>
      <c r="C64" s="553"/>
      <c r="D64" s="741"/>
      <c r="E64" s="741"/>
      <c r="F64" s="741"/>
      <c r="G64" s="741"/>
      <c r="H64" s="741"/>
      <c r="I64" s="1059"/>
      <c r="J64" s="1059"/>
      <c r="K64" s="1059"/>
      <c r="L64" s="1059"/>
      <c r="M64" s="1059"/>
      <c r="N64" s="1059"/>
      <c r="O64" s="1059"/>
      <c r="P64" s="1059"/>
      <c r="Q64" s="1059"/>
      <c r="R64" s="1059"/>
      <c r="S64" s="1059"/>
      <c r="T64" s="1059"/>
      <c r="U64" s="1059"/>
      <c r="V64" s="1059"/>
      <c r="W64" s="1059"/>
      <c r="X64" s="1059"/>
      <c r="Y64" s="1234"/>
      <c r="Z64" s="938"/>
      <c r="AA64" s="553"/>
      <c r="AB64" s="1234"/>
      <c r="AC64" s="938"/>
      <c r="AD64" s="553"/>
      <c r="AE64" s="1054"/>
      <c r="AF64" s="937"/>
      <c r="AG64" s="938"/>
      <c r="AH64" s="735"/>
      <c r="AI64" s="735"/>
      <c r="AJ64" s="1544"/>
    </row>
    <row r="65" spans="1:36" ht="14.25" customHeight="1">
      <c r="A65" s="738" t="s">
        <v>143</v>
      </c>
      <c r="B65" s="553"/>
      <c r="C65" s="553"/>
      <c r="D65" s="741"/>
      <c r="E65" s="741"/>
      <c r="F65" s="741"/>
      <c r="G65" s="741"/>
      <c r="H65" s="741"/>
      <c r="I65" s="1059"/>
      <c r="J65" s="1059"/>
      <c r="K65" s="1059"/>
      <c r="L65" s="1059"/>
      <c r="M65" s="1059"/>
      <c r="N65" s="1059"/>
      <c r="O65" s="1059"/>
      <c r="P65" s="1059"/>
      <c r="Q65" s="1059"/>
      <c r="R65" s="1059"/>
      <c r="S65" s="1059"/>
      <c r="T65" s="1059"/>
      <c r="U65" s="1059"/>
      <c r="V65" s="1059"/>
      <c r="W65" s="1059"/>
      <c r="X65" s="1059"/>
      <c r="Y65" s="1234"/>
      <c r="Z65" s="938"/>
      <c r="AA65" s="553"/>
      <c r="AB65" s="1234"/>
      <c r="AC65" s="938"/>
      <c r="AD65" s="553"/>
      <c r="AE65" s="1054"/>
      <c r="AF65" s="937"/>
      <c r="AG65" s="938"/>
      <c r="AH65" s="735"/>
      <c r="AI65" s="735"/>
      <c r="AJ65" s="1544"/>
    </row>
    <row r="66" spans="1:36" ht="14.25" customHeight="1">
      <c r="A66" s="83" t="s">
        <v>547</v>
      </c>
      <c r="B66" s="608">
        <f>ROUND(SUM(B55-B63),1)</f>
        <v>6281.8</v>
      </c>
      <c r="C66" s="732"/>
      <c r="D66" s="608">
        <f>ROUND(SUM(D55-D63),1)</f>
        <v>3104.6</v>
      </c>
      <c r="E66" s="736"/>
      <c r="F66" s="608">
        <f>ROUND(SUM(F55-F63),1)</f>
        <v>6645.6</v>
      </c>
      <c r="G66" s="736"/>
      <c r="H66" s="608">
        <f>ROUND(SUM(H55-H63),1)</f>
        <v>3474.5</v>
      </c>
      <c r="I66" s="737"/>
      <c r="J66" s="1057">
        <f>ROUND(SUM(J55-J63),1)</f>
        <v>0</v>
      </c>
      <c r="K66" s="737"/>
      <c r="L66" s="1057">
        <f>ROUND(SUM(L55-L63),1)</f>
        <v>0</v>
      </c>
      <c r="M66" s="737"/>
      <c r="N66" s="1057">
        <f>ROUND(SUM(N55-N63),1)</f>
        <v>0</v>
      </c>
      <c r="O66" s="737"/>
      <c r="P66" s="1057">
        <f>ROUND(SUM(P55-P63),1)</f>
        <v>0</v>
      </c>
      <c r="Q66" s="413"/>
      <c r="R66" s="1057">
        <f>ROUND(SUM(R55-R63),1)</f>
        <v>0</v>
      </c>
      <c r="S66" s="737"/>
      <c r="T66" s="1057">
        <f>ROUND(SUM(T55-T63),1)</f>
        <v>0</v>
      </c>
      <c r="U66" s="737"/>
      <c r="V66" s="1057">
        <f>ROUND(SUM(V55-V63),1)</f>
        <v>0</v>
      </c>
      <c r="W66" s="737"/>
      <c r="X66" s="1057">
        <f>ROUND(SUM(X55-X63),1)</f>
        <v>0</v>
      </c>
      <c r="Y66" s="1235"/>
      <c r="Z66" s="413"/>
      <c r="AA66" s="1057">
        <f>ROUND(SUM(AA55-AA63),1)</f>
        <v>19506.5</v>
      </c>
      <c r="AB66" s="1235"/>
      <c r="AC66" s="413"/>
      <c r="AD66" s="1057">
        <f>ROUND(SUM(AD55-AD63),1)</f>
        <v>17639.900000000001</v>
      </c>
      <c r="AE66" s="1812"/>
      <c r="AF66" s="733"/>
      <c r="AG66" s="1057">
        <f>ROUND(SUM(+AG55-AG63),1)</f>
        <v>1866.6</v>
      </c>
      <c r="AH66" s="83"/>
      <c r="AI66" s="538">
        <f>ROUND(IF(AD66=0,0,AG66/ABS(AD66)),3)</f>
        <v>0.106</v>
      </c>
      <c r="AJ66" s="1520"/>
    </row>
    <row r="67" spans="1:36" ht="19.5" customHeight="1">
      <c r="A67" s="735"/>
      <c r="B67" s="553"/>
      <c r="C67" s="553"/>
      <c r="D67" s="553"/>
      <c r="E67" s="553"/>
      <c r="F67" s="553"/>
      <c r="G67" s="553"/>
      <c r="H67" s="553"/>
      <c r="I67" s="938"/>
      <c r="J67" s="938"/>
      <c r="K67" s="938"/>
      <c r="L67" s="938"/>
      <c r="M67" s="938"/>
      <c r="N67" s="938"/>
      <c r="O67" s="938"/>
      <c r="P67" s="938"/>
      <c r="Q67" s="938"/>
      <c r="R67" s="938"/>
      <c r="S67" s="938"/>
      <c r="T67" s="938"/>
      <c r="U67" s="938"/>
      <c r="V67" s="938"/>
      <c r="W67" s="938"/>
      <c r="X67" s="938"/>
      <c r="Y67" s="1234"/>
      <c r="Z67" s="938"/>
      <c r="AA67" s="553"/>
      <c r="AB67" s="1234"/>
      <c r="AC67" s="938"/>
      <c r="AD67" s="553"/>
      <c r="AE67" s="1054"/>
      <c r="AF67" s="937"/>
      <c r="AG67" s="938"/>
      <c r="AH67" s="735"/>
      <c r="AI67" s="735"/>
      <c r="AJ67" s="1544"/>
    </row>
    <row r="68" spans="1:36" ht="14.25" customHeight="1">
      <c r="A68" s="738" t="s">
        <v>145</v>
      </c>
      <c r="B68" s="553"/>
      <c r="C68" s="553"/>
      <c r="D68" s="553"/>
      <c r="E68" s="553"/>
      <c r="F68" s="553"/>
      <c r="G68" s="553"/>
      <c r="H68" s="553"/>
      <c r="I68" s="938"/>
      <c r="J68" s="938"/>
      <c r="K68" s="938"/>
      <c r="L68" s="938"/>
      <c r="M68" s="938"/>
      <c r="N68" s="938"/>
      <c r="O68" s="938"/>
      <c r="P68" s="938"/>
      <c r="Q68" s="938"/>
      <c r="R68" s="938"/>
      <c r="S68" s="938"/>
      <c r="T68" s="938"/>
      <c r="U68" s="938"/>
      <c r="V68" s="938"/>
      <c r="W68" s="938"/>
      <c r="X68" s="938"/>
      <c r="Y68" s="1234"/>
      <c r="Z68" s="938"/>
      <c r="AA68" s="553"/>
      <c r="AB68" s="1234"/>
      <c r="AC68" s="938"/>
      <c r="AD68" s="553"/>
      <c r="AE68" s="1054"/>
      <c r="AF68" s="937"/>
      <c r="AG68" s="938"/>
      <c r="AH68" s="735"/>
      <c r="AI68" s="735"/>
      <c r="AJ68" s="1544"/>
    </row>
    <row r="69" spans="1:36" ht="14.25" customHeight="1">
      <c r="A69" s="739" t="s">
        <v>537</v>
      </c>
      <c r="B69" s="531">
        <v>243.8</v>
      </c>
      <c r="C69" s="553"/>
      <c r="D69" s="531">
        <v>32.899999999999977</v>
      </c>
      <c r="E69" s="553"/>
      <c r="F69" s="531">
        <v>207.2</v>
      </c>
      <c r="G69" s="553"/>
      <c r="H69" s="531">
        <f>$AA69-F69-D69-B69</f>
        <v>271.00000000000006</v>
      </c>
      <c r="I69" s="938"/>
      <c r="J69" s="531"/>
      <c r="K69" s="938"/>
      <c r="L69" s="531"/>
      <c r="M69" s="938"/>
      <c r="N69" s="531"/>
      <c r="O69" s="938"/>
      <c r="P69" s="512"/>
      <c r="Q69" s="938"/>
      <c r="R69" s="512"/>
      <c r="S69" s="938"/>
      <c r="T69" s="512"/>
      <c r="U69" s="938"/>
      <c r="V69" s="512"/>
      <c r="W69" s="938"/>
      <c r="X69" s="512"/>
      <c r="Y69" s="1234"/>
      <c r="Z69" s="938"/>
      <c r="AA69" s="531">
        <v>754.9</v>
      </c>
      <c r="AB69" s="287"/>
      <c r="AC69" s="1757"/>
      <c r="AD69" s="531">
        <v>834</v>
      </c>
      <c r="AE69" s="1054"/>
      <c r="AF69" s="937"/>
      <c r="AG69" s="938">
        <f>ROUND(SUM(AA69-AD69),1)</f>
        <v>-79.099999999999994</v>
      </c>
      <c r="AH69" s="735"/>
      <c r="AI69" s="266">
        <f>ROUND(IF(AD69=0,0,AG69/ABS(AD69)),3)</f>
        <v>-9.5000000000000001E-2</v>
      </c>
      <c r="AJ69" s="1544"/>
    </row>
    <row r="70" spans="1:36" ht="14.25" customHeight="1">
      <c r="A70" s="739" t="s">
        <v>548</v>
      </c>
      <c r="B70" s="531">
        <v>-6368.0999999999995</v>
      </c>
      <c r="C70" s="553"/>
      <c r="D70" s="531">
        <v>-3129.2</v>
      </c>
      <c r="E70" s="553"/>
      <c r="F70" s="531">
        <v>-6865.1000000000013</v>
      </c>
      <c r="G70" s="553"/>
      <c r="H70" s="531">
        <f>$AA70-F70-D70-B70</f>
        <v>-3530.2999999999984</v>
      </c>
      <c r="I70" s="938"/>
      <c r="J70" s="531"/>
      <c r="K70" s="938"/>
      <c r="L70" s="531"/>
      <c r="M70" s="938"/>
      <c r="N70" s="531"/>
      <c r="O70" s="938"/>
      <c r="P70" s="512"/>
      <c r="Q70" s="938"/>
      <c r="R70" s="512"/>
      <c r="S70" s="938"/>
      <c r="T70" s="512"/>
      <c r="U70" s="938"/>
      <c r="V70" s="512"/>
      <c r="W70" s="938"/>
      <c r="X70" s="512"/>
      <c r="Y70" s="1234"/>
      <c r="Z70" s="938"/>
      <c r="AA70" s="981">
        <v>-19892.7</v>
      </c>
      <c r="AB70" s="287"/>
      <c r="AC70" s="1757"/>
      <c r="AD70" s="981">
        <v>-18146.2</v>
      </c>
      <c r="AE70" s="1054"/>
      <c r="AF70" s="937"/>
      <c r="AG70" s="1058">
        <f>ROUND(SUM(-(AA70-AD70)),1)</f>
        <v>1746.5</v>
      </c>
      <c r="AH70" s="735"/>
      <c r="AI70" s="533">
        <f>ROUND(IF(AD70=0,0,AG70/ABS(AD70)),3)</f>
        <v>9.6000000000000002E-2</v>
      </c>
      <c r="AJ70" s="1544"/>
    </row>
    <row r="71" spans="1:36" ht="15.5">
      <c r="A71" s="735"/>
      <c r="B71" s="1097"/>
      <c r="C71" s="938"/>
      <c r="D71" s="1098"/>
      <c r="E71" s="938"/>
      <c r="F71" s="1098"/>
      <c r="G71" s="938"/>
      <c r="H71" s="1098"/>
      <c r="I71" s="938"/>
      <c r="J71" s="1098"/>
      <c r="K71" s="938"/>
      <c r="L71" s="1098"/>
      <c r="M71" s="938"/>
      <c r="N71" s="1098"/>
      <c r="O71" s="938"/>
      <c r="P71" s="1098"/>
      <c r="Q71" s="938"/>
      <c r="R71" s="1098"/>
      <c r="S71" s="938"/>
      <c r="T71" s="1098"/>
      <c r="U71" s="938"/>
      <c r="V71" s="1098"/>
      <c r="W71" s="938"/>
      <c r="X71" s="1098"/>
      <c r="Y71" s="1234"/>
      <c r="Z71" s="938"/>
      <c r="AA71" s="553"/>
      <c r="AB71" s="1234"/>
      <c r="AC71" s="938"/>
      <c r="AD71" s="553"/>
      <c r="AE71" s="1054"/>
      <c r="AF71" s="937"/>
      <c r="AG71" s="938"/>
      <c r="AH71" s="735"/>
      <c r="AI71" s="735"/>
      <c r="AJ71" s="1544"/>
    </row>
    <row r="72" spans="1:36" ht="14.25" customHeight="1">
      <c r="A72" s="738" t="s">
        <v>549</v>
      </c>
      <c r="B72" s="1014">
        <f>ROUND(SUM(B69:B70),1)</f>
        <v>-6124.3</v>
      </c>
      <c r="C72" s="413"/>
      <c r="D72" s="1014">
        <f>ROUND(SUM(D69:D70),1)</f>
        <v>-3096.3</v>
      </c>
      <c r="E72" s="737"/>
      <c r="F72" s="1014">
        <f>ROUND(SUM(F69:F70),1)</f>
        <v>-6657.9</v>
      </c>
      <c r="G72" s="737"/>
      <c r="H72" s="1014">
        <f>ROUND(SUM(H69:H70),1)</f>
        <v>-3259.3</v>
      </c>
      <c r="I72" s="737"/>
      <c r="J72" s="1014">
        <f>ROUND(SUM(J69:J70),1)</f>
        <v>0</v>
      </c>
      <c r="K72" s="737"/>
      <c r="L72" s="1014">
        <f>ROUND(SUM(L69:L70),1)</f>
        <v>0</v>
      </c>
      <c r="M72" s="737"/>
      <c r="N72" s="1014">
        <f>ROUND(SUM(N69:N70),1)</f>
        <v>0</v>
      </c>
      <c r="O72" s="737"/>
      <c r="P72" s="1014">
        <f>ROUND(SUM(P69:P70),1)</f>
        <v>0</v>
      </c>
      <c r="Q72" s="669"/>
      <c r="R72" s="1014">
        <f>ROUND(SUM(R69:R70),1)</f>
        <v>0</v>
      </c>
      <c r="S72" s="737"/>
      <c r="T72" s="1014">
        <f>ROUND(SUM(T69:T70),1)</f>
        <v>0</v>
      </c>
      <c r="U72" s="737"/>
      <c r="V72" s="1014">
        <f>ROUND(SUM(V69:V70),1)</f>
        <v>0</v>
      </c>
      <c r="W72" s="737"/>
      <c r="X72" s="1014">
        <f>ROUND(SUM(X69:X70),1)</f>
        <v>0</v>
      </c>
      <c r="Y72" s="1235"/>
      <c r="Z72" s="413"/>
      <c r="AA72" s="1014">
        <f>ROUND(SUM(AA69:AA70),1)</f>
        <v>-19137.8</v>
      </c>
      <c r="AB72" s="1235"/>
      <c r="AC72" s="413"/>
      <c r="AD72" s="1014">
        <f>ROUND(SUM(AD69:AD70),1)</f>
        <v>-17312.2</v>
      </c>
      <c r="AE72" s="1812"/>
      <c r="AF72" s="733"/>
      <c r="AG72" s="1014">
        <f>ROUND(SUM(AA72-AD72),1)</f>
        <v>-1825.6</v>
      </c>
      <c r="AH72" s="83"/>
      <c r="AI72" s="538">
        <f>ROUND(IF(AD72=0,0,AG72/ABS(AD72)),3)</f>
        <v>-0.105</v>
      </c>
      <c r="AJ72" s="1520"/>
    </row>
    <row r="73" spans="1:36" ht="19.5" customHeight="1">
      <c r="A73" s="735"/>
      <c r="B73" s="938"/>
      <c r="C73" s="938"/>
      <c r="D73" s="1054"/>
      <c r="E73" s="938"/>
      <c r="F73" s="1054"/>
      <c r="G73" s="938"/>
      <c r="H73" s="1054"/>
      <c r="I73" s="938"/>
      <c r="J73" s="1054"/>
      <c r="K73" s="938"/>
      <c r="L73" s="1054"/>
      <c r="M73" s="938"/>
      <c r="N73" s="1054"/>
      <c r="O73" s="938"/>
      <c r="P73" s="1054"/>
      <c r="Q73" s="938"/>
      <c r="R73" s="1054"/>
      <c r="S73" s="938"/>
      <c r="T73" s="1054"/>
      <c r="U73" s="938"/>
      <c r="V73" s="1054"/>
      <c r="W73" s="938"/>
      <c r="X73" s="1054"/>
      <c r="Y73" s="1234"/>
      <c r="Z73" s="938"/>
      <c r="AA73" s="553"/>
      <c r="AB73" s="1234"/>
      <c r="AC73" s="938"/>
      <c r="AD73" s="553"/>
      <c r="AE73" s="1054"/>
      <c r="AF73" s="937"/>
      <c r="AG73" s="938"/>
      <c r="AH73" s="735"/>
      <c r="AI73" s="735"/>
      <c r="AJ73" s="1544"/>
    </row>
    <row r="74" spans="1:36" ht="14.25" customHeight="1">
      <c r="A74" s="83" t="s">
        <v>550</v>
      </c>
      <c r="B74" s="938"/>
      <c r="C74" s="938"/>
      <c r="D74" s="1059"/>
      <c r="E74" s="938"/>
      <c r="F74" s="1059"/>
      <c r="G74" s="938"/>
      <c r="H74" s="1059"/>
      <c r="I74" s="938"/>
      <c r="J74" s="1059"/>
      <c r="K74" s="938"/>
      <c r="L74" s="1059"/>
      <c r="M74" s="938"/>
      <c r="N74" s="1059"/>
      <c r="O74" s="938"/>
      <c r="P74" s="1059"/>
      <c r="Q74" s="938"/>
      <c r="R74" s="1059"/>
      <c r="S74" s="938"/>
      <c r="T74" s="1059"/>
      <c r="U74" s="938"/>
      <c r="V74" s="1059"/>
      <c r="W74" s="938"/>
      <c r="X74" s="1059"/>
      <c r="Y74" s="1234"/>
      <c r="Z74" s="938"/>
      <c r="AA74" s="553"/>
      <c r="AB74" s="1234"/>
      <c r="AC74" s="938"/>
      <c r="AD74" s="553"/>
      <c r="AE74" s="1054"/>
      <c r="AF74" s="937"/>
      <c r="AG74" s="938"/>
      <c r="AH74" s="735"/>
      <c r="AI74" s="735"/>
      <c r="AJ74" s="1544"/>
    </row>
    <row r="75" spans="1:36" ht="14.25" customHeight="1">
      <c r="A75" s="83" t="s">
        <v>551</v>
      </c>
      <c r="B75" s="938"/>
      <c r="C75" s="938"/>
      <c r="D75" s="1059"/>
      <c r="E75" s="938"/>
      <c r="F75" s="1059"/>
      <c r="G75" s="938"/>
      <c r="H75" s="1059"/>
      <c r="I75" s="938"/>
      <c r="J75" s="1059"/>
      <c r="K75" s="938"/>
      <c r="L75" s="1059"/>
      <c r="M75" s="938"/>
      <c r="N75" s="1059"/>
      <c r="O75" s="938"/>
      <c r="P75" s="1059"/>
      <c r="Q75" s="938"/>
      <c r="R75" s="1059"/>
      <c r="S75" s="938"/>
      <c r="T75" s="1059"/>
      <c r="U75" s="938"/>
      <c r="V75" s="1059"/>
      <c r="W75" s="938"/>
      <c r="X75" s="1059"/>
      <c r="Y75" s="1234"/>
      <c r="Z75" s="938"/>
      <c r="AA75" s="553"/>
      <c r="AB75" s="1234"/>
      <c r="AC75" s="938"/>
      <c r="AD75" s="553"/>
      <c r="AE75" s="1054"/>
      <c r="AF75" s="937"/>
      <c r="AG75" s="938"/>
      <c r="AH75" s="735"/>
      <c r="AI75" s="735"/>
      <c r="AJ75" s="1544"/>
    </row>
    <row r="76" spans="1:36" ht="14.25" customHeight="1">
      <c r="A76" s="83" t="s">
        <v>552</v>
      </c>
      <c r="B76" s="1057">
        <f>ROUND(SUM(+B66+B72),1)</f>
        <v>157.5</v>
      </c>
      <c r="C76" s="413"/>
      <c r="D76" s="1057">
        <f>ROUND(SUM(+D66+D72),1)</f>
        <v>8.3000000000000007</v>
      </c>
      <c r="E76" s="413"/>
      <c r="F76" s="1057">
        <f>ROUND(SUM(+F66+F72),1)</f>
        <v>-12.3</v>
      </c>
      <c r="G76" s="413"/>
      <c r="H76" s="1057">
        <f>ROUND(SUM(+H66+H72),1)</f>
        <v>215.2</v>
      </c>
      <c r="I76" s="413"/>
      <c r="J76" s="1057">
        <f>ROUND(SUM(+J66+J72),1)</f>
        <v>0</v>
      </c>
      <c r="K76" s="413"/>
      <c r="L76" s="1057">
        <f>ROUND(SUM(+L66+L72),1)</f>
        <v>0</v>
      </c>
      <c r="M76" s="413"/>
      <c r="N76" s="1057">
        <f>ROUND(SUM(+N66+N72),1)</f>
        <v>0</v>
      </c>
      <c r="O76" s="413"/>
      <c r="P76" s="1057">
        <f>ROUND(SUM(+P66+P72),1)</f>
        <v>0</v>
      </c>
      <c r="Q76" s="413"/>
      <c r="R76" s="1057">
        <f>ROUND(SUM(+R66+R72),1)</f>
        <v>0</v>
      </c>
      <c r="S76" s="413"/>
      <c r="T76" s="1057">
        <f>ROUND(SUM(+T66+T72),1)</f>
        <v>0</v>
      </c>
      <c r="U76" s="413"/>
      <c r="V76" s="1057">
        <f>ROUND(SUM(+V66+V72),1)</f>
        <v>0</v>
      </c>
      <c r="W76" s="413"/>
      <c r="X76" s="1057">
        <f>ROUND(SUM(+X66+X72),1)</f>
        <v>0</v>
      </c>
      <c r="Y76" s="1235"/>
      <c r="Z76" s="413"/>
      <c r="AA76" s="1057">
        <f>ROUND(SUM(+AA66+AA72),1)</f>
        <v>368.7</v>
      </c>
      <c r="AB76" s="1235"/>
      <c r="AC76" s="413"/>
      <c r="AD76" s="1057">
        <f>ROUND(SUM(+AD66+AD72),1)</f>
        <v>327.7</v>
      </c>
      <c r="AE76" s="1812"/>
      <c r="AF76" s="733"/>
      <c r="AG76" s="1057">
        <f>ROUND(SUM(+AG66+AG72),1)</f>
        <v>41</v>
      </c>
      <c r="AH76" s="83"/>
      <c r="AI76" s="539">
        <f>ROUND(IF(AD76=0,0,AG76/ABS(AD76)),3)</f>
        <v>0.125</v>
      </c>
      <c r="AJ76" s="1520"/>
    </row>
    <row r="77" spans="1:36" ht="15.5">
      <c r="A77" s="735"/>
      <c r="B77" s="898"/>
      <c r="C77" s="898"/>
      <c r="D77" s="1051"/>
      <c r="E77" s="898"/>
      <c r="F77" s="1099"/>
      <c r="G77" s="898"/>
      <c r="H77" s="1099"/>
      <c r="I77" s="898"/>
      <c r="J77" s="1099"/>
      <c r="K77" s="898"/>
      <c r="L77" s="1100"/>
      <c r="M77" s="898"/>
      <c r="N77" s="1099"/>
      <c r="O77" s="898"/>
      <c r="P77" s="1099"/>
      <c r="Q77" s="898"/>
      <c r="R77" s="1099"/>
      <c r="S77" s="898"/>
      <c r="T77" s="1099"/>
      <c r="U77" s="898"/>
      <c r="V77" s="1099"/>
      <c r="W77" s="898"/>
      <c r="X77" s="1099"/>
      <c r="Y77" s="1233"/>
      <c r="Z77" s="898"/>
      <c r="AA77" s="898" t="s">
        <v>103</v>
      </c>
      <c r="AB77" s="1233"/>
      <c r="AC77" s="898"/>
      <c r="AD77" s="1940"/>
      <c r="AE77" s="1051"/>
      <c r="AF77" s="900"/>
      <c r="AG77" s="898"/>
      <c r="AH77" s="735"/>
      <c r="AI77" s="735"/>
      <c r="AJ77" s="1544"/>
    </row>
    <row r="78" spans="1:36" ht="19.5" customHeight="1" thickBot="1">
      <c r="A78" s="83" t="s">
        <v>433</v>
      </c>
      <c r="B78" s="742">
        <f>ROUND(SUM(B13+B76),1)</f>
        <v>262.2</v>
      </c>
      <c r="C78" s="82"/>
      <c r="D78" s="742">
        <f>ROUND(SUM(D13+D76),1)</f>
        <v>270.5</v>
      </c>
      <c r="E78" s="82"/>
      <c r="F78" s="742">
        <f>ROUND(SUM(F13+F76),1)</f>
        <v>258.2</v>
      </c>
      <c r="G78" s="82"/>
      <c r="H78" s="742">
        <f>ROUND(SUM(H13+H76),1)</f>
        <v>473.4</v>
      </c>
      <c r="I78" s="82"/>
      <c r="J78" s="742">
        <f>ROUND(SUM(J13+J76),1)</f>
        <v>0</v>
      </c>
      <c r="K78" s="82"/>
      <c r="L78" s="742">
        <f>ROUND(SUM(L13+L76),1)</f>
        <v>0</v>
      </c>
      <c r="M78" s="82"/>
      <c r="N78" s="742">
        <f>ROUND(SUM(N13+N76),1)</f>
        <v>0</v>
      </c>
      <c r="O78" s="82"/>
      <c r="P78" s="742">
        <f>ROUND(SUM(P13+P76),1)</f>
        <v>0</v>
      </c>
      <c r="Q78" s="82"/>
      <c r="R78" s="742">
        <f>ROUND(SUM(R13+R76),1)</f>
        <v>0</v>
      </c>
      <c r="S78" s="82"/>
      <c r="T78" s="742">
        <f>ROUND(SUM(T13+T76),1)</f>
        <v>0</v>
      </c>
      <c r="U78" s="82"/>
      <c r="V78" s="742">
        <f>ROUND(SUM(V13+V76),1)</f>
        <v>0</v>
      </c>
      <c r="W78" s="82"/>
      <c r="X78" s="742">
        <f>ROUND(SUM(X13+X76),1)</f>
        <v>0</v>
      </c>
      <c r="Y78" s="1231"/>
      <c r="Z78" s="82"/>
      <c r="AA78" s="742">
        <f>ROUND(SUM(AA13+AA76),1)</f>
        <v>473.4</v>
      </c>
      <c r="AB78" s="1231"/>
      <c r="AC78" s="82"/>
      <c r="AD78" s="742">
        <f>ROUND(SUM(AD13+AD76),1)</f>
        <v>445.1</v>
      </c>
      <c r="AE78" s="1813"/>
      <c r="AF78" s="730"/>
      <c r="AG78" s="742">
        <f>ROUND(SUM(+AG13+AG76),1)</f>
        <v>28.3</v>
      </c>
      <c r="AH78" s="83"/>
      <c r="AI78" s="970">
        <f>ROUND(IF(AD78=0,0,AG78/ABS(AD78)),3)</f>
        <v>6.4000000000000001E-2</v>
      </c>
      <c r="AJ78" s="1520"/>
    </row>
    <row r="79" spans="1:36" ht="14.25" customHeight="1" thickTop="1">
      <c r="A79" s="734"/>
      <c r="B79" s="743"/>
      <c r="C79" s="743"/>
      <c r="D79" s="743"/>
      <c r="F79" s="743"/>
      <c r="H79" s="744"/>
      <c r="J79" s="744"/>
      <c r="L79" s="744"/>
      <c r="N79" s="744"/>
      <c r="P79" s="744"/>
      <c r="R79" s="744"/>
      <c r="T79" s="744"/>
      <c r="U79" s="720"/>
      <c r="V79" s="744"/>
      <c r="W79" s="720"/>
      <c r="X79" s="744"/>
      <c r="Y79" s="743"/>
      <c r="Z79" s="743"/>
      <c r="AA79" s="743"/>
      <c r="AB79" s="743"/>
      <c r="AC79" s="743"/>
      <c r="AD79" s="743"/>
      <c r="AE79" s="745"/>
      <c r="AF79" s="743"/>
      <c r="AG79" s="743"/>
      <c r="AI79" s="746"/>
    </row>
    <row r="80" spans="1:36">
      <c r="L80" s="720"/>
      <c r="T80" s="747"/>
      <c r="U80" s="747"/>
      <c r="V80" s="747"/>
      <c r="W80" s="747"/>
      <c r="X80" s="747"/>
      <c r="AD80" s="748"/>
    </row>
    <row r="81" spans="1:24" ht="12" customHeight="1">
      <c r="A81" s="735"/>
      <c r="L81" s="720"/>
      <c r="R81" s="749"/>
      <c r="T81" s="743"/>
      <c r="V81" s="743"/>
      <c r="X81" s="743"/>
    </row>
    <row r="82" spans="1:24">
      <c r="B82" s="748"/>
      <c r="L82" s="720"/>
      <c r="R82" s="749"/>
      <c r="T82" s="743"/>
      <c r="V82" s="743"/>
      <c r="X82" s="743"/>
    </row>
  </sheetData>
  <mergeCells count="2">
    <mergeCell ref="AB5:AD5"/>
    <mergeCell ref="Z9:AI9"/>
  </mergeCells>
  <printOptions horizontalCentered="1"/>
  <pageMargins left="0.25" right="0.25" top="0.5" bottom="0.25" header="0.5" footer="0.25"/>
  <pageSetup scale="48" firstPageNumber="28" orientation="landscape" useFirstPageNumber="1" r:id="rId1"/>
  <headerFooter scaleWithDoc="0" alignWithMargins="0">
    <oddFooter>&amp;C&amp;8&amp;P</oddFooter>
  </headerFooter>
  <rowBreaks count="1" manualBreakCount="1">
    <brk id="86" max="34" man="1"/>
  </rowBreaks>
  <customProperties>
    <customPr name="SheetOptions" r:id="rId2"/>
  </customProperties>
  <ignoredErrors>
    <ignoredError sqref="AI19 AI77 AI25 AI29 AI56:AI58 AI74:AI75 AI73 AI67 AI64:AI65 AI62 AI60 AI71 AI72 AI63 AI66 AI69:AI70 AI52 AI54 AI55 AI51 AI68 AI78" unlockedFormula="1"/>
    <ignoredError sqref="I51 K51" formulaRange="1"/>
    <ignoredError sqref="AI48 AI46 AI47" formula="1" unlockedFormula="1"/>
    <ignoredError sqref="AI27 AI42" formula="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A1:AN109"/>
  <sheetViews>
    <sheetView showGridLines="0" zoomScale="90" zoomScaleNormal="85" workbookViewId="0"/>
  </sheetViews>
  <sheetFormatPr defaultColWidth="8.84375" defaultRowHeight="15.5"/>
  <cols>
    <col min="1" max="1" width="2.53515625" style="23" customWidth="1"/>
    <col min="2" max="2" width="15.84375" style="23" customWidth="1"/>
    <col min="3" max="3" width="25.07421875" style="23" customWidth="1"/>
    <col min="4" max="4" width="2" style="23" customWidth="1"/>
    <col min="5" max="5" width="12.53515625" style="23" customWidth="1"/>
    <col min="6" max="6" width="1.84375" style="23" customWidth="1"/>
    <col min="7" max="7" width="11.84375" style="23" bestFit="1" customWidth="1"/>
    <col min="8" max="8" width="1.84375" style="23" customWidth="1"/>
    <col min="9" max="9" width="11.4609375" style="23" bestFit="1" customWidth="1"/>
    <col min="10" max="10" width="1.84375" style="23" customWidth="1"/>
    <col min="11" max="11" width="11.84375" style="23" bestFit="1" customWidth="1"/>
    <col min="12" max="12" width="1.07421875" style="23" customWidth="1"/>
    <col min="13" max="13" width="10.53515625" style="23" customWidth="1"/>
    <col min="14" max="14" width="1.84375" style="23" customWidth="1"/>
    <col min="15" max="15" width="12.4609375" style="23" customWidth="1"/>
    <col min="16" max="16" width="1.84375" style="23" customWidth="1"/>
    <col min="17" max="17" width="12.07421875" style="23" customWidth="1"/>
    <col min="18" max="18" width="1.84375" style="23" customWidth="1"/>
    <col min="19" max="19" width="12.07421875" style="23" customWidth="1"/>
    <col min="20" max="20" width="1.84375" style="23" customWidth="1"/>
    <col min="21" max="21" width="10.84375" style="23" customWidth="1"/>
    <col min="22" max="22" width="1.84375" style="23" customWidth="1"/>
    <col min="23" max="23" width="13.84375" style="23" customWidth="1"/>
    <col min="24" max="24" width="1.84375" style="23" customWidth="1"/>
    <col min="25" max="25" width="12.84375" style="23" customWidth="1"/>
    <col min="26" max="26" width="1.84375" style="23" customWidth="1"/>
    <col min="27" max="27" width="11.84375" style="23" customWidth="1"/>
    <col min="28" max="29" width="1.07421875" style="23" customWidth="1"/>
    <col min="30" max="30" width="12.84375" style="23" customWidth="1"/>
    <col min="31" max="32" width="1.07421875" style="23" customWidth="1"/>
    <col min="33" max="33" width="12.84375" style="23" customWidth="1"/>
    <col min="34" max="35" width="1.07421875" style="23" customWidth="1"/>
    <col min="36" max="36" width="12.84375" style="23" customWidth="1"/>
    <col min="37" max="37" width="1.07421875" style="23" customWidth="1"/>
    <col min="38" max="38" width="12.84375" style="23" customWidth="1"/>
    <col min="39" max="16384" width="8.84375" style="23"/>
  </cols>
  <sheetData>
    <row r="1" spans="1:39">
      <c r="B1" s="265" t="s">
        <v>97</v>
      </c>
    </row>
    <row r="2" spans="1:39">
      <c r="B2" s="354"/>
    </row>
    <row r="3" spans="1:39" ht="19.5" customHeight="1">
      <c r="A3" s="84"/>
      <c r="B3" s="50" t="s">
        <v>98</v>
      </c>
      <c r="C3" s="85"/>
      <c r="D3" s="85"/>
      <c r="E3" s="85"/>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L3" s="106" t="s">
        <v>553</v>
      </c>
    </row>
    <row r="4" spans="1:39" ht="19.5" customHeight="1">
      <c r="A4" s="84"/>
      <c r="B4" s="50" t="s">
        <v>554</v>
      </c>
      <c r="C4" s="85"/>
      <c r="D4" s="85"/>
      <c r="E4" s="85"/>
      <c r="F4" s="86"/>
      <c r="G4" s="86"/>
      <c r="H4" s="86"/>
      <c r="I4" s="86"/>
      <c r="J4" s="86"/>
      <c r="K4" s="86"/>
      <c r="L4" s="86"/>
      <c r="M4" s="86"/>
      <c r="N4" s="86"/>
      <c r="O4" s="86"/>
      <c r="P4" s="86"/>
      <c r="Q4" s="86"/>
      <c r="R4" s="86"/>
      <c r="S4" s="86"/>
      <c r="T4" s="86"/>
      <c r="U4" s="86"/>
      <c r="V4" s="86"/>
      <c r="W4" s="86"/>
      <c r="X4" s="86"/>
      <c r="Y4" s="86"/>
      <c r="Z4" s="86"/>
      <c r="AA4" s="86"/>
      <c r="AB4" s="86"/>
      <c r="AC4" s="86"/>
      <c r="AE4" s="87"/>
      <c r="AF4" s="87"/>
    </row>
    <row r="5" spans="1:39" ht="19.5" customHeight="1">
      <c r="A5" s="84"/>
      <c r="B5" s="81" t="s">
        <v>444</v>
      </c>
      <c r="C5" s="85"/>
      <c r="D5" s="85"/>
      <c r="E5" s="85"/>
      <c r="F5" s="86"/>
      <c r="G5" s="86"/>
      <c r="H5" s="86"/>
      <c r="I5" s="86"/>
      <c r="J5" s="86"/>
      <c r="K5" s="86"/>
      <c r="L5" s="86"/>
      <c r="M5" s="86"/>
      <c r="N5" s="86"/>
      <c r="O5" s="86"/>
      <c r="P5" s="86"/>
      <c r="Q5" s="86"/>
      <c r="R5" s="86"/>
      <c r="S5" s="86" t="s">
        <v>103</v>
      </c>
      <c r="T5" s="86"/>
      <c r="U5" s="86" t="s">
        <v>103</v>
      </c>
      <c r="V5" s="86"/>
      <c r="W5" s="86"/>
      <c r="X5" s="86"/>
      <c r="Y5" s="86"/>
      <c r="Z5" s="86"/>
      <c r="AA5" s="86"/>
      <c r="AB5" s="86"/>
      <c r="AC5" s="86"/>
      <c r="AD5" s="86"/>
      <c r="AE5" s="86"/>
      <c r="AF5" s="86"/>
      <c r="AG5" s="86"/>
      <c r="AH5" s="86"/>
      <c r="AI5" s="86"/>
      <c r="AL5" s="72"/>
    </row>
    <row r="6" spans="1:39" ht="19.5" customHeight="1">
      <c r="A6" s="84"/>
      <c r="B6" s="540" t="str">
        <f>'Cashflow Governmental'!A6</f>
        <v>FISCAL YEAR 2026-2027</v>
      </c>
      <c r="C6" s="85"/>
      <c r="D6" s="85"/>
      <c r="E6" s="85"/>
      <c r="F6" s="86"/>
      <c r="G6" s="86"/>
      <c r="H6" s="1127"/>
      <c r="I6" s="86"/>
      <c r="J6" s="86"/>
      <c r="K6" s="86"/>
      <c r="L6" s="86"/>
      <c r="M6" s="86"/>
      <c r="N6" s="86"/>
      <c r="O6" s="86"/>
      <c r="P6" s="86"/>
      <c r="Q6" s="86"/>
      <c r="R6" s="86"/>
      <c r="S6" s="86" t="s">
        <v>103</v>
      </c>
      <c r="T6" s="86"/>
      <c r="U6" s="86"/>
      <c r="V6" s="86"/>
      <c r="W6" s="86"/>
      <c r="X6" s="86"/>
      <c r="Y6" s="86"/>
      <c r="Z6" s="86"/>
      <c r="AA6" s="86"/>
      <c r="AB6" s="86"/>
      <c r="AC6" s="86"/>
      <c r="AD6" s="86"/>
      <c r="AE6" s="88"/>
      <c r="AF6" s="88"/>
      <c r="AG6" s="88"/>
      <c r="AH6" s="88"/>
      <c r="AI6" s="88"/>
    </row>
    <row r="7" spans="1:39" ht="19.5" customHeight="1">
      <c r="A7" s="84"/>
      <c r="B7" s="50" t="s">
        <v>555</v>
      </c>
      <c r="C7" s="85"/>
      <c r="D7" s="85"/>
      <c r="E7" s="85"/>
      <c r="F7" s="86"/>
      <c r="G7" s="86"/>
      <c r="H7" s="1127"/>
      <c r="I7" s="86"/>
      <c r="J7" s="86"/>
      <c r="K7" s="86"/>
      <c r="L7" s="86"/>
      <c r="M7" s="86"/>
      <c r="N7" s="86"/>
      <c r="O7" s="86"/>
      <c r="P7" s="86"/>
      <c r="Q7" s="86"/>
      <c r="R7" s="86"/>
      <c r="S7" s="86" t="s">
        <v>103</v>
      </c>
      <c r="T7" s="86"/>
      <c r="U7" s="86"/>
      <c r="V7" s="86"/>
      <c r="W7" s="86"/>
      <c r="X7" s="86"/>
      <c r="Y7" s="86"/>
      <c r="Z7" s="86"/>
      <c r="AA7" s="86"/>
      <c r="AB7" s="86"/>
      <c r="AC7" s="86"/>
      <c r="AD7" s="86"/>
      <c r="AE7" s="88"/>
      <c r="AF7" s="88"/>
      <c r="AG7" s="88"/>
      <c r="AH7" s="88"/>
      <c r="AI7" s="88"/>
    </row>
    <row r="8" spans="1:39" ht="19.5" customHeight="1">
      <c r="A8" s="84"/>
      <c r="C8" s="85"/>
      <c r="D8" s="85"/>
      <c r="E8" s="85"/>
      <c r="F8" s="86"/>
      <c r="G8" s="86"/>
      <c r="H8" s="86"/>
      <c r="I8" s="86"/>
      <c r="J8" s="86"/>
      <c r="K8" s="86"/>
      <c r="L8" s="86"/>
      <c r="M8" s="86"/>
      <c r="N8" s="86"/>
      <c r="O8" s="86"/>
      <c r="P8" s="86"/>
      <c r="Q8" s="86"/>
      <c r="R8" s="86"/>
      <c r="S8" s="86" t="s">
        <v>103</v>
      </c>
      <c r="T8" s="86"/>
      <c r="U8" s="86"/>
      <c r="V8" s="86"/>
      <c r="W8" s="86"/>
      <c r="X8" s="86"/>
      <c r="Y8" s="86"/>
      <c r="Z8" s="86"/>
      <c r="AA8" s="86"/>
      <c r="AB8" s="86"/>
      <c r="AC8" s="89"/>
    </row>
    <row r="9" spans="1:39" ht="15.75" customHeight="1">
      <c r="A9" s="84"/>
      <c r="B9" s="90"/>
      <c r="C9" s="85"/>
      <c r="D9" s="85"/>
      <c r="E9" s="1191"/>
      <c r="F9" s="322"/>
      <c r="G9" s="322"/>
      <c r="H9" s="322"/>
      <c r="I9" s="322"/>
      <c r="J9" s="322"/>
      <c r="K9" s="322"/>
      <c r="L9" s="322"/>
      <c r="M9" s="322"/>
      <c r="N9" s="322"/>
      <c r="O9" s="322"/>
      <c r="P9" s="322"/>
      <c r="Q9" s="322"/>
      <c r="R9" s="322"/>
      <c r="S9" s="322"/>
      <c r="T9" s="322"/>
      <c r="U9" s="322"/>
      <c r="V9" s="322"/>
      <c r="W9" s="322"/>
      <c r="X9" s="322"/>
      <c r="Y9" s="322"/>
      <c r="Z9" s="322"/>
      <c r="AA9" s="322"/>
      <c r="AB9" s="322"/>
      <c r="AC9" s="2063" t="str">
        <f>'Cashflow Governmental'!$AB$12</f>
        <v>4 Months Ended July 31</v>
      </c>
      <c r="AD9" s="2063"/>
      <c r="AE9" s="2063"/>
      <c r="AF9" s="2063"/>
      <c r="AG9" s="2063"/>
      <c r="AH9" s="2063"/>
      <c r="AI9" s="2063"/>
      <c r="AJ9" s="2063"/>
      <c r="AK9" s="2063"/>
      <c r="AL9" s="2063"/>
    </row>
    <row r="10" spans="1:39" ht="15.75" customHeight="1">
      <c r="A10" s="91"/>
      <c r="B10" s="91"/>
      <c r="C10" s="91"/>
      <c r="D10" s="91"/>
      <c r="E10" s="314" t="str">
        <f>'Cashflow Governmental'!C13</f>
        <v>2026</v>
      </c>
      <c r="F10" s="323"/>
      <c r="G10" s="323"/>
      <c r="H10" s="323"/>
      <c r="I10" s="323"/>
      <c r="J10" s="323"/>
      <c r="K10" s="323"/>
      <c r="L10" s="323"/>
      <c r="M10" s="323"/>
      <c r="N10" s="323"/>
      <c r="O10" s="323"/>
      <c r="P10" s="323"/>
      <c r="Q10" s="323"/>
      <c r="R10" s="323"/>
      <c r="S10" s="323"/>
      <c r="T10" s="323"/>
      <c r="U10" s="323"/>
      <c r="V10" s="323"/>
      <c r="W10" s="314">
        <f>'Cashflow Governmental'!U13</f>
        <v>2027</v>
      </c>
      <c r="X10" s="323"/>
      <c r="Y10" s="323"/>
      <c r="Z10" s="323"/>
      <c r="AA10" s="323"/>
      <c r="AB10" s="323"/>
      <c r="AC10" s="323"/>
      <c r="AD10" s="323"/>
      <c r="AE10" s="323"/>
      <c r="AF10" s="323"/>
      <c r="AG10" s="323"/>
      <c r="AH10" s="323"/>
      <c r="AI10" s="323"/>
      <c r="AJ10" s="320" t="s">
        <v>110</v>
      </c>
      <c r="AK10" s="320"/>
      <c r="AL10" s="318" t="s">
        <v>111</v>
      </c>
      <c r="AM10" s="3"/>
    </row>
    <row r="11" spans="1:39" ht="15.75" customHeight="1">
      <c r="A11" s="291"/>
      <c r="B11" s="291"/>
      <c r="C11" s="291"/>
      <c r="D11" s="291"/>
      <c r="E11" s="1212" t="s">
        <v>329</v>
      </c>
      <c r="F11" s="3"/>
      <c r="G11" s="1212" t="s">
        <v>330</v>
      </c>
      <c r="H11" s="3"/>
      <c r="I11" s="1212" t="s">
        <v>331</v>
      </c>
      <c r="J11" s="3"/>
      <c r="K11" s="1212" t="s">
        <v>332</v>
      </c>
      <c r="L11" s="3"/>
      <c r="M11" s="1212" t="s">
        <v>333</v>
      </c>
      <c r="N11" s="3"/>
      <c r="O11" s="1212" t="s">
        <v>445</v>
      </c>
      <c r="P11" s="3"/>
      <c r="Q11" s="1212" t="s">
        <v>446</v>
      </c>
      <c r="R11" s="3"/>
      <c r="S11" s="1212" t="s">
        <v>336</v>
      </c>
      <c r="T11" s="3"/>
      <c r="U11" s="1212" t="s">
        <v>337</v>
      </c>
      <c r="V11" s="3"/>
      <c r="W11" s="1212" t="s">
        <v>338</v>
      </c>
      <c r="X11" s="3"/>
      <c r="Y11" s="1212" t="s">
        <v>339</v>
      </c>
      <c r="Z11" s="3"/>
      <c r="AA11" s="1212" t="s">
        <v>447</v>
      </c>
      <c r="AB11" s="3"/>
      <c r="AC11" s="3"/>
      <c r="AD11" s="1212" t="str">
        <f>'Cashflow Governmental'!AB14</f>
        <v>2026</v>
      </c>
      <c r="AE11" s="3"/>
      <c r="AF11" s="3"/>
      <c r="AG11" s="1212" t="str">
        <f>'Cashflow Governmental'!AE14</f>
        <v>2025</v>
      </c>
      <c r="AH11" s="52"/>
      <c r="AI11" s="52"/>
      <c r="AJ11" s="415" t="s">
        <v>112</v>
      </c>
      <c r="AK11" s="320"/>
      <c r="AL11" s="415" t="s">
        <v>113</v>
      </c>
      <c r="AM11" s="3"/>
    </row>
    <row r="12" spans="1:39" ht="6" customHeight="1">
      <c r="A12" s="291"/>
      <c r="B12" s="3"/>
      <c r="C12" s="3"/>
      <c r="D12" s="291"/>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40"/>
    </row>
    <row r="13" spans="1:39" ht="15.75" customHeight="1">
      <c r="A13" s="291"/>
      <c r="B13" s="1211" t="s">
        <v>556</v>
      </c>
      <c r="C13" s="3"/>
      <c r="D13" s="291"/>
      <c r="E13" s="82">
        <f>'Exhibit I State'!E13+'Exhibit I Federal'!E13</f>
        <v>-2483.1</v>
      </c>
      <c r="F13" s="20"/>
      <c r="G13" s="20">
        <f>E100</f>
        <v>-2574.5</v>
      </c>
      <c r="H13" s="20"/>
      <c r="I13" s="20">
        <f>G100</f>
        <v>-2791.7</v>
      </c>
      <c r="J13" s="20"/>
      <c r="K13" s="20">
        <f>I100</f>
        <v>-3158.8</v>
      </c>
      <c r="L13" s="20"/>
      <c r="M13" s="20"/>
      <c r="N13" s="20"/>
      <c r="O13" s="20"/>
      <c r="P13" s="20"/>
      <c r="Q13" s="20"/>
      <c r="R13" s="20"/>
      <c r="S13" s="20"/>
      <c r="T13" s="20"/>
      <c r="U13" s="20"/>
      <c r="V13" s="20"/>
      <c r="W13" s="20"/>
      <c r="X13" s="20"/>
      <c r="Y13" s="20"/>
      <c r="Z13" s="20"/>
      <c r="AA13" s="20"/>
      <c r="AB13" s="20"/>
      <c r="AC13" s="21"/>
      <c r="AD13" s="20">
        <f>E13</f>
        <v>-2483.1</v>
      </c>
      <c r="AE13" s="1236"/>
      <c r="AF13" s="20"/>
      <c r="AG13" s="1941">
        <f>'Exhibit I State'!AG13+'Exhibit I Federal'!AG13</f>
        <v>-1456</v>
      </c>
      <c r="AH13" s="20"/>
      <c r="AI13" s="94"/>
      <c r="AJ13" s="93">
        <f>+AD13-AG13</f>
        <v>-1027.0999999999999</v>
      </c>
      <c r="AK13" s="20"/>
      <c r="AL13" s="281">
        <f>ROUND(IF(AG13=0,0,-AJ13/(AG13)),3)</f>
        <v>-0.70499999999999996</v>
      </c>
      <c r="AM13" s="3"/>
    </row>
    <row r="14" spans="1:39" ht="15.75" customHeight="1">
      <c r="A14" s="291"/>
      <c r="B14" s="3"/>
      <c r="C14" s="3"/>
      <c r="D14" s="291"/>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666"/>
      <c r="AD14" s="268"/>
      <c r="AE14" s="1237"/>
      <c r="AF14" s="268"/>
      <c r="AG14" s="268"/>
      <c r="AH14" s="268"/>
      <c r="AI14" s="92"/>
    </row>
    <row r="15" spans="1:39">
      <c r="A15" s="291"/>
      <c r="B15" s="3" t="s">
        <v>557</v>
      </c>
      <c r="C15" s="291"/>
      <c r="D15" s="291"/>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666"/>
      <c r="AD15" s="268"/>
      <c r="AE15" s="1237"/>
      <c r="AF15" s="268"/>
      <c r="AG15" s="268"/>
      <c r="AH15" s="268"/>
      <c r="AI15" s="92"/>
    </row>
    <row r="16" spans="1:39">
      <c r="A16" s="291"/>
      <c r="B16" s="1211" t="s">
        <v>342</v>
      </c>
      <c r="C16" s="291"/>
      <c r="D16" s="291"/>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666"/>
      <c r="AD16" s="268"/>
      <c r="AE16" s="1237"/>
      <c r="AF16" s="268"/>
      <c r="AG16" s="268"/>
      <c r="AH16" s="268"/>
      <c r="AI16" s="92"/>
    </row>
    <row r="17" spans="1:40">
      <c r="A17" s="291"/>
      <c r="B17" s="412" t="s">
        <v>354</v>
      </c>
      <c r="C17" s="291"/>
      <c r="D17" s="291"/>
      <c r="E17" s="268"/>
      <c r="F17" s="268"/>
      <c r="G17" s="268"/>
      <c r="H17" s="268"/>
      <c r="I17" s="268"/>
      <c r="J17" s="268"/>
      <c r="K17" s="268"/>
      <c r="L17" s="268"/>
      <c r="M17" s="268"/>
      <c r="N17" s="268"/>
      <c r="O17" s="268"/>
      <c r="P17" s="268"/>
      <c r="Q17" s="268"/>
      <c r="R17" s="268"/>
      <c r="S17" s="268"/>
      <c r="T17" s="268"/>
      <c r="U17" s="268"/>
      <c r="V17" s="268"/>
      <c r="W17" s="268"/>
      <c r="X17" s="268"/>
      <c r="Y17" s="268"/>
      <c r="Z17" s="268"/>
      <c r="AA17" s="268"/>
      <c r="AB17" s="268"/>
      <c r="AC17" s="666"/>
      <c r="AD17" s="268"/>
      <c r="AE17" s="1237"/>
      <c r="AF17" s="268"/>
      <c r="AG17" s="268"/>
      <c r="AH17" s="268"/>
      <c r="AI17" s="92"/>
    </row>
    <row r="18" spans="1:40">
      <c r="A18" s="291"/>
      <c r="B18" s="284" t="s">
        <v>356</v>
      </c>
      <c r="C18" s="291"/>
      <c r="D18" s="291"/>
      <c r="E18" s="512">
        <f>+'Exhibit I State'!E18</f>
        <v>-0.3</v>
      </c>
      <c r="F18" s="512"/>
      <c r="G18" s="512">
        <f>+'Exhibit I State'!G18</f>
        <v>0</v>
      </c>
      <c r="H18" s="512"/>
      <c r="I18" s="512">
        <f>+'Exhibit I State'!I18</f>
        <v>23.8</v>
      </c>
      <c r="J18" s="264"/>
      <c r="K18" s="512">
        <f>+'Exhibit I State'!K18</f>
        <v>0.1000000000000007</v>
      </c>
      <c r="L18" s="735"/>
      <c r="M18" s="512"/>
      <c r="N18" s="735"/>
      <c r="O18" s="512"/>
      <c r="P18" s="512"/>
      <c r="Q18" s="512"/>
      <c r="R18" s="735"/>
      <c r="S18" s="512"/>
      <c r="T18" s="512"/>
      <c r="U18" s="512"/>
      <c r="V18" s="512"/>
      <c r="W18" s="512"/>
      <c r="X18" s="512"/>
      <c r="Y18" s="512"/>
      <c r="Z18" s="512"/>
      <c r="AA18" s="512"/>
      <c r="AB18" s="1232"/>
      <c r="AC18" s="735"/>
      <c r="AD18" s="264">
        <f>SUM(E18:AA18)</f>
        <v>23.6</v>
      </c>
      <c r="AE18" s="1233"/>
      <c r="AF18" s="898"/>
      <c r="AG18" s="938">
        <f>+'Exhibit I State'!AG18</f>
        <v>28.6</v>
      </c>
      <c r="AH18" s="899"/>
      <c r="AI18" s="900"/>
      <c r="AJ18" s="938">
        <f>ROUND(SUM(AD18-AG18),1)</f>
        <v>-5</v>
      </c>
      <c r="AK18" s="735"/>
      <c r="AL18" s="542">
        <f>ROUND(IF(AG18=0,0,AJ18/ABS(AG18)),3)</f>
        <v>-0.17499999999999999</v>
      </c>
      <c r="AM18" s="211"/>
    </row>
    <row r="19" spans="1:40">
      <c r="A19" s="291"/>
      <c r="B19" s="284" t="s">
        <v>359</v>
      </c>
      <c r="C19" s="291"/>
      <c r="D19" s="291"/>
      <c r="E19" s="512">
        <f>+'Exhibit I State'!E19</f>
        <v>29.1</v>
      </c>
      <c r="F19" s="512"/>
      <c r="G19" s="512">
        <f>+'Exhibit I State'!G19</f>
        <v>32</v>
      </c>
      <c r="H19" s="512"/>
      <c r="I19" s="512">
        <f>+'Exhibit I State'!I19</f>
        <v>34.300000000000004</v>
      </c>
      <c r="J19" s="264"/>
      <c r="K19" s="512">
        <f>+'Exhibit I State'!K19</f>
        <v>33.099999999999987</v>
      </c>
      <c r="L19" s="735"/>
      <c r="M19" s="512"/>
      <c r="N19" s="735"/>
      <c r="O19" s="512"/>
      <c r="P19" s="735"/>
      <c r="Q19" s="512"/>
      <c r="R19" s="735"/>
      <c r="S19" s="512"/>
      <c r="T19" s="512"/>
      <c r="U19" s="512"/>
      <c r="V19" s="512"/>
      <c r="W19" s="512"/>
      <c r="X19" s="512"/>
      <c r="Y19" s="512"/>
      <c r="Z19" s="512"/>
      <c r="AA19" s="512"/>
      <c r="AB19" s="1232"/>
      <c r="AC19" s="735"/>
      <c r="AD19" s="264">
        <f>ROUND(SUM(E19:AA19),1)</f>
        <v>128.5</v>
      </c>
      <c r="AE19" s="1233"/>
      <c r="AF19" s="898"/>
      <c r="AG19" s="938">
        <f>+'Exhibit I State'!AG19</f>
        <v>127.8</v>
      </c>
      <c r="AH19" s="899"/>
      <c r="AI19" s="900"/>
      <c r="AJ19" s="938">
        <f>ROUND(SUM(AD19-AG19),1)</f>
        <v>0.7</v>
      </c>
      <c r="AK19" s="735"/>
      <c r="AL19" s="374">
        <f>ROUND(IF(AG19=0,0,AJ19/ABS(AG19)),3)</f>
        <v>5.0000000000000001E-3</v>
      </c>
      <c r="AM19" s="211"/>
    </row>
    <row r="20" spans="1:40">
      <c r="A20" s="291"/>
      <c r="B20" s="284" t="s">
        <v>362</v>
      </c>
      <c r="C20" s="291"/>
      <c r="D20" s="291"/>
      <c r="E20" s="512">
        <f>+'Exhibit I State'!E20</f>
        <v>13.4</v>
      </c>
      <c r="F20" s="512"/>
      <c r="G20" s="512">
        <f>+'Exhibit I State'!G20</f>
        <v>8.9</v>
      </c>
      <c r="H20" s="512"/>
      <c r="I20" s="512">
        <f>+'Exhibit I State'!I20</f>
        <v>9.1</v>
      </c>
      <c r="J20" s="264"/>
      <c r="K20" s="512">
        <f>+'Exhibit I State'!K20</f>
        <v>13.200000000000001</v>
      </c>
      <c r="L20" s="735"/>
      <c r="M20" s="512"/>
      <c r="N20" s="735"/>
      <c r="O20" s="512"/>
      <c r="P20" s="735"/>
      <c r="Q20" s="512"/>
      <c r="R20" s="735"/>
      <c r="S20" s="512"/>
      <c r="T20" s="512"/>
      <c r="U20" s="512"/>
      <c r="V20" s="512"/>
      <c r="W20" s="512"/>
      <c r="X20" s="512"/>
      <c r="Y20" s="512"/>
      <c r="Z20" s="512"/>
      <c r="AA20" s="512"/>
      <c r="AB20" s="1232"/>
      <c r="AC20" s="735"/>
      <c r="AD20" s="264">
        <f>ROUND(SUM(E20:AA20),1)</f>
        <v>44.6</v>
      </c>
      <c r="AE20" s="1233"/>
      <c r="AF20" s="898"/>
      <c r="AG20" s="938">
        <f>+'Exhibit I State'!AG20</f>
        <v>45</v>
      </c>
      <c r="AH20" s="899"/>
      <c r="AI20" s="900"/>
      <c r="AJ20" s="938">
        <f>ROUND(SUM(AD20-AG20),1)</f>
        <v>-0.4</v>
      </c>
      <c r="AK20" s="735"/>
      <c r="AL20" s="542">
        <f>ROUND(IF(AG20=0,0,AJ20/ABS(AG20)),3)</f>
        <v>-8.9999999999999993E-3</v>
      </c>
      <c r="AM20" s="211"/>
    </row>
    <row r="21" spans="1:40">
      <c r="A21" s="291"/>
      <c r="B21" s="83" t="s">
        <v>558</v>
      </c>
      <c r="C21" s="291"/>
      <c r="D21" s="291"/>
      <c r="E21" s="68">
        <f>ROUND(SUM(E18:E20),1)</f>
        <v>42.2</v>
      </c>
      <c r="F21" s="13"/>
      <c r="G21" s="68">
        <f>ROUND(SUM(G18:G20),1)</f>
        <v>40.9</v>
      </c>
      <c r="H21" s="13"/>
      <c r="I21" s="68">
        <f>ROUND(SUM(I18:I20),1)</f>
        <v>67.2</v>
      </c>
      <c r="J21" s="13"/>
      <c r="K21" s="68">
        <f>ROUND(SUM(K18:K20),1)</f>
        <v>46.4</v>
      </c>
      <c r="L21" s="735"/>
      <c r="M21" s="68">
        <f>ROUND(SUM(M18:M20),1)</f>
        <v>0</v>
      </c>
      <c r="N21" s="735"/>
      <c r="O21" s="68">
        <f>ROUND(SUM(O18:O20),1)</f>
        <v>0</v>
      </c>
      <c r="P21" s="735"/>
      <c r="Q21" s="68">
        <f>ROUND(SUM(Q18:Q20),1)</f>
        <v>0</v>
      </c>
      <c r="R21" s="735"/>
      <c r="S21" s="68">
        <f>ROUND(SUM(S18:S20),1)</f>
        <v>0</v>
      </c>
      <c r="T21" s="735"/>
      <c r="U21" s="68">
        <f>ROUND(SUM(U18:U20),1)</f>
        <v>0</v>
      </c>
      <c r="V21" s="735"/>
      <c r="W21" s="68">
        <f>ROUND(SUM(W18:W20),1)</f>
        <v>0</v>
      </c>
      <c r="X21" s="735"/>
      <c r="Y21" s="68">
        <f>ROUND(SUM(Y18:Y20),1)</f>
        <v>0</v>
      </c>
      <c r="Z21" s="735"/>
      <c r="AA21" s="68">
        <f>ROUND(SUM(AA18:AA20),1)</f>
        <v>0</v>
      </c>
      <c r="AB21" s="1232"/>
      <c r="AC21" s="735"/>
      <c r="AD21" s="68">
        <f>ROUND(SUM(AD18:AD20),1)</f>
        <v>196.7</v>
      </c>
      <c r="AE21" s="1233"/>
      <c r="AF21" s="898"/>
      <c r="AG21" s="68">
        <f>ROUND(SUM(AG18:AG20),1)</f>
        <v>201.4</v>
      </c>
      <c r="AH21" s="899"/>
      <c r="AI21" s="900"/>
      <c r="AJ21" s="1093">
        <f>ROUND(SUM(AD21-AG21),1)</f>
        <v>-4.7</v>
      </c>
      <c r="AK21" s="83"/>
      <c r="AL21" s="1069">
        <f>ROUND(IF(AG21=0,0,AJ21/ABS(AG21)),3)</f>
        <v>-2.3E-2</v>
      </c>
      <c r="AM21" s="211"/>
    </row>
    <row r="22" spans="1:40">
      <c r="A22" s="291"/>
      <c r="B22" s="412" t="s">
        <v>366</v>
      </c>
      <c r="C22" s="291"/>
      <c r="D22" s="291"/>
      <c r="E22" s="13"/>
      <c r="F22" s="13"/>
      <c r="G22" s="13"/>
      <c r="H22" s="13"/>
      <c r="I22" s="13"/>
      <c r="J22" s="13"/>
      <c r="K22" s="13"/>
      <c r="L22" s="735"/>
      <c r="M22" s="13"/>
      <c r="N22" s="735"/>
      <c r="O22" s="13"/>
      <c r="P22" s="735"/>
      <c r="Q22" s="13"/>
      <c r="R22" s="735"/>
      <c r="S22" s="13"/>
      <c r="T22" s="735"/>
      <c r="U22" s="13"/>
      <c r="V22" s="735"/>
      <c r="W22" s="13"/>
      <c r="X22" s="735"/>
      <c r="Y22" s="13"/>
      <c r="Z22" s="735"/>
      <c r="AA22" s="13"/>
      <c r="AB22" s="1232"/>
      <c r="AC22" s="735"/>
      <c r="AD22" s="13"/>
      <c r="AE22" s="1233"/>
      <c r="AF22" s="898"/>
      <c r="AG22" s="13"/>
      <c r="AH22" s="899"/>
      <c r="AI22" s="900"/>
      <c r="AJ22" s="413"/>
      <c r="AK22" s="83"/>
      <c r="AL22" s="2"/>
      <c r="AM22" s="211"/>
    </row>
    <row r="23" spans="1:40">
      <c r="A23" s="291"/>
      <c r="B23" s="284" t="s">
        <v>367</v>
      </c>
      <c r="C23" s="291"/>
      <c r="D23" s="291"/>
      <c r="E23" s="512">
        <f>+'Exhibit I State'!E23</f>
        <v>0</v>
      </c>
      <c r="F23" s="512"/>
      <c r="G23" s="512">
        <f>+'Exhibit I State'!G23</f>
        <v>0</v>
      </c>
      <c r="H23" s="512"/>
      <c r="I23" s="512">
        <f>+'Exhibit I State'!I23</f>
        <v>0</v>
      </c>
      <c r="J23" s="13"/>
      <c r="K23" s="512">
        <f>+'Exhibit I State'!K23</f>
        <v>0</v>
      </c>
      <c r="L23" s="735"/>
      <c r="M23" s="512"/>
      <c r="N23" s="735"/>
      <c r="O23" s="512"/>
      <c r="P23" s="735"/>
      <c r="Q23" s="512"/>
      <c r="R23" s="735"/>
      <c r="S23" s="512"/>
      <c r="T23" s="512"/>
      <c r="U23" s="512"/>
      <c r="V23" s="512"/>
      <c r="W23" s="512"/>
      <c r="X23" s="512"/>
      <c r="Y23" s="512"/>
      <c r="Z23" s="512"/>
      <c r="AA23" s="512"/>
      <c r="AB23" s="1232"/>
      <c r="AC23" s="735"/>
      <c r="AD23" s="264">
        <v>0</v>
      </c>
      <c r="AE23" s="1233"/>
      <c r="AF23" s="898"/>
      <c r="AG23" s="938">
        <f>+'Exhibit I State'!AG23</f>
        <v>0</v>
      </c>
      <c r="AH23" s="899"/>
      <c r="AI23" s="900"/>
      <c r="AJ23" s="938">
        <f>ROUND(SUM(AD23-AG23),1)</f>
        <v>0</v>
      </c>
      <c r="AK23" s="735"/>
      <c r="AL23" s="1055">
        <f>ROUND(IF(AG23=0,0,AJ23/ABS(AG23)),3)</f>
        <v>0</v>
      </c>
      <c r="AM23" s="211"/>
      <c r="AN23" s="80"/>
    </row>
    <row r="24" spans="1:40">
      <c r="A24" s="291"/>
      <c r="B24" s="284" t="s">
        <v>368</v>
      </c>
      <c r="C24" s="291"/>
      <c r="D24" s="291"/>
      <c r="E24" s="512">
        <f>+'Exhibit I State'!E24</f>
        <v>2</v>
      </c>
      <c r="F24" s="512"/>
      <c r="G24" s="512">
        <f>+'Exhibit I State'!G24</f>
        <v>-0.10000000000000009</v>
      </c>
      <c r="H24" s="512"/>
      <c r="I24" s="512">
        <f>+'Exhibit I State'!I24</f>
        <v>0.90000000000000036</v>
      </c>
      <c r="J24" s="13"/>
      <c r="K24" s="512">
        <f>+'Exhibit I State'!K24</f>
        <v>0.39999999999999991</v>
      </c>
      <c r="L24" s="735"/>
      <c r="M24" s="512"/>
      <c r="N24" s="735"/>
      <c r="O24" s="512"/>
      <c r="P24" s="735"/>
      <c r="Q24" s="512"/>
      <c r="R24" s="735"/>
      <c r="S24" s="512"/>
      <c r="T24" s="512"/>
      <c r="U24" s="512"/>
      <c r="V24" s="512"/>
      <c r="W24" s="512"/>
      <c r="X24" s="512"/>
      <c r="Y24" s="512"/>
      <c r="Z24" s="512"/>
      <c r="AA24" s="512"/>
      <c r="AB24" s="1232"/>
      <c r="AC24" s="735"/>
      <c r="AD24" s="264">
        <f>ROUND(SUM(E24:AA24),1)</f>
        <v>3.2</v>
      </c>
      <c r="AE24" s="1233"/>
      <c r="AF24" s="898"/>
      <c r="AG24" s="938">
        <f>+'Exhibit I State'!AG24</f>
        <v>5.0999999999999996</v>
      </c>
      <c r="AH24" s="899"/>
      <c r="AI24" s="900"/>
      <c r="AJ24" s="938">
        <f>ROUND(SUM(AD24-AG24),1)</f>
        <v>-1.9</v>
      </c>
      <c r="AK24" s="735"/>
      <c r="AL24" s="542">
        <f>ROUND(IF(AG24=0,1,AJ24/ABS(AG24)),3)</f>
        <v>-0.373</v>
      </c>
      <c r="AM24" s="211"/>
      <c r="AN24" s="80"/>
    </row>
    <row r="25" spans="1:40">
      <c r="A25" s="291"/>
      <c r="B25" s="284" t="s">
        <v>372</v>
      </c>
      <c r="C25" s="291"/>
      <c r="D25" s="291"/>
      <c r="E25" s="512">
        <f>+'Exhibit I State'!E25</f>
        <v>41.9</v>
      </c>
      <c r="F25" s="512"/>
      <c r="G25" s="512">
        <f>+'Exhibit I State'!G25</f>
        <v>44.000000000000007</v>
      </c>
      <c r="H25" s="512"/>
      <c r="I25" s="512">
        <f>+'Exhibit I State'!I25</f>
        <v>50.199999999999996</v>
      </c>
      <c r="J25" s="13"/>
      <c r="K25" s="512">
        <f>+'Exhibit I State'!K25</f>
        <v>55.500000000000007</v>
      </c>
      <c r="L25" s="735"/>
      <c r="M25" s="512"/>
      <c r="N25" s="735"/>
      <c r="O25" s="512"/>
      <c r="P25" s="735"/>
      <c r="Q25" s="512"/>
      <c r="R25" s="735"/>
      <c r="S25" s="512"/>
      <c r="T25" s="512"/>
      <c r="U25" s="512"/>
      <c r="V25" s="512"/>
      <c r="W25" s="512"/>
      <c r="X25" s="512"/>
      <c r="Y25" s="512"/>
      <c r="Z25" s="512"/>
      <c r="AA25" s="512"/>
      <c r="AB25" s="1232"/>
      <c r="AC25" s="735"/>
      <c r="AD25" s="264">
        <f>ROUND(SUM(E25:AA25),1)</f>
        <v>191.6</v>
      </c>
      <c r="AE25" s="1233"/>
      <c r="AF25" s="898"/>
      <c r="AG25" s="938">
        <f>+'Exhibit I State'!AG25</f>
        <v>191.4</v>
      </c>
      <c r="AH25" s="899"/>
      <c r="AI25" s="900"/>
      <c r="AJ25" s="938">
        <f>ROUND(SUM(AD25-AG25),1)</f>
        <v>0.2</v>
      </c>
      <c r="AK25" s="735"/>
      <c r="AL25" s="266">
        <f>ROUND(IF(AG25=0,0,AJ25/ABS(AG25)),3)</f>
        <v>1E-3</v>
      </c>
      <c r="AM25" s="211"/>
      <c r="AN25" s="80"/>
    </row>
    <row r="26" spans="1:40">
      <c r="A26" s="291"/>
      <c r="B26" s="83" t="s">
        <v>559</v>
      </c>
      <c r="C26" s="291"/>
      <c r="D26" s="291"/>
      <c r="E26" s="68">
        <f>ROUND(SUM(E23:E25),1)</f>
        <v>43.9</v>
      </c>
      <c r="F26" s="531"/>
      <c r="G26" s="68">
        <f>ROUND(SUM(G23:G25),1)</f>
        <v>43.9</v>
      </c>
      <c r="H26" s="531"/>
      <c r="I26" s="68">
        <f>ROUND(SUM(I23:I25),1)</f>
        <v>51.1</v>
      </c>
      <c r="J26" s="13"/>
      <c r="K26" s="68">
        <f>ROUND(SUM(K23:K25),1)</f>
        <v>55.9</v>
      </c>
      <c r="L26" s="735"/>
      <c r="M26" s="68">
        <f>ROUND(SUM(M23:M25),1)</f>
        <v>0</v>
      </c>
      <c r="N26" s="735"/>
      <c r="O26" s="68">
        <f>ROUND(SUM(O23:O25),1)</f>
        <v>0</v>
      </c>
      <c r="P26" s="735"/>
      <c r="Q26" s="68">
        <f>ROUND(SUM(Q23:Q25),1)</f>
        <v>0</v>
      </c>
      <c r="R26" s="735"/>
      <c r="S26" s="68">
        <f>ROUND(SUM(S23:S25),1)</f>
        <v>0</v>
      </c>
      <c r="T26" s="735"/>
      <c r="U26" s="68">
        <f>ROUND(SUM(U23:U25),1)</f>
        <v>0</v>
      </c>
      <c r="V26" s="735"/>
      <c r="W26" s="68">
        <f>ROUND(SUM(W23:W25),1)</f>
        <v>0</v>
      </c>
      <c r="X26" s="735"/>
      <c r="Y26" s="68">
        <f>ROUND(SUM(Y23:Y25),1)</f>
        <v>0</v>
      </c>
      <c r="Z26" s="735"/>
      <c r="AA26" s="68">
        <f>ROUND(SUM(AA23:AA25),1)</f>
        <v>0</v>
      </c>
      <c r="AB26" s="1232"/>
      <c r="AC26" s="735"/>
      <c r="AD26" s="68">
        <f>ROUND(SUM(AD23:AD25),1)</f>
        <v>194.8</v>
      </c>
      <c r="AE26" s="1233"/>
      <c r="AF26" s="898"/>
      <c r="AG26" s="68">
        <f>ROUND(SUM(AG23:AG25),1)</f>
        <v>196.5</v>
      </c>
      <c r="AH26" s="899"/>
      <c r="AI26" s="900"/>
      <c r="AJ26" s="68">
        <f>ROUND(SUM(AJ23:AJ25),1)</f>
        <v>-1.7</v>
      </c>
      <c r="AK26" s="735"/>
      <c r="AL26" s="537">
        <f>ROUND(IF(AG26=0,0,AJ26/ABS(AG26)),3)</f>
        <v>-8.9999999999999993E-3</v>
      </c>
      <c r="AM26" s="211"/>
      <c r="AN26" s="80"/>
    </row>
    <row r="27" spans="1:40">
      <c r="A27" s="291"/>
      <c r="B27" s="412" t="s">
        <v>374</v>
      </c>
      <c r="C27" s="291"/>
      <c r="D27" s="291"/>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666"/>
      <c r="AD27" s="268"/>
      <c r="AE27" s="1237"/>
      <c r="AF27" s="268"/>
      <c r="AG27" s="268"/>
      <c r="AH27" s="268"/>
      <c r="AI27" s="92"/>
    </row>
    <row r="28" spans="1:40">
      <c r="A28" s="291"/>
      <c r="B28" s="284" t="s">
        <v>378</v>
      </c>
      <c r="C28" s="291"/>
      <c r="D28" s="291"/>
      <c r="E28" s="512">
        <f>+'Exhibit I State'!E28</f>
        <v>0</v>
      </c>
      <c r="F28" s="512"/>
      <c r="G28" s="512">
        <f>+'Exhibit I State'!G28</f>
        <v>0</v>
      </c>
      <c r="H28" s="512"/>
      <c r="I28" s="512">
        <f>+'Exhibit I State'!I28</f>
        <v>25.7</v>
      </c>
      <c r="J28" s="13"/>
      <c r="K28" s="512">
        <f>+'Exhibit I State'!K28</f>
        <v>25.8</v>
      </c>
      <c r="L28" s="735"/>
      <c r="M28" s="512"/>
      <c r="N28" s="735"/>
      <c r="O28" s="512"/>
      <c r="P28" s="735"/>
      <c r="Q28" s="512"/>
      <c r="R28" s="735"/>
      <c r="S28" s="512"/>
      <c r="T28" s="512"/>
      <c r="U28" s="512"/>
      <c r="V28" s="512"/>
      <c r="W28" s="512"/>
      <c r="X28" s="512"/>
      <c r="Y28" s="512"/>
      <c r="Z28" s="512"/>
      <c r="AA28" s="512"/>
      <c r="AB28" s="1232"/>
      <c r="AC28" s="735"/>
      <c r="AD28" s="264">
        <f>ROUND(SUM(E28:AA28),1)</f>
        <v>51.5</v>
      </c>
      <c r="AE28" s="1233"/>
      <c r="AF28" s="898"/>
      <c r="AG28" s="938">
        <f>+'Exhibit I State'!AG28</f>
        <v>51.5</v>
      </c>
      <c r="AH28" s="899"/>
      <c r="AI28" s="900"/>
      <c r="AJ28" s="938">
        <f>ROUND(SUM(AD28-AG28),1)</f>
        <v>0</v>
      </c>
      <c r="AK28" s="735"/>
      <c r="AL28" s="266">
        <f>ROUND(IF(AG28=0,0,AJ28/ABS(AG28)),3)</f>
        <v>0</v>
      </c>
      <c r="AM28" s="211"/>
      <c r="AN28" s="80"/>
    </row>
    <row r="29" spans="1:40">
      <c r="A29" s="291"/>
      <c r="B29" s="83" t="s">
        <v>560</v>
      </c>
      <c r="C29" s="291"/>
      <c r="D29" s="291"/>
      <c r="E29" s="68">
        <f>ROUND(SUM(E28:E28),1)</f>
        <v>0</v>
      </c>
      <c r="F29" s="13"/>
      <c r="G29" s="68">
        <f>ROUND(SUM(G28:G28),1)</f>
        <v>0</v>
      </c>
      <c r="H29" s="13"/>
      <c r="I29" s="68">
        <f>ROUND(SUM(I28:I28),1)</f>
        <v>25.7</v>
      </c>
      <c r="J29" s="13"/>
      <c r="K29" s="68">
        <f>ROUND(SUM(K28:K28),1)</f>
        <v>25.8</v>
      </c>
      <c r="L29" s="735"/>
      <c r="M29" s="68">
        <f>ROUND(SUM(M28:M28),1)</f>
        <v>0</v>
      </c>
      <c r="N29" s="735"/>
      <c r="O29" s="68">
        <f>ROUND(SUM(O28:O28),1)</f>
        <v>0</v>
      </c>
      <c r="P29" s="735"/>
      <c r="Q29" s="68">
        <f>ROUND(SUM(Q28:Q28),1)</f>
        <v>0</v>
      </c>
      <c r="R29" s="735"/>
      <c r="S29" s="68">
        <f>ROUND(SUM(S28:S28),1)</f>
        <v>0</v>
      </c>
      <c r="T29" s="735"/>
      <c r="U29" s="68">
        <f>ROUND(SUM(U28:U28),1)</f>
        <v>0</v>
      </c>
      <c r="V29" s="735"/>
      <c r="W29" s="68">
        <f>ROUND(SUM(W28:W28),1)</f>
        <v>0</v>
      </c>
      <c r="X29" s="735"/>
      <c r="Y29" s="68">
        <f>ROUND(SUM(Y28:Y28),1)</f>
        <v>0</v>
      </c>
      <c r="Z29" s="735"/>
      <c r="AA29" s="68">
        <f>ROUND(SUM(AA28:AA28),1)</f>
        <v>0</v>
      </c>
      <c r="AB29" s="1232"/>
      <c r="AC29" s="735"/>
      <c r="AD29" s="68">
        <f>ROUND(SUM(AD28:AD28),1)</f>
        <v>51.5</v>
      </c>
      <c r="AE29" s="1233"/>
      <c r="AF29" s="898"/>
      <c r="AG29" s="68">
        <f>ROUND(SUM(AG28:AG28),1)</f>
        <v>51.5</v>
      </c>
      <c r="AH29" s="899"/>
      <c r="AI29" s="900"/>
      <c r="AJ29" s="1093">
        <f>ROUND(SUM(AD29-AG29),1)</f>
        <v>0</v>
      </c>
      <c r="AK29" s="83"/>
      <c r="AL29" s="537">
        <f>ROUND(IF(AG29=0,0,AJ29/ABS(AG29)),3)</f>
        <v>0</v>
      </c>
      <c r="AM29" s="211"/>
      <c r="AN29" s="80"/>
    </row>
    <row r="30" spans="1:40">
      <c r="A30" s="291"/>
      <c r="B30" s="83"/>
      <c r="C30" s="291"/>
      <c r="D30" s="291"/>
      <c r="E30" s="1094"/>
      <c r="F30" s="13"/>
      <c r="G30" s="1094"/>
      <c r="H30" s="13"/>
      <c r="I30" s="1094"/>
      <c r="J30" s="13"/>
      <c r="K30" s="1094"/>
      <c r="L30" s="735"/>
      <c r="M30" s="1094"/>
      <c r="N30" s="735"/>
      <c r="O30" s="1094"/>
      <c r="P30" s="735"/>
      <c r="Q30" s="1094"/>
      <c r="R30" s="735"/>
      <c r="S30" s="1094"/>
      <c r="T30" s="735"/>
      <c r="U30" s="1094"/>
      <c r="V30" s="735"/>
      <c r="W30" s="1094"/>
      <c r="X30" s="735"/>
      <c r="Y30" s="1094"/>
      <c r="Z30" s="735"/>
      <c r="AA30" s="1094"/>
      <c r="AB30" s="1232"/>
      <c r="AC30" s="735"/>
      <c r="AD30" s="1094"/>
      <c r="AE30" s="1233"/>
      <c r="AF30" s="898"/>
      <c r="AG30" s="898"/>
      <c r="AH30" s="899"/>
      <c r="AI30" s="900"/>
      <c r="AJ30" s="898"/>
      <c r="AK30" s="735"/>
      <c r="AL30" s="735"/>
      <c r="AM30" s="211"/>
      <c r="AN30" s="80"/>
    </row>
    <row r="31" spans="1:40">
      <c r="A31" s="291"/>
      <c r="B31" s="83" t="s">
        <v>382</v>
      </c>
      <c r="C31" s="291"/>
      <c r="D31" s="291"/>
      <c r="E31" s="1038">
        <f>ROUND(SUM(E9+E26+E21+E29),1)</f>
        <v>86.1</v>
      </c>
      <c r="F31" s="264"/>
      <c r="G31" s="1038">
        <f>ROUND(SUM(G9+G26+G21+G29),1)</f>
        <v>84.8</v>
      </c>
      <c r="H31" s="264"/>
      <c r="I31" s="1038">
        <f>ROUND(SUM(I9+I26+I21+I29),1)</f>
        <v>144</v>
      </c>
      <c r="J31" s="264"/>
      <c r="K31" s="1038">
        <f>ROUND(SUM(K9+K26+K21+K29),1)</f>
        <v>128.1</v>
      </c>
      <c r="L31" s="735"/>
      <c r="M31" s="1038">
        <f>ROUND(SUM(M9+M26+M21+M29),1)</f>
        <v>0</v>
      </c>
      <c r="N31" s="735"/>
      <c r="O31" s="1038">
        <f>ROUND(SUM(O9+O26+O21+O29),1)</f>
        <v>0</v>
      </c>
      <c r="P31" s="735"/>
      <c r="Q31" s="1038">
        <f>ROUND(SUM(Q9+Q26+Q21+Q29),1)</f>
        <v>0</v>
      </c>
      <c r="R31" s="735"/>
      <c r="S31" s="1011">
        <f>ROUND(SUM(S9+S26+S21+S29),1)</f>
        <v>0</v>
      </c>
      <c r="T31" s="735"/>
      <c r="U31" s="1011">
        <f>ROUND(SUM(U9+U26+U21+U29),1)</f>
        <v>0</v>
      </c>
      <c r="V31" s="735"/>
      <c r="W31" s="1011">
        <f>ROUND(SUM(W9+W26+W21+W29),1)</f>
        <v>0</v>
      </c>
      <c r="X31" s="735"/>
      <c r="Y31" s="1011">
        <f>ROUND(SUM(Y9+Y26+Y21+Y29),1)</f>
        <v>0</v>
      </c>
      <c r="Z31" s="735"/>
      <c r="AA31" s="1011">
        <f>ROUND(SUM(AA9+AA26+AA21+AA29),1)</f>
        <v>0</v>
      </c>
      <c r="AB31" s="1232"/>
      <c r="AC31" s="735"/>
      <c r="AD31" s="1011">
        <f>ROUND(SUM(AD26+AD21+AD29),1)</f>
        <v>443</v>
      </c>
      <c r="AE31" s="1233"/>
      <c r="AF31" s="898"/>
      <c r="AG31" s="1011">
        <f>ROUND(SUM(AG26+AG21+AG29),1)</f>
        <v>449.4</v>
      </c>
      <c r="AH31" s="899"/>
      <c r="AI31" s="900"/>
      <c r="AJ31" s="1057">
        <f>ROUND(SUM(AD31-AG31),1)</f>
        <v>-6.4</v>
      </c>
      <c r="AK31" s="83"/>
      <c r="AL31" s="538">
        <f>ROUND(IF(AG31=0,0,AJ31/ABS(AG31)),3)</f>
        <v>-1.4E-2</v>
      </c>
      <c r="AM31" s="211"/>
      <c r="AN31" s="80"/>
    </row>
    <row r="32" spans="1:40">
      <c r="A32" s="291"/>
      <c r="B32" s="83"/>
      <c r="C32" s="291"/>
      <c r="D32" s="291"/>
      <c r="E32" s="609"/>
      <c r="F32" s="264"/>
      <c r="G32" s="609"/>
      <c r="H32" s="264"/>
      <c r="I32" s="609"/>
      <c r="J32" s="264"/>
      <c r="K32" s="609"/>
      <c r="L32" s="735"/>
      <c r="M32" s="609"/>
      <c r="N32" s="735"/>
      <c r="O32" s="609"/>
      <c r="P32" s="735"/>
      <c r="Q32" s="609"/>
      <c r="R32" s="735"/>
      <c r="S32" s="414"/>
      <c r="T32" s="735"/>
      <c r="U32" s="414"/>
      <c r="V32" s="735"/>
      <c r="W32" s="414"/>
      <c r="X32" s="735"/>
      <c r="Y32" s="414"/>
      <c r="Z32" s="735"/>
      <c r="AA32" s="414"/>
      <c r="AB32" s="1232"/>
      <c r="AC32" s="735"/>
      <c r="AD32" s="414"/>
      <c r="AE32" s="1233"/>
      <c r="AF32" s="898"/>
      <c r="AG32" s="414"/>
      <c r="AH32" s="899"/>
      <c r="AI32" s="900"/>
      <c r="AJ32" s="413"/>
      <c r="AK32" s="83"/>
      <c r="AL32" s="281"/>
      <c r="AM32" s="211"/>
      <c r="AN32" s="80"/>
    </row>
    <row r="33" spans="1:39">
      <c r="A33" s="291"/>
      <c r="B33" s="1211" t="s">
        <v>383</v>
      </c>
      <c r="C33" s="291"/>
      <c r="D33" s="291"/>
      <c r="E33" s="275"/>
      <c r="F33" s="264"/>
      <c r="G33" s="275"/>
      <c r="H33" s="264"/>
      <c r="I33" s="275"/>
      <c r="J33" s="264"/>
      <c r="K33" s="275"/>
      <c r="L33" s="264"/>
      <c r="M33" s="275"/>
      <c r="N33" s="264"/>
      <c r="O33" s="275"/>
      <c r="P33" s="264"/>
      <c r="Q33" s="275"/>
      <c r="R33" s="264"/>
      <c r="S33" s="275"/>
      <c r="T33" s="264"/>
      <c r="U33" s="275"/>
      <c r="V33" s="264"/>
      <c r="W33" s="275"/>
      <c r="X33" s="264"/>
      <c r="Y33" s="275"/>
      <c r="Z33" s="264"/>
      <c r="AA33" s="275"/>
      <c r="AB33" s="264"/>
      <c r="AC33" s="523"/>
      <c r="AD33" s="289"/>
      <c r="AE33" s="1238"/>
      <c r="AF33" s="367"/>
      <c r="AG33" s="1942"/>
      <c r="AH33" s="287"/>
      <c r="AI33" s="97"/>
      <c r="AJ33" s="12"/>
      <c r="AK33" s="95"/>
      <c r="AL33" s="266"/>
    </row>
    <row r="34" spans="1:39">
      <c r="A34" s="291"/>
      <c r="B34" s="350" t="s">
        <v>384</v>
      </c>
      <c r="C34" s="291"/>
      <c r="D34" s="291"/>
      <c r="E34" s="275"/>
      <c r="F34" s="264"/>
      <c r="G34" s="275"/>
      <c r="H34" s="264"/>
      <c r="I34" s="275"/>
      <c r="J34" s="264"/>
      <c r="K34" s="275"/>
      <c r="L34" s="264"/>
      <c r="M34" s="275"/>
      <c r="N34" s="264"/>
      <c r="O34" s="275"/>
      <c r="P34" s="264"/>
      <c r="Q34" s="275"/>
      <c r="R34" s="264"/>
      <c r="S34" s="275"/>
      <c r="T34" s="264"/>
      <c r="U34" s="275"/>
      <c r="V34" s="264"/>
      <c r="W34" s="275"/>
      <c r="X34" s="264"/>
      <c r="Y34" s="275"/>
      <c r="Z34" s="264"/>
      <c r="AA34" s="275"/>
      <c r="AB34" s="264"/>
      <c r="AC34" s="523"/>
      <c r="AD34" s="289"/>
      <c r="AE34" s="1238"/>
      <c r="AF34" s="367"/>
      <c r="AG34" s="1942"/>
      <c r="AH34" s="287"/>
      <c r="AI34" s="97"/>
      <c r="AJ34" s="12"/>
      <c r="AK34" s="95"/>
      <c r="AL34" s="266"/>
    </row>
    <row r="35" spans="1:39">
      <c r="A35" s="291"/>
      <c r="B35" s="350" t="s">
        <v>1441</v>
      </c>
      <c r="C35" s="291"/>
      <c r="D35" s="291"/>
      <c r="E35" s="275">
        <f>+'Exhibit I State'!E35+'Exhibit I Federal'!E18</f>
        <v>0</v>
      </c>
      <c r="F35" s="275"/>
      <c r="G35" s="275">
        <f>+'Exhibit I State'!G35+'Exhibit I Federal'!G18</f>
        <v>0</v>
      </c>
      <c r="H35" s="275"/>
      <c r="I35" s="275">
        <f>+'Exhibit I State'!I35+'Exhibit I Federal'!I18</f>
        <v>0</v>
      </c>
      <c r="J35" s="264"/>
      <c r="K35" s="275">
        <f>+'Exhibit I State'!K35+'Exhibit I Federal'!K18</f>
        <v>0</v>
      </c>
      <c r="L35" s="264"/>
      <c r="M35" s="275"/>
      <c r="N35" s="264"/>
      <c r="O35" s="275"/>
      <c r="P35" s="264"/>
      <c r="Q35" s="275"/>
      <c r="R35" s="264"/>
      <c r="S35" s="275"/>
      <c r="T35" s="275"/>
      <c r="U35" s="275"/>
      <c r="V35" s="275"/>
      <c r="W35" s="275"/>
      <c r="X35" s="275"/>
      <c r="Y35" s="275"/>
      <c r="Z35" s="275"/>
      <c r="AA35" s="275"/>
      <c r="AB35" s="264"/>
      <c r="AC35" s="523"/>
      <c r="AD35" s="289">
        <f>ROUND(SUM(E35:AA35),1)</f>
        <v>0</v>
      </c>
      <c r="AE35" s="1238"/>
      <c r="AF35" s="367"/>
      <c r="AG35" s="1942">
        <f>+'Exhibit I State'!AG35+'Exhibit I Federal'!AG18</f>
        <v>0</v>
      </c>
      <c r="AH35" s="287"/>
      <c r="AI35" s="97"/>
      <c r="AJ35" s="12">
        <f t="shared" ref="AJ35" si="0">ROUND(SUM(+AD35-AG35),1)</f>
        <v>0</v>
      </c>
      <c r="AK35" s="95"/>
      <c r="AL35" s="266">
        <f>ROUND(IF(AG35=0,0,AJ35/ABS(AG35)),3)</f>
        <v>0</v>
      </c>
      <c r="AM35" s="12"/>
    </row>
    <row r="36" spans="1:39">
      <c r="A36" s="291"/>
      <c r="B36" s="350" t="s">
        <v>561</v>
      </c>
      <c r="C36" s="291"/>
      <c r="D36" s="291"/>
      <c r="E36" s="275">
        <f>+'Exhibit I State'!E36+'Exhibit I Federal'!E19</f>
        <v>0</v>
      </c>
      <c r="F36" s="275"/>
      <c r="G36" s="275">
        <f>+'Exhibit I State'!G36+'Exhibit I Federal'!G19</f>
        <v>0</v>
      </c>
      <c r="H36" s="275"/>
      <c r="I36" s="275">
        <f>+'Exhibit I State'!I36+'Exhibit I Federal'!I19</f>
        <v>23</v>
      </c>
      <c r="J36" s="264"/>
      <c r="K36" s="275">
        <f>+'Exhibit I State'!K36+'Exhibit I Federal'!K19</f>
        <v>0</v>
      </c>
      <c r="L36" s="264"/>
      <c r="M36" s="275"/>
      <c r="N36" s="264"/>
      <c r="O36" s="275"/>
      <c r="P36" s="264"/>
      <c r="Q36" s="275"/>
      <c r="R36" s="264"/>
      <c r="S36" s="275"/>
      <c r="T36" s="275"/>
      <c r="U36" s="275"/>
      <c r="V36" s="275"/>
      <c r="W36" s="275"/>
      <c r="X36" s="275"/>
      <c r="Y36" s="275"/>
      <c r="Z36" s="275"/>
      <c r="AA36" s="275"/>
      <c r="AB36" s="264"/>
      <c r="AC36" s="523"/>
      <c r="AD36" s="289">
        <f>ROUND(SUM(E36:AA36),1)</f>
        <v>23</v>
      </c>
      <c r="AE36" s="1238"/>
      <c r="AF36" s="367"/>
      <c r="AG36" s="1942">
        <f>+'Exhibit I State'!AG36+'Exhibit I Federal'!AG19</f>
        <v>23</v>
      </c>
      <c r="AH36" s="287"/>
      <c r="AI36" s="97"/>
      <c r="AJ36" s="12">
        <f t="shared" ref="AJ36:AJ59" si="1">ROUND(SUM(+AD36-AG36),1)</f>
        <v>0</v>
      </c>
      <c r="AK36" s="95"/>
      <c r="AL36" s="266">
        <f>ROUND(IF(AG36=0,0,AJ36/ABS(AG36)),3)</f>
        <v>0</v>
      </c>
      <c r="AM36" s="12"/>
    </row>
    <row r="37" spans="1:39">
      <c r="A37" s="291"/>
      <c r="B37" s="350" t="s">
        <v>387</v>
      </c>
      <c r="C37" s="291"/>
      <c r="D37" s="291"/>
      <c r="E37" s="275"/>
      <c r="F37" s="275"/>
      <c r="G37" s="275"/>
      <c r="H37" s="275"/>
      <c r="I37" s="275"/>
      <c r="J37" s="264"/>
      <c r="K37" s="275"/>
      <c r="L37" s="264"/>
      <c r="M37" s="275"/>
      <c r="N37" s="264"/>
      <c r="O37" s="275"/>
      <c r="P37" s="264"/>
      <c r="Q37" s="275"/>
      <c r="R37" s="264"/>
      <c r="S37" s="275"/>
      <c r="T37" s="275"/>
      <c r="U37" s="275"/>
      <c r="V37" s="275"/>
      <c r="W37" s="275"/>
      <c r="X37" s="275"/>
      <c r="Y37" s="275"/>
      <c r="Z37" s="275"/>
      <c r="AA37" s="275"/>
      <c r="AB37" s="264"/>
      <c r="AC37" s="523"/>
      <c r="AD37" s="289"/>
      <c r="AE37" s="1238"/>
      <c r="AF37" s="367"/>
      <c r="AG37" s="1942"/>
      <c r="AH37" s="287"/>
      <c r="AI37" s="97"/>
      <c r="AJ37" s="12"/>
      <c r="AK37" s="95"/>
      <c r="AL37" s="266"/>
      <c r="AM37" s="12"/>
    </row>
    <row r="38" spans="1:39">
      <c r="A38" s="291"/>
      <c r="B38" s="350" t="s">
        <v>483</v>
      </c>
      <c r="C38" s="291"/>
      <c r="D38" s="291"/>
      <c r="E38" s="275">
        <f>+'Exhibit I State'!E38+'Exhibit I Federal'!E21</f>
        <v>1.9</v>
      </c>
      <c r="F38" s="275"/>
      <c r="G38" s="275">
        <f>+'Exhibit I State'!G38+'Exhibit I Federal'!G21</f>
        <v>5.5</v>
      </c>
      <c r="H38" s="275"/>
      <c r="I38" s="275">
        <f>+'Exhibit I State'!I38+'Exhibit I Federal'!I21</f>
        <v>3.1999999999999997</v>
      </c>
      <c r="J38" s="264"/>
      <c r="K38" s="275">
        <f>+'Exhibit I State'!K38+'Exhibit I Federal'!K21</f>
        <v>5.0999999999999996</v>
      </c>
      <c r="L38" s="264"/>
      <c r="M38" s="275"/>
      <c r="N38" s="264"/>
      <c r="O38" s="275"/>
      <c r="P38" s="264"/>
      <c r="Q38" s="275"/>
      <c r="R38" s="264"/>
      <c r="S38" s="275"/>
      <c r="T38" s="275"/>
      <c r="U38" s="275"/>
      <c r="V38" s="275"/>
      <c r="W38" s="275"/>
      <c r="X38" s="275"/>
      <c r="Y38" s="275"/>
      <c r="Z38" s="275"/>
      <c r="AA38" s="275"/>
      <c r="AB38" s="264"/>
      <c r="AC38" s="523"/>
      <c r="AD38" s="289">
        <f>ROUND(SUM(E38:AA38),1)</f>
        <v>15.7</v>
      </c>
      <c r="AE38" s="1238"/>
      <c r="AF38" s="367"/>
      <c r="AG38" s="1942">
        <f>+'Exhibit I State'!AG38+'Exhibit I Federal'!AG21</f>
        <v>21.4</v>
      </c>
      <c r="AH38" s="287"/>
      <c r="AI38" s="97"/>
      <c r="AJ38" s="12">
        <f t="shared" si="1"/>
        <v>-5.7</v>
      </c>
      <c r="AK38" s="95"/>
      <c r="AL38" s="266">
        <f>ROUND(IF(AG38=0,0,AJ38/ABS(AG38)),3)</f>
        <v>-0.26600000000000001</v>
      </c>
      <c r="AM38" s="12"/>
    </row>
    <row r="39" spans="1:39">
      <c r="A39" s="291"/>
      <c r="B39" s="350" t="s">
        <v>392</v>
      </c>
      <c r="C39" s="291"/>
      <c r="D39" s="291"/>
      <c r="E39" s="275"/>
      <c r="F39" s="275"/>
      <c r="G39" s="275"/>
      <c r="H39" s="275"/>
      <c r="I39" s="275"/>
      <c r="J39" s="264"/>
      <c r="K39" s="275"/>
      <c r="L39" s="264"/>
      <c r="M39" s="275"/>
      <c r="N39" s="264"/>
      <c r="O39" s="275"/>
      <c r="P39" s="264"/>
      <c r="Q39" s="275"/>
      <c r="R39" s="264"/>
      <c r="S39" s="275"/>
      <c r="T39" s="275"/>
      <c r="U39" s="275"/>
      <c r="V39" s="275"/>
      <c r="W39" s="275"/>
      <c r="X39" s="275"/>
      <c r="Y39" s="275"/>
      <c r="Z39" s="275"/>
      <c r="AA39" s="275"/>
      <c r="AB39" s="264"/>
      <c r="AC39" s="523"/>
      <c r="AD39" s="289"/>
      <c r="AE39" s="1238"/>
      <c r="AF39" s="367"/>
      <c r="AG39" s="1942"/>
      <c r="AH39" s="287"/>
      <c r="AI39" s="97"/>
      <c r="AJ39" s="12"/>
      <c r="AK39" s="95"/>
      <c r="AL39" s="266"/>
      <c r="AM39" s="12"/>
    </row>
    <row r="40" spans="1:39">
      <c r="A40" s="291"/>
      <c r="B40" s="350" t="s">
        <v>486</v>
      </c>
      <c r="C40" s="291"/>
      <c r="D40" s="291"/>
      <c r="E40" s="275">
        <f>+'Exhibit I State'!E40+'Exhibit I Federal'!E23</f>
        <v>1.5</v>
      </c>
      <c r="F40" s="275"/>
      <c r="G40" s="275">
        <f>+'Exhibit I State'!G40+'Exhibit I Federal'!G23</f>
        <v>8.7999999999999989</v>
      </c>
      <c r="H40" s="275"/>
      <c r="I40" s="275">
        <f>+'Exhibit I State'!I40+'Exhibit I Federal'!I23</f>
        <v>0.80000000000000071</v>
      </c>
      <c r="J40" s="264"/>
      <c r="K40" s="275">
        <f>+'Exhibit I State'!K40+'Exhibit I Federal'!K23</f>
        <v>3.0999999999999996</v>
      </c>
      <c r="L40" s="264"/>
      <c r="M40" s="275"/>
      <c r="N40" s="264"/>
      <c r="O40" s="275"/>
      <c r="P40" s="264"/>
      <c r="Q40" s="275"/>
      <c r="R40" s="264"/>
      <c r="S40" s="275"/>
      <c r="T40" s="275"/>
      <c r="U40" s="275"/>
      <c r="V40" s="275"/>
      <c r="W40" s="275"/>
      <c r="X40" s="275"/>
      <c r="Y40" s="275"/>
      <c r="Z40" s="275"/>
      <c r="AA40" s="275"/>
      <c r="AB40" s="264"/>
      <c r="AC40" s="523"/>
      <c r="AD40" s="289">
        <f t="shared" ref="AD40:AD46" si="2">ROUND(SUM(E40:AA40),1)</f>
        <v>14.2</v>
      </c>
      <c r="AE40" s="1238"/>
      <c r="AF40" s="367"/>
      <c r="AG40" s="1942">
        <f>+'Exhibit I State'!AG40+'Exhibit I Federal'!AG23</f>
        <v>5.4</v>
      </c>
      <c r="AH40" s="287"/>
      <c r="AI40" s="97"/>
      <c r="AJ40" s="12">
        <f t="shared" si="1"/>
        <v>8.8000000000000007</v>
      </c>
      <c r="AK40" s="95"/>
      <c r="AL40" s="266">
        <f>ROUND(IF(AG40=0,0,AJ40/ABS(AG40)),3)</f>
        <v>1.63</v>
      </c>
      <c r="AM40" s="12"/>
    </row>
    <row r="41" spans="1:39">
      <c r="A41" s="291"/>
      <c r="B41" s="350" t="s">
        <v>562</v>
      </c>
      <c r="C41" s="291"/>
      <c r="D41" s="291"/>
      <c r="E41" s="275">
        <f>+'Exhibit I State'!E41+'Exhibit I Federal'!E24</f>
        <v>0</v>
      </c>
      <c r="F41" s="275"/>
      <c r="G41" s="275">
        <f>+'Exhibit I State'!G41+'Exhibit I Federal'!G24</f>
        <v>0</v>
      </c>
      <c r="H41" s="275"/>
      <c r="I41" s="275">
        <f>+'Exhibit I State'!I41+'Exhibit I Federal'!I24</f>
        <v>0</v>
      </c>
      <c r="J41" s="264"/>
      <c r="K41" s="275">
        <f>+'Exhibit I State'!K41+'Exhibit I Federal'!K24</f>
        <v>0</v>
      </c>
      <c r="L41" s="264"/>
      <c r="M41" s="275"/>
      <c r="N41" s="264"/>
      <c r="O41" s="275"/>
      <c r="P41" s="264"/>
      <c r="Q41" s="275"/>
      <c r="R41" s="264"/>
      <c r="S41" s="275"/>
      <c r="T41" s="275"/>
      <c r="U41" s="275"/>
      <c r="V41" s="275"/>
      <c r="W41" s="275"/>
      <c r="X41" s="275"/>
      <c r="Y41" s="275"/>
      <c r="Z41" s="275"/>
      <c r="AA41" s="275"/>
      <c r="AB41" s="264"/>
      <c r="AC41" s="523"/>
      <c r="AD41" s="289">
        <f t="shared" si="2"/>
        <v>0</v>
      </c>
      <c r="AE41" s="1238"/>
      <c r="AF41" s="367"/>
      <c r="AG41" s="1942">
        <f>+'Exhibit I State'!AG41+'Exhibit I Federal'!AG24</f>
        <v>0</v>
      </c>
      <c r="AH41" s="287"/>
      <c r="AI41" s="97"/>
      <c r="AJ41" s="12">
        <f>ROUND(SUM(+AD41-AG41),1)</f>
        <v>0</v>
      </c>
      <c r="AK41" s="95"/>
      <c r="AL41" s="266">
        <f>ROUND(IF(AG41=0,0,AJ41/ABS(AG41)),3)</f>
        <v>0</v>
      </c>
      <c r="AM41" s="12"/>
    </row>
    <row r="42" spans="1:39">
      <c r="A42" s="291"/>
      <c r="B42" s="350" t="s">
        <v>489</v>
      </c>
      <c r="C42" s="291"/>
      <c r="D42" s="291"/>
      <c r="E42" s="275">
        <f>+'Exhibit I State'!E42+'Exhibit I Federal'!E25</f>
        <v>9.8000000000000007</v>
      </c>
      <c r="F42" s="275"/>
      <c r="G42" s="275">
        <f>+'Exhibit I State'!G42+'Exhibit I Federal'!G25</f>
        <v>66.400000000000006</v>
      </c>
      <c r="H42" s="275"/>
      <c r="I42" s="275">
        <f>+'Exhibit I State'!I42+'Exhibit I Federal'!I25</f>
        <v>64.499999999999986</v>
      </c>
      <c r="J42" s="264"/>
      <c r="K42" s="275">
        <f>+'Exhibit I State'!K42+'Exhibit I Federal'!K25</f>
        <v>121.90000000000002</v>
      </c>
      <c r="L42" s="264"/>
      <c r="M42" s="275"/>
      <c r="N42" s="264"/>
      <c r="O42" s="275"/>
      <c r="P42" s="264"/>
      <c r="Q42" s="275"/>
      <c r="R42" s="264"/>
      <c r="S42" s="275"/>
      <c r="T42" s="275"/>
      <c r="U42" s="275"/>
      <c r="V42" s="275"/>
      <c r="W42" s="275"/>
      <c r="X42" s="275"/>
      <c r="Y42" s="275"/>
      <c r="Z42" s="275"/>
      <c r="AA42" s="275"/>
      <c r="AB42" s="264"/>
      <c r="AC42" s="523"/>
      <c r="AD42" s="289">
        <f t="shared" si="2"/>
        <v>262.60000000000002</v>
      </c>
      <c r="AE42" s="1238"/>
      <c r="AF42" s="367"/>
      <c r="AG42" s="1942">
        <f>+'Exhibit I State'!AG42+'Exhibit I Federal'!AG25</f>
        <v>245.29999999999998</v>
      </c>
      <c r="AH42" s="287"/>
      <c r="AI42" s="97"/>
      <c r="AJ42" s="12">
        <f t="shared" si="1"/>
        <v>17.3</v>
      </c>
      <c r="AK42" s="95"/>
      <c r="AL42" s="266">
        <f>ROUND(IF(AG42=0,0,AJ42/ABS(AG42)),3)</f>
        <v>7.0999999999999994E-2</v>
      </c>
      <c r="AM42" s="12"/>
    </row>
    <row r="43" spans="1:39">
      <c r="A43" s="291"/>
      <c r="B43" s="350" t="s">
        <v>490</v>
      </c>
      <c r="C43" s="291"/>
      <c r="D43" s="291"/>
      <c r="E43" s="275">
        <f>+'Exhibit I State'!E43+'Exhibit I Federal'!E26</f>
        <v>0.4</v>
      </c>
      <c r="F43" s="275"/>
      <c r="G43" s="275">
        <f>+'Exhibit I State'!G43+'Exhibit I Federal'!G26</f>
        <v>0.4</v>
      </c>
      <c r="H43" s="275"/>
      <c r="I43" s="275">
        <f>+'Exhibit I State'!I43+'Exhibit I Federal'!I26</f>
        <v>1.4000000000000004</v>
      </c>
      <c r="J43" s="264"/>
      <c r="K43" s="275">
        <f>+'Exhibit I State'!K43+'Exhibit I Federal'!K26</f>
        <v>4.7999999999999989</v>
      </c>
      <c r="L43" s="264"/>
      <c r="M43" s="275"/>
      <c r="N43" s="264"/>
      <c r="O43" s="275"/>
      <c r="P43" s="264"/>
      <c r="Q43" s="275"/>
      <c r="R43" s="264"/>
      <c r="S43" s="275"/>
      <c r="T43" s="275"/>
      <c r="U43" s="275"/>
      <c r="V43" s="275"/>
      <c r="W43" s="275"/>
      <c r="X43" s="275"/>
      <c r="Y43" s="275"/>
      <c r="Z43" s="275"/>
      <c r="AA43" s="275"/>
      <c r="AB43" s="264"/>
      <c r="AC43" s="523"/>
      <c r="AD43" s="289">
        <f t="shared" si="2"/>
        <v>7</v>
      </c>
      <c r="AE43" s="1238"/>
      <c r="AF43" s="367"/>
      <c r="AG43" s="1942">
        <f>+'Exhibit I State'!AG43+'Exhibit I Federal'!AG26</f>
        <v>13.7</v>
      </c>
      <c r="AH43" s="287"/>
      <c r="AI43" s="97"/>
      <c r="AJ43" s="264">
        <f>ROUND(SUM(+AD43-AG43),1)</f>
        <v>-6.7</v>
      </c>
      <c r="AK43" s="264"/>
      <c r="AL43" s="542">
        <f>ROUND(IF(AG43=0,1,AJ43/ABS(AG43)),3)</f>
        <v>-0.48899999999999999</v>
      </c>
      <c r="AM43" s="12"/>
    </row>
    <row r="44" spans="1:39">
      <c r="A44" s="291"/>
      <c r="B44" s="350" t="s">
        <v>400</v>
      </c>
      <c r="C44" s="291"/>
      <c r="D44" s="291"/>
      <c r="E44" s="275">
        <f>+'Exhibit I State'!E44+'Exhibit I Federal'!E27</f>
        <v>5.6</v>
      </c>
      <c r="F44" s="275"/>
      <c r="G44" s="275">
        <f>+'Exhibit I State'!G44+'Exhibit I Federal'!G27</f>
        <v>1</v>
      </c>
      <c r="H44" s="275"/>
      <c r="I44" s="275">
        <f>+'Exhibit I State'!I44+'Exhibit I Federal'!I27</f>
        <v>1.3000000000000007</v>
      </c>
      <c r="J44" s="264"/>
      <c r="K44" s="275">
        <f>+'Exhibit I State'!K44+'Exhibit I Federal'!K27</f>
        <v>1.4000000000000004</v>
      </c>
      <c r="L44" s="264"/>
      <c r="M44" s="275"/>
      <c r="N44" s="264"/>
      <c r="O44" s="275"/>
      <c r="P44" s="264"/>
      <c r="Q44" s="275"/>
      <c r="R44" s="264"/>
      <c r="S44" s="275"/>
      <c r="T44" s="275"/>
      <c r="U44" s="275"/>
      <c r="V44" s="275"/>
      <c r="W44" s="275"/>
      <c r="X44" s="275"/>
      <c r="Y44" s="275"/>
      <c r="Z44" s="275"/>
      <c r="AA44" s="275"/>
      <c r="AB44" s="264"/>
      <c r="AC44" s="523"/>
      <c r="AD44" s="289">
        <f t="shared" si="2"/>
        <v>9.3000000000000007</v>
      </c>
      <c r="AE44" s="1238"/>
      <c r="AF44" s="367"/>
      <c r="AG44" s="1942">
        <f>+'Exhibit I State'!AG44+'Exhibit I Federal'!AG27</f>
        <v>9.5</v>
      </c>
      <c r="AH44" s="287"/>
      <c r="AI44" s="97"/>
      <c r="AJ44" s="12">
        <f t="shared" si="1"/>
        <v>-0.2</v>
      </c>
      <c r="AK44" s="95"/>
      <c r="AL44" s="542">
        <f>ROUND(IF(AG44=0,1,AJ44/ABS(AG44)),3)</f>
        <v>-2.1000000000000001E-2</v>
      </c>
      <c r="AM44" s="12"/>
    </row>
    <row r="45" spans="1:39">
      <c r="A45" s="291"/>
      <c r="B45" s="350" t="s">
        <v>406</v>
      </c>
      <c r="C45" s="291"/>
      <c r="D45" s="291"/>
      <c r="E45" s="275">
        <f>+'Exhibit I State'!E45+'Exhibit I Federal'!E28</f>
        <v>4.1999999999999993</v>
      </c>
      <c r="F45" s="275"/>
      <c r="G45" s="275">
        <f>+'Exhibit I State'!G45+'Exhibit I Federal'!G28</f>
        <v>4.1999999999999993</v>
      </c>
      <c r="H45" s="275"/>
      <c r="I45" s="275">
        <f>+'Exhibit I State'!I45+'Exhibit I Federal'!I28</f>
        <v>4.5</v>
      </c>
      <c r="J45" s="264"/>
      <c r="K45" s="275">
        <f>+'Exhibit I State'!K45+'Exhibit I Federal'!K28</f>
        <v>4.2999999999999989</v>
      </c>
      <c r="L45" s="264"/>
      <c r="M45" s="275"/>
      <c r="N45" s="264"/>
      <c r="O45" s="275"/>
      <c r="P45" s="264"/>
      <c r="Q45" s="275"/>
      <c r="R45" s="264"/>
      <c r="S45" s="275"/>
      <c r="T45" s="275"/>
      <c r="U45" s="275"/>
      <c r="V45" s="275"/>
      <c r="W45" s="275"/>
      <c r="X45" s="275"/>
      <c r="Y45" s="275"/>
      <c r="Z45" s="275"/>
      <c r="AA45" s="275"/>
      <c r="AB45" s="264"/>
      <c r="AC45" s="523"/>
      <c r="AD45" s="289">
        <f t="shared" si="2"/>
        <v>17.2</v>
      </c>
      <c r="AE45" s="1238"/>
      <c r="AF45" s="367"/>
      <c r="AG45" s="1942">
        <f>+'Exhibit I State'!AG45+'Exhibit I Federal'!AG28</f>
        <v>16.399999999999999</v>
      </c>
      <c r="AH45" s="287"/>
      <c r="AI45" s="97"/>
      <c r="AJ45" s="12">
        <f>ROUND(SUM(+AD45-AG45),1)</f>
        <v>0.8</v>
      </c>
      <c r="AK45" s="95"/>
      <c r="AL45" s="542">
        <f>ROUND(IF(AG45=0,1,AJ45/ABS(AG45)),3)</f>
        <v>4.9000000000000002E-2</v>
      </c>
      <c r="AM45" s="12"/>
    </row>
    <row r="46" spans="1:39">
      <c r="A46" s="291"/>
      <c r="B46" s="350" t="s">
        <v>407</v>
      </c>
      <c r="C46" s="291"/>
      <c r="D46" s="291"/>
      <c r="E46" s="275">
        <f>+'Exhibit I State'!E46+'Exhibit I Federal'!E29</f>
        <v>0</v>
      </c>
      <c r="F46" s="275"/>
      <c r="G46" s="275">
        <f>+'Exhibit I State'!G46+'Exhibit I Federal'!G29</f>
        <v>0</v>
      </c>
      <c r="H46" s="275"/>
      <c r="I46" s="275">
        <f>+'Exhibit I State'!I46+'Exhibit I Federal'!I29</f>
        <v>0</v>
      </c>
      <c r="J46" s="264"/>
      <c r="K46" s="275">
        <f>+'Exhibit I State'!K46+'Exhibit I Federal'!K29</f>
        <v>0</v>
      </c>
      <c r="L46" s="264"/>
      <c r="M46" s="275"/>
      <c r="N46" s="264"/>
      <c r="O46" s="275"/>
      <c r="P46" s="264"/>
      <c r="Q46" s="275"/>
      <c r="R46" s="264"/>
      <c r="S46" s="275"/>
      <c r="T46" s="275"/>
      <c r="U46" s="275"/>
      <c r="V46" s="275"/>
      <c r="W46" s="275"/>
      <c r="X46" s="275"/>
      <c r="Y46" s="275"/>
      <c r="Z46" s="275"/>
      <c r="AA46" s="275"/>
      <c r="AB46" s="264"/>
      <c r="AC46" s="523"/>
      <c r="AD46" s="289">
        <f t="shared" si="2"/>
        <v>0</v>
      </c>
      <c r="AE46" s="1238"/>
      <c r="AF46" s="367"/>
      <c r="AG46" s="1942">
        <f>+'Exhibit I State'!AG46+'Exhibit I Federal'!AG29</f>
        <v>0</v>
      </c>
      <c r="AH46" s="287"/>
      <c r="AI46" s="97"/>
      <c r="AJ46" s="12">
        <f>ROUND(SUM(+AD46-AG46),1)</f>
        <v>0</v>
      </c>
      <c r="AK46" s="95"/>
      <c r="AL46" s="542">
        <f>ROUND(IF(AG46=0,0,AJ46/ABS(AG46)),3)</f>
        <v>0</v>
      </c>
      <c r="AM46" s="12"/>
    </row>
    <row r="47" spans="1:39">
      <c r="A47" s="291"/>
      <c r="B47" s="350" t="s">
        <v>408</v>
      </c>
      <c r="C47" s="291"/>
      <c r="D47" s="291"/>
      <c r="E47" s="275"/>
      <c r="F47" s="275"/>
      <c r="G47" s="275"/>
      <c r="H47" s="275"/>
      <c r="I47" s="275"/>
      <c r="J47" s="264"/>
      <c r="K47" s="275"/>
      <c r="L47" s="264"/>
      <c r="M47" s="275"/>
      <c r="N47" s="264"/>
      <c r="O47" s="275"/>
      <c r="P47" s="264"/>
      <c r="Q47" s="275"/>
      <c r="R47" s="264"/>
      <c r="S47" s="275"/>
      <c r="T47" s="275"/>
      <c r="U47" s="275"/>
      <c r="V47" s="275"/>
      <c r="W47" s="275"/>
      <c r="X47" s="275"/>
      <c r="Y47" s="275"/>
      <c r="Z47" s="275"/>
      <c r="AA47" s="275"/>
      <c r="AB47" s="264"/>
      <c r="AC47" s="523"/>
      <c r="AD47" s="289"/>
      <c r="AE47" s="1238"/>
      <c r="AF47" s="367"/>
      <c r="AG47" s="1942"/>
      <c r="AH47" s="287"/>
      <c r="AI47" s="97"/>
      <c r="AJ47" s="12"/>
      <c r="AK47" s="95"/>
      <c r="AL47" s="374"/>
      <c r="AM47" s="12"/>
    </row>
    <row r="48" spans="1:39">
      <c r="A48" s="291"/>
      <c r="B48" s="350" t="s">
        <v>494</v>
      </c>
      <c r="C48" s="291"/>
      <c r="D48" s="291"/>
      <c r="E48" s="275">
        <f>+'Exhibit I State'!E48+'Exhibit I Federal'!E31</f>
        <v>3.8000000000000003</v>
      </c>
      <c r="F48" s="275"/>
      <c r="G48" s="275">
        <f>+'Exhibit I State'!G48+'Exhibit I Federal'!G31</f>
        <v>0.69999999999999973</v>
      </c>
      <c r="H48" s="275"/>
      <c r="I48" s="275">
        <f>+'Exhibit I State'!I48+'Exhibit I Federal'!I31</f>
        <v>2220.1</v>
      </c>
      <c r="J48" s="264"/>
      <c r="K48" s="275">
        <f>+'Exhibit I State'!K48+'Exhibit I Federal'!K31</f>
        <v>515.20000000000027</v>
      </c>
      <c r="L48" s="264"/>
      <c r="M48" s="275"/>
      <c r="N48" s="264"/>
      <c r="O48" s="275"/>
      <c r="P48" s="264"/>
      <c r="Q48" s="275"/>
      <c r="R48" s="264"/>
      <c r="S48" s="275"/>
      <c r="T48" s="275"/>
      <c r="U48" s="275"/>
      <c r="V48" s="275"/>
      <c r="W48" s="275"/>
      <c r="X48" s="275"/>
      <c r="Y48" s="275"/>
      <c r="Z48" s="275"/>
      <c r="AA48" s="275"/>
      <c r="AB48" s="264"/>
      <c r="AC48" s="523"/>
      <c r="AD48" s="289">
        <f>ROUND(SUM(E48:AA48),1)</f>
        <v>2739.8</v>
      </c>
      <c r="AE48" s="1238"/>
      <c r="AF48" s="367"/>
      <c r="AG48" s="1942">
        <f>+'Exhibit I State'!AG48+'Exhibit I Federal'!AG31</f>
        <v>1172.9000000000001</v>
      </c>
      <c r="AH48" s="287"/>
      <c r="AI48" s="97"/>
      <c r="AJ48" s="12">
        <f t="shared" si="1"/>
        <v>1566.9</v>
      </c>
      <c r="AK48" s="95"/>
      <c r="AL48" s="547">
        <f>ROUND(IF(AG48=0,1,AJ48/ABS(AG48)),3)</f>
        <v>1.3360000000000001</v>
      </c>
      <c r="AM48" s="12"/>
    </row>
    <row r="49" spans="1:40">
      <c r="A49" s="291"/>
      <c r="B49" s="350" t="s">
        <v>496</v>
      </c>
      <c r="C49" s="291"/>
      <c r="D49" s="291"/>
      <c r="E49" s="275">
        <f>+'Exhibit I State'!E49+'Exhibit I Federal'!E32</f>
        <v>0</v>
      </c>
      <c r="F49" s="275"/>
      <c r="G49" s="275">
        <f>+'Exhibit I State'!G49+'Exhibit I Federal'!G32</f>
        <v>0</v>
      </c>
      <c r="H49" s="275"/>
      <c r="I49" s="275">
        <f>+'Exhibit I State'!I49+'Exhibit I Federal'!I32</f>
        <v>0</v>
      </c>
      <c r="J49" s="275"/>
      <c r="K49" s="275">
        <f>+'Exhibit I State'!K49+'Exhibit I Federal'!K32</f>
        <v>0</v>
      </c>
      <c r="L49" s="275"/>
      <c r="M49" s="275"/>
      <c r="N49" s="275"/>
      <c r="O49" s="275"/>
      <c r="P49" s="275"/>
      <c r="Q49" s="275"/>
      <c r="R49" s="264"/>
      <c r="S49" s="275"/>
      <c r="T49" s="275"/>
      <c r="U49" s="275"/>
      <c r="V49" s="275"/>
      <c r="W49" s="275"/>
      <c r="X49" s="275"/>
      <c r="Y49" s="275"/>
      <c r="Z49" s="275"/>
      <c r="AA49" s="275"/>
      <c r="AB49" s="264"/>
      <c r="AC49" s="523"/>
      <c r="AD49" s="289">
        <f>ROUND(SUM(E49:AA49),1)</f>
        <v>0</v>
      </c>
      <c r="AE49" s="1238"/>
      <c r="AF49" s="367"/>
      <c r="AG49" s="1942">
        <f>+'Exhibit I State'!AG49+'Exhibit I Federal'!AG32</f>
        <v>0</v>
      </c>
      <c r="AH49" s="287"/>
      <c r="AI49" s="97"/>
      <c r="AJ49" s="12">
        <f t="shared" si="1"/>
        <v>0</v>
      </c>
      <c r="AK49" s="95"/>
      <c r="AL49" s="266">
        <f>ROUND(IF(AG49=0,0,AJ49/ABS(AG49)),3)</f>
        <v>0</v>
      </c>
      <c r="AM49" s="12"/>
    </row>
    <row r="50" spans="1:40">
      <c r="A50" s="291"/>
      <c r="B50" s="350" t="s">
        <v>497</v>
      </c>
      <c r="C50" s="291"/>
      <c r="D50" s="291"/>
      <c r="E50" s="275">
        <f>+'Exhibit I State'!E50+'Exhibit I Federal'!E33</f>
        <v>0.2</v>
      </c>
      <c r="F50" s="275"/>
      <c r="G50" s="275">
        <f>+'Exhibit I State'!G50+'Exhibit I Federal'!G33</f>
        <v>0</v>
      </c>
      <c r="H50" s="275"/>
      <c r="I50" s="275">
        <f>+'Exhibit I State'!I50+'Exhibit I Federal'!I33</f>
        <v>61.699999999999996</v>
      </c>
      <c r="J50" s="264"/>
      <c r="K50" s="275">
        <f>+'Exhibit I State'!K50+'Exhibit I Federal'!K33</f>
        <v>0.80000000000000715</v>
      </c>
      <c r="L50" s="264"/>
      <c r="M50" s="275"/>
      <c r="N50" s="264"/>
      <c r="O50" s="275"/>
      <c r="P50" s="264"/>
      <c r="Q50" s="275"/>
      <c r="R50" s="264"/>
      <c r="S50" s="275"/>
      <c r="T50" s="275"/>
      <c r="U50" s="275"/>
      <c r="V50" s="275"/>
      <c r="W50" s="275"/>
      <c r="X50" s="275"/>
      <c r="Y50" s="275"/>
      <c r="Z50" s="275"/>
      <c r="AA50" s="275"/>
      <c r="AB50" s="264"/>
      <c r="AC50" s="523"/>
      <c r="AD50" s="289">
        <f>ROUND(SUM(E50:AA50),1)</f>
        <v>62.7</v>
      </c>
      <c r="AE50" s="1238"/>
      <c r="AF50" s="367"/>
      <c r="AG50" s="1942">
        <f>+'Exhibit I State'!AG50+'Exhibit I Federal'!AG33</f>
        <v>140.4</v>
      </c>
      <c r="AH50" s="287"/>
      <c r="AI50" s="97"/>
      <c r="AJ50" s="12">
        <f t="shared" si="1"/>
        <v>-77.7</v>
      </c>
      <c r="AK50" s="95"/>
      <c r="AL50" s="561">
        <f>ROUND(IF(AG50=0,1,AJ50/ABS(AG50)),3)</f>
        <v>-0.55300000000000005</v>
      </c>
      <c r="AM50" s="12"/>
    </row>
    <row r="51" spans="1:40">
      <c r="A51" s="291"/>
      <c r="B51" s="350" t="s">
        <v>413</v>
      </c>
      <c r="C51" s="291"/>
      <c r="D51" s="291"/>
      <c r="E51" s="275">
        <f>+'Exhibit I State'!E51+'Exhibit I Federal'!E34</f>
        <v>0.8</v>
      </c>
      <c r="F51" s="275"/>
      <c r="G51" s="275">
        <f>+'Exhibit I State'!G51+'Exhibit I Federal'!G34</f>
        <v>1.4999999999999998</v>
      </c>
      <c r="H51" s="275"/>
      <c r="I51" s="275">
        <f>+'Exhibit I State'!I51+'Exhibit I Federal'!I34</f>
        <v>0.80000000000000027</v>
      </c>
      <c r="J51" s="264"/>
      <c r="K51" s="275">
        <f>+'Exhibit I State'!K51+'Exhibit I Federal'!K34</f>
        <v>1.7</v>
      </c>
      <c r="L51" s="264"/>
      <c r="M51" s="275"/>
      <c r="N51" s="264"/>
      <c r="O51" s="275"/>
      <c r="P51" s="264"/>
      <c r="Q51" s="275"/>
      <c r="R51" s="264"/>
      <c r="S51" s="275"/>
      <c r="T51" s="275"/>
      <c r="U51" s="275"/>
      <c r="V51" s="275"/>
      <c r="W51" s="275"/>
      <c r="X51" s="275"/>
      <c r="Y51" s="275"/>
      <c r="Z51" s="275"/>
      <c r="AA51" s="275"/>
      <c r="AB51" s="264"/>
      <c r="AC51" s="523"/>
      <c r="AD51" s="289">
        <f>ROUND(SUM(E51:AA51),1)</f>
        <v>4.8</v>
      </c>
      <c r="AE51" s="1238"/>
      <c r="AF51" s="367"/>
      <c r="AG51" s="883">
        <f>+'Exhibit I State'!AG51+'Exhibit I Federal'!AG34</f>
        <v>5.2</v>
      </c>
      <c r="AH51" s="287"/>
      <c r="AI51" s="97"/>
      <c r="AJ51" s="12">
        <f t="shared" si="1"/>
        <v>-0.4</v>
      </c>
      <c r="AK51" s="95"/>
      <c r="AL51" s="374">
        <f>ROUND(IF(AG51=0,0,AJ51/ABS(AG51)),3)</f>
        <v>-7.6999999999999999E-2</v>
      </c>
      <c r="AM51" s="12"/>
    </row>
    <row r="52" spans="1:40">
      <c r="A52" s="291"/>
      <c r="B52" s="350" t="s">
        <v>414</v>
      </c>
      <c r="C52" s="291"/>
      <c r="D52" s="291"/>
      <c r="E52" s="275"/>
      <c r="F52" s="275"/>
      <c r="G52" s="275"/>
      <c r="H52" s="275"/>
      <c r="I52" s="275"/>
      <c r="J52" s="264"/>
      <c r="K52" s="275"/>
      <c r="L52" s="264"/>
      <c r="M52" s="275"/>
      <c r="N52" s="264"/>
      <c r="O52" s="275"/>
      <c r="P52" s="264"/>
      <c r="Q52" s="275"/>
      <c r="R52" s="264"/>
      <c r="S52" s="275"/>
      <c r="T52" s="275"/>
      <c r="U52" s="275"/>
      <c r="V52" s="275"/>
      <c r="W52" s="275"/>
      <c r="X52" s="275"/>
      <c r="Y52" s="275"/>
      <c r="Z52" s="275"/>
      <c r="AA52" s="275"/>
      <c r="AB52" s="264"/>
      <c r="AC52" s="523"/>
      <c r="AD52" s="289"/>
      <c r="AE52" s="1238"/>
      <c r="AF52" s="367"/>
      <c r="AG52" s="1942"/>
      <c r="AH52" s="287"/>
      <c r="AI52" s="97"/>
      <c r="AJ52" s="12"/>
      <c r="AK52" s="95"/>
      <c r="AL52" s="374"/>
      <c r="AM52" s="12"/>
    </row>
    <row r="53" spans="1:40">
      <c r="A53" s="291"/>
      <c r="B53" s="350" t="s">
        <v>498</v>
      </c>
      <c r="C53" s="291"/>
      <c r="D53" s="291"/>
      <c r="E53" s="275">
        <f>+'Exhibit I State'!E53+'Exhibit I Federal'!E36</f>
        <v>0</v>
      </c>
      <c r="F53" s="275"/>
      <c r="G53" s="275">
        <f>+'Exhibit I State'!G53+'Exhibit I Federal'!G36</f>
        <v>0</v>
      </c>
      <c r="H53" s="275"/>
      <c r="I53" s="275">
        <f>+'Exhibit I State'!I53+'Exhibit I Federal'!I36</f>
        <v>0</v>
      </c>
      <c r="J53" s="264"/>
      <c r="K53" s="275">
        <f>+'Exhibit I State'!K53+'Exhibit I Federal'!K36</f>
        <v>0</v>
      </c>
      <c r="L53" s="264"/>
      <c r="M53" s="275"/>
      <c r="N53" s="264"/>
      <c r="O53" s="275"/>
      <c r="P53" s="264"/>
      <c r="Q53" s="275"/>
      <c r="R53" s="264"/>
      <c r="S53" s="275"/>
      <c r="T53" s="275"/>
      <c r="U53" s="275"/>
      <c r="V53" s="275"/>
      <c r="W53" s="275"/>
      <c r="X53" s="275"/>
      <c r="Y53" s="275"/>
      <c r="Z53" s="275"/>
      <c r="AA53" s="275"/>
      <c r="AB53" s="264"/>
      <c r="AC53" s="523"/>
      <c r="AD53" s="289">
        <f t="shared" ref="AD53:AD59" si="3">ROUND(SUM(E53:AA53),1)</f>
        <v>0</v>
      </c>
      <c r="AE53" s="1238"/>
      <c r="AF53" s="367"/>
      <c r="AG53" s="1942">
        <f>+'Exhibit I State'!AG53+'Exhibit I Federal'!AG36</f>
        <v>0</v>
      </c>
      <c r="AH53" s="287"/>
      <c r="AI53" s="97"/>
      <c r="AJ53" s="264">
        <f>ROUND(SUM(+AD53-AG53),1)</f>
        <v>0</v>
      </c>
      <c r="AK53" s="264"/>
      <c r="AL53" s="266">
        <f>ROUND(IF(AG53=0,0,AJ53/ABS(AG53)),3)</f>
        <v>0</v>
      </c>
      <c r="AM53" s="12"/>
    </row>
    <row r="54" spans="1:40">
      <c r="A54" s="291"/>
      <c r="B54" s="350" t="s">
        <v>500</v>
      </c>
      <c r="C54" s="291"/>
      <c r="D54" s="291"/>
      <c r="E54" s="275">
        <f>+'Exhibit I State'!E54+'Exhibit I Federal'!E37</f>
        <v>0.1</v>
      </c>
      <c r="F54" s="275"/>
      <c r="G54" s="275">
        <f>+'Exhibit I State'!G54+'Exhibit I Federal'!G37</f>
        <v>0.1</v>
      </c>
      <c r="H54" s="275"/>
      <c r="I54" s="275">
        <f>+'Exhibit I State'!I54+'Exhibit I Federal'!I37</f>
        <v>0.30000000000000004</v>
      </c>
      <c r="J54" s="264"/>
      <c r="K54" s="275">
        <f>+'Exhibit I State'!K54+'Exhibit I Federal'!K37</f>
        <v>0.19999999999999993</v>
      </c>
      <c r="L54" s="264"/>
      <c r="M54" s="275"/>
      <c r="N54" s="264"/>
      <c r="O54" s="275"/>
      <c r="P54" s="264"/>
      <c r="Q54" s="275"/>
      <c r="R54" s="264"/>
      <c r="S54" s="275"/>
      <c r="T54" s="275"/>
      <c r="U54" s="275"/>
      <c r="V54" s="275"/>
      <c r="W54" s="275"/>
      <c r="X54" s="275"/>
      <c r="Y54" s="275"/>
      <c r="Z54" s="275"/>
      <c r="AA54" s="275"/>
      <c r="AB54" s="264"/>
      <c r="AC54" s="523"/>
      <c r="AD54" s="289">
        <f t="shared" si="3"/>
        <v>0.7</v>
      </c>
      <c r="AE54" s="1238"/>
      <c r="AF54" s="367"/>
      <c r="AG54" s="1942">
        <f>+'Exhibit I State'!AG54+'Exhibit I Federal'!AG37</f>
        <v>13.8</v>
      </c>
      <c r="AH54" s="287"/>
      <c r="AI54" s="97"/>
      <c r="AJ54" s="264">
        <f>ROUND(SUM(+AD54-AG54),1)</f>
        <v>-13.1</v>
      </c>
      <c r="AK54" s="264"/>
      <c r="AL54" s="266">
        <f>ROUND(IF(AG54=0,0,AJ54/ABS(AG54)),3)</f>
        <v>-0.94899999999999995</v>
      </c>
      <c r="AM54" s="12"/>
    </row>
    <row r="55" spans="1:40">
      <c r="A55" s="291"/>
      <c r="B55" s="350" t="s">
        <v>501</v>
      </c>
      <c r="C55" s="291"/>
      <c r="D55" s="291"/>
      <c r="E55" s="275">
        <f>+'Exhibit I State'!E55+'Exhibit I Federal'!E38</f>
        <v>9.5</v>
      </c>
      <c r="F55" s="275"/>
      <c r="G55" s="275">
        <f>+'Exhibit I State'!G55+'Exhibit I Federal'!G38</f>
        <v>1.6999999999999993</v>
      </c>
      <c r="H55" s="275"/>
      <c r="I55" s="275">
        <f>+'Exhibit I State'!I55+'Exhibit I Federal'!I38</f>
        <v>21.000000000000004</v>
      </c>
      <c r="J55" s="264"/>
      <c r="K55" s="275">
        <f>+'Exhibit I State'!K55+'Exhibit I Federal'!K38</f>
        <v>7.8999999999999986</v>
      </c>
      <c r="L55" s="264"/>
      <c r="M55" s="275"/>
      <c r="N55" s="264"/>
      <c r="O55" s="275"/>
      <c r="P55" s="264"/>
      <c r="Q55" s="275"/>
      <c r="R55" s="264"/>
      <c r="S55" s="275"/>
      <c r="T55" s="275"/>
      <c r="U55" s="275"/>
      <c r="V55" s="275"/>
      <c r="W55" s="275"/>
      <c r="X55" s="275"/>
      <c r="Y55" s="275"/>
      <c r="Z55" s="275"/>
      <c r="AA55" s="275"/>
      <c r="AB55" s="264"/>
      <c r="AC55" s="523"/>
      <c r="AD55" s="289">
        <f t="shared" si="3"/>
        <v>40.1</v>
      </c>
      <c r="AE55" s="1238"/>
      <c r="AF55" s="367"/>
      <c r="AG55" s="1942">
        <f>+'Exhibit I State'!AG55+'Exhibit I Federal'!AG38</f>
        <v>25.7</v>
      </c>
      <c r="AH55" s="287"/>
      <c r="AI55" s="97"/>
      <c r="AJ55" s="264">
        <f>ROUND(SUM(+AD55-AG55),1)</f>
        <v>14.4</v>
      </c>
      <c r="AK55" s="264"/>
      <c r="AL55" s="266">
        <f>ROUND(IF(AG55=0,1,AJ55/ABS(AG55)),3)</f>
        <v>0.56000000000000005</v>
      </c>
      <c r="AM55" s="12"/>
    </row>
    <row r="56" spans="1:40">
      <c r="A56" s="291"/>
      <c r="B56" s="350" t="s">
        <v>503</v>
      </c>
      <c r="C56" s="291"/>
      <c r="D56" s="291"/>
      <c r="E56" s="275">
        <f>+'Exhibit I State'!E56</f>
        <v>0</v>
      </c>
      <c r="F56" s="275"/>
      <c r="G56" s="275">
        <f>+'Exhibit I State'!G56</f>
        <v>0.1</v>
      </c>
      <c r="H56" s="275"/>
      <c r="I56" s="275">
        <f>+'Exhibit I State'!I56</f>
        <v>0</v>
      </c>
      <c r="J56" s="264"/>
      <c r="K56" s="275">
        <f>+'Exhibit I State'!K56</f>
        <v>0</v>
      </c>
      <c r="L56" s="264"/>
      <c r="M56" s="275"/>
      <c r="N56" s="264"/>
      <c r="O56" s="275"/>
      <c r="P56" s="264"/>
      <c r="Q56" s="275"/>
      <c r="R56" s="264"/>
      <c r="S56" s="275"/>
      <c r="T56" s="275"/>
      <c r="U56" s="275"/>
      <c r="V56" s="275"/>
      <c r="W56" s="275"/>
      <c r="X56" s="275"/>
      <c r="Y56" s="275"/>
      <c r="Z56" s="275"/>
      <c r="AA56" s="275"/>
      <c r="AB56" s="264"/>
      <c r="AC56" s="523"/>
      <c r="AD56" s="289">
        <f t="shared" si="3"/>
        <v>0.1</v>
      </c>
      <c r="AE56" s="1238"/>
      <c r="AF56" s="367"/>
      <c r="AG56" s="1942">
        <f>+'Exhibit I State'!AG56</f>
        <v>0</v>
      </c>
      <c r="AH56" s="287"/>
      <c r="AI56" s="97"/>
      <c r="AJ56" s="264">
        <f>ROUND(SUM(+AD56-AG56),1)</f>
        <v>0.1</v>
      </c>
      <c r="AK56" s="264"/>
      <c r="AL56" s="266">
        <f>ROUND(IF(AG56=0,1,AJ56/ABS(AG56)),3)</f>
        <v>1</v>
      </c>
      <c r="AM56" s="12"/>
    </row>
    <row r="57" spans="1:40">
      <c r="A57" s="291"/>
      <c r="B57" s="350" t="s">
        <v>504</v>
      </c>
      <c r="C57" s="291"/>
      <c r="D57" s="291"/>
      <c r="E57" s="275">
        <f>+'Exhibit I State'!E57+'Exhibit I Federal'!E39</f>
        <v>0.8</v>
      </c>
      <c r="F57" s="275"/>
      <c r="G57" s="275">
        <f>+'Exhibit I State'!G57+'Exhibit I Federal'!G39</f>
        <v>1</v>
      </c>
      <c r="H57" s="275"/>
      <c r="I57" s="275">
        <f>+'Exhibit I State'!I57+'Exhibit I Federal'!I39</f>
        <v>0.8</v>
      </c>
      <c r="J57" s="264"/>
      <c r="K57" s="275">
        <f>+'Exhibit I State'!K57+'Exhibit I Federal'!K39</f>
        <v>2.6000000000000005</v>
      </c>
      <c r="L57" s="264"/>
      <c r="M57" s="275"/>
      <c r="N57" s="264"/>
      <c r="O57" s="275"/>
      <c r="P57" s="264"/>
      <c r="Q57" s="275"/>
      <c r="R57" s="264"/>
      <c r="S57" s="275"/>
      <c r="T57" s="275"/>
      <c r="U57" s="275"/>
      <c r="V57" s="275"/>
      <c r="W57" s="275"/>
      <c r="X57" s="275"/>
      <c r="Y57" s="275"/>
      <c r="Z57" s="275"/>
      <c r="AA57" s="275"/>
      <c r="AB57" s="264"/>
      <c r="AC57" s="523"/>
      <c r="AD57" s="289">
        <f t="shared" si="3"/>
        <v>5.2</v>
      </c>
      <c r="AE57" s="1238"/>
      <c r="AF57" s="367"/>
      <c r="AG57" s="1942">
        <f>+'Exhibit I State'!AG57+'Exhibit I Federal'!AG39</f>
        <v>2.7</v>
      </c>
      <c r="AH57" s="287"/>
      <c r="AI57" s="97"/>
      <c r="AJ57" s="12">
        <f t="shared" si="1"/>
        <v>2.5</v>
      </c>
      <c r="AK57" s="95"/>
      <c r="AL57" s="547">
        <f>ROUND(IF(AG57=0,1,AJ57/ABS(AG57)),3)</f>
        <v>0.92600000000000005</v>
      </c>
      <c r="AM57" s="12"/>
    </row>
    <row r="58" spans="1:40">
      <c r="A58" s="291"/>
      <c r="B58" s="350" t="s">
        <v>505</v>
      </c>
      <c r="C58" s="291"/>
      <c r="D58" s="291"/>
      <c r="E58" s="275">
        <f>+'Exhibit I State'!E58+'Exhibit I Federal'!E40</f>
        <v>0.4</v>
      </c>
      <c r="F58" s="275"/>
      <c r="G58" s="275">
        <f>+'Exhibit I State'!G58+'Exhibit I Federal'!G40</f>
        <v>2.7</v>
      </c>
      <c r="H58" s="275"/>
      <c r="I58" s="275">
        <f>+'Exhibit I State'!I58+'Exhibit I Federal'!I40</f>
        <v>9.9999999999999978E-2</v>
      </c>
      <c r="J58" s="264"/>
      <c r="K58" s="275">
        <f>+'Exhibit I State'!K58+'Exhibit I Federal'!K40</f>
        <v>0.69999999999999962</v>
      </c>
      <c r="L58" s="264"/>
      <c r="M58" s="275"/>
      <c r="N58" s="264"/>
      <c r="O58" s="275"/>
      <c r="P58" s="264"/>
      <c r="Q58" s="275"/>
      <c r="R58" s="264"/>
      <c r="S58" s="275"/>
      <c r="T58" s="275"/>
      <c r="U58" s="275"/>
      <c r="V58" s="275"/>
      <c r="W58" s="275"/>
      <c r="X58" s="275"/>
      <c r="Y58" s="275"/>
      <c r="Z58" s="275"/>
      <c r="AA58" s="275"/>
      <c r="AB58" s="264"/>
      <c r="AC58" s="523"/>
      <c r="AD58" s="289">
        <f t="shared" si="3"/>
        <v>3.9</v>
      </c>
      <c r="AE58" s="1238"/>
      <c r="AF58" s="367"/>
      <c r="AG58" s="883">
        <f>+'Exhibit I State'!AG58+'Exhibit I Federal'!AG40</f>
        <v>10</v>
      </c>
      <c r="AH58" s="287"/>
      <c r="AI58" s="97"/>
      <c r="AJ58" s="12">
        <f t="shared" si="1"/>
        <v>-6.1</v>
      </c>
      <c r="AK58" s="95"/>
      <c r="AL58" s="858">
        <f>ROUND(IF(AG58=0,0,AJ58/ABS(AG58)),3)</f>
        <v>-0.61</v>
      </c>
      <c r="AM58" s="12"/>
    </row>
    <row r="59" spans="1:40">
      <c r="A59" s="291"/>
      <c r="B59" s="350" t="s">
        <v>424</v>
      </c>
      <c r="C59" s="291"/>
      <c r="D59" s="291"/>
      <c r="E59" s="275">
        <f>+'Exhibit I State'!E59+'Exhibit I Federal'!E41</f>
        <v>0.1</v>
      </c>
      <c r="F59" s="275"/>
      <c r="G59" s="275">
        <f>+'Exhibit I State'!G59+'Exhibit I Federal'!G41</f>
        <v>0.1</v>
      </c>
      <c r="H59" s="275"/>
      <c r="I59" s="275">
        <f>+'Exhibit I State'!I59+'Exhibit I Federal'!I41</f>
        <v>0.30000000000000004</v>
      </c>
      <c r="J59" s="264"/>
      <c r="K59" s="275">
        <f>+'Exhibit I State'!K59+'Exhibit I Federal'!K41</f>
        <v>9.9999999999999922E-2</v>
      </c>
      <c r="L59" s="264"/>
      <c r="M59" s="275"/>
      <c r="N59" s="264"/>
      <c r="O59" s="275"/>
      <c r="P59" s="264"/>
      <c r="Q59" s="275"/>
      <c r="R59" s="264"/>
      <c r="S59" s="275"/>
      <c r="T59" s="275"/>
      <c r="U59" s="275"/>
      <c r="V59" s="275"/>
      <c r="W59" s="275"/>
      <c r="X59" s="275"/>
      <c r="Y59" s="275"/>
      <c r="Z59" s="275"/>
      <c r="AA59" s="275"/>
      <c r="AB59" s="264"/>
      <c r="AC59" s="523"/>
      <c r="AD59" s="289">
        <f t="shared" si="3"/>
        <v>0.6</v>
      </c>
      <c r="AE59" s="1238"/>
      <c r="AF59" s="367"/>
      <c r="AG59" s="1942">
        <f>+'Exhibit I State'!AG59+'Exhibit I Federal'!AG41</f>
        <v>0.4</v>
      </c>
      <c r="AH59" s="287"/>
      <c r="AI59" s="97"/>
      <c r="AJ59" s="12">
        <f t="shared" si="1"/>
        <v>0.2</v>
      </c>
      <c r="AK59" s="95"/>
      <c r="AL59" s="542">
        <f>ROUND(IF(AG59=0,1,AJ59/ABS(AG59)),3)</f>
        <v>0.5</v>
      </c>
      <c r="AM59" s="12"/>
    </row>
    <row r="60" spans="1:40" s="3" customFormat="1">
      <c r="B60" s="83" t="s">
        <v>526</v>
      </c>
      <c r="E60" s="68">
        <f>ROUND(SUM(E34:E59),1)</f>
        <v>39.1</v>
      </c>
      <c r="F60" s="13"/>
      <c r="G60" s="68">
        <f>ROUND(SUM(G35:G59),1)</f>
        <v>94.2</v>
      </c>
      <c r="H60" s="393"/>
      <c r="I60" s="68">
        <f>ROUND(SUM(I36:I59),1)</f>
        <v>2403.8000000000002</v>
      </c>
      <c r="J60" s="13"/>
      <c r="K60" s="68">
        <f>ROUND(SUM(K36:K59),1)</f>
        <v>669.8</v>
      </c>
      <c r="L60" s="13"/>
      <c r="M60" s="68">
        <f>ROUND(SUM(M36:M59),1)</f>
        <v>0</v>
      </c>
      <c r="N60" s="13"/>
      <c r="O60" s="68">
        <f>ROUND(SUM(O36:O59),1)</f>
        <v>0</v>
      </c>
      <c r="P60" s="13"/>
      <c r="Q60" s="68">
        <f>ROUND(SUM(Q36:Q59),1)</f>
        <v>0</v>
      </c>
      <c r="R60" s="13"/>
      <c r="S60" s="68">
        <f>ROUND(SUM(S36:S59),1)</f>
        <v>0</v>
      </c>
      <c r="T60" s="13"/>
      <c r="U60" s="68">
        <f>ROUND(SUM(U36:U59),1)</f>
        <v>0</v>
      </c>
      <c r="V60" s="13"/>
      <c r="W60" s="68">
        <f>ROUND(SUM(W36:W59),1)</f>
        <v>0</v>
      </c>
      <c r="X60" s="13"/>
      <c r="Y60" s="68">
        <f>ROUND(SUM(Y36:Y59),1)</f>
        <v>0</v>
      </c>
      <c r="Z60" s="13"/>
      <c r="AA60" s="68">
        <f>ROUND(SUM(AA36:AA59),1)</f>
        <v>0</v>
      </c>
      <c r="AB60" s="13"/>
      <c r="AC60" s="14"/>
      <c r="AD60" s="68">
        <f>ROUND(SUM(AD35:AD59),1)</f>
        <v>3206.9</v>
      </c>
      <c r="AE60" s="1229"/>
      <c r="AF60" s="13"/>
      <c r="AG60" s="68">
        <f>ROUND(SUM(AG35:AG59),1)</f>
        <v>1705.8</v>
      </c>
      <c r="AH60" s="18"/>
      <c r="AI60" s="97"/>
      <c r="AJ60" s="68">
        <f>ROUND(SUM(AJ36:AJ59),1)</f>
        <v>1501.1</v>
      </c>
      <c r="AK60" s="40"/>
      <c r="AL60" s="416">
        <f>ROUND(SUM(AJ60/AG60),3)</f>
        <v>0.88</v>
      </c>
    </row>
    <row r="61" spans="1:40">
      <c r="A61" s="291"/>
      <c r="B61" s="83"/>
      <c r="C61" s="291"/>
      <c r="D61" s="291"/>
      <c r="E61" s="264"/>
      <c r="F61" s="264"/>
      <c r="G61" s="264"/>
      <c r="H61" s="289"/>
      <c r="I61" s="264"/>
      <c r="J61" s="264"/>
      <c r="K61" s="264"/>
      <c r="L61" s="264"/>
      <c r="M61" s="264"/>
      <c r="N61" s="264"/>
      <c r="O61" s="264"/>
      <c r="P61" s="264"/>
      <c r="Q61" s="264"/>
      <c r="R61" s="264"/>
      <c r="S61" s="264"/>
      <c r="T61" s="264"/>
      <c r="U61" s="264"/>
      <c r="V61" s="264"/>
      <c r="W61" s="264"/>
      <c r="X61" s="264"/>
      <c r="Y61" s="264"/>
      <c r="Z61" s="264"/>
      <c r="AA61" s="264"/>
      <c r="AB61" s="264"/>
      <c r="AC61" s="523"/>
      <c r="AD61" s="289"/>
      <c r="AE61" s="1227"/>
      <c r="AF61" s="264"/>
      <c r="AG61" s="264"/>
      <c r="AH61" s="287"/>
      <c r="AI61" s="97"/>
      <c r="AJ61" s="12"/>
      <c r="AK61" s="41"/>
      <c r="AL61" s="96"/>
    </row>
    <row r="62" spans="1:40">
      <c r="A62" s="291"/>
      <c r="B62" s="291" t="s">
        <v>507</v>
      </c>
      <c r="C62" s="291"/>
      <c r="D62" s="291"/>
      <c r="E62" s="289">
        <f>+'Exhibit I State'!E62+'Exhibit I Federal'!E44</f>
        <v>87.6</v>
      </c>
      <c r="F62" s="289"/>
      <c r="G62" s="289">
        <f>+'Exhibit I State'!G62+'Exhibit I Federal'!G44</f>
        <v>135.6</v>
      </c>
      <c r="H62" s="12"/>
      <c r="I62" s="289">
        <f>+'Exhibit I State'!I62+'Exhibit I Federal'!I44</f>
        <v>155.5</v>
      </c>
      <c r="J62" s="264"/>
      <c r="K62" s="289">
        <f>+'Exhibit I State'!K62+'Exhibit I Federal'!K44</f>
        <v>300.39999999999998</v>
      </c>
      <c r="L62" s="264"/>
      <c r="M62" s="289"/>
      <c r="N62" s="264"/>
      <c r="O62" s="289"/>
      <c r="P62" s="264"/>
      <c r="Q62" s="289"/>
      <c r="R62" s="264"/>
      <c r="S62" s="289"/>
      <c r="T62" s="289"/>
      <c r="U62" s="289"/>
      <c r="V62" s="289"/>
      <c r="W62" s="289"/>
      <c r="X62" s="289"/>
      <c r="Y62" s="289"/>
      <c r="Z62" s="289"/>
      <c r="AA62" s="289"/>
      <c r="AB62" s="264"/>
      <c r="AC62" s="523"/>
      <c r="AD62" s="264">
        <f>ROUND(SUM(E62:AA62),1)</f>
        <v>679.1</v>
      </c>
      <c r="AE62" s="1227"/>
      <c r="AF62" s="264"/>
      <c r="AG62" s="264">
        <f>+'Exhibit I State'!AG62+'Exhibit I Federal'!AG44</f>
        <v>737.19999999999993</v>
      </c>
      <c r="AH62" s="287"/>
      <c r="AI62" s="98"/>
      <c r="AJ62" s="1060">
        <f>ROUND(SUM(+AD62-AG62),1)</f>
        <v>-58.1</v>
      </c>
      <c r="AK62" s="41"/>
      <c r="AL62" s="1061">
        <f>ROUND(SUM(AJ62/AG62),3)</f>
        <v>-7.9000000000000001E-2</v>
      </c>
    </row>
    <row r="63" spans="1:40">
      <c r="A63" s="291"/>
      <c r="B63" s="291"/>
      <c r="C63" s="291"/>
      <c r="D63" s="291"/>
      <c r="E63" s="615"/>
      <c r="F63" s="264"/>
      <c r="G63" s="615"/>
      <c r="H63" s="264"/>
      <c r="I63" s="615"/>
      <c r="J63" s="264"/>
      <c r="K63" s="615"/>
      <c r="L63" s="264"/>
      <c r="M63" s="615"/>
      <c r="N63" s="264"/>
      <c r="O63" s="615"/>
      <c r="P63" s="264"/>
      <c r="Q63" s="615"/>
      <c r="R63" s="264"/>
      <c r="S63" s="615"/>
      <c r="T63" s="264"/>
      <c r="U63" s="615"/>
      <c r="V63" s="264"/>
      <c r="W63" s="615"/>
      <c r="X63" s="264"/>
      <c r="Y63" s="615"/>
      <c r="Z63" s="264"/>
      <c r="AA63" s="615"/>
      <c r="AB63" s="264"/>
      <c r="AC63" s="523"/>
      <c r="AD63" s="615"/>
      <c r="AE63" s="1227"/>
      <c r="AF63" s="264"/>
      <c r="AG63" s="615"/>
      <c r="AH63" s="264"/>
      <c r="AI63" s="98"/>
      <c r="AJ63" s="12"/>
      <c r="AL63" s="96"/>
    </row>
    <row r="64" spans="1:40">
      <c r="A64" s="291"/>
      <c r="B64" s="3" t="s">
        <v>563</v>
      </c>
      <c r="C64" s="291"/>
      <c r="D64" s="291"/>
      <c r="E64" s="608">
        <f>ROUND(SUM(+E60+E62+E31),1)</f>
        <v>212.8</v>
      </c>
      <c r="F64" s="13"/>
      <c r="G64" s="608">
        <f>ROUND(SUM(+G60+G62+G31),1)</f>
        <v>314.60000000000002</v>
      </c>
      <c r="H64" s="13"/>
      <c r="I64" s="608">
        <f>ROUND(SUM(+I60+I62+I31),1)</f>
        <v>2703.3</v>
      </c>
      <c r="J64" s="13"/>
      <c r="K64" s="608">
        <f>ROUND(SUM(+K60+K62+K31),1)</f>
        <v>1098.3</v>
      </c>
      <c r="L64" s="13"/>
      <c r="M64" s="608">
        <f>ROUND(SUM(+M60+M62+M31),1)</f>
        <v>0</v>
      </c>
      <c r="N64" s="13"/>
      <c r="O64" s="608">
        <f>ROUND(SUM(+O60+O62+O31),1)</f>
        <v>0</v>
      </c>
      <c r="P64" s="13"/>
      <c r="Q64" s="608">
        <f>ROUND(SUM(+Q60+Q62+Q31),1)</f>
        <v>0</v>
      </c>
      <c r="R64" s="13"/>
      <c r="S64" s="1057">
        <f>ROUND(SUM(+S60+S62+S31),1)</f>
        <v>0</v>
      </c>
      <c r="T64" s="13"/>
      <c r="U64" s="1057">
        <f>ROUND(SUM(+U60+U62+U31),1)</f>
        <v>0</v>
      </c>
      <c r="V64" s="13"/>
      <c r="W64" s="1057">
        <f>ROUND(SUM(+W60+W62+W31),1)</f>
        <v>0</v>
      </c>
      <c r="X64" s="13"/>
      <c r="Y64" s="1057">
        <f>ROUND(SUM(+Y60+Y62+Y31),1)</f>
        <v>0</v>
      </c>
      <c r="Z64" s="13"/>
      <c r="AA64" s="1057">
        <f>ROUND(SUM(+AA60+AA62+AA31),1)</f>
        <v>0</v>
      </c>
      <c r="AB64" s="13"/>
      <c r="AC64" s="14"/>
      <c r="AD64" s="1057">
        <f>ROUND(SUM(+AD60+AD62+AD31),1)</f>
        <v>4329</v>
      </c>
      <c r="AE64" s="1229"/>
      <c r="AF64" s="13"/>
      <c r="AG64" s="1057">
        <f>ROUND(SUM(+AG60+AG62+AG31),1)</f>
        <v>2892.4</v>
      </c>
      <c r="AH64" s="18"/>
      <c r="AI64" s="98"/>
      <c r="AJ64" s="1057">
        <f>ROUND(SUM(+AJ60+AJ62+AJ31),1)</f>
        <v>1436.6</v>
      </c>
      <c r="AK64" s="40"/>
      <c r="AL64" s="368">
        <f>ROUND(SUM(AJ64/AG64),3)</f>
        <v>0.497</v>
      </c>
      <c r="AM64" s="3"/>
      <c r="AN64" s="40"/>
    </row>
    <row r="65" spans="1:40">
      <c r="A65" s="291"/>
      <c r="B65" s="291"/>
      <c r="C65" s="291"/>
      <c r="D65" s="291"/>
      <c r="E65" s="615"/>
      <c r="F65" s="264"/>
      <c r="G65" s="615"/>
      <c r="H65" s="264"/>
      <c r="I65" s="615"/>
      <c r="J65" s="264"/>
      <c r="K65" s="615"/>
      <c r="L65" s="264"/>
      <c r="M65" s="615"/>
      <c r="N65" s="264"/>
      <c r="O65" s="615"/>
      <c r="P65" s="264"/>
      <c r="Q65" s="615"/>
      <c r="R65" s="264"/>
      <c r="S65" s="615"/>
      <c r="T65" s="264"/>
      <c r="U65" s="615"/>
      <c r="V65" s="264"/>
      <c r="W65" s="615"/>
      <c r="X65" s="264"/>
      <c r="Y65" s="615"/>
      <c r="Z65" s="264"/>
      <c r="AA65" s="615"/>
      <c r="AB65" s="264"/>
      <c r="AC65" s="523"/>
      <c r="AD65" s="615"/>
      <c r="AE65" s="1227"/>
      <c r="AF65" s="264"/>
      <c r="AG65" s="615"/>
      <c r="AH65" s="264"/>
      <c r="AI65" s="98"/>
      <c r="AJ65" s="12"/>
      <c r="AL65" s="96"/>
    </row>
    <row r="66" spans="1:40">
      <c r="A66" s="291"/>
      <c r="B66" s="3" t="s">
        <v>122</v>
      </c>
      <c r="C66" s="291"/>
      <c r="D66" s="291"/>
      <c r="E66" s="264"/>
      <c r="F66" s="264"/>
      <c r="G66" s="264"/>
      <c r="H66" s="264"/>
      <c r="I66" s="264"/>
      <c r="J66" s="264"/>
      <c r="K66" s="264"/>
      <c r="L66" s="264"/>
      <c r="M66" s="264"/>
      <c r="N66" s="264"/>
      <c r="O66" s="264"/>
      <c r="P66" s="264"/>
      <c r="Q66" s="264"/>
      <c r="R66" s="264"/>
      <c r="S66" s="264"/>
      <c r="T66" s="264"/>
      <c r="U66" s="264"/>
      <c r="V66" s="264"/>
      <c r="W66" s="264"/>
      <c r="X66" s="264"/>
      <c r="Y66" s="264"/>
      <c r="Z66" s="264"/>
      <c r="AA66" s="264"/>
      <c r="AB66" s="264"/>
      <c r="AC66" s="523"/>
      <c r="AD66" s="264"/>
      <c r="AE66" s="1227"/>
      <c r="AF66" s="264"/>
      <c r="AG66" s="264"/>
      <c r="AH66" s="264"/>
      <c r="AI66" s="98"/>
      <c r="AJ66" s="12"/>
      <c r="AL66" s="96"/>
    </row>
    <row r="67" spans="1:40">
      <c r="A67" s="291"/>
      <c r="B67" s="291" t="s">
        <v>451</v>
      </c>
      <c r="C67" s="291"/>
      <c r="D67" s="291"/>
      <c r="E67" s="264"/>
      <c r="F67" s="264"/>
      <c r="G67" s="264"/>
      <c r="H67" s="264"/>
      <c r="I67" s="264"/>
      <c r="J67" s="264"/>
      <c r="K67" s="264"/>
      <c r="L67" s="264"/>
      <c r="M67" s="264"/>
      <c r="N67" s="264"/>
      <c r="O67" s="264"/>
      <c r="P67" s="264"/>
      <c r="Q67" s="264"/>
      <c r="R67" s="264"/>
      <c r="S67" s="264"/>
      <c r="T67" s="264"/>
      <c r="U67" s="264"/>
      <c r="V67" s="264"/>
      <c r="W67" s="264"/>
      <c r="X67" s="264"/>
      <c r="Y67" s="264"/>
      <c r="Z67" s="264"/>
      <c r="AA67" s="264" t="s">
        <v>103</v>
      </c>
      <c r="AB67" s="264"/>
      <c r="AC67" s="523"/>
      <c r="AD67" s="287"/>
      <c r="AE67" s="1227"/>
      <c r="AF67" s="264"/>
      <c r="AG67" s="264"/>
      <c r="AH67" s="264"/>
      <c r="AI67" s="98"/>
      <c r="AJ67" s="12"/>
      <c r="AL67" s="96"/>
    </row>
    <row r="68" spans="1:40">
      <c r="A68" s="291"/>
      <c r="B68" s="291" t="s">
        <v>124</v>
      </c>
      <c r="C68" s="291"/>
      <c r="D68" s="291"/>
      <c r="E68" s="289">
        <f>+'Exhibit I State'!E68+'Exhibit I Federal'!E50</f>
        <v>36.1</v>
      </c>
      <c r="F68" s="289"/>
      <c r="G68" s="289">
        <f>+'Exhibit I State'!G68+'Exhibit I Federal'!G50</f>
        <v>4.6999999999999957</v>
      </c>
      <c r="H68" s="289"/>
      <c r="I68" s="289">
        <f>+'Exhibit I State'!I68+'Exhibit I Federal'!I50</f>
        <v>14.300000000000004</v>
      </c>
      <c r="J68" s="264"/>
      <c r="K68" s="289">
        <f>+'Exhibit I State'!K68+'Exhibit I Federal'!K50</f>
        <v>9.4999999999999929</v>
      </c>
      <c r="L68" s="264"/>
      <c r="M68" s="289"/>
      <c r="N68" s="264"/>
      <c r="O68" s="289"/>
      <c r="P68" s="264"/>
      <c r="Q68" s="289"/>
      <c r="R68" s="264"/>
      <c r="S68" s="289"/>
      <c r="T68" s="289"/>
      <c r="U68" s="289"/>
      <c r="V68" s="289"/>
      <c r="W68" s="289"/>
      <c r="X68" s="289"/>
      <c r="Y68" s="289"/>
      <c r="Z68" s="289"/>
      <c r="AA68" s="289"/>
      <c r="AB68" s="264"/>
      <c r="AC68" s="523"/>
      <c r="AD68" s="264">
        <f>ROUND(SUM(E68:AA68),1)</f>
        <v>64.599999999999994</v>
      </c>
      <c r="AE68" s="1227"/>
      <c r="AF68" s="264"/>
      <c r="AG68" s="264">
        <f>+'Exhibit I State'!AG68+'Exhibit I Federal'!AG50</f>
        <v>85.9</v>
      </c>
      <c r="AH68" s="287"/>
      <c r="AI68" s="97"/>
      <c r="AJ68" s="12">
        <f>ROUND(SUM(+AD68-AG68),1)</f>
        <v>-21.3</v>
      </c>
      <c r="AK68" s="41"/>
      <c r="AL68" s="547">
        <f>ROUND(IF(AG68=0,1,AJ68/ABS(AG68)),3)</f>
        <v>-0.248</v>
      </c>
    </row>
    <row r="69" spans="1:40">
      <c r="A69" s="291"/>
      <c r="B69" s="291" t="s">
        <v>125</v>
      </c>
      <c r="C69" s="291"/>
      <c r="D69" s="291"/>
      <c r="E69" s="289">
        <f>+'Exhibit I State'!E69+'Exhibit I Federal'!E51</f>
        <v>11.6</v>
      </c>
      <c r="F69" s="289"/>
      <c r="G69" s="289">
        <f>+'Exhibit I State'!G69+'Exhibit I Federal'!G51</f>
        <v>25.300000000000004</v>
      </c>
      <c r="H69" s="289"/>
      <c r="I69" s="289">
        <f>+'Exhibit I State'!I69+'Exhibit I Federal'!I51</f>
        <v>35.799999999999997</v>
      </c>
      <c r="J69" s="264"/>
      <c r="K69" s="289">
        <f>+'Exhibit I State'!K69+'Exhibit I Federal'!K51</f>
        <v>35.100000000000009</v>
      </c>
      <c r="L69" s="264"/>
      <c r="M69" s="289"/>
      <c r="N69" s="264"/>
      <c r="O69" s="289"/>
      <c r="P69" s="264"/>
      <c r="Q69" s="289"/>
      <c r="R69" s="264"/>
      <c r="S69" s="289"/>
      <c r="T69" s="289"/>
      <c r="U69" s="289"/>
      <c r="V69" s="289"/>
      <c r="W69" s="289"/>
      <c r="X69" s="289"/>
      <c r="Y69" s="289"/>
      <c r="Z69" s="289"/>
      <c r="AA69" s="289"/>
      <c r="AB69" s="264"/>
      <c r="AC69" s="523"/>
      <c r="AD69" s="264">
        <f>ROUND(SUM(E69:AA69),1)</f>
        <v>107.8</v>
      </c>
      <c r="AE69" s="1227"/>
      <c r="AF69" s="264"/>
      <c r="AG69" s="264">
        <f>+'Exhibit I State'!AG69+'Exhibit I Federal'!AG51</f>
        <v>66.099999999999994</v>
      </c>
      <c r="AH69" s="287"/>
      <c r="AI69" s="97"/>
      <c r="AJ69" s="12">
        <f t="shared" ref="AJ69:AJ75" si="4">ROUND(SUM(+AD69-AG69),1)</f>
        <v>41.7</v>
      </c>
      <c r="AK69" s="41"/>
      <c r="AL69" s="542">
        <f>ROUND(IF(AG69=0,0,AJ69/ABS(AG69)),3)</f>
        <v>0.63100000000000001</v>
      </c>
    </row>
    <row r="70" spans="1:40">
      <c r="A70" s="291"/>
      <c r="B70" s="291" t="s">
        <v>126</v>
      </c>
      <c r="C70" s="291"/>
      <c r="D70" s="291"/>
      <c r="E70" s="289">
        <f>+'Exhibit I State'!E70+'Exhibit I Federal'!E52</f>
        <v>35.9</v>
      </c>
      <c r="F70" s="289"/>
      <c r="G70" s="289">
        <f>+'Exhibit I State'!G70+'Exhibit I Federal'!G52</f>
        <v>22.200000000000003</v>
      </c>
      <c r="H70" s="289"/>
      <c r="I70" s="289">
        <f>+'Exhibit I State'!I70+'Exhibit I Federal'!I52</f>
        <v>53.9</v>
      </c>
      <c r="J70" s="264"/>
      <c r="K70" s="289">
        <f>+'Exhibit I State'!K70+'Exhibit I Federal'!K52</f>
        <v>79.699999999999989</v>
      </c>
      <c r="L70" s="264"/>
      <c r="M70" s="289"/>
      <c r="N70" s="264"/>
      <c r="O70" s="289"/>
      <c r="P70" s="264"/>
      <c r="Q70" s="289"/>
      <c r="R70" s="264"/>
      <c r="S70" s="289"/>
      <c r="T70" s="289"/>
      <c r="U70" s="289"/>
      <c r="V70" s="289"/>
      <c r="W70" s="289"/>
      <c r="X70" s="289"/>
      <c r="Y70" s="289"/>
      <c r="Z70" s="289"/>
      <c r="AA70" s="289"/>
      <c r="AB70" s="264"/>
      <c r="AC70" s="523"/>
      <c r="AD70" s="264">
        <f>ROUND(SUM(E70:AA70),1)</f>
        <v>191.7</v>
      </c>
      <c r="AE70" s="1227"/>
      <c r="AF70" s="264"/>
      <c r="AG70" s="264">
        <f>+'Exhibit I State'!AG70+'Exhibit I Federal'!AG52</f>
        <v>154.30000000000001</v>
      </c>
      <c r="AH70" s="287"/>
      <c r="AI70" s="97"/>
      <c r="AJ70" s="12">
        <f t="shared" si="4"/>
        <v>37.4</v>
      </c>
      <c r="AK70" s="41"/>
      <c r="AL70" s="266">
        <f>ROUND(IF(AG70=0,0,AJ70/ABS(AG70)),3)</f>
        <v>0.24199999999999999</v>
      </c>
    </row>
    <row r="71" spans="1:40">
      <c r="A71" s="291"/>
      <c r="B71" s="291" t="s">
        <v>127</v>
      </c>
      <c r="C71" s="291"/>
      <c r="D71" s="291"/>
      <c r="E71" s="289"/>
      <c r="F71" s="289"/>
      <c r="G71" s="289"/>
      <c r="H71" s="289"/>
      <c r="I71" s="289"/>
      <c r="J71" s="264"/>
      <c r="K71" s="289"/>
      <c r="L71" s="264"/>
      <c r="M71" s="289"/>
      <c r="N71" s="264"/>
      <c r="O71" s="289"/>
      <c r="P71" s="264"/>
      <c r="Q71" s="289"/>
      <c r="R71" s="264"/>
      <c r="S71" s="289"/>
      <c r="T71" s="289"/>
      <c r="U71" s="289"/>
      <c r="V71" s="289"/>
      <c r="W71" s="289"/>
      <c r="X71" s="289"/>
      <c r="Y71" s="289"/>
      <c r="Z71" s="289"/>
      <c r="AA71" s="289"/>
      <c r="AB71" s="264"/>
      <c r="AC71" s="523"/>
      <c r="AD71" s="264" t="s">
        <v>103</v>
      </c>
      <c r="AE71" s="1227"/>
      <c r="AF71" s="264"/>
      <c r="AG71" s="367"/>
      <c r="AH71" s="264"/>
      <c r="AI71" s="98"/>
      <c r="AJ71" s="12" t="s">
        <v>103</v>
      </c>
      <c r="AK71" s="41"/>
      <c r="AL71" s="99" t="s">
        <v>103</v>
      </c>
    </row>
    <row r="72" spans="1:40">
      <c r="A72" s="291"/>
      <c r="B72" s="291" t="s">
        <v>129</v>
      </c>
      <c r="C72" s="291"/>
      <c r="D72" s="291"/>
      <c r="E72" s="289">
        <f>+'Exhibit I State'!E72+'Exhibit I Federal'!E54</f>
        <v>22.2</v>
      </c>
      <c r="F72" s="289"/>
      <c r="G72" s="289">
        <f>+'Exhibit I State'!G72+'Exhibit I Federal'!G54</f>
        <v>22.599999999999998</v>
      </c>
      <c r="H72" s="289"/>
      <c r="I72" s="289">
        <f>+'Exhibit I State'!I72+'Exhibit I Federal'!I54</f>
        <v>107.40000000000002</v>
      </c>
      <c r="J72" s="264"/>
      <c r="K72" s="289">
        <f>+'Exhibit I State'!K72+'Exhibit I Federal'!K54</f>
        <v>52.199999999999982</v>
      </c>
      <c r="L72" s="264"/>
      <c r="M72" s="289"/>
      <c r="N72" s="264"/>
      <c r="O72" s="289"/>
      <c r="P72" s="264"/>
      <c r="Q72" s="289"/>
      <c r="R72" s="264"/>
      <c r="S72" s="289"/>
      <c r="T72" s="289"/>
      <c r="U72" s="289"/>
      <c r="V72" s="289"/>
      <c r="W72" s="289"/>
      <c r="X72" s="289"/>
      <c r="Y72" s="289"/>
      <c r="Z72" s="289"/>
      <c r="AA72" s="289"/>
      <c r="AB72" s="264"/>
      <c r="AC72" s="523"/>
      <c r="AD72" s="264">
        <f>ROUND(SUM(E72:AA72),1)</f>
        <v>204.4</v>
      </c>
      <c r="AE72" s="1227"/>
      <c r="AF72" s="264"/>
      <c r="AG72" s="367">
        <f>+'Exhibit I State'!AG72+'Exhibit I Federal'!AG54</f>
        <v>187.8</v>
      </c>
      <c r="AH72" s="287"/>
      <c r="AI72" s="97"/>
      <c r="AJ72" s="12">
        <f t="shared" si="4"/>
        <v>16.600000000000001</v>
      </c>
      <c r="AK72" s="41"/>
      <c r="AL72" s="374">
        <f>ROUND(IF(AG72=0,0,AJ72/ABS(AG72)),3)</f>
        <v>8.7999999999999995E-2</v>
      </c>
    </row>
    <row r="73" spans="1:40">
      <c r="A73" s="291"/>
      <c r="B73" s="291" t="s">
        <v>130</v>
      </c>
      <c r="C73" s="291"/>
      <c r="D73" s="291"/>
      <c r="E73" s="289">
        <f>+'Exhibit I State'!E73+'Exhibit I Federal'!E55</f>
        <v>3.2</v>
      </c>
      <c r="F73" s="289"/>
      <c r="G73" s="289">
        <f>+'Exhibit I State'!G73+'Exhibit I Federal'!G55</f>
        <v>7.4999999999999991</v>
      </c>
      <c r="H73" s="289"/>
      <c r="I73" s="289">
        <f>+'Exhibit I State'!I73+'Exhibit I Federal'!I55</f>
        <v>7.9999999999999991</v>
      </c>
      <c r="J73" s="264"/>
      <c r="K73" s="289">
        <f>+'Exhibit I State'!K73+'Exhibit I Federal'!K55</f>
        <v>2.5</v>
      </c>
      <c r="L73" s="264"/>
      <c r="M73" s="289"/>
      <c r="N73" s="264"/>
      <c r="O73" s="289"/>
      <c r="P73" s="264"/>
      <c r="Q73" s="289"/>
      <c r="R73" s="264"/>
      <c r="S73" s="289"/>
      <c r="T73" s="289"/>
      <c r="U73" s="289"/>
      <c r="V73" s="289"/>
      <c r="W73" s="289"/>
      <c r="X73" s="289"/>
      <c r="Y73" s="289"/>
      <c r="Z73" s="289"/>
      <c r="AA73" s="289"/>
      <c r="AB73" s="264"/>
      <c r="AC73" s="523"/>
      <c r="AD73" s="264">
        <f>ROUND(SUM(E73:AA73),1)</f>
        <v>21.2</v>
      </c>
      <c r="AE73" s="1227"/>
      <c r="AF73" s="264"/>
      <c r="AG73" s="367">
        <f>+'Exhibit I State'!AG73+'Exhibit I Federal'!AG55</f>
        <v>9.6999999999999993</v>
      </c>
      <c r="AH73" s="287"/>
      <c r="AI73" s="97"/>
      <c r="AJ73" s="12">
        <f t="shared" si="4"/>
        <v>11.5</v>
      </c>
      <c r="AK73" s="41"/>
      <c r="AL73" s="542">
        <f>ROUND(IF(AG73=0,1,AJ73/ABS(AG73)),3)</f>
        <v>1.1859999999999999</v>
      </c>
    </row>
    <row r="74" spans="1:40">
      <c r="A74" s="291"/>
      <c r="B74" s="291" t="s">
        <v>131</v>
      </c>
      <c r="C74" s="291"/>
      <c r="D74" s="291"/>
      <c r="E74" s="289">
        <f>+'Exhibit I State'!E74+'Exhibit I Federal'!E56</f>
        <v>91.6</v>
      </c>
      <c r="F74" s="289"/>
      <c r="G74" s="289">
        <f>+'Exhibit I State'!G74+'Exhibit I Federal'!G56</f>
        <v>139.5</v>
      </c>
      <c r="H74" s="289"/>
      <c r="I74" s="289">
        <f>+'Exhibit I State'!I74+'Exhibit I Federal'!I56</f>
        <v>124.20000000000002</v>
      </c>
      <c r="J74" s="264"/>
      <c r="K74" s="289">
        <f>+'Exhibit I State'!K74+'Exhibit I Federal'!K56</f>
        <v>157.29999999999998</v>
      </c>
      <c r="L74" s="264"/>
      <c r="M74" s="289"/>
      <c r="N74" s="264"/>
      <c r="O74" s="289"/>
      <c r="P74" s="264"/>
      <c r="Q74" s="289"/>
      <c r="R74" s="264"/>
      <c r="S74" s="289"/>
      <c r="T74" s="289"/>
      <c r="U74" s="289"/>
      <c r="V74" s="289"/>
      <c r="W74" s="289"/>
      <c r="X74" s="289"/>
      <c r="Y74" s="289"/>
      <c r="Z74" s="289"/>
      <c r="AA74" s="289"/>
      <c r="AB74" s="264"/>
      <c r="AC74" s="523"/>
      <c r="AD74" s="264">
        <f>ROUND(SUM(E74:AA74),1)</f>
        <v>512.6</v>
      </c>
      <c r="AE74" s="1227"/>
      <c r="AF74" s="264"/>
      <c r="AG74" s="367">
        <f>+'Exhibit I State'!AG74+'Exhibit I Federal'!AG56</f>
        <v>593.20000000000005</v>
      </c>
      <c r="AH74" s="264"/>
      <c r="AI74" s="98"/>
      <c r="AJ74" s="12">
        <f t="shared" si="4"/>
        <v>-80.599999999999994</v>
      </c>
      <c r="AK74" s="41"/>
      <c r="AL74" s="561">
        <f>ROUND(IF(AG74=0,1,AJ74/ABS(AG74)),3)</f>
        <v>-0.13600000000000001</v>
      </c>
    </row>
    <row r="75" spans="1:40">
      <c r="A75" s="291"/>
      <c r="B75" s="291" t="s">
        <v>132</v>
      </c>
      <c r="C75" s="3"/>
      <c r="D75" s="291"/>
      <c r="E75" s="289">
        <f>+'Exhibit I State'!E75+'Exhibit I Federal'!E57</f>
        <v>98.2</v>
      </c>
      <c r="F75" s="289"/>
      <c r="G75" s="289">
        <f>+'Exhibit I State'!G75+'Exhibit I Federal'!G57</f>
        <v>15.899999999999999</v>
      </c>
      <c r="H75" s="289"/>
      <c r="I75" s="289">
        <f>+'Exhibit I State'!I75+'Exhibit I Federal'!I57</f>
        <v>175.7</v>
      </c>
      <c r="J75" s="264"/>
      <c r="K75" s="289">
        <f>+'Exhibit I State'!K75+'Exhibit I Federal'!K57</f>
        <v>294.7</v>
      </c>
      <c r="L75" s="264"/>
      <c r="M75" s="289"/>
      <c r="N75" s="264"/>
      <c r="O75" s="289"/>
      <c r="P75" s="264"/>
      <c r="Q75" s="289"/>
      <c r="R75" s="264"/>
      <c r="S75" s="289"/>
      <c r="T75" s="289"/>
      <c r="U75" s="289"/>
      <c r="V75" s="289"/>
      <c r="W75" s="289"/>
      <c r="X75" s="289"/>
      <c r="Y75" s="289"/>
      <c r="Z75" s="289"/>
      <c r="AA75" s="289"/>
      <c r="AB75" s="264"/>
      <c r="AC75" s="523"/>
      <c r="AD75" s="264">
        <f>ROUND(SUM(E75:AA75),1)</f>
        <v>584.5</v>
      </c>
      <c r="AE75" s="1227"/>
      <c r="AF75" s="264"/>
      <c r="AG75" s="367">
        <f>+'Exhibit I State'!AG75+'Exhibit I Federal'!AG57</f>
        <v>247.6</v>
      </c>
      <c r="AH75" s="264"/>
      <c r="AI75" s="98"/>
      <c r="AJ75" s="12">
        <f t="shared" si="4"/>
        <v>336.9</v>
      </c>
      <c r="AK75" s="41"/>
      <c r="AL75" s="561">
        <f>ROUND(IF(AG75=0,0,AJ75/ABS(AG75)),3)</f>
        <v>1.361</v>
      </c>
    </row>
    <row r="76" spans="1:40">
      <c r="A76" s="291"/>
      <c r="B76" s="291" t="s">
        <v>133</v>
      </c>
      <c r="C76" s="291"/>
      <c r="D76" s="291"/>
      <c r="E76" s="289">
        <f>+'Exhibit I State'!E76+'Exhibit I Federal'!E58</f>
        <v>61.900000000000006</v>
      </c>
      <c r="F76" s="289"/>
      <c r="G76" s="289">
        <f>+'Exhibit I State'!G76+'Exhibit I Federal'!G58</f>
        <v>52.300000000000011</v>
      </c>
      <c r="H76" s="289"/>
      <c r="I76" s="289">
        <f>+'Exhibit I State'!I76+'Exhibit I Federal'!I58</f>
        <v>178.69999999999996</v>
      </c>
      <c r="J76" s="264"/>
      <c r="K76" s="289">
        <f>+'Exhibit I State'!K76+'Exhibit I Federal'!K58</f>
        <v>500.2</v>
      </c>
      <c r="L76" s="264"/>
      <c r="M76" s="289"/>
      <c r="N76" s="264"/>
      <c r="O76" s="289"/>
      <c r="P76" s="264"/>
      <c r="Q76" s="289"/>
      <c r="R76" s="264"/>
      <c r="S76" s="289"/>
      <c r="T76" s="289"/>
      <c r="U76" s="289"/>
      <c r="V76" s="289"/>
      <c r="W76" s="289"/>
      <c r="X76" s="289"/>
      <c r="Y76" s="289"/>
      <c r="Z76" s="289"/>
      <c r="AA76" s="289"/>
      <c r="AB76" s="264"/>
      <c r="AC76" s="523"/>
      <c r="AD76" s="264">
        <f>ROUND(SUM(E76:AA76),1)</f>
        <v>793.1</v>
      </c>
      <c r="AE76" s="1227"/>
      <c r="AF76" s="264"/>
      <c r="AG76" s="367">
        <f>+'Exhibit I State'!AG76+'Exhibit I Federal'!AG58</f>
        <v>237.1</v>
      </c>
      <c r="AH76" s="264"/>
      <c r="AI76" s="98"/>
      <c r="AJ76" s="12">
        <f>ROUND(SUM(+AD76-AG76),1)</f>
        <v>556</v>
      </c>
      <c r="AL76" s="862">
        <f>ROUND(IF(AG76=0,0,AJ76/ABS(AG76)),3)</f>
        <v>2.3450000000000002</v>
      </c>
    </row>
    <row r="77" spans="1:40">
      <c r="A77" s="291"/>
      <c r="B77" s="3" t="s">
        <v>564</v>
      </c>
      <c r="C77" s="291"/>
      <c r="D77" s="291"/>
      <c r="E77" s="616">
        <f>ROUND(SUM(E68:E76),1)</f>
        <v>360.7</v>
      </c>
      <c r="F77" s="13"/>
      <c r="G77" s="616">
        <f>ROUND(SUM(G68:G76),1)</f>
        <v>290</v>
      </c>
      <c r="H77" s="13"/>
      <c r="I77" s="616">
        <f>ROUND(SUM(I68:I76),1)</f>
        <v>698</v>
      </c>
      <c r="J77" s="13"/>
      <c r="K77" s="616">
        <f>ROUND(SUM(K68:K76),1)</f>
        <v>1131.2</v>
      </c>
      <c r="L77" s="13"/>
      <c r="M77" s="616">
        <f>ROUND(SUM(M68:M76),1)</f>
        <v>0</v>
      </c>
      <c r="N77" s="13"/>
      <c r="O77" s="616">
        <f>ROUND(SUM(O68:O76),1)</f>
        <v>0</v>
      </c>
      <c r="P77" s="13"/>
      <c r="Q77" s="616">
        <f>ROUND(SUM(Q68:Q76),1)</f>
        <v>0</v>
      </c>
      <c r="R77" s="13"/>
      <c r="S77" s="616">
        <f>ROUND(SUM(S68:S76),1)</f>
        <v>0</v>
      </c>
      <c r="T77" s="13"/>
      <c r="U77" s="616">
        <f>ROUND(SUM(U68:U76),1)</f>
        <v>0</v>
      </c>
      <c r="V77" s="13"/>
      <c r="W77" s="616">
        <f>ROUND(SUM(W68:W76),1)</f>
        <v>0</v>
      </c>
      <c r="X77" s="13"/>
      <c r="Y77" s="616">
        <f>ROUND(SUM(Y68:Y76),1)</f>
        <v>0</v>
      </c>
      <c r="Z77" s="13"/>
      <c r="AA77" s="616">
        <f>ROUND(SUM(AA68:AA76),1)</f>
        <v>0</v>
      </c>
      <c r="AB77" s="13"/>
      <c r="AC77" s="14"/>
      <c r="AD77" s="616">
        <f>ROUND(SUM(AD68:AD76),1)</f>
        <v>2479.9</v>
      </c>
      <c r="AE77" s="1229"/>
      <c r="AF77" s="13"/>
      <c r="AG77" s="616">
        <f>ROUND(SUM(AG68:AG76),1)</f>
        <v>1581.7</v>
      </c>
      <c r="AH77" s="13"/>
      <c r="AI77" s="98"/>
      <c r="AJ77" s="616">
        <f>ROUND(SUM(AJ68:AJ76),1)</f>
        <v>898.2</v>
      </c>
      <c r="AK77" s="3"/>
      <c r="AL77" s="368">
        <f>ROUND(SUM(AJ77/AG77),3)</f>
        <v>0.56799999999999995</v>
      </c>
      <c r="AM77" s="3"/>
      <c r="AN77" s="40"/>
    </row>
    <row r="78" spans="1:40">
      <c r="A78" s="291"/>
      <c r="B78" s="291" t="s">
        <v>565</v>
      </c>
      <c r="C78" s="291"/>
      <c r="D78" s="291"/>
      <c r="E78" s="264"/>
      <c r="F78" s="264"/>
      <c r="G78" s="264"/>
      <c r="H78" s="264"/>
      <c r="I78" s="264"/>
      <c r="J78" s="264"/>
      <c r="K78" s="264"/>
      <c r="L78" s="264"/>
      <c r="M78" s="264"/>
      <c r="N78" s="264"/>
      <c r="O78" s="264"/>
      <c r="P78" s="264"/>
      <c r="Q78" s="264"/>
      <c r="R78" s="264"/>
      <c r="S78" s="264"/>
      <c r="T78" s="264"/>
      <c r="U78" s="264"/>
      <c r="V78" s="264"/>
      <c r="W78" s="264"/>
      <c r="X78" s="264"/>
      <c r="Y78" s="264"/>
      <c r="Z78" s="264"/>
      <c r="AA78" s="264"/>
      <c r="AB78" s="264"/>
      <c r="AC78" s="523"/>
      <c r="AD78" s="264"/>
      <c r="AE78" s="1227"/>
      <c r="AF78" s="264"/>
      <c r="AG78" s="264"/>
      <c r="AH78" s="264"/>
      <c r="AI78" s="98"/>
      <c r="AJ78" s="12"/>
      <c r="AL78" s="96"/>
    </row>
    <row r="79" spans="1:40">
      <c r="A79" s="291"/>
      <c r="B79" s="291" t="s">
        <v>566</v>
      </c>
      <c r="C79" s="291"/>
      <c r="D79" s="291"/>
      <c r="E79" s="289">
        <f>+'Exhibit I State'!E79+'Exhibit I Federal'!E61</f>
        <v>0</v>
      </c>
      <c r="F79" s="289"/>
      <c r="G79" s="289">
        <f>+'Exhibit I State'!G79+'Exhibit I Federal'!G61</f>
        <v>0</v>
      </c>
      <c r="H79" s="289"/>
      <c r="I79" s="289">
        <f>+'Exhibit I State'!I79+'Exhibit I Federal'!I61</f>
        <v>0</v>
      </c>
      <c r="J79" s="264"/>
      <c r="K79" s="289">
        <f>+'Exhibit I State'!K79+'Exhibit I Federal'!K61</f>
        <v>0</v>
      </c>
      <c r="L79" s="264"/>
      <c r="M79" s="289"/>
      <c r="N79" s="264"/>
      <c r="O79" s="289"/>
      <c r="P79" s="264"/>
      <c r="Q79" s="289"/>
      <c r="R79" s="264"/>
      <c r="S79" s="289"/>
      <c r="T79" s="289"/>
      <c r="U79" s="289"/>
      <c r="V79" s="289"/>
      <c r="W79" s="289"/>
      <c r="X79" s="289"/>
      <c r="Y79" s="289"/>
      <c r="Z79" s="289"/>
      <c r="AA79" s="289"/>
      <c r="AB79" s="264"/>
      <c r="AC79" s="523"/>
      <c r="AD79" s="287">
        <f>ROUND(SUM(E79:AA79),1)</f>
        <v>0</v>
      </c>
      <c r="AE79" s="1227"/>
      <c r="AF79" s="264"/>
      <c r="AG79" s="275">
        <f>+'Exhibit I State'!AG79+'Exhibit I Federal'!AG61</f>
        <v>0</v>
      </c>
      <c r="AH79" s="367"/>
      <c r="AI79" s="100"/>
      <c r="AJ79" s="264">
        <f>ROUND(SUM(+AD79-AG79),1)</f>
        <v>0</v>
      </c>
      <c r="AL79" s="374">
        <f>ROUND(IF(AG79=0,0,AJ79/ABS(AG79)),3)</f>
        <v>0</v>
      </c>
    </row>
    <row r="80" spans="1:40">
      <c r="A80" s="291"/>
      <c r="B80" s="291" t="s">
        <v>567</v>
      </c>
      <c r="C80" s="291"/>
      <c r="D80" s="291"/>
      <c r="E80" s="289">
        <f>+'Exhibit I State'!E80+'Exhibit I Federal'!E62</f>
        <v>0</v>
      </c>
      <c r="F80" s="289"/>
      <c r="G80" s="289">
        <f>+'Exhibit I State'!G80+'Exhibit I Federal'!G62</f>
        <v>0</v>
      </c>
      <c r="H80" s="289"/>
      <c r="I80" s="289">
        <f>+'Exhibit I State'!I80+'Exhibit I Federal'!I62</f>
        <v>0</v>
      </c>
      <c r="J80" s="264"/>
      <c r="K80" s="289">
        <f>+'Exhibit I State'!K80+'Exhibit I Federal'!K62</f>
        <v>0</v>
      </c>
      <c r="L80" s="264"/>
      <c r="M80" s="289"/>
      <c r="N80" s="264"/>
      <c r="O80" s="289"/>
      <c r="P80" s="264"/>
      <c r="Q80" s="289"/>
      <c r="R80" s="264"/>
      <c r="S80" s="289"/>
      <c r="T80" s="289"/>
      <c r="U80" s="289"/>
      <c r="V80" s="289"/>
      <c r="W80" s="289"/>
      <c r="X80" s="289"/>
      <c r="Y80" s="289"/>
      <c r="Z80" s="289"/>
      <c r="AA80" s="289"/>
      <c r="AB80" s="264"/>
      <c r="AC80" s="523"/>
      <c r="AD80" s="1919">
        <f>ROUND(SUM(E80:AA80),1)</f>
        <v>0</v>
      </c>
      <c r="AE80" s="1227"/>
      <c r="AF80" s="264"/>
      <c r="AG80" s="275">
        <f>+'Exhibit I State'!AG80+'Exhibit I Federal'!AG62</f>
        <v>0</v>
      </c>
      <c r="AH80" s="367"/>
      <c r="AI80" s="100"/>
      <c r="AJ80" s="264">
        <f>ROUND(SUM(+AD80-AG80),1)</f>
        <v>0</v>
      </c>
      <c r="AL80" s="374">
        <f>ROUND(IF(AG80=0,0,AJ80/ABS(AG80)),3)</f>
        <v>0</v>
      </c>
    </row>
    <row r="81" spans="1:40">
      <c r="A81" s="291"/>
      <c r="B81" s="291" t="s">
        <v>568</v>
      </c>
      <c r="C81" s="291"/>
      <c r="D81" s="291"/>
      <c r="E81" s="289">
        <f>+'Exhibit I State'!E81+'Exhibit I Federal'!E63</f>
        <v>0</v>
      </c>
      <c r="F81" s="289"/>
      <c r="G81" s="289">
        <f>+'Exhibit I State'!G81+'Exhibit I Federal'!G63</f>
        <v>0</v>
      </c>
      <c r="H81" s="289"/>
      <c r="I81" s="289">
        <f>+'Exhibit I State'!I81+'Exhibit I Federal'!I63</f>
        <v>0</v>
      </c>
      <c r="J81" s="264"/>
      <c r="K81" s="289">
        <f>+'Exhibit I State'!K81+'Exhibit I Federal'!K63</f>
        <v>0</v>
      </c>
      <c r="L81" s="264"/>
      <c r="M81" s="289"/>
      <c r="N81" s="264"/>
      <c r="O81" s="289"/>
      <c r="P81" s="264"/>
      <c r="Q81" s="289"/>
      <c r="R81" s="264"/>
      <c r="S81" s="289"/>
      <c r="T81" s="289"/>
      <c r="U81" s="289"/>
      <c r="V81" s="289"/>
      <c r="W81" s="289"/>
      <c r="X81" s="289"/>
      <c r="Y81" s="289"/>
      <c r="Z81" s="289"/>
      <c r="AA81" s="289"/>
      <c r="AB81" s="1062"/>
      <c r="AC81" s="1063"/>
      <c r="AD81" s="287">
        <f>ROUND(SUM(E81:AA81),1)</f>
        <v>0</v>
      </c>
      <c r="AE81" s="1227"/>
      <c r="AF81" s="264"/>
      <c r="AG81" s="275">
        <f>+'Exhibit I State'!AG81+'Exhibit I Federal'!AG63</f>
        <v>0</v>
      </c>
      <c r="AH81" s="367"/>
      <c r="AI81" s="100"/>
      <c r="AJ81" s="264">
        <f>ROUND(SUM(+AD81-AG81),1)</f>
        <v>0</v>
      </c>
      <c r="AL81" s="374">
        <f>ROUND(IF(AG81=0,0,AJ81/ABS(AG81)),3)</f>
        <v>0</v>
      </c>
    </row>
    <row r="82" spans="1:40">
      <c r="A82" s="291"/>
      <c r="B82" s="412" t="s">
        <v>513</v>
      </c>
      <c r="C82" s="291"/>
      <c r="D82" s="291"/>
      <c r="E82" s="289">
        <f>+'Exhibit I State'!E82+'Exhibit I Federal'!E64</f>
        <v>406</v>
      </c>
      <c r="F82" s="289"/>
      <c r="G82" s="289">
        <f>+'Exhibit I State'!G82+'Exhibit I Federal'!G64</f>
        <v>642.80000000000007</v>
      </c>
      <c r="H82" s="289"/>
      <c r="I82" s="289">
        <f>+'Exhibit I State'!I82+'Exhibit I Federal'!I64</f>
        <v>1242.9999999999998</v>
      </c>
      <c r="J82" s="275"/>
      <c r="K82" s="289">
        <f>+'Exhibit I State'!K82+'Exhibit I Federal'!K64</f>
        <v>930.80000000000007</v>
      </c>
      <c r="L82" s="264"/>
      <c r="M82" s="289"/>
      <c r="N82" s="264"/>
      <c r="O82" s="289"/>
      <c r="P82" s="264"/>
      <c r="Q82" s="289"/>
      <c r="R82" s="264"/>
      <c r="S82" s="289"/>
      <c r="T82" s="289"/>
      <c r="U82" s="289"/>
      <c r="V82" s="289"/>
      <c r="W82" s="289"/>
      <c r="X82" s="289"/>
      <c r="Y82" s="289"/>
      <c r="Z82" s="289"/>
      <c r="AA82" s="289"/>
      <c r="AB82" s="264"/>
      <c r="AC82" s="523"/>
      <c r="AD82" s="287">
        <f>ROUND(SUM(E82:AA82),1)</f>
        <v>3222.6</v>
      </c>
      <c r="AE82" s="1227"/>
      <c r="AF82" s="264"/>
      <c r="AG82" s="884">
        <f>+'Exhibit I State'!AG82+'Exhibit I Federal'!AG64</f>
        <v>3257.1</v>
      </c>
      <c r="AH82" s="287"/>
      <c r="AI82" s="97"/>
      <c r="AJ82" s="1060">
        <f>ROUND(SUM(+AD82-AG82),1)</f>
        <v>-34.5</v>
      </c>
      <c r="AL82" s="862">
        <f>ROUND(IF(AG82=0,1,AJ82/ABS(AG82)),3)</f>
        <v>-1.0999999999999999E-2</v>
      </c>
    </row>
    <row r="83" spans="1:40">
      <c r="A83" s="291"/>
      <c r="B83" s="291"/>
      <c r="C83" s="291"/>
      <c r="D83" s="291"/>
      <c r="E83" s="615"/>
      <c r="F83" s="264"/>
      <c r="G83" s="615"/>
      <c r="H83" s="264"/>
      <c r="I83" s="615"/>
      <c r="J83" s="264"/>
      <c r="K83" s="615"/>
      <c r="L83" s="264"/>
      <c r="M83" s="615"/>
      <c r="N83" s="264"/>
      <c r="O83" s="615"/>
      <c r="P83" s="264"/>
      <c r="Q83" s="615"/>
      <c r="R83" s="264"/>
      <c r="S83" s="615"/>
      <c r="T83" s="264"/>
      <c r="U83" s="615"/>
      <c r="V83" s="264"/>
      <c r="W83" s="615"/>
      <c r="X83" s="264"/>
      <c r="Y83" s="615"/>
      <c r="Z83" s="264"/>
      <c r="AA83" s="615"/>
      <c r="AB83" s="264"/>
      <c r="AC83" s="523"/>
      <c r="AD83" s="615"/>
      <c r="AE83" s="1227"/>
      <c r="AF83" s="264"/>
      <c r="AG83" s="12"/>
      <c r="AH83" s="12"/>
      <c r="AI83" s="98"/>
      <c r="AJ83" s="12"/>
      <c r="AL83" s="96"/>
    </row>
    <row r="84" spans="1:40">
      <c r="A84" s="291"/>
      <c r="B84" s="3" t="s">
        <v>569</v>
      </c>
      <c r="C84" s="291"/>
      <c r="D84" s="291"/>
      <c r="E84" s="13">
        <f>ROUND(SUM(+E82+E77),1)</f>
        <v>766.7</v>
      </c>
      <c r="F84" s="13"/>
      <c r="G84" s="13">
        <f>ROUND(SUM(G77:G82),1)</f>
        <v>932.8</v>
      </c>
      <c r="H84" s="13"/>
      <c r="I84" s="13">
        <f>ROUND(SUM(I77:I82),1)</f>
        <v>1941</v>
      </c>
      <c r="J84" s="13"/>
      <c r="K84" s="13">
        <f>ROUND(SUM(+K82+K77),1)</f>
        <v>2062</v>
      </c>
      <c r="L84" s="13"/>
      <c r="M84" s="13">
        <f>ROUND(SUM(+M82+M77),1)</f>
        <v>0</v>
      </c>
      <c r="N84" s="13"/>
      <c r="O84" s="13">
        <f>ROUND(SUM(+O82+O77),1)</f>
        <v>0</v>
      </c>
      <c r="P84" s="13"/>
      <c r="Q84" s="13">
        <f>ROUND(SUM(+Q82+Q77),1)</f>
        <v>0</v>
      </c>
      <c r="R84" s="13"/>
      <c r="S84" s="13">
        <f>ROUND(SUM(+S82+S77),1)</f>
        <v>0</v>
      </c>
      <c r="T84" s="13"/>
      <c r="U84" s="13">
        <f>ROUND(SUM(+U82+U77),1)</f>
        <v>0</v>
      </c>
      <c r="V84" s="13"/>
      <c r="W84" s="13">
        <f>ROUND(SUM(+W82+W77),1)</f>
        <v>0</v>
      </c>
      <c r="X84" s="13"/>
      <c r="Y84" s="13">
        <f>ROUND(SUM(+Y82+Y77),1)</f>
        <v>0</v>
      </c>
      <c r="Z84" s="13"/>
      <c r="AA84" s="13">
        <f>ROUND(SUM(+AA82+AA77),1)</f>
        <v>0</v>
      </c>
      <c r="AB84" s="13"/>
      <c r="AC84" s="14"/>
      <c r="AD84" s="1920">
        <f>ROUND(SUM(+AD82+AD77+AD79+AD80+AD81),1)</f>
        <v>5702.5</v>
      </c>
      <c r="AE84" s="1229"/>
      <c r="AF84" s="13"/>
      <c r="AG84" s="13">
        <f>ROUND(SUM(+AG82+AG77+AG79+AG80+AG81),1)</f>
        <v>4838.8</v>
      </c>
      <c r="AH84" s="13"/>
      <c r="AI84" s="98"/>
      <c r="AJ84" s="357">
        <f>ROUND(SUM(AJ77+AJ82+AJ79+AJ80+AJ81),1)</f>
        <v>863.7</v>
      </c>
      <c r="AK84" s="3"/>
      <c r="AL84" s="368">
        <f>ROUND(SUM(AJ84/AG84),3)</f>
        <v>0.17799999999999999</v>
      </c>
      <c r="AM84" s="3"/>
      <c r="AN84" s="40"/>
    </row>
    <row r="85" spans="1:40">
      <c r="A85" s="291"/>
      <c r="B85" s="291"/>
      <c r="C85" s="291"/>
      <c r="D85" s="291"/>
      <c r="E85" s="615"/>
      <c r="F85" s="264"/>
      <c r="G85" s="615"/>
      <c r="H85" s="264"/>
      <c r="I85" s="615"/>
      <c r="J85" s="264"/>
      <c r="K85" s="615"/>
      <c r="L85" s="264"/>
      <c r="M85" s="615"/>
      <c r="N85" s="264"/>
      <c r="O85" s="615"/>
      <c r="P85" s="264"/>
      <c r="Q85" s="615"/>
      <c r="R85" s="264"/>
      <c r="S85" s="615"/>
      <c r="T85" s="264"/>
      <c r="U85" s="615"/>
      <c r="V85" s="264"/>
      <c r="W85" s="615"/>
      <c r="X85" s="264"/>
      <c r="Y85" s="615"/>
      <c r="Z85" s="264"/>
      <c r="AA85" s="615"/>
      <c r="AB85" s="264"/>
      <c r="AC85" s="523"/>
      <c r="AD85" s="615"/>
      <c r="AE85" s="1227"/>
      <c r="AF85" s="264"/>
      <c r="AG85" s="615"/>
      <c r="AH85" s="264"/>
      <c r="AI85" s="98"/>
      <c r="AJ85" s="12"/>
      <c r="AL85" s="96"/>
    </row>
    <row r="86" spans="1:40">
      <c r="A86" s="291"/>
      <c r="B86" s="3" t="s">
        <v>570</v>
      </c>
      <c r="C86" s="291"/>
      <c r="D86" s="291"/>
      <c r="E86" s="264"/>
      <c r="F86" s="264"/>
      <c r="G86" s="264"/>
      <c r="H86" s="264"/>
      <c r="I86" s="264"/>
      <c r="J86" s="264"/>
      <c r="K86" s="264"/>
      <c r="L86" s="264"/>
      <c r="M86" s="264"/>
      <c r="N86" s="264"/>
      <c r="O86" s="264"/>
      <c r="P86" s="264"/>
      <c r="Q86" s="264"/>
      <c r="R86" s="264"/>
      <c r="S86" s="264"/>
      <c r="T86" s="264"/>
      <c r="U86" s="264"/>
      <c r="V86" s="264"/>
      <c r="W86" s="264"/>
      <c r="X86" s="264"/>
      <c r="Y86" s="264"/>
      <c r="Z86" s="264"/>
      <c r="AA86" s="264"/>
      <c r="AB86" s="264"/>
      <c r="AC86" s="523"/>
      <c r="AD86" s="12"/>
      <c r="AE86" s="1227"/>
      <c r="AF86" s="264"/>
      <c r="AG86" s="12"/>
      <c r="AH86" s="12"/>
      <c r="AI86" s="98"/>
      <c r="AJ86" s="12"/>
      <c r="AL86" s="96"/>
    </row>
    <row r="87" spans="1:40">
      <c r="A87" s="291"/>
      <c r="B87" s="3" t="s">
        <v>571</v>
      </c>
      <c r="C87" s="291"/>
      <c r="D87" s="291"/>
      <c r="E87" s="13">
        <f>ROUND(SUM(E64-E84),1)</f>
        <v>-553.9</v>
      </c>
      <c r="F87" s="13"/>
      <c r="G87" s="13">
        <f>ROUND(SUM(G64-G84),1)</f>
        <v>-618.20000000000005</v>
      </c>
      <c r="H87" s="13"/>
      <c r="I87" s="13">
        <f>ROUND(SUM(I64-I84),1)</f>
        <v>762.3</v>
      </c>
      <c r="J87" s="13"/>
      <c r="K87" s="13">
        <f>ROUND(SUM(K64-K84),1)</f>
        <v>-963.7</v>
      </c>
      <c r="L87" s="13"/>
      <c r="M87" s="13">
        <f>ROUND(SUM(M64-M84),1)</f>
        <v>0</v>
      </c>
      <c r="N87" s="13"/>
      <c r="O87" s="13">
        <f>ROUND(SUM(O64-O84),1)</f>
        <v>0</v>
      </c>
      <c r="P87" s="13"/>
      <c r="Q87" s="13">
        <f>ROUND(SUM(Q64-Q84),1)</f>
        <v>0</v>
      </c>
      <c r="R87" s="13"/>
      <c r="S87" s="13">
        <f>ROUND(SUM(S64-S84),1)</f>
        <v>0</v>
      </c>
      <c r="T87" s="13"/>
      <c r="U87" s="13">
        <f>ROUND(SUM(U64-U84),1)</f>
        <v>0</v>
      </c>
      <c r="V87" s="13"/>
      <c r="W87" s="13">
        <f>ROUND(SUM(W64-W84),1)</f>
        <v>0</v>
      </c>
      <c r="X87" s="13"/>
      <c r="Y87" s="13">
        <f>ROUND(SUM(Y64-Y84),1)</f>
        <v>0</v>
      </c>
      <c r="Z87" s="13"/>
      <c r="AA87" s="13">
        <f>ROUND(SUM(AA64-AA84),1)</f>
        <v>0</v>
      </c>
      <c r="AB87" s="13"/>
      <c r="AC87" s="14"/>
      <c r="AD87" s="13">
        <f>ROUND(SUM(AD64-AD84),1)</f>
        <v>-1373.5</v>
      </c>
      <c r="AE87" s="1229"/>
      <c r="AF87" s="13"/>
      <c r="AG87" s="13">
        <f>ROUND(SUM(AG64-AG84),1)</f>
        <v>-1946.4</v>
      </c>
      <c r="AH87" s="13"/>
      <c r="AI87" s="98"/>
      <c r="AJ87" s="357">
        <f>ROUND(SUM(AJ64-AJ84),1)</f>
        <v>572.9</v>
      </c>
      <c r="AK87" s="3"/>
      <c r="AL87" s="611">
        <f>ROUND(IF(AG87=0,0,AJ87/ABS(AG87)),3)</f>
        <v>0.29399999999999998</v>
      </c>
      <c r="AM87" s="3"/>
      <c r="AN87" s="3"/>
    </row>
    <row r="88" spans="1:40">
      <c r="A88" s="291"/>
      <c r="B88" s="291"/>
      <c r="C88" s="291"/>
      <c r="D88" s="291"/>
      <c r="E88" s="615"/>
      <c r="F88" s="264"/>
      <c r="G88" s="615"/>
      <c r="H88" s="264"/>
      <c r="I88" s="615"/>
      <c r="J88" s="264"/>
      <c r="K88" s="615"/>
      <c r="L88" s="264"/>
      <c r="M88" s="615"/>
      <c r="N88" s="264"/>
      <c r="O88" s="615"/>
      <c r="P88" s="264"/>
      <c r="Q88" s="615"/>
      <c r="R88" s="264"/>
      <c r="S88" s="615"/>
      <c r="T88" s="264"/>
      <c r="U88" s="615"/>
      <c r="V88" s="264"/>
      <c r="W88" s="615"/>
      <c r="X88" s="264"/>
      <c r="Y88" s="615"/>
      <c r="Z88" s="264"/>
      <c r="AA88" s="615"/>
      <c r="AB88" s="264"/>
      <c r="AC88" s="523"/>
      <c r="AD88" s="615"/>
      <c r="AE88" s="1227"/>
      <c r="AF88" s="264"/>
      <c r="AG88" s="615"/>
      <c r="AH88" s="264"/>
      <c r="AI88" s="98"/>
      <c r="AJ88" s="12"/>
      <c r="AL88" s="96"/>
    </row>
    <row r="89" spans="1:40">
      <c r="A89" s="291"/>
      <c r="B89" s="3" t="s">
        <v>572</v>
      </c>
      <c r="C89" s="291"/>
      <c r="D89" s="291"/>
      <c r="E89" s="264"/>
      <c r="F89" s="264"/>
      <c r="G89" s="264"/>
      <c r="H89" s="264"/>
      <c r="I89" s="264"/>
      <c r="J89" s="264"/>
      <c r="K89" s="264"/>
      <c r="L89" s="264"/>
      <c r="M89" s="264"/>
      <c r="N89" s="264"/>
      <c r="O89" s="264"/>
      <c r="P89" s="264"/>
      <c r="Q89" s="264"/>
      <c r="R89" s="264"/>
      <c r="S89" s="264"/>
      <c r="T89" s="264"/>
      <c r="U89" s="264"/>
      <c r="V89" s="264"/>
      <c r="W89" s="264"/>
      <c r="X89" s="264"/>
      <c r="Y89" s="264"/>
      <c r="Z89" s="264"/>
      <c r="AA89" s="264"/>
      <c r="AB89" s="264"/>
      <c r="AC89" s="523"/>
      <c r="AD89" s="264"/>
      <c r="AE89" s="1227"/>
      <c r="AF89" s="264"/>
      <c r="AG89" s="367"/>
      <c r="AH89" s="367"/>
      <c r="AI89" s="100"/>
      <c r="AJ89" s="12"/>
      <c r="AL89" s="96"/>
    </row>
    <row r="90" spans="1:40">
      <c r="A90" s="291"/>
      <c r="B90" s="291" t="s">
        <v>573</v>
      </c>
      <c r="C90" s="291"/>
      <c r="D90" s="291"/>
      <c r="E90" s="289">
        <f>+'Exhibit I State'!E90</f>
        <v>0</v>
      </c>
      <c r="F90" s="289"/>
      <c r="G90" s="289">
        <f>+'Exhibit I State'!G90</f>
        <v>0</v>
      </c>
      <c r="H90" s="289"/>
      <c r="I90" s="289">
        <f>+'Exhibit I State'!I90</f>
        <v>0</v>
      </c>
      <c r="J90" s="264"/>
      <c r="K90" s="289">
        <f>+'Exhibit I State'!K90</f>
        <v>0</v>
      </c>
      <c r="L90" s="264"/>
      <c r="M90" s="289"/>
      <c r="N90" s="275"/>
      <c r="O90" s="289"/>
      <c r="P90" s="264"/>
      <c r="Q90" s="289"/>
      <c r="R90" s="264"/>
      <c r="S90" s="289"/>
      <c r="T90" s="289"/>
      <c r="U90" s="289"/>
      <c r="V90" s="289"/>
      <c r="W90" s="289"/>
      <c r="X90" s="289"/>
      <c r="Y90" s="289"/>
      <c r="Z90" s="289"/>
      <c r="AA90" s="289"/>
      <c r="AB90" s="264"/>
      <c r="AC90" s="523"/>
      <c r="AD90" s="287">
        <f>ROUND(SUM(E90:AA90),1)</f>
        <v>0</v>
      </c>
      <c r="AE90" s="1227"/>
      <c r="AF90" s="264"/>
      <c r="AG90" s="367">
        <f>+'Exhibit I State'!AG90</f>
        <v>0</v>
      </c>
      <c r="AH90" s="367"/>
      <c r="AI90" s="100"/>
      <c r="AJ90" s="264">
        <f>ROUND(SUM(+AD90-AG90),1)</f>
        <v>0</v>
      </c>
      <c r="AK90" s="41"/>
      <c r="AL90" s="374">
        <f>ROUND(IF(AG90=0,0,AJ90/ABS(AG90)),3)</f>
        <v>0</v>
      </c>
      <c r="AN90" s="12"/>
    </row>
    <row r="91" spans="1:40">
      <c r="A91" s="291"/>
      <c r="B91" s="412" t="s">
        <v>515</v>
      </c>
      <c r="C91" s="291"/>
      <c r="D91" s="291"/>
      <c r="E91" s="289">
        <f>+'Exhibit I State'!E91+'Exhibit I Federal'!E72</f>
        <v>463.8</v>
      </c>
      <c r="F91" s="289"/>
      <c r="G91" s="289">
        <f>+'Exhibit I State'!G91+'Exhibit I Federal'!G72</f>
        <v>402.8</v>
      </c>
      <c r="H91" s="289"/>
      <c r="I91" s="289">
        <f>+'Exhibit I State'!I91+'Exhibit I Federal'!I72</f>
        <v>-1129.0999999999999</v>
      </c>
      <c r="J91" s="264"/>
      <c r="K91" s="289">
        <f>+'Exhibit I State'!K91+'Exhibit I Federal'!K72</f>
        <v>1191.2999999999997</v>
      </c>
      <c r="L91" s="264"/>
      <c r="M91" s="289"/>
      <c r="N91" s="264"/>
      <c r="O91" s="289"/>
      <c r="P91" s="264"/>
      <c r="Q91" s="289"/>
      <c r="R91" s="264"/>
      <c r="S91" s="289"/>
      <c r="T91" s="289"/>
      <c r="U91" s="289"/>
      <c r="V91" s="289"/>
      <c r="W91" s="289"/>
      <c r="X91" s="289"/>
      <c r="Y91" s="289"/>
      <c r="Z91" s="289"/>
      <c r="AA91" s="289"/>
      <c r="AB91" s="264"/>
      <c r="AC91" s="523"/>
      <c r="AD91" s="287">
        <f>ROUND(SUM(E91:AA91),1)</f>
        <v>928.8</v>
      </c>
      <c r="AE91" s="1227"/>
      <c r="AF91" s="264"/>
      <c r="AG91" s="264">
        <f>'Exhibit I State'!AG91+'Exhibit I Federal'!AG72</f>
        <v>1458.9</v>
      </c>
      <c r="AH91" s="287"/>
      <c r="AI91" s="97"/>
      <c r="AJ91" s="264">
        <f>ROUND(SUM(+AD91-AG91),1)</f>
        <v>-530.1</v>
      </c>
      <c r="AL91" s="561">
        <f>ROUND(IF(AG91=0,0,AJ91/ABS(AG91)),3)</f>
        <v>-0.36299999999999999</v>
      </c>
      <c r="AN91" s="41"/>
    </row>
    <row r="92" spans="1:40">
      <c r="A92" s="291"/>
      <c r="B92" s="412" t="s">
        <v>574</v>
      </c>
      <c r="C92" s="291"/>
      <c r="D92" s="291"/>
      <c r="E92" s="289">
        <f>+'Exhibit I State'!E92+'Exhibit I Federal'!E73</f>
        <v>-1.3</v>
      </c>
      <c r="F92" s="289"/>
      <c r="G92" s="289">
        <f>+'Exhibit I State'!G92+'Exhibit I Federal'!G73</f>
        <v>-1.8</v>
      </c>
      <c r="H92" s="289"/>
      <c r="I92" s="289">
        <f>+'Exhibit I State'!I92+'Exhibit I Federal'!I73</f>
        <v>-0.29999999999999982</v>
      </c>
      <c r="J92" s="264"/>
      <c r="K92" s="289">
        <f>+'Exhibit I State'!K92+'Exhibit I Federal'!K73</f>
        <v>-19.799999999999997</v>
      </c>
      <c r="L92" s="264"/>
      <c r="M92" s="289"/>
      <c r="N92" s="264"/>
      <c r="O92" s="289"/>
      <c r="P92" s="264"/>
      <c r="Q92" s="289"/>
      <c r="R92" s="264"/>
      <c r="S92" s="289"/>
      <c r="T92" s="289"/>
      <c r="U92" s="289"/>
      <c r="V92" s="289"/>
      <c r="W92" s="289"/>
      <c r="X92" s="289"/>
      <c r="Y92" s="289"/>
      <c r="Z92" s="289"/>
      <c r="AA92" s="289"/>
      <c r="AB92" s="264"/>
      <c r="AC92" s="523"/>
      <c r="AD92" s="287">
        <f>ROUND(SUM(E92:AA92),1)</f>
        <v>-23.2</v>
      </c>
      <c r="AE92" s="1227"/>
      <c r="AF92" s="264"/>
      <c r="AG92" s="1943">
        <f>'Exhibit I State'!AG92+'Exhibit I Federal'!AG73</f>
        <v>-16.3</v>
      </c>
      <c r="AH92" s="264"/>
      <c r="AI92" s="98"/>
      <c r="AJ92" s="382">
        <f>ROUND(-SUM(+AD92-AG92),1)</f>
        <v>6.9</v>
      </c>
      <c r="AL92" s="862">
        <f>ROUND(IF(AG92=0,0,AJ92/ABS(AG92)),3)</f>
        <v>0.42299999999999999</v>
      </c>
      <c r="AM92" s="12"/>
      <c r="AN92" s="41"/>
    </row>
    <row r="93" spans="1:40">
      <c r="A93" s="291"/>
      <c r="B93" s="291"/>
      <c r="C93" s="291"/>
      <c r="D93" s="291"/>
      <c r="E93" s="615"/>
      <c r="F93" s="264"/>
      <c r="G93" s="615"/>
      <c r="H93" s="264"/>
      <c r="I93" s="615"/>
      <c r="J93" s="264"/>
      <c r="K93" s="615"/>
      <c r="L93" s="264"/>
      <c r="M93" s="615"/>
      <c r="N93" s="264"/>
      <c r="O93" s="615"/>
      <c r="P93" s="264"/>
      <c r="Q93" s="615"/>
      <c r="R93" s="264"/>
      <c r="S93" s="615"/>
      <c r="T93" s="264"/>
      <c r="U93" s="615"/>
      <c r="V93" s="264"/>
      <c r="W93" s="615"/>
      <c r="X93" s="264"/>
      <c r="Y93" s="615"/>
      <c r="Z93" s="264"/>
      <c r="AA93" s="615"/>
      <c r="AB93" s="264"/>
      <c r="AC93" s="523"/>
      <c r="AD93" s="615"/>
      <c r="AE93" s="1227"/>
      <c r="AF93" s="264"/>
      <c r="AG93" s="12"/>
      <c r="AH93" s="12"/>
      <c r="AI93" s="98"/>
      <c r="AJ93" s="12"/>
      <c r="AL93" s="96"/>
      <c r="AM93" s="41"/>
    </row>
    <row r="94" spans="1:40">
      <c r="A94" s="291"/>
      <c r="B94" s="3" t="s">
        <v>575</v>
      </c>
      <c r="C94" s="291"/>
      <c r="D94" s="291"/>
      <c r="E94" s="13">
        <f>ROUND(SUM(E90:E93),1)</f>
        <v>462.5</v>
      </c>
      <c r="F94" s="13"/>
      <c r="G94" s="13">
        <f>ROUND(SUM(G90:G93),1)</f>
        <v>401</v>
      </c>
      <c r="H94" s="13"/>
      <c r="I94" s="13">
        <f>ROUND(SUM(I90:I93),1)</f>
        <v>-1129.4000000000001</v>
      </c>
      <c r="J94" s="13"/>
      <c r="K94" s="13">
        <f>ROUND(SUM(K90:K93),1)</f>
        <v>1171.5</v>
      </c>
      <c r="L94" s="13"/>
      <c r="M94" s="13">
        <f>ROUND(SUM(M90:M93),1)</f>
        <v>0</v>
      </c>
      <c r="N94" s="13"/>
      <c r="O94" s="13">
        <f>ROUND(SUM(O90:O93),1)</f>
        <v>0</v>
      </c>
      <c r="P94" s="13"/>
      <c r="Q94" s="13">
        <f>ROUND(SUM(Q90:Q93),1)</f>
        <v>0</v>
      </c>
      <c r="R94" s="13"/>
      <c r="S94" s="13">
        <f>ROUND(SUM(S90:S93),1)</f>
        <v>0</v>
      </c>
      <c r="T94" s="13"/>
      <c r="U94" s="13">
        <f>ROUND(SUM(U90:U93),1)</f>
        <v>0</v>
      </c>
      <c r="V94" s="13"/>
      <c r="W94" s="13">
        <f>ROUND(SUM(W90:W93),1)</f>
        <v>0</v>
      </c>
      <c r="X94" s="13"/>
      <c r="Y94" s="13">
        <f>ROUND(SUM(Y90:Y93),1)</f>
        <v>0</v>
      </c>
      <c r="Z94" s="13"/>
      <c r="AA94" s="13">
        <f>ROUND(SUM(AA90:AA93),1)</f>
        <v>0</v>
      </c>
      <c r="AB94" s="13"/>
      <c r="AC94" s="14"/>
      <c r="AD94" s="13">
        <f>ROUND(SUM(AD90:AD93),1)</f>
        <v>905.6</v>
      </c>
      <c r="AE94" s="1229"/>
      <c r="AF94" s="13"/>
      <c r="AG94" s="13">
        <f>ROUND(SUM(AG90:AG93),1)</f>
        <v>1442.6</v>
      </c>
      <c r="AH94" s="13"/>
      <c r="AI94" s="98"/>
      <c r="AJ94" s="357">
        <f>ROUND(SUM(AD94-AG94),1)</f>
        <v>-537</v>
      </c>
      <c r="AK94" s="3"/>
      <c r="AL94" s="611">
        <f>ROUND(SUM(AJ94/ABS(AG94)),3)</f>
        <v>-0.372</v>
      </c>
      <c r="AM94" s="3"/>
      <c r="AN94" s="3"/>
    </row>
    <row r="95" spans="1:40">
      <c r="A95" s="291"/>
      <c r="B95" s="291"/>
      <c r="C95" s="291"/>
      <c r="D95" s="291"/>
      <c r="E95" s="615"/>
      <c r="F95" s="264"/>
      <c r="G95" s="615"/>
      <c r="H95" s="264"/>
      <c r="I95" s="615"/>
      <c r="J95" s="264"/>
      <c r="K95" s="615"/>
      <c r="L95" s="264"/>
      <c r="M95" s="615"/>
      <c r="N95" s="264"/>
      <c r="O95" s="615"/>
      <c r="P95" s="264"/>
      <c r="Q95" s="615"/>
      <c r="R95" s="264"/>
      <c r="S95" s="615"/>
      <c r="T95" s="264"/>
      <c r="U95" s="615"/>
      <c r="V95" s="264"/>
      <c r="W95" s="615"/>
      <c r="X95" s="264"/>
      <c r="Y95" s="615"/>
      <c r="Z95" s="264"/>
      <c r="AA95" s="615"/>
      <c r="AB95" s="264"/>
      <c r="AC95" s="523"/>
      <c r="AD95" s="615"/>
      <c r="AE95" s="1227"/>
      <c r="AF95" s="264"/>
      <c r="AG95" s="615"/>
      <c r="AH95" s="264"/>
      <c r="AI95" s="98"/>
      <c r="AJ95" s="12"/>
      <c r="AL95" s="96"/>
    </row>
    <row r="96" spans="1:40">
      <c r="A96" s="291"/>
      <c r="B96" s="3" t="s">
        <v>576</v>
      </c>
      <c r="C96" s="291"/>
      <c r="D96" s="291"/>
      <c r="E96" s="264"/>
      <c r="F96" s="264"/>
      <c r="G96" s="264"/>
      <c r="H96" s="264"/>
      <c r="I96" s="264"/>
      <c r="J96" s="264"/>
      <c r="K96" s="264" t="s">
        <v>103</v>
      </c>
      <c r="L96" s="264"/>
      <c r="M96" s="264" t="s">
        <v>103</v>
      </c>
      <c r="N96" s="264"/>
      <c r="O96" s="264" t="s">
        <v>103</v>
      </c>
      <c r="P96" s="264"/>
      <c r="Q96" s="264" t="s">
        <v>103</v>
      </c>
      <c r="R96" s="264"/>
      <c r="S96" s="264" t="s">
        <v>103</v>
      </c>
      <c r="T96" s="264"/>
      <c r="U96" s="264" t="s">
        <v>103</v>
      </c>
      <c r="V96" s="264"/>
      <c r="W96" s="264" t="s">
        <v>103</v>
      </c>
      <c r="X96" s="264"/>
      <c r="Y96" s="264" t="s">
        <v>103</v>
      </c>
      <c r="Z96" s="264"/>
      <c r="AA96" s="264" t="s">
        <v>103</v>
      </c>
      <c r="AB96" s="264"/>
      <c r="AC96" s="523"/>
      <c r="AD96" s="264"/>
      <c r="AE96" s="1227"/>
      <c r="AF96" s="264"/>
      <c r="AG96" s="264" t="s">
        <v>103</v>
      </c>
      <c r="AH96" s="264"/>
      <c r="AI96" s="98"/>
      <c r="AJ96" s="12"/>
      <c r="AL96" s="96"/>
    </row>
    <row r="97" spans="1:40">
      <c r="A97" s="291"/>
      <c r="B97" s="3" t="s">
        <v>577</v>
      </c>
      <c r="C97" s="291"/>
      <c r="D97" s="291"/>
      <c r="E97" s="13" t="s">
        <v>103</v>
      </c>
      <c r="F97" s="13"/>
      <c r="G97" s="13" t="s">
        <v>103</v>
      </c>
      <c r="H97" s="13"/>
      <c r="I97" s="13" t="s">
        <v>103</v>
      </c>
      <c r="J97" s="13"/>
      <c r="K97" s="13"/>
      <c r="L97" s="13"/>
      <c r="M97" s="13"/>
      <c r="N97" s="13"/>
      <c r="O97" s="13"/>
      <c r="P97" s="13"/>
      <c r="Q97" s="13"/>
      <c r="R97" s="13"/>
      <c r="S97" s="13"/>
      <c r="T97" s="13"/>
      <c r="U97" s="13"/>
      <c r="V97" s="13"/>
      <c r="W97" s="13"/>
      <c r="X97" s="13"/>
      <c r="Y97" s="13"/>
      <c r="Z97" s="13"/>
      <c r="AA97" s="13"/>
      <c r="AB97" s="13"/>
      <c r="AC97" s="14"/>
      <c r="AD97" s="13" t="s">
        <v>103</v>
      </c>
      <c r="AE97" s="1229"/>
      <c r="AF97" s="13"/>
      <c r="AG97" s="13"/>
      <c r="AH97" s="13"/>
      <c r="AI97" s="98"/>
      <c r="AJ97" s="13"/>
      <c r="AK97" s="3"/>
      <c r="AL97" s="74"/>
      <c r="AM97" s="3"/>
      <c r="AN97" s="3"/>
    </row>
    <row r="98" spans="1:40">
      <c r="A98" s="291"/>
      <c r="B98" s="3" t="s">
        <v>518</v>
      </c>
      <c r="C98" s="291"/>
      <c r="D98" s="291"/>
      <c r="E98" s="1065">
        <f>ROUND(SUM(E87+E94),1)</f>
        <v>-91.4</v>
      </c>
      <c r="F98" s="13"/>
      <c r="G98" s="1065">
        <f>ROUND(SUM(G87+G94),1)</f>
        <v>-217.2</v>
      </c>
      <c r="H98" s="13"/>
      <c r="I98" s="1065">
        <f>ROUND(SUM(I87+I94),1)</f>
        <v>-367.1</v>
      </c>
      <c r="J98" s="13"/>
      <c r="K98" s="1065">
        <f>ROUND(SUM(K87+K94),1)</f>
        <v>207.8</v>
      </c>
      <c r="L98" s="13"/>
      <c r="M98" s="1065">
        <f>ROUND(SUM(M87+M94),1)</f>
        <v>0</v>
      </c>
      <c r="N98" s="13"/>
      <c r="O98" s="1065">
        <f>ROUND(SUM(O87+O94),1)</f>
        <v>0</v>
      </c>
      <c r="P98" s="13"/>
      <c r="Q98" s="1065">
        <f>ROUND(SUM(Q87+Q94),1)</f>
        <v>0</v>
      </c>
      <c r="R98" s="13"/>
      <c r="S98" s="1065">
        <f>ROUND(SUM(S87+S94),1)</f>
        <v>0</v>
      </c>
      <c r="T98" s="13"/>
      <c r="U98" s="1065">
        <f>ROUND(SUM(U87+U94),1)</f>
        <v>0</v>
      </c>
      <c r="V98" s="13"/>
      <c r="W98" s="1064">
        <f>ROUND(SUM(W87+W94),1)</f>
        <v>0</v>
      </c>
      <c r="X98" s="13"/>
      <c r="Y98" s="1064">
        <f>ROUND(SUM(Y87+Y94),1)</f>
        <v>0</v>
      </c>
      <c r="Z98" s="13"/>
      <c r="AA98" s="1064">
        <f>ROUND(SUM(AA87+AA94),1)</f>
        <v>0</v>
      </c>
      <c r="AB98" s="13"/>
      <c r="AC98" s="14"/>
      <c r="AD98" s="1065">
        <f>ROUND(AD87+AD94,1)</f>
        <v>-467.9</v>
      </c>
      <c r="AE98" s="1229"/>
      <c r="AF98" s="13"/>
      <c r="AG98" s="1065">
        <f>ROUND(SUM(AG87+AG94),1)</f>
        <v>-503.8</v>
      </c>
      <c r="AH98" s="13"/>
      <c r="AI98" s="98"/>
      <c r="AJ98" s="1064">
        <f>ROUND(SUM(+AD98-AG98),1)</f>
        <v>35.9</v>
      </c>
      <c r="AK98" s="3"/>
      <c r="AL98" s="573">
        <f>ROUND(IF(AG98=0,0,AJ98/ABS(AG98)),3)</f>
        <v>7.0999999999999994E-2</v>
      </c>
      <c r="AM98" s="3"/>
      <c r="AN98" s="101"/>
    </row>
    <row r="99" spans="1:40">
      <c r="A99" s="291"/>
      <c r="B99" s="291" t="s">
        <v>103</v>
      </c>
      <c r="C99" s="291"/>
      <c r="D99" s="291"/>
      <c r="E99" s="291"/>
      <c r="F99" s="291"/>
      <c r="G99" s="291"/>
      <c r="H99" s="291"/>
      <c r="I99" s="291"/>
      <c r="J99" s="291"/>
      <c r="K99" s="291"/>
      <c r="L99" s="291"/>
      <c r="M99" s="291"/>
      <c r="N99" s="291"/>
      <c r="O99" s="291"/>
      <c r="P99" s="291"/>
      <c r="Q99" s="291"/>
      <c r="R99" s="291"/>
      <c r="S99" s="405" t="s">
        <v>103</v>
      </c>
      <c r="T99" s="291"/>
      <c r="U99" s="405" t="s">
        <v>103</v>
      </c>
      <c r="V99" s="291"/>
      <c r="W99" s="405" t="s">
        <v>103</v>
      </c>
      <c r="X99" s="291"/>
      <c r="Y99" s="405" t="s">
        <v>103</v>
      </c>
      <c r="Z99" s="291"/>
      <c r="AA99" s="291"/>
      <c r="AB99" s="379"/>
      <c r="AC99" s="1066"/>
      <c r="AD99" s="291"/>
      <c r="AE99" s="379"/>
      <c r="AF99" s="1066"/>
      <c r="AG99" s="291"/>
      <c r="AH99" s="1029"/>
      <c r="AI99" s="364"/>
      <c r="AL99" s="96"/>
    </row>
    <row r="100" spans="1:40" s="4" customFormat="1" ht="15" customHeight="1" thickBot="1">
      <c r="A100" s="291"/>
      <c r="B100" s="3" t="s">
        <v>532</v>
      </c>
      <c r="C100" s="291"/>
      <c r="D100" s="364"/>
      <c r="E100" s="70">
        <f>ROUND(SUM(+E98+E13),1)</f>
        <v>-2574.5</v>
      </c>
      <c r="F100" s="20"/>
      <c r="G100" s="70">
        <f>ROUND(SUM(+G98+G13),1)</f>
        <v>-2791.7</v>
      </c>
      <c r="H100" s="20"/>
      <c r="I100" s="70">
        <f>ROUND(SUM(+I98+I13),1)</f>
        <v>-3158.8</v>
      </c>
      <c r="J100" s="20"/>
      <c r="K100" s="70">
        <f>ROUND(SUM(+K98+K13),1)</f>
        <v>-2951</v>
      </c>
      <c r="L100" s="20"/>
      <c r="M100" s="70">
        <f>ROUND(SUM(+M98+M13),1)</f>
        <v>0</v>
      </c>
      <c r="N100" s="20"/>
      <c r="O100" s="70">
        <f>ROUND(SUM(+O98+O13),1)</f>
        <v>0</v>
      </c>
      <c r="P100" s="20"/>
      <c r="Q100" s="70">
        <f>ROUND(SUM(+Q98+Q13),1)</f>
        <v>0</v>
      </c>
      <c r="R100" s="20"/>
      <c r="S100" s="70">
        <f>ROUND(SUM(+S98+S13),1)</f>
        <v>0</v>
      </c>
      <c r="T100" s="20"/>
      <c r="U100" s="70">
        <f>ROUND(SUM(+U98+U13),1)</f>
        <v>0</v>
      </c>
      <c r="V100" s="20"/>
      <c r="W100" s="70">
        <f>ROUND(SUM(+W98+W13),1)</f>
        <v>0</v>
      </c>
      <c r="X100" s="20"/>
      <c r="Y100" s="70">
        <f>ROUND(SUM(+Y98+Y13),1)</f>
        <v>0</v>
      </c>
      <c r="Z100" s="20"/>
      <c r="AA100" s="70">
        <f>ROUND(SUM(+AA98+AA13),1)</f>
        <v>0</v>
      </c>
      <c r="AB100" s="20"/>
      <c r="AC100" s="21"/>
      <c r="AD100" s="70">
        <f>ROUND(SUM(+AD98+AD13),1)</f>
        <v>-2951</v>
      </c>
      <c r="AE100" s="20"/>
      <c r="AF100" s="21"/>
      <c r="AG100" s="70">
        <f>ROUND(SUM(+AG98+AG13),1)</f>
        <v>-1959.8</v>
      </c>
      <c r="AH100" s="73"/>
      <c r="AI100" s="20"/>
      <c r="AJ100" s="70">
        <f>ROUND(SUM(+AJ98+AJ13),1)</f>
        <v>-991.2</v>
      </c>
      <c r="AK100" s="45"/>
      <c r="AL100" s="77">
        <f>ROUND(SUM(-(+AD100-AG100)/AG100),3)</f>
        <v>-0.50600000000000001</v>
      </c>
      <c r="AM100" s="3"/>
      <c r="AN100" s="3"/>
    </row>
    <row r="101" spans="1:40" ht="16" thickTop="1">
      <c r="B101" s="924"/>
    </row>
    <row r="102" spans="1:40">
      <c r="B102" s="428"/>
      <c r="C102" s="103"/>
      <c r="D102" s="103"/>
      <c r="E102" s="103"/>
      <c r="F102" s="103"/>
      <c r="G102" s="103"/>
      <c r="AG102" s="885"/>
      <c r="AJ102" s="41"/>
    </row>
    <row r="103" spans="1:40">
      <c r="B103" s="102"/>
      <c r="C103" s="103"/>
      <c r="D103" s="103"/>
      <c r="E103" s="103"/>
      <c r="F103" s="103"/>
      <c r="G103" s="103"/>
      <c r="AJ103" s="41"/>
    </row>
    <row r="104" spans="1:40">
      <c r="B104" s="104"/>
      <c r="AD104" s="425"/>
      <c r="AJ104" s="41"/>
    </row>
    <row r="105" spans="1:40">
      <c r="B105" s="104"/>
    </row>
    <row r="106" spans="1:40">
      <c r="B106" s="102"/>
    </row>
    <row r="107" spans="1:40">
      <c r="B107" s="104"/>
    </row>
    <row r="108" spans="1:40">
      <c r="B108" s="104"/>
    </row>
    <row r="109" spans="1:40">
      <c r="B109" s="102"/>
    </row>
  </sheetData>
  <mergeCells count="1">
    <mergeCell ref="AC9:AL9"/>
  </mergeCells>
  <printOptions horizontalCentered="1"/>
  <pageMargins left="0.25" right="0.25" top="0.5" bottom="0.25" header="0" footer="0.25"/>
  <pageSetup scale="42" firstPageNumber="29" orientation="landscape" useFirstPageNumber="1" r:id="rId1"/>
  <headerFooter scaleWithDoc="0" alignWithMargins="0">
    <oddFooter>&amp;C&amp;8&amp;P</oddFooter>
  </headerFooter>
  <rowBreaks count="1" manualBreakCount="1">
    <brk id="64" min="1" max="39" man="1"/>
  </rowBreaks>
  <customProperties>
    <customPr name="SheetOptions" r:id="rId2"/>
  </customProperties>
  <ignoredErrors>
    <ignoredError sqref="AL39 AL60:AL61 AL27 AL30 AL32:AL34 AL63:AL67 AL71 AL51 AL19 AL91:AL93 AL21:AL23 AL76:AL81 AL72 AL83:AL86 AL88:AL89 AL82 AL90 AL87" unlockedFormula="1"/>
    <ignoredError sqref="AL47 AL52 AL57:AL58 AL24" formula="1" unlockedFormula="1"/>
    <ignoredError sqref="AL49:AL50" 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pageSetUpPr fitToPage="1"/>
  </sheetPr>
  <dimension ref="A1:AN107"/>
  <sheetViews>
    <sheetView showGridLines="0" zoomScale="80" zoomScaleNormal="100" workbookViewId="0"/>
  </sheetViews>
  <sheetFormatPr defaultColWidth="8.84375" defaultRowHeight="15.5"/>
  <cols>
    <col min="1" max="1" width="2.53515625" style="23" customWidth="1"/>
    <col min="2" max="2" width="14.07421875" style="23" customWidth="1"/>
    <col min="3" max="3" width="26.07421875" style="23" customWidth="1"/>
    <col min="4" max="4" width="2" style="23" customWidth="1"/>
    <col min="5" max="5" width="11.84375" style="23" customWidth="1"/>
    <col min="6" max="6" width="1.84375" style="23" customWidth="1"/>
    <col min="7" max="7" width="11.84375" style="23" customWidth="1"/>
    <col min="8" max="8" width="1.84375" style="23" customWidth="1"/>
    <col min="9" max="9" width="11.84375" style="23" customWidth="1"/>
    <col min="10" max="10" width="1.84375" style="23" customWidth="1"/>
    <col min="11" max="11" width="11.84375" style="23" customWidth="1"/>
    <col min="12" max="12" width="1.07421875" style="23" customWidth="1"/>
    <col min="13" max="13" width="11.84375" style="23" customWidth="1"/>
    <col min="14" max="14" width="1.84375" style="23" customWidth="1"/>
    <col min="15" max="15" width="12.84375" style="23" customWidth="1"/>
    <col min="16" max="16" width="1.84375" style="23" customWidth="1"/>
    <col min="17" max="17" width="11.84375" style="23" customWidth="1"/>
    <col min="18" max="18" width="1.84375" style="23" customWidth="1"/>
    <col min="19" max="19" width="11.84375" style="23" customWidth="1"/>
    <col min="20" max="20" width="1.84375" style="23" customWidth="1"/>
    <col min="21" max="21" width="11.84375" style="23" customWidth="1"/>
    <col min="22" max="22" width="1.84375" style="23" customWidth="1"/>
    <col min="23" max="23" width="11.84375" style="23" customWidth="1"/>
    <col min="24" max="24" width="1.84375" style="23" customWidth="1"/>
    <col min="25" max="25" width="11.84375" style="23" customWidth="1"/>
    <col min="26" max="26" width="1.84375" style="23" customWidth="1"/>
    <col min="27" max="27" width="11.84375" style="23" customWidth="1"/>
    <col min="28" max="29" width="1.07421875" style="23" customWidth="1"/>
    <col min="30" max="30" width="11.84375" style="23" customWidth="1"/>
    <col min="31" max="32" width="1.07421875" style="23" customWidth="1"/>
    <col min="33" max="33" width="11.84375" style="23" customWidth="1"/>
    <col min="34" max="35" width="1.07421875" style="23" customWidth="1"/>
    <col min="36" max="36" width="11.84375" style="23" customWidth="1"/>
    <col min="37" max="37" width="1.07421875" style="23" customWidth="1"/>
    <col min="38" max="38" width="11.84375" style="23" customWidth="1"/>
    <col min="39" max="40" width="9.84375" style="23" bestFit="1" customWidth="1"/>
    <col min="41" max="42" width="6.07421875" style="23" customWidth="1"/>
    <col min="43" max="16384" width="8.84375" style="23"/>
  </cols>
  <sheetData>
    <row r="1" spans="1:40">
      <c r="B1" s="284" t="s">
        <v>97</v>
      </c>
    </row>
    <row r="2" spans="1:40">
      <c r="B2" s="364"/>
    </row>
    <row r="3" spans="1:40" ht="19.5" customHeight="1">
      <c r="A3" s="84"/>
      <c r="B3" s="50" t="s">
        <v>98</v>
      </c>
      <c r="C3" s="85"/>
      <c r="D3" s="85"/>
      <c r="E3" s="85"/>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L3" s="106" t="s">
        <v>553</v>
      </c>
    </row>
    <row r="4" spans="1:40" ht="19.5" customHeight="1">
      <c r="A4" s="84"/>
      <c r="B4" s="50" t="s">
        <v>578</v>
      </c>
      <c r="C4" s="85"/>
      <c r="D4" s="85"/>
      <c r="E4" s="85"/>
      <c r="F4" s="86"/>
      <c r="G4" s="86"/>
      <c r="H4" s="86"/>
      <c r="I4" s="86"/>
      <c r="J4" s="86"/>
      <c r="K4" s="86"/>
      <c r="L4" s="86"/>
      <c r="M4" s="86"/>
      <c r="N4" s="86"/>
      <c r="O4" s="86"/>
      <c r="P4" s="86"/>
      <c r="Q4" s="86"/>
      <c r="R4" s="86"/>
      <c r="S4" s="86"/>
      <c r="T4" s="86"/>
      <c r="U4" s="86"/>
      <c r="V4" s="86"/>
      <c r="W4" s="86"/>
      <c r="X4" s="86"/>
      <c r="Y4" s="86"/>
      <c r="Z4" s="86"/>
      <c r="AA4" s="86"/>
      <c r="AB4" s="86"/>
      <c r="AC4" s="86"/>
      <c r="AE4" s="87"/>
      <c r="AF4" s="87"/>
    </row>
    <row r="5" spans="1:40" ht="19.5" customHeight="1">
      <c r="A5" s="84"/>
      <c r="B5" s="540" t="s">
        <v>444</v>
      </c>
      <c r="C5" s="85"/>
      <c r="D5" s="85"/>
      <c r="E5" s="85"/>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L5" s="72"/>
    </row>
    <row r="6" spans="1:40" ht="19.5" customHeight="1">
      <c r="A6" s="84"/>
      <c r="B6" s="540" t="str">
        <f>'Cashflow Governmental'!A6</f>
        <v>FISCAL YEAR 2026-2027</v>
      </c>
      <c r="C6" s="85"/>
      <c r="D6" s="85"/>
      <c r="E6" s="85"/>
      <c r="F6" s="86"/>
      <c r="G6" s="86"/>
      <c r="H6" s="1127"/>
      <c r="I6" s="86"/>
      <c r="J6" s="86"/>
      <c r="K6" s="86"/>
      <c r="L6" s="86"/>
      <c r="M6" s="86"/>
      <c r="N6" s="86"/>
      <c r="O6" s="86"/>
      <c r="P6" s="86"/>
      <c r="Q6" s="86"/>
      <c r="R6" s="86"/>
      <c r="S6" s="86"/>
      <c r="T6" s="86"/>
      <c r="U6" s="86"/>
      <c r="V6" s="86"/>
      <c r="W6" s="86"/>
      <c r="X6" s="86"/>
      <c r="Y6" s="86"/>
      <c r="Z6" s="86"/>
      <c r="AA6" s="86"/>
      <c r="AB6" s="86"/>
      <c r="AC6" s="86"/>
      <c r="AD6" s="86"/>
      <c r="AE6" s="88"/>
      <c r="AF6" s="88"/>
      <c r="AG6" s="88"/>
      <c r="AH6" s="88"/>
      <c r="AI6" s="88"/>
    </row>
    <row r="7" spans="1:40" ht="19.5" customHeight="1">
      <c r="A7" s="84"/>
      <c r="B7" s="50" t="s">
        <v>226</v>
      </c>
      <c r="C7" s="85"/>
      <c r="D7" s="85"/>
      <c r="E7" s="85"/>
      <c r="F7" s="86"/>
      <c r="G7" s="86"/>
      <c r="H7" s="1127"/>
      <c r="I7" s="86"/>
      <c r="J7" s="86"/>
      <c r="K7" s="86"/>
      <c r="L7" s="86"/>
      <c r="M7" s="86"/>
      <c r="N7" s="86"/>
      <c r="O7" s="86"/>
      <c r="P7" s="86"/>
      <c r="Q7" s="86"/>
      <c r="R7" s="86"/>
      <c r="S7" s="86"/>
      <c r="T7" s="86"/>
      <c r="U7" s="86"/>
      <c r="V7" s="86"/>
      <c r="W7" s="86"/>
      <c r="X7" s="86"/>
      <c r="Y7" s="86"/>
      <c r="Z7" s="86"/>
      <c r="AA7" s="86"/>
      <c r="AB7" s="86"/>
      <c r="AC7" s="86"/>
      <c r="AD7" s="86"/>
      <c r="AE7" s="88"/>
      <c r="AF7" s="88"/>
      <c r="AG7" s="88"/>
      <c r="AH7" s="88"/>
      <c r="AI7" s="88"/>
    </row>
    <row r="8" spans="1:40" ht="15.75" customHeight="1">
      <c r="A8" s="84"/>
      <c r="B8" s="50"/>
      <c r="C8" s="85"/>
      <c r="D8" s="85"/>
      <c r="E8" s="1545"/>
      <c r="F8" s="86"/>
      <c r="G8" s="86"/>
      <c r="H8" s="86"/>
      <c r="I8" s="86"/>
      <c r="J8" s="86"/>
      <c r="K8" s="86"/>
      <c r="L8" s="86"/>
      <c r="M8" s="86"/>
      <c r="N8" s="86"/>
      <c r="O8" s="86"/>
      <c r="P8" s="86"/>
      <c r="Q8" s="86"/>
      <c r="R8" s="86"/>
      <c r="S8" s="86"/>
      <c r="T8" s="86"/>
      <c r="U8" s="86"/>
      <c r="V8" s="86"/>
      <c r="W8" s="86"/>
      <c r="X8" s="86"/>
      <c r="Y8" s="86"/>
      <c r="Z8" s="86"/>
      <c r="AA8" s="86"/>
      <c r="AB8" s="86"/>
      <c r="AC8" s="89"/>
    </row>
    <row r="9" spans="1:40" ht="15.75" customHeight="1">
      <c r="A9" s="84"/>
      <c r="B9" s="90"/>
      <c r="C9" s="85"/>
      <c r="D9" s="85"/>
      <c r="E9" s="1520"/>
      <c r="F9" s="86"/>
      <c r="G9" s="86"/>
      <c r="H9" s="86"/>
      <c r="I9" s="86"/>
      <c r="J9" s="86"/>
      <c r="K9" s="86"/>
      <c r="L9" s="86"/>
      <c r="M9" s="86"/>
      <c r="N9" s="86"/>
      <c r="O9" s="86"/>
      <c r="P9" s="86"/>
      <c r="Q9" s="86"/>
      <c r="R9" s="86"/>
      <c r="S9" s="86"/>
      <c r="T9" s="86"/>
      <c r="U9" s="86"/>
      <c r="V9" s="86"/>
      <c r="W9" s="86"/>
      <c r="X9" s="86"/>
      <c r="Y9" s="86"/>
      <c r="Z9" s="86"/>
      <c r="AA9" s="86"/>
      <c r="AB9" s="86"/>
      <c r="AC9" s="2063" t="str">
        <f>'Cashflow Governmental'!$AB$12</f>
        <v>4 Months Ended July 31</v>
      </c>
      <c r="AD9" s="2063"/>
      <c r="AE9" s="2063"/>
      <c r="AF9" s="2063"/>
      <c r="AG9" s="2063"/>
      <c r="AH9" s="2063"/>
      <c r="AI9" s="2063"/>
      <c r="AJ9" s="2063"/>
      <c r="AK9" s="2063"/>
      <c r="AL9" s="2063"/>
    </row>
    <row r="10" spans="1:40" ht="15.75" customHeight="1">
      <c r="A10" s="91"/>
      <c r="B10" s="91"/>
      <c r="C10" s="91"/>
      <c r="D10" s="91"/>
      <c r="E10" s="314" t="str">
        <f>'Cashflow Governmental'!C13</f>
        <v>2026</v>
      </c>
      <c r="F10" s="323"/>
      <c r="G10" s="323"/>
      <c r="H10" s="323"/>
      <c r="I10" s="323"/>
      <c r="J10" s="323"/>
      <c r="K10" s="323"/>
      <c r="L10" s="323"/>
      <c r="M10" s="323"/>
      <c r="N10" s="323"/>
      <c r="O10" s="323"/>
      <c r="P10" s="323"/>
      <c r="Q10" s="323"/>
      <c r="R10" s="323"/>
      <c r="S10" s="323"/>
      <c r="T10" s="323"/>
      <c r="U10" s="323"/>
      <c r="V10" s="323"/>
      <c r="W10" s="314">
        <f>'Cashflow Governmental'!U13</f>
        <v>2027</v>
      </c>
      <c r="X10" s="323"/>
      <c r="Y10" s="323"/>
      <c r="Z10" s="323"/>
      <c r="AA10" s="323"/>
      <c r="AB10" s="323"/>
      <c r="AC10" s="323"/>
      <c r="AD10" s="323"/>
      <c r="AE10" s="323"/>
      <c r="AF10" s="323"/>
      <c r="AG10" s="323"/>
      <c r="AH10" s="323"/>
      <c r="AI10" s="323"/>
      <c r="AJ10" s="320" t="s">
        <v>110</v>
      </c>
      <c r="AK10" s="320"/>
      <c r="AL10" s="318" t="s">
        <v>111</v>
      </c>
      <c r="AM10" s="3"/>
    </row>
    <row r="11" spans="1:40" ht="15.75" customHeight="1">
      <c r="A11" s="291"/>
      <c r="B11" s="291"/>
      <c r="C11" s="291"/>
      <c r="D11" s="291"/>
      <c r="E11" s="1212" t="s">
        <v>329</v>
      </c>
      <c r="F11" s="3"/>
      <c r="G11" s="1212" t="s">
        <v>330</v>
      </c>
      <c r="H11" s="3"/>
      <c r="I11" s="1212" t="s">
        <v>331</v>
      </c>
      <c r="J11" s="3"/>
      <c r="K11" s="1212" t="s">
        <v>332</v>
      </c>
      <c r="L11" s="3"/>
      <c r="M11" s="1212" t="s">
        <v>333</v>
      </c>
      <c r="N11" s="3"/>
      <c r="O11" s="1212" t="s">
        <v>445</v>
      </c>
      <c r="P11" s="3"/>
      <c r="Q11" s="1212" t="s">
        <v>446</v>
      </c>
      <c r="R11" s="3"/>
      <c r="S11" s="1212" t="s">
        <v>336</v>
      </c>
      <c r="T11" s="3"/>
      <c r="U11" s="1212" t="s">
        <v>337</v>
      </c>
      <c r="V11" s="3"/>
      <c r="W11" s="1212" t="s">
        <v>338</v>
      </c>
      <c r="X11" s="3"/>
      <c r="Y11" s="1212" t="s">
        <v>339</v>
      </c>
      <c r="Z11" s="3"/>
      <c r="AA11" s="1212" t="s">
        <v>447</v>
      </c>
      <c r="AB11" s="3"/>
      <c r="AC11" s="3"/>
      <c r="AD11" s="1212" t="str">
        <f>'Cashflow Governmental'!AB14</f>
        <v>2026</v>
      </c>
      <c r="AE11" s="3"/>
      <c r="AF11" s="3"/>
      <c r="AG11" s="1212" t="str">
        <f>'Cashflow Governmental'!AE14</f>
        <v>2025</v>
      </c>
      <c r="AH11" s="52"/>
      <c r="AI11" s="52"/>
      <c r="AJ11" s="415" t="s">
        <v>112</v>
      </c>
      <c r="AK11" s="320"/>
      <c r="AL11" s="415" t="s">
        <v>113</v>
      </c>
      <c r="AM11" s="3"/>
    </row>
    <row r="12" spans="1:40" ht="5.25" customHeight="1">
      <c r="A12" s="291"/>
      <c r="B12" s="3"/>
      <c r="C12" s="3"/>
      <c r="D12" s="291"/>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40"/>
      <c r="AJ12" s="291"/>
      <c r="AK12" s="291"/>
      <c r="AL12" s="291"/>
    </row>
    <row r="13" spans="1:40">
      <c r="A13" s="291"/>
      <c r="B13" s="3" t="s">
        <v>523</v>
      </c>
      <c r="C13" s="3"/>
      <c r="D13" s="291"/>
      <c r="E13" s="82">
        <v>-2206.4</v>
      </c>
      <c r="F13" s="268"/>
      <c r="G13" s="20">
        <f>E100</f>
        <v>-2308.4</v>
      </c>
      <c r="H13" s="20"/>
      <c r="I13" s="20">
        <f>G100</f>
        <v>-2525</v>
      </c>
      <c r="J13" s="274"/>
      <c r="K13" s="20">
        <f>I100</f>
        <v>-2755.1</v>
      </c>
      <c r="L13" s="274"/>
      <c r="M13" s="20"/>
      <c r="N13" s="268"/>
      <c r="O13" s="20"/>
      <c r="P13" s="268"/>
      <c r="Q13" s="20"/>
      <c r="R13" s="20"/>
      <c r="S13" s="20"/>
      <c r="T13" s="20"/>
      <c r="U13" s="20"/>
      <c r="V13" s="20"/>
      <c r="W13" s="20"/>
      <c r="X13" s="20"/>
      <c r="Y13" s="20"/>
      <c r="Z13" s="20"/>
      <c r="AA13" s="20"/>
      <c r="AB13" s="268"/>
      <c r="AC13" s="666"/>
      <c r="AD13" s="20">
        <f>E13</f>
        <v>-2206.4</v>
      </c>
      <c r="AE13" s="268"/>
      <c r="AF13" s="1040"/>
      <c r="AG13" s="1936">
        <v>-1077.3</v>
      </c>
      <c r="AH13" s="268"/>
      <c r="AI13" s="92"/>
      <c r="AJ13" s="20">
        <f>ROUND(AD13-AG13,1)</f>
        <v>-1129.0999999999999</v>
      </c>
      <c r="AK13" s="76"/>
      <c r="AL13" s="281">
        <f>ROUND(IF(AG13=0,0,AJ13/ABS(AG13)),3)</f>
        <v>-1.048</v>
      </c>
      <c r="AM13" s="1621"/>
      <c r="AN13" s="1621"/>
    </row>
    <row r="14" spans="1:40">
      <c r="A14" s="291"/>
      <c r="B14" s="3"/>
      <c r="C14" s="3"/>
      <c r="D14" s="291"/>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666"/>
      <c r="AD14" s="268"/>
      <c r="AE14" s="268"/>
      <c r="AF14" s="1040"/>
      <c r="AG14" s="268"/>
      <c r="AH14" s="268"/>
      <c r="AI14" s="92"/>
      <c r="AJ14" s="291"/>
      <c r="AK14" s="291"/>
      <c r="AL14" s="291"/>
      <c r="AM14" s="1621"/>
      <c r="AN14" s="1621"/>
    </row>
    <row r="15" spans="1:40">
      <c r="A15" s="291"/>
      <c r="B15" s="3" t="s">
        <v>557</v>
      </c>
      <c r="C15" s="291"/>
      <c r="D15" s="291"/>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666"/>
      <c r="AD15" s="268"/>
      <c r="AE15" s="1237"/>
      <c r="AF15" s="268"/>
      <c r="AG15" s="268"/>
      <c r="AH15" s="268"/>
      <c r="AI15" s="92"/>
      <c r="AM15" s="1621"/>
      <c r="AN15" s="1621"/>
    </row>
    <row r="16" spans="1:40">
      <c r="A16" s="291"/>
      <c r="B16" s="1211" t="s">
        <v>342</v>
      </c>
      <c r="C16" s="291"/>
      <c r="D16" s="291"/>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666"/>
      <c r="AD16" s="268"/>
      <c r="AE16" s="1237"/>
      <c r="AF16" s="268"/>
      <c r="AG16" s="268"/>
      <c r="AH16" s="268"/>
      <c r="AI16" s="92"/>
      <c r="AM16" s="1621"/>
      <c r="AN16" s="1621"/>
    </row>
    <row r="17" spans="1:40">
      <c r="A17" s="291"/>
      <c r="B17" s="412" t="s">
        <v>579</v>
      </c>
      <c r="C17" s="291"/>
      <c r="D17" s="291"/>
      <c r="E17" s="1128"/>
      <c r="F17" s="268"/>
      <c r="G17" s="264"/>
      <c r="H17" s="264"/>
      <c r="I17" s="264"/>
      <c r="J17" s="264"/>
      <c r="K17" s="264"/>
      <c r="L17" s="264"/>
      <c r="M17" s="264"/>
      <c r="N17" s="264"/>
      <c r="O17" s="264"/>
      <c r="P17" s="264"/>
      <c r="Q17" s="264"/>
      <c r="R17" s="264"/>
      <c r="S17" s="264"/>
      <c r="T17" s="264"/>
      <c r="U17" s="264"/>
      <c r="V17" s="264"/>
      <c r="W17" s="264"/>
      <c r="X17" s="264"/>
      <c r="Y17" s="264"/>
      <c r="Z17" s="264"/>
      <c r="AA17" s="264"/>
      <c r="AB17" s="264"/>
      <c r="AC17" s="523"/>
      <c r="AD17" s="12" t="s">
        <v>103</v>
      </c>
      <c r="AE17" s="1227"/>
      <c r="AF17" s="264"/>
      <c r="AG17" s="264" t="s">
        <v>103</v>
      </c>
      <c r="AH17" s="264"/>
      <c r="AI17" s="98"/>
      <c r="AJ17" s="12"/>
      <c r="AM17" s="1621"/>
      <c r="AN17" s="1621"/>
    </row>
    <row r="18" spans="1:40">
      <c r="A18" s="291"/>
      <c r="B18" s="284" t="s">
        <v>356</v>
      </c>
      <c r="C18" s="291"/>
      <c r="D18" s="350" t="s">
        <v>103</v>
      </c>
      <c r="E18" s="264">
        <v>-0.3</v>
      </c>
      <c r="F18" s="264"/>
      <c r="G18" s="264">
        <v>0</v>
      </c>
      <c r="H18" s="264"/>
      <c r="I18" s="264">
        <v>23.8</v>
      </c>
      <c r="J18" s="264"/>
      <c r="K18" s="264">
        <f>$AD18-I18-G18-E18</f>
        <v>0.1000000000000007</v>
      </c>
      <c r="L18" s="553"/>
      <c r="M18" s="264"/>
      <c r="N18" s="606"/>
      <c r="O18" s="264"/>
      <c r="P18" s="606"/>
      <c r="Q18" s="264"/>
      <c r="R18" s="606"/>
      <c r="S18" s="264"/>
      <c r="T18" s="264"/>
      <c r="U18" s="264"/>
      <c r="V18" s="264"/>
      <c r="W18" s="264"/>
      <c r="X18" s="264"/>
      <c r="Y18" s="264"/>
      <c r="Z18" s="264"/>
      <c r="AA18" s="264"/>
      <c r="AB18" s="264"/>
      <c r="AC18" s="523"/>
      <c r="AD18" s="531">
        <v>23.6</v>
      </c>
      <c r="AE18" s="264"/>
      <c r="AF18" s="524" t="s">
        <v>103</v>
      </c>
      <c r="AG18" s="531">
        <v>28.6</v>
      </c>
      <c r="AH18" s="715"/>
      <c r="AI18" s="716"/>
      <c r="AJ18" s="264">
        <f>ROUND(AD18-AG18,1)</f>
        <v>-5</v>
      </c>
      <c r="AK18" s="383"/>
      <c r="AL18" s="542">
        <f>ROUND(IF(AG18=0,0,AJ18/ABS(AG18)),3)</f>
        <v>-0.17499999999999999</v>
      </c>
      <c r="AM18" s="1621"/>
      <c r="AN18" s="1621"/>
    </row>
    <row r="19" spans="1:40">
      <c r="A19" s="291"/>
      <c r="B19" s="284" t="s">
        <v>359</v>
      </c>
      <c r="C19" s="291"/>
      <c r="D19" s="291"/>
      <c r="E19" s="264">
        <v>29.1</v>
      </c>
      <c r="F19" s="264"/>
      <c r="G19" s="264">
        <v>32</v>
      </c>
      <c r="H19" s="264"/>
      <c r="I19" s="264">
        <v>34.300000000000004</v>
      </c>
      <c r="J19" s="264"/>
      <c r="K19" s="264">
        <f t="shared" ref="K19:K20" si="0">$AD19-I19-G19-E19</f>
        <v>33.099999999999987</v>
      </c>
      <c r="L19" s="552"/>
      <c r="M19" s="264"/>
      <c r="N19" s="552"/>
      <c r="O19" s="264"/>
      <c r="P19" s="552"/>
      <c r="Q19" s="264"/>
      <c r="R19" s="552"/>
      <c r="S19" s="264"/>
      <c r="T19" s="264"/>
      <c r="U19" s="264"/>
      <c r="V19" s="552"/>
      <c r="W19" s="264"/>
      <c r="X19" s="552"/>
      <c r="Y19" s="264"/>
      <c r="Z19" s="552"/>
      <c r="AA19" s="264"/>
      <c r="AB19" s="264"/>
      <c r="AC19" s="523"/>
      <c r="AD19" s="531">
        <v>128.5</v>
      </c>
      <c r="AE19" s="264"/>
      <c r="AF19" s="524" t="s">
        <v>103</v>
      </c>
      <c r="AG19" s="531">
        <v>127.8</v>
      </c>
      <c r="AH19" s="264"/>
      <c r="AI19" s="98"/>
      <c r="AJ19" s="264">
        <f>ROUND(AD19-AG19,1)</f>
        <v>0.7</v>
      </c>
      <c r="AK19" s="41"/>
      <c r="AL19" s="266">
        <f>ROUND(IF(AG19=0,0,AJ19/ABS(AG19)),3)</f>
        <v>5.0000000000000001E-3</v>
      </c>
      <c r="AM19" s="1621"/>
      <c r="AN19" s="1621"/>
    </row>
    <row r="20" spans="1:40">
      <c r="A20" s="291"/>
      <c r="B20" s="284" t="s">
        <v>362</v>
      </c>
      <c r="C20" s="291"/>
      <c r="D20" s="291"/>
      <c r="E20" s="264">
        <v>13.4</v>
      </c>
      <c r="F20" s="264"/>
      <c r="G20" s="264">
        <v>8.9</v>
      </c>
      <c r="H20" s="264"/>
      <c r="I20" s="264">
        <v>9.1</v>
      </c>
      <c r="J20" s="264"/>
      <c r="K20" s="264">
        <f t="shared" si="0"/>
        <v>13.200000000000001</v>
      </c>
      <c r="L20" s="552"/>
      <c r="M20" s="264"/>
      <c r="N20" s="552"/>
      <c r="O20" s="264"/>
      <c r="P20" s="552"/>
      <c r="Q20" s="264"/>
      <c r="R20" s="552"/>
      <c r="S20" s="264"/>
      <c r="T20" s="264"/>
      <c r="U20" s="264"/>
      <c r="V20" s="552"/>
      <c r="W20" s="264"/>
      <c r="X20" s="552"/>
      <c r="Y20" s="264"/>
      <c r="Z20" s="552"/>
      <c r="AA20" s="264"/>
      <c r="AB20" s="264"/>
      <c r="AC20" s="523"/>
      <c r="AD20" s="531">
        <v>44.6</v>
      </c>
      <c r="AE20" s="264"/>
      <c r="AF20" s="524" t="s">
        <v>103</v>
      </c>
      <c r="AG20" s="531">
        <v>45</v>
      </c>
      <c r="AH20" s="264"/>
      <c r="AI20" s="98"/>
      <c r="AJ20" s="264">
        <f>ROUND(AD20-AG20,1)</f>
        <v>-0.4</v>
      </c>
      <c r="AK20" s="41"/>
      <c r="AL20" s="542">
        <f>ROUND(IF(AG20=0,0,AJ20/ABS(AG20)),3)</f>
        <v>-8.9999999999999993E-3</v>
      </c>
      <c r="AM20" s="1621"/>
      <c r="AN20" s="1621"/>
    </row>
    <row r="21" spans="1:40">
      <c r="A21" s="291"/>
      <c r="B21" s="83" t="s">
        <v>558</v>
      </c>
      <c r="C21" s="291"/>
      <c r="D21" s="291"/>
      <c r="E21" s="68">
        <f>ROUND(SUM(E18:E20),1)</f>
        <v>42.2</v>
      </c>
      <c r="F21" s="264"/>
      <c r="G21" s="68">
        <f>ROUND(SUM(G18:G20),1)</f>
        <v>40.9</v>
      </c>
      <c r="H21" s="264"/>
      <c r="I21" s="68">
        <f>ROUND(SUM(I18:I20),1)</f>
        <v>67.2</v>
      </c>
      <c r="J21" s="264"/>
      <c r="K21" s="68">
        <f>ROUND(SUM(K18:K20),1)</f>
        <v>46.4</v>
      </c>
      <c r="L21" s="264"/>
      <c r="M21" s="68">
        <f>ROUND(SUM(M18:M20),1)</f>
        <v>0</v>
      </c>
      <c r="N21" s="264"/>
      <c r="O21" s="68">
        <f>ROUND(SUM(O18:O20),1)</f>
        <v>0</v>
      </c>
      <c r="P21" s="264"/>
      <c r="Q21" s="68">
        <f>ROUND(SUM(Q18:Q20),1)</f>
        <v>0</v>
      </c>
      <c r="R21" s="264"/>
      <c r="S21" s="68">
        <f>ROUND(SUM(S18:S20),1)</f>
        <v>0</v>
      </c>
      <c r="T21" s="13"/>
      <c r="U21" s="68">
        <f>ROUND(SUM(U18:U20),1)</f>
        <v>0</v>
      </c>
      <c r="V21" s="264"/>
      <c r="W21" s="68">
        <f>ROUND(SUM(W18:W20),1)</f>
        <v>0</v>
      </c>
      <c r="X21" s="264"/>
      <c r="Y21" s="68">
        <f>ROUND(SUM(Y18:Y20),1)</f>
        <v>0</v>
      </c>
      <c r="Z21" s="264"/>
      <c r="AA21" s="68">
        <f>ROUND(SUM(AA18:AA20),1)</f>
        <v>0</v>
      </c>
      <c r="AB21" s="264"/>
      <c r="AC21" s="523"/>
      <c r="AD21" s="68">
        <f>ROUND(SUM(AD18:AD20),1)</f>
        <v>196.7</v>
      </c>
      <c r="AE21" s="1227"/>
      <c r="AF21" s="264"/>
      <c r="AG21" s="68">
        <f>ROUND(SUM(AG18:AG20),1)</f>
        <v>201.4</v>
      </c>
      <c r="AH21" s="264"/>
      <c r="AI21" s="98"/>
      <c r="AJ21" s="68">
        <f>ROUND(SUM(AJ18:AJ20),1)</f>
        <v>-4.7</v>
      </c>
      <c r="AK21" s="41"/>
      <c r="AL21" s="537">
        <f>ROUND(IF(AG21=0,0,AJ21/ABS(AG21)),3)</f>
        <v>-2.3E-2</v>
      </c>
      <c r="AM21" s="1621"/>
      <c r="AN21" s="1621"/>
    </row>
    <row r="22" spans="1:40">
      <c r="A22" s="291"/>
      <c r="B22" s="412" t="s">
        <v>524</v>
      </c>
      <c r="C22" s="291"/>
      <c r="D22" s="291"/>
      <c r="E22" s="264"/>
      <c r="F22" s="264"/>
      <c r="G22" s="264"/>
      <c r="H22" s="264"/>
      <c r="I22" s="264"/>
      <c r="J22" s="264"/>
      <c r="K22" s="264"/>
      <c r="L22" s="264"/>
      <c r="M22" s="264"/>
      <c r="N22" s="264"/>
      <c r="O22" s="264"/>
      <c r="P22" s="264"/>
      <c r="Q22" s="289"/>
      <c r="R22" s="264"/>
      <c r="S22" s="289"/>
      <c r="T22" s="264"/>
      <c r="U22" s="289"/>
      <c r="V22" s="264"/>
      <c r="W22" s="1129"/>
      <c r="X22" s="264"/>
      <c r="Y22" s="289"/>
      <c r="Z22" s="264"/>
      <c r="AA22" s="1129"/>
      <c r="AB22" s="264"/>
      <c r="AC22" s="523"/>
      <c r="AD22" s="287"/>
      <c r="AE22" s="1227"/>
      <c r="AF22" s="264"/>
      <c r="AG22" s="287"/>
      <c r="AH22" s="264"/>
      <c r="AI22" s="98"/>
      <c r="AJ22" s="287"/>
      <c r="AL22" s="96"/>
      <c r="AM22" s="1621"/>
      <c r="AN22" s="1621"/>
    </row>
    <row r="23" spans="1:40">
      <c r="A23" s="291"/>
      <c r="B23" s="284" t="s">
        <v>367</v>
      </c>
      <c r="C23" s="291"/>
      <c r="D23" s="291"/>
      <c r="E23" s="264">
        <v>0</v>
      </c>
      <c r="F23" s="264"/>
      <c r="G23" s="264">
        <v>0</v>
      </c>
      <c r="H23" s="264"/>
      <c r="I23" s="264">
        <v>0</v>
      </c>
      <c r="J23" s="264"/>
      <c r="K23" s="264">
        <f>$AD23-I23-G23-E23</f>
        <v>0</v>
      </c>
      <c r="L23" s="552"/>
      <c r="M23" s="264"/>
      <c r="N23" s="552"/>
      <c r="O23" s="264"/>
      <c r="P23" s="552"/>
      <c r="Q23" s="264"/>
      <c r="R23" s="552"/>
      <c r="S23" s="264"/>
      <c r="T23" s="264"/>
      <c r="U23" s="264"/>
      <c r="V23" s="552"/>
      <c r="W23" s="264"/>
      <c r="X23" s="552"/>
      <c r="Y23" s="264"/>
      <c r="Z23" s="552"/>
      <c r="AA23" s="264"/>
      <c r="AB23" s="264"/>
      <c r="AC23" s="523"/>
      <c r="AD23" s="531">
        <v>0</v>
      </c>
      <c r="AE23" s="264"/>
      <c r="AF23" s="524" t="s">
        <v>103</v>
      </c>
      <c r="AG23" s="531">
        <v>0</v>
      </c>
      <c r="AH23" s="264"/>
      <c r="AI23" s="98"/>
      <c r="AJ23" s="264">
        <f>ROUND(AD23-AG23,1)</f>
        <v>0</v>
      </c>
      <c r="AL23" s="266">
        <f>ROUND(IF(AG23=0,0,AJ23/ABS(AG23)),3)</f>
        <v>0</v>
      </c>
      <c r="AM23" s="1621"/>
      <c r="AN23" s="1621"/>
    </row>
    <row r="24" spans="1:40">
      <c r="A24" s="291"/>
      <c r="B24" s="284" t="s">
        <v>368</v>
      </c>
      <c r="C24" s="291"/>
      <c r="D24" s="291"/>
      <c r="E24" s="264">
        <v>2</v>
      </c>
      <c r="F24" s="264"/>
      <c r="G24" s="264">
        <v>-0.10000000000000009</v>
      </c>
      <c r="H24" s="264"/>
      <c r="I24" s="264">
        <v>0.90000000000000036</v>
      </c>
      <c r="J24" s="264"/>
      <c r="K24" s="264">
        <f>$AD24-I24-G24-E24</f>
        <v>0.39999999999999991</v>
      </c>
      <c r="L24" s="552"/>
      <c r="M24" s="264"/>
      <c r="N24" s="552"/>
      <c r="O24" s="264"/>
      <c r="P24" s="552"/>
      <c r="Q24" s="264"/>
      <c r="R24" s="552"/>
      <c r="S24" s="264"/>
      <c r="T24" s="264"/>
      <c r="U24" s="264"/>
      <c r="V24" s="552"/>
      <c r="W24" s="264"/>
      <c r="X24" s="552"/>
      <c r="Y24" s="264"/>
      <c r="Z24" s="552"/>
      <c r="AA24" s="264"/>
      <c r="AB24" s="264"/>
      <c r="AC24" s="523"/>
      <c r="AD24" s="531">
        <v>3.2</v>
      </c>
      <c r="AE24" s="264"/>
      <c r="AF24" s="524" t="s">
        <v>103</v>
      </c>
      <c r="AG24" s="531">
        <v>5.0999999999999996</v>
      </c>
      <c r="AH24" s="264"/>
      <c r="AI24" s="98"/>
      <c r="AJ24" s="264">
        <f>ROUND(AD24-AG24,1)</f>
        <v>-1.9</v>
      </c>
      <c r="AL24" s="542">
        <f>ROUND(IF(AG24=0,1,AJ24/ABS(AG24)),3)</f>
        <v>-0.373</v>
      </c>
      <c r="AM24" s="1621"/>
      <c r="AN24" s="1621"/>
    </row>
    <row r="25" spans="1:40">
      <c r="A25" s="291"/>
      <c r="B25" s="284" t="s">
        <v>372</v>
      </c>
      <c r="C25" s="3"/>
      <c r="D25" s="291"/>
      <c r="E25" s="264">
        <v>41.9</v>
      </c>
      <c r="F25" s="264"/>
      <c r="G25" s="264">
        <v>44.000000000000007</v>
      </c>
      <c r="H25" s="264"/>
      <c r="I25" s="264">
        <v>50.199999999999996</v>
      </c>
      <c r="J25" s="264"/>
      <c r="K25" s="264">
        <f t="shared" ref="K25" si="1">$AD25-I25-G25-E25</f>
        <v>55.500000000000007</v>
      </c>
      <c r="L25" s="552"/>
      <c r="M25" s="264"/>
      <c r="N25" s="552"/>
      <c r="O25" s="264"/>
      <c r="P25" s="552"/>
      <c r="Q25" s="264"/>
      <c r="R25" s="552"/>
      <c r="S25" s="264"/>
      <c r="T25" s="264"/>
      <c r="U25" s="264"/>
      <c r="V25" s="552"/>
      <c r="W25" s="264"/>
      <c r="X25" s="552"/>
      <c r="Y25" s="264"/>
      <c r="Z25" s="552"/>
      <c r="AA25" s="264"/>
      <c r="AB25" s="264"/>
      <c r="AC25" s="523"/>
      <c r="AD25" s="531">
        <v>191.6</v>
      </c>
      <c r="AE25" s="264"/>
      <c r="AF25" s="524" t="s">
        <v>103</v>
      </c>
      <c r="AG25" s="531">
        <v>191.4</v>
      </c>
      <c r="AH25" s="264"/>
      <c r="AI25" s="98"/>
      <c r="AJ25" s="264">
        <f>ROUND(AD25-AG25,1)</f>
        <v>0.2</v>
      </c>
      <c r="AK25" s="41"/>
      <c r="AL25" s="533">
        <f>ROUND(IF(AG25=0,0,AJ25/ABS(AG25)),3)</f>
        <v>1E-3</v>
      </c>
      <c r="AM25" s="1621"/>
      <c r="AN25" s="1621"/>
    </row>
    <row r="26" spans="1:40">
      <c r="A26" s="291"/>
      <c r="B26" s="83" t="s">
        <v>559</v>
      </c>
      <c r="C26" s="3"/>
      <c r="D26" s="291"/>
      <c r="E26" s="68">
        <f>ROUND(SUM(E23:E25),1)</f>
        <v>43.9</v>
      </c>
      <c r="F26" s="264"/>
      <c r="G26" s="68">
        <f>ROUND(SUM(G23:G25),1)</f>
        <v>43.9</v>
      </c>
      <c r="H26" s="264"/>
      <c r="I26" s="68">
        <f>ROUND(SUM(I23:I25),1)</f>
        <v>51.1</v>
      </c>
      <c r="J26" s="264"/>
      <c r="K26" s="68">
        <f>ROUND(SUM(K23:K25),1)</f>
        <v>55.9</v>
      </c>
      <c r="L26" s="264"/>
      <c r="M26" s="68">
        <f>ROUND(SUM(M23:M25),1)</f>
        <v>0</v>
      </c>
      <c r="N26" s="264"/>
      <c r="O26" s="68">
        <f>ROUND(SUM(O23:O25),1)</f>
        <v>0</v>
      </c>
      <c r="P26" s="264"/>
      <c r="Q26" s="68">
        <f>ROUND(SUM(Q23:Q25),1)</f>
        <v>0</v>
      </c>
      <c r="R26" s="264"/>
      <c r="S26" s="68">
        <f>ROUND(SUM(S23:S25),1)</f>
        <v>0</v>
      </c>
      <c r="T26" s="13"/>
      <c r="U26" s="68">
        <f>ROUND(SUM(U23:U25),1)</f>
        <v>0</v>
      </c>
      <c r="V26" s="264"/>
      <c r="W26" s="68">
        <f>ROUND(SUM(W23:W25),1)</f>
        <v>0</v>
      </c>
      <c r="X26" s="264"/>
      <c r="Y26" s="68">
        <f>ROUND(SUM(Y23:Y25),1)</f>
        <v>0</v>
      </c>
      <c r="Z26" s="264"/>
      <c r="AA26" s="68">
        <f>ROUND(SUM(AA23:AA25),1)</f>
        <v>0</v>
      </c>
      <c r="AB26" s="264"/>
      <c r="AC26" s="523"/>
      <c r="AD26" s="68">
        <f>ROUND(SUM(AD23:AD25),1)</f>
        <v>194.8</v>
      </c>
      <c r="AE26" s="1227"/>
      <c r="AF26" s="264"/>
      <c r="AG26" s="68">
        <f>ROUND(SUM(AG23:AG25),1)</f>
        <v>196.5</v>
      </c>
      <c r="AH26" s="264"/>
      <c r="AI26" s="98"/>
      <c r="AJ26" s="68">
        <f>ROUND(SUM(AJ23:AJ25),1)</f>
        <v>-1.7</v>
      </c>
      <c r="AK26" s="41"/>
      <c r="AL26" s="538">
        <f>ROUND(IF(AG26=0,0,AJ26/ABS(AG26)),3)</f>
        <v>-8.9999999999999993E-3</v>
      </c>
      <c r="AM26" s="1621"/>
      <c r="AN26" s="1621"/>
    </row>
    <row r="27" spans="1:40">
      <c r="A27" s="291"/>
      <c r="B27" s="412" t="s">
        <v>580</v>
      </c>
      <c r="C27" s="291"/>
      <c r="D27" s="291"/>
      <c r="E27" s="275"/>
      <c r="F27" s="264"/>
      <c r="G27" s="275"/>
      <c r="H27" s="264"/>
      <c r="I27" s="289"/>
      <c r="J27" s="264"/>
      <c r="K27" s="289"/>
      <c r="L27" s="264"/>
      <c r="M27" s="264"/>
      <c r="N27" s="264"/>
      <c r="O27" s="264"/>
      <c r="P27" s="264"/>
      <c r="Q27" s="289"/>
      <c r="R27" s="264"/>
      <c r="S27" s="289"/>
      <c r="T27" s="264"/>
      <c r="U27" s="289"/>
      <c r="V27" s="264"/>
      <c r="W27" s="289"/>
      <c r="X27" s="264"/>
      <c r="Y27" s="289"/>
      <c r="Z27" s="264"/>
      <c r="AA27" s="289"/>
      <c r="AB27" s="264"/>
      <c r="AC27" s="523"/>
      <c r="AD27" s="264"/>
      <c r="AE27" s="1238"/>
      <c r="AF27" s="367"/>
      <c r="AG27" s="264"/>
      <c r="AH27" s="287"/>
      <c r="AI27" s="97"/>
      <c r="AJ27" s="287"/>
      <c r="AK27" s="95"/>
      <c r="AL27" s="266"/>
      <c r="AM27" s="1621"/>
      <c r="AN27" s="1621"/>
    </row>
    <row r="28" spans="1:40">
      <c r="A28" s="291"/>
      <c r="B28" s="284" t="s">
        <v>378</v>
      </c>
      <c r="C28" s="291"/>
      <c r="D28" s="291"/>
      <c r="E28" s="264">
        <v>0</v>
      </c>
      <c r="F28" s="264"/>
      <c r="G28" s="264">
        <v>0</v>
      </c>
      <c r="H28" s="264"/>
      <c r="I28" s="264">
        <v>25.7</v>
      </c>
      <c r="J28" s="264"/>
      <c r="K28" s="264">
        <f>$AD28-I28-G28-E28</f>
        <v>25.8</v>
      </c>
      <c r="L28" s="552"/>
      <c r="M28" s="264"/>
      <c r="N28" s="552"/>
      <c r="O28" s="264"/>
      <c r="P28" s="552"/>
      <c r="Q28" s="264"/>
      <c r="R28" s="552"/>
      <c r="S28" s="264"/>
      <c r="T28" s="552"/>
      <c r="U28" s="264"/>
      <c r="V28" s="552"/>
      <c r="W28" s="264"/>
      <c r="X28" s="552"/>
      <c r="Y28" s="264"/>
      <c r="Z28" s="552"/>
      <c r="AA28" s="264"/>
      <c r="AB28" s="264"/>
      <c r="AC28" s="523"/>
      <c r="AD28" s="531">
        <v>51.5</v>
      </c>
      <c r="AE28" s="264">
        <f>'Exhibit F'!AG1123</f>
        <v>0</v>
      </c>
      <c r="AF28" s="524" t="s">
        <v>103</v>
      </c>
      <c r="AG28" s="531">
        <v>51.5</v>
      </c>
      <c r="AH28" s="287"/>
      <c r="AI28" s="97"/>
      <c r="AJ28" s="264">
        <f>ROUND(AD28-AG28,1)</f>
        <v>0</v>
      </c>
      <c r="AK28" s="95"/>
      <c r="AL28" s="533">
        <f>ROUND(IF(AG28=0,0,AJ28/ABS(AG28)),3)</f>
        <v>0</v>
      </c>
      <c r="AM28" s="1621"/>
      <c r="AN28" s="1621"/>
    </row>
    <row r="29" spans="1:40">
      <c r="B29" s="83" t="s">
        <v>560</v>
      </c>
      <c r="C29" s="291"/>
      <c r="D29" s="291"/>
      <c r="E29" s="68">
        <f>ROUND(SUM(E28:E28),1)</f>
        <v>0</v>
      </c>
      <c r="F29" s="264"/>
      <c r="G29" s="68">
        <f>ROUND(SUM(G28:G28),1)</f>
        <v>0</v>
      </c>
      <c r="H29" s="264"/>
      <c r="I29" s="68">
        <f>ROUND(SUM(I28:I28),1)</f>
        <v>25.7</v>
      </c>
      <c r="J29" s="264"/>
      <c r="K29" s="68">
        <f>ROUND(SUM(K28:K28),1)</f>
        <v>25.8</v>
      </c>
      <c r="L29" s="264"/>
      <c r="M29" s="68">
        <f>ROUND(SUM(M28:M28),1)</f>
        <v>0</v>
      </c>
      <c r="N29" s="264"/>
      <c r="O29" s="68">
        <f>ROUND(SUM(O28:O28),1)</f>
        <v>0</v>
      </c>
      <c r="P29" s="264"/>
      <c r="Q29" s="68">
        <f>ROUND(SUM(Q28:Q28),1)</f>
        <v>0</v>
      </c>
      <c r="R29" s="264"/>
      <c r="S29" s="68">
        <f>ROUND(SUM(S28:S28),1)</f>
        <v>0</v>
      </c>
      <c r="T29" s="13"/>
      <c r="U29" s="68">
        <f>ROUND(SUM(U28:U28),1)</f>
        <v>0</v>
      </c>
      <c r="V29" s="264"/>
      <c r="W29" s="68">
        <f>ROUND(SUM(W28:W28),1)</f>
        <v>0</v>
      </c>
      <c r="X29" s="264"/>
      <c r="Y29" s="68">
        <f>ROUND(SUM(Y28:Y28),1)</f>
        <v>0</v>
      </c>
      <c r="Z29" s="264"/>
      <c r="AA29" s="68">
        <f>ROUND(SUM(AA28:AA28),1)</f>
        <v>0</v>
      </c>
      <c r="AB29" s="264"/>
      <c r="AC29" s="523"/>
      <c r="AD29" s="68">
        <f>ROUND(SUM(AD28:AD28),1)</f>
        <v>51.5</v>
      </c>
      <c r="AE29" s="1238"/>
      <c r="AF29" s="367"/>
      <c r="AG29" s="68">
        <f>ROUND(SUM(AG28:AG28),1)</f>
        <v>51.5</v>
      </c>
      <c r="AH29" s="287"/>
      <c r="AI29" s="97"/>
      <c r="AJ29" s="68">
        <f>ROUND(SUM(AJ28:AJ28),1)</f>
        <v>0</v>
      </c>
      <c r="AK29" s="95"/>
      <c r="AL29" s="537">
        <f>ROUND(IF(AG29=0,0,AJ29/ABS(AG29)),3)</f>
        <v>0</v>
      </c>
      <c r="AM29" s="1621"/>
      <c r="AN29" s="1621"/>
    </row>
    <row r="30" spans="1:40">
      <c r="A30" s="291"/>
      <c r="B30" s="3"/>
      <c r="C30" s="291"/>
      <c r="D30" s="291"/>
      <c r="E30" s="275"/>
      <c r="F30" s="264"/>
      <c r="G30" s="275"/>
      <c r="H30" s="264"/>
      <c r="I30" s="289"/>
      <c r="J30" s="264"/>
      <c r="K30" s="289"/>
      <c r="L30" s="264"/>
      <c r="M30" s="264"/>
      <c r="N30" s="264"/>
      <c r="O30" s="264"/>
      <c r="P30" s="264"/>
      <c r="Q30" s="289"/>
      <c r="R30" s="264"/>
      <c r="S30" s="289"/>
      <c r="T30" s="264"/>
      <c r="U30" s="289"/>
      <c r="V30" s="264"/>
      <c r="W30" s="289"/>
      <c r="X30" s="264"/>
      <c r="Y30" s="289"/>
      <c r="Z30" s="264"/>
      <c r="AA30" s="289"/>
      <c r="AB30" s="264"/>
      <c r="AC30" s="523"/>
      <c r="AD30" s="264"/>
      <c r="AE30" s="1238"/>
      <c r="AF30" s="367"/>
      <c r="AG30" s="264"/>
      <c r="AH30" s="287"/>
      <c r="AI30" s="97"/>
      <c r="AJ30" s="287"/>
      <c r="AK30" s="95"/>
      <c r="AL30" s="1767"/>
      <c r="AM30" s="1621"/>
      <c r="AN30" s="1621"/>
    </row>
    <row r="31" spans="1:40" s="3" customFormat="1">
      <c r="B31" s="83" t="s">
        <v>382</v>
      </c>
      <c r="E31" s="707">
        <f>ROUND(SUM(+E26+E21+E29),1)</f>
        <v>86.1</v>
      </c>
      <c r="F31" s="13"/>
      <c r="G31" s="707">
        <f>ROUND(SUM(+G26+G21+G29),1)</f>
        <v>84.8</v>
      </c>
      <c r="H31" s="13"/>
      <c r="I31" s="707">
        <f>ROUND(SUM(+I26+I21+I29),1)</f>
        <v>144</v>
      </c>
      <c r="J31" s="13"/>
      <c r="K31" s="707">
        <f>ROUND(SUM(+K26+K21+K29),1)</f>
        <v>128.1</v>
      </c>
      <c r="L31" s="13"/>
      <c r="M31" s="1014">
        <f>ROUND(SUM(+M26+M21+M29),1)</f>
        <v>0</v>
      </c>
      <c r="N31" s="13"/>
      <c r="O31" s="1014">
        <f>ROUND(SUM(+O26+O21+O29),1)</f>
        <v>0</v>
      </c>
      <c r="P31" s="13"/>
      <c r="Q31" s="1014">
        <f>ROUND(SUM(+Q26+Q21+Q29),1)</f>
        <v>0</v>
      </c>
      <c r="R31" s="13"/>
      <c r="S31" s="1014">
        <f>ROUND(SUM(+S26+S21+S29),1)</f>
        <v>0</v>
      </c>
      <c r="T31" s="669"/>
      <c r="U31" s="1014">
        <f>ROUND(SUM(+U26+U21+U29),1)</f>
        <v>0</v>
      </c>
      <c r="V31" s="13"/>
      <c r="W31" s="1014">
        <f>ROUND(SUM(+W26+W21+W29),1)</f>
        <v>0</v>
      </c>
      <c r="X31" s="13"/>
      <c r="Y31" s="1014">
        <f>ROUND(SUM(+Y26+Y21+Y29),1)</f>
        <v>0</v>
      </c>
      <c r="Z31" s="13"/>
      <c r="AA31" s="1014">
        <f>ROUND(SUM(+AA26+AA21+AA29),1)</f>
        <v>0</v>
      </c>
      <c r="AB31" s="13"/>
      <c r="AC31" s="14"/>
      <c r="AD31" s="1014">
        <f>ROUND(SUM(+AD26+AD21+AD29),1)</f>
        <v>443</v>
      </c>
      <c r="AE31" s="1768"/>
      <c r="AF31" s="17"/>
      <c r="AG31" s="1014">
        <f>ROUND(SUM(+AG26+AG21+AG29),1)</f>
        <v>449.4</v>
      </c>
      <c r="AH31" s="18"/>
      <c r="AI31" s="97"/>
      <c r="AJ31" s="1014">
        <f>ROUND(SUM(+AJ26+AJ21+AJ29),1)</f>
        <v>-6.4</v>
      </c>
      <c r="AK31" s="319"/>
      <c r="AL31" s="538">
        <f>ROUND(IF(AG31=0,1,AJ31/ABS(AG31)),3)</f>
        <v>-1.4E-2</v>
      </c>
      <c r="AM31" s="1621"/>
      <c r="AN31" s="1621"/>
    </row>
    <row r="32" spans="1:40">
      <c r="A32" s="291"/>
      <c r="B32" s="291"/>
      <c r="C32" s="291"/>
      <c r="D32" s="291"/>
      <c r="E32" s="275"/>
      <c r="F32" s="264"/>
      <c r="G32" s="275"/>
      <c r="H32" s="264"/>
      <c r="I32" s="289"/>
      <c r="J32" s="264"/>
      <c r="K32" s="289"/>
      <c r="L32" s="264"/>
      <c r="M32" s="264"/>
      <c r="N32" s="264"/>
      <c r="O32" s="264"/>
      <c r="P32" s="264"/>
      <c r="Q32" s="289"/>
      <c r="R32" s="264"/>
      <c r="S32" s="289"/>
      <c r="T32" s="264"/>
      <c r="U32" s="289"/>
      <c r="V32" s="264"/>
      <c r="W32" s="289"/>
      <c r="X32" s="264"/>
      <c r="Y32" s="289"/>
      <c r="Z32" s="264"/>
      <c r="AA32" s="289"/>
      <c r="AB32" s="264"/>
      <c r="AC32" s="523"/>
      <c r="AD32" s="264"/>
      <c r="AE32" s="1238"/>
      <c r="AF32" s="367"/>
      <c r="AG32" s="264"/>
      <c r="AH32" s="287"/>
      <c r="AI32" s="97"/>
      <c r="AJ32" s="287"/>
      <c r="AK32" s="95"/>
      <c r="AL32" s="266"/>
      <c r="AM32" s="1621"/>
      <c r="AN32" s="1621"/>
    </row>
    <row r="33" spans="1:40">
      <c r="A33" s="291"/>
      <c r="B33" s="1211" t="s">
        <v>383</v>
      </c>
      <c r="C33" s="291"/>
      <c r="D33" s="291"/>
      <c r="E33" s="289"/>
      <c r="F33" s="264"/>
      <c r="G33" s="289"/>
      <c r="H33" s="264"/>
      <c r="I33" s="289"/>
      <c r="J33" s="264"/>
      <c r="K33" s="289"/>
      <c r="L33" s="264"/>
      <c r="M33" s="264"/>
      <c r="N33" s="264"/>
      <c r="O33" s="264"/>
      <c r="P33" s="264"/>
      <c r="Q33" s="289"/>
      <c r="R33" s="264"/>
      <c r="S33" s="289"/>
      <c r="T33" s="264"/>
      <c r="U33" s="289"/>
      <c r="V33" s="264"/>
      <c r="W33" s="289"/>
      <c r="X33" s="264"/>
      <c r="Y33" s="289"/>
      <c r="Z33" s="264"/>
      <c r="AA33" s="289"/>
      <c r="AB33" s="264"/>
      <c r="AC33" s="523"/>
      <c r="AD33" s="264"/>
      <c r="AE33" s="1227"/>
      <c r="AF33" s="264"/>
      <c r="AG33" s="264"/>
      <c r="AH33" s="287"/>
      <c r="AI33" s="97"/>
      <c r="AJ33" s="287"/>
      <c r="AK33" s="41"/>
      <c r="AL33" s="96"/>
      <c r="AM33" s="1621"/>
      <c r="AN33" s="1621"/>
    </row>
    <row r="34" spans="1:40">
      <c r="A34" s="291"/>
      <c r="B34" s="350" t="s">
        <v>384</v>
      </c>
      <c r="C34" s="291"/>
      <c r="D34" s="291"/>
      <c r="E34" s="289"/>
      <c r="F34" s="264"/>
      <c r="G34" s="289"/>
      <c r="H34" s="264"/>
      <c r="I34" s="289"/>
      <c r="J34" s="264"/>
      <c r="K34" s="289"/>
      <c r="L34" s="264"/>
      <c r="M34" s="264"/>
      <c r="N34" s="264"/>
      <c r="O34" s="264"/>
      <c r="P34" s="264"/>
      <c r="Q34" s="289"/>
      <c r="R34" s="264"/>
      <c r="S34" s="289"/>
      <c r="T34" s="264"/>
      <c r="U34" s="289"/>
      <c r="V34" s="264"/>
      <c r="W34" s="289"/>
      <c r="X34" s="264"/>
      <c r="Y34" s="289"/>
      <c r="Z34" s="264"/>
      <c r="AA34" s="289"/>
      <c r="AB34" s="264"/>
      <c r="AC34" s="523"/>
      <c r="AD34" s="264"/>
      <c r="AE34" s="1227"/>
      <c r="AF34" s="264"/>
      <c r="AG34" s="264"/>
      <c r="AH34" s="287"/>
      <c r="AI34" s="97"/>
      <c r="AJ34" s="287"/>
      <c r="AK34" s="41"/>
      <c r="AL34" s="96"/>
      <c r="AM34" s="1621"/>
      <c r="AN34" s="1621"/>
    </row>
    <row r="35" spans="1:40">
      <c r="A35" s="291"/>
      <c r="B35" s="350" t="s">
        <v>1441</v>
      </c>
      <c r="C35" s="291"/>
      <c r="D35" s="291"/>
      <c r="E35" s="264">
        <v>0</v>
      </c>
      <c r="F35" s="264"/>
      <c r="G35" s="264">
        <v>0</v>
      </c>
      <c r="H35" s="264"/>
      <c r="I35" s="264">
        <v>0</v>
      </c>
      <c r="J35" s="264"/>
      <c r="K35" s="264">
        <f>$AD35-I35-G35-E35</f>
        <v>0</v>
      </c>
      <c r="L35" s="552"/>
      <c r="M35" s="264"/>
      <c r="N35" s="552"/>
      <c r="O35" s="264"/>
      <c r="P35" s="552"/>
      <c r="Q35" s="264"/>
      <c r="R35" s="552"/>
      <c r="S35" s="264"/>
      <c r="T35" s="552"/>
      <c r="U35" s="264"/>
      <c r="V35" s="552"/>
      <c r="W35" s="264"/>
      <c r="X35" s="552"/>
      <c r="Y35" s="264"/>
      <c r="Z35" s="552"/>
      <c r="AA35" s="264"/>
      <c r="AB35" s="264"/>
      <c r="AC35" s="523"/>
      <c r="AD35" s="531">
        <v>0</v>
      </c>
      <c r="AE35" s="264"/>
      <c r="AF35" s="524" t="s">
        <v>103</v>
      </c>
      <c r="AG35" s="531">
        <v>0</v>
      </c>
      <c r="AH35" s="287"/>
      <c r="AI35" s="97"/>
      <c r="AJ35" s="264">
        <f t="shared" ref="AJ35" si="2">ROUND(AD35-AG35,1)</f>
        <v>0</v>
      </c>
      <c r="AK35" s="41"/>
      <c r="AL35" s="266">
        <f>ROUND(IF(AG35=0,0,AJ35/ABS(AG35)),3)</f>
        <v>0</v>
      </c>
      <c r="AM35" s="1621"/>
      <c r="AN35" s="1621"/>
    </row>
    <row r="36" spans="1:40">
      <c r="A36" s="291"/>
      <c r="B36" s="350" t="s">
        <v>561</v>
      </c>
      <c r="C36" s="291"/>
      <c r="D36" s="291"/>
      <c r="E36" s="264">
        <v>0</v>
      </c>
      <c r="F36" s="264"/>
      <c r="G36" s="264">
        <v>0</v>
      </c>
      <c r="H36" s="264"/>
      <c r="I36" s="264">
        <v>23</v>
      </c>
      <c r="J36" s="264"/>
      <c r="K36" s="264">
        <f>$AD36-I36-G36-E36</f>
        <v>0</v>
      </c>
      <c r="L36" s="552"/>
      <c r="M36" s="264"/>
      <c r="N36" s="552"/>
      <c r="O36" s="264"/>
      <c r="P36" s="552"/>
      <c r="Q36" s="264"/>
      <c r="R36" s="552"/>
      <c r="S36" s="264"/>
      <c r="T36" s="552"/>
      <c r="U36" s="264"/>
      <c r="V36" s="552"/>
      <c r="W36" s="264"/>
      <c r="X36" s="552"/>
      <c r="Y36" s="264"/>
      <c r="Z36" s="552"/>
      <c r="AA36" s="264"/>
      <c r="AB36" s="264"/>
      <c r="AC36" s="523"/>
      <c r="AD36" s="531">
        <v>23</v>
      </c>
      <c r="AE36" s="264"/>
      <c r="AF36" s="524" t="s">
        <v>103</v>
      </c>
      <c r="AG36" s="531">
        <v>23</v>
      </c>
      <c r="AH36" s="287"/>
      <c r="AI36" s="97"/>
      <c r="AJ36" s="264">
        <f t="shared" ref="AJ36:AJ59" si="3">ROUND(AD36-AG36,1)</f>
        <v>0</v>
      </c>
      <c r="AK36" s="41"/>
      <c r="AL36" s="266">
        <f>ROUND(IF(AG36=0,0,AJ36/ABS(AG36)),3)</f>
        <v>0</v>
      </c>
      <c r="AM36" s="1621"/>
      <c r="AN36" s="1621"/>
    </row>
    <row r="37" spans="1:40">
      <c r="A37" s="291"/>
      <c r="B37" s="350" t="s">
        <v>387</v>
      </c>
      <c r="C37" s="291"/>
      <c r="D37" s="291"/>
      <c r="E37" s="264"/>
      <c r="F37" s="264"/>
      <c r="G37" s="264"/>
      <c r="H37" s="264"/>
      <c r="I37" s="264"/>
      <c r="J37" s="264"/>
      <c r="K37" s="264"/>
      <c r="L37" s="552"/>
      <c r="M37" s="264"/>
      <c r="N37" s="552"/>
      <c r="O37" s="264"/>
      <c r="P37" s="552"/>
      <c r="Q37" s="264"/>
      <c r="R37" s="552"/>
      <c r="S37" s="264"/>
      <c r="T37" s="552"/>
      <c r="U37" s="264"/>
      <c r="V37" s="552"/>
      <c r="W37" s="264"/>
      <c r="X37" s="552"/>
      <c r="Y37" s="264"/>
      <c r="Z37" s="552"/>
      <c r="AA37" s="264"/>
      <c r="AB37" s="264"/>
      <c r="AC37" s="523"/>
      <c r="AD37" s="289" t="s">
        <v>103</v>
      </c>
      <c r="AE37" s="1227"/>
      <c r="AF37" s="264"/>
      <c r="AG37" s="289" t="s">
        <v>103</v>
      </c>
      <c r="AH37" s="287"/>
      <c r="AI37" s="97"/>
      <c r="AJ37" s="264"/>
      <c r="AK37" s="41"/>
      <c r="AL37" s="96"/>
      <c r="AM37" s="1621"/>
      <c r="AN37" s="1621"/>
    </row>
    <row r="38" spans="1:40">
      <c r="A38" s="291"/>
      <c r="B38" s="350" t="s">
        <v>483</v>
      </c>
      <c r="C38" s="291"/>
      <c r="D38" s="291"/>
      <c r="E38" s="264">
        <v>1.9</v>
      </c>
      <c r="F38" s="264"/>
      <c r="G38" s="264">
        <v>5.5</v>
      </c>
      <c r="H38" s="264"/>
      <c r="I38" s="264">
        <v>3.1999999999999997</v>
      </c>
      <c r="J38" s="264"/>
      <c r="K38" s="264">
        <f>$AD38-I38-G38-E38</f>
        <v>5.0999999999999996</v>
      </c>
      <c r="L38" s="552"/>
      <c r="M38" s="264"/>
      <c r="N38" s="552"/>
      <c r="O38" s="264"/>
      <c r="P38" s="552"/>
      <c r="Q38" s="264"/>
      <c r="R38" s="552"/>
      <c r="S38" s="264"/>
      <c r="T38" s="552"/>
      <c r="U38" s="264"/>
      <c r="V38" s="552"/>
      <c r="W38" s="264"/>
      <c r="X38" s="552"/>
      <c r="Y38" s="264"/>
      <c r="Z38" s="552"/>
      <c r="AA38" s="264"/>
      <c r="AB38" s="264"/>
      <c r="AC38" s="523"/>
      <c r="AD38" s="531">
        <v>15.7</v>
      </c>
      <c r="AE38" s="264"/>
      <c r="AF38" s="524" t="s">
        <v>103</v>
      </c>
      <c r="AG38" s="531">
        <v>21.4</v>
      </c>
      <c r="AH38" s="287"/>
      <c r="AI38" s="97"/>
      <c r="AJ38" s="264">
        <f t="shared" si="3"/>
        <v>-5.7</v>
      </c>
      <c r="AK38" s="41"/>
      <c r="AL38" s="266">
        <f>ROUND(IF(AG38=0,0,AJ38/ABS(AG38)),3)</f>
        <v>-0.26600000000000001</v>
      </c>
      <c r="AM38" s="1621"/>
      <c r="AN38" s="1621"/>
    </row>
    <row r="39" spans="1:40">
      <c r="A39" s="291"/>
      <c r="B39" s="350" t="s">
        <v>392</v>
      </c>
      <c r="C39" s="291"/>
      <c r="D39" s="291"/>
      <c r="E39" s="264"/>
      <c r="F39" s="264"/>
      <c r="G39" s="264"/>
      <c r="H39" s="264"/>
      <c r="I39" s="264"/>
      <c r="J39" s="264"/>
      <c r="K39" s="264"/>
      <c r="L39" s="552"/>
      <c r="M39" s="264"/>
      <c r="N39" s="552"/>
      <c r="O39" s="264"/>
      <c r="P39" s="552"/>
      <c r="Q39" s="264"/>
      <c r="R39" s="552"/>
      <c r="S39" s="264"/>
      <c r="T39" s="552"/>
      <c r="U39" s="264"/>
      <c r="V39" s="552"/>
      <c r="W39" s="264"/>
      <c r="X39" s="552"/>
      <c r="Y39" s="264"/>
      <c r="Z39" s="552"/>
      <c r="AA39" s="264"/>
      <c r="AB39" s="264"/>
      <c r="AC39" s="523"/>
      <c r="AD39" s="289" t="s">
        <v>103</v>
      </c>
      <c r="AE39" s="1227"/>
      <c r="AF39" s="264"/>
      <c r="AG39" s="289" t="s">
        <v>103</v>
      </c>
      <c r="AH39" s="287"/>
      <c r="AI39" s="97"/>
      <c r="AJ39" s="264"/>
      <c r="AK39" s="41"/>
      <c r="AL39" s="96"/>
      <c r="AM39" s="1621"/>
      <c r="AN39" s="1621"/>
    </row>
    <row r="40" spans="1:40">
      <c r="A40" s="291"/>
      <c r="B40" s="350" t="s">
        <v>486</v>
      </c>
      <c r="C40" s="291"/>
      <c r="D40" s="291"/>
      <c r="E40" s="264">
        <v>1.5</v>
      </c>
      <c r="F40" s="264"/>
      <c r="G40" s="264">
        <v>8.7999999999999989</v>
      </c>
      <c r="H40" s="264"/>
      <c r="I40" s="264">
        <v>0.80000000000000071</v>
      </c>
      <c r="J40" s="264"/>
      <c r="K40" s="264">
        <f t="shared" ref="K40:K46" si="4">$AD40-I40-G40-E40</f>
        <v>3.0999999999999996</v>
      </c>
      <c r="L40" s="552"/>
      <c r="M40" s="264"/>
      <c r="N40" s="552"/>
      <c r="O40" s="264"/>
      <c r="P40" s="552"/>
      <c r="Q40" s="264"/>
      <c r="R40" s="552"/>
      <c r="S40" s="264"/>
      <c r="T40" s="552"/>
      <c r="U40" s="264"/>
      <c r="V40" s="552"/>
      <c r="W40" s="264"/>
      <c r="X40" s="552"/>
      <c r="Y40" s="264"/>
      <c r="Z40" s="552"/>
      <c r="AA40" s="264"/>
      <c r="AB40" s="264"/>
      <c r="AC40" s="523"/>
      <c r="AD40" s="531">
        <v>14.2</v>
      </c>
      <c r="AE40" s="264"/>
      <c r="AF40" s="524" t="s">
        <v>103</v>
      </c>
      <c r="AG40" s="531">
        <v>5.4</v>
      </c>
      <c r="AH40" s="287"/>
      <c r="AI40" s="97"/>
      <c r="AJ40" s="264">
        <f t="shared" si="3"/>
        <v>8.8000000000000007</v>
      </c>
      <c r="AK40" s="41"/>
      <c r="AL40" s="266">
        <f>ROUND(IF(AG40=0,0,AJ40/ABS(AG40)),3)</f>
        <v>1.63</v>
      </c>
      <c r="AM40" s="1621"/>
      <c r="AN40" s="1621"/>
    </row>
    <row r="41" spans="1:40">
      <c r="A41" s="291"/>
      <c r="B41" s="350" t="s">
        <v>562</v>
      </c>
      <c r="C41" s="291"/>
      <c r="D41" s="291"/>
      <c r="E41" s="264">
        <v>0</v>
      </c>
      <c r="F41" s="264"/>
      <c r="G41" s="264">
        <v>0</v>
      </c>
      <c r="H41" s="264"/>
      <c r="I41" s="264">
        <v>0</v>
      </c>
      <c r="J41" s="264"/>
      <c r="K41" s="264">
        <f t="shared" si="4"/>
        <v>0</v>
      </c>
      <c r="L41" s="552"/>
      <c r="M41" s="264"/>
      <c r="N41" s="552"/>
      <c r="O41" s="264"/>
      <c r="P41" s="552"/>
      <c r="Q41" s="264"/>
      <c r="R41" s="552"/>
      <c r="S41" s="264"/>
      <c r="T41" s="552"/>
      <c r="U41" s="264"/>
      <c r="V41" s="552"/>
      <c r="W41" s="264"/>
      <c r="X41" s="552"/>
      <c r="Y41" s="264"/>
      <c r="Z41" s="552"/>
      <c r="AA41" s="264"/>
      <c r="AB41" s="264"/>
      <c r="AC41" s="523"/>
      <c r="AD41" s="531">
        <v>0</v>
      </c>
      <c r="AE41" s="264"/>
      <c r="AF41" s="524" t="s">
        <v>103</v>
      </c>
      <c r="AG41" s="531">
        <v>0</v>
      </c>
      <c r="AH41" s="287"/>
      <c r="AI41" s="97"/>
      <c r="AJ41" s="264">
        <f>ROUND(AD41-AG41,1)</f>
        <v>0</v>
      </c>
      <c r="AK41" s="41"/>
      <c r="AL41" s="266">
        <f>ROUND(IF(AG41=0,0,AJ41/ABS(AG41)),3)</f>
        <v>0</v>
      </c>
      <c r="AM41" s="1621"/>
      <c r="AN41" s="1621"/>
    </row>
    <row r="42" spans="1:40">
      <c r="A42" s="291"/>
      <c r="B42" s="350" t="s">
        <v>489</v>
      </c>
      <c r="C42" s="291"/>
      <c r="D42" s="291"/>
      <c r="E42" s="264">
        <v>9.8000000000000007</v>
      </c>
      <c r="F42" s="264"/>
      <c r="G42" s="264">
        <v>66.400000000000006</v>
      </c>
      <c r="H42" s="264"/>
      <c r="I42" s="264">
        <v>64.499999999999986</v>
      </c>
      <c r="J42" s="264"/>
      <c r="K42" s="264">
        <f t="shared" si="4"/>
        <v>121.90000000000002</v>
      </c>
      <c r="L42" s="552"/>
      <c r="M42" s="264"/>
      <c r="N42" s="552"/>
      <c r="O42" s="264"/>
      <c r="P42" s="552"/>
      <c r="Q42" s="264"/>
      <c r="R42" s="552"/>
      <c r="S42" s="264"/>
      <c r="T42" s="552"/>
      <c r="U42" s="264"/>
      <c r="V42" s="552"/>
      <c r="W42" s="264"/>
      <c r="X42" s="552"/>
      <c r="Y42" s="264"/>
      <c r="Z42" s="552"/>
      <c r="AA42" s="264"/>
      <c r="AB42" s="264"/>
      <c r="AC42" s="523"/>
      <c r="AD42" s="531">
        <v>262.60000000000002</v>
      </c>
      <c r="AE42" s="264"/>
      <c r="AF42" s="524" t="s">
        <v>103</v>
      </c>
      <c r="AG42" s="531">
        <v>245.29999999999998</v>
      </c>
      <c r="AH42" s="287"/>
      <c r="AI42" s="97"/>
      <c r="AJ42" s="264">
        <f t="shared" si="3"/>
        <v>17.3</v>
      </c>
      <c r="AK42" s="41"/>
      <c r="AL42" s="266">
        <f>ROUND(IF(AG42=0,0,AJ42/ABS(AG42)),3)</f>
        <v>7.0999999999999994E-2</v>
      </c>
      <c r="AM42" s="1621"/>
      <c r="AN42" s="1621"/>
    </row>
    <row r="43" spans="1:40">
      <c r="A43" s="291"/>
      <c r="B43" s="350" t="s">
        <v>490</v>
      </c>
      <c r="C43" s="291"/>
      <c r="D43" s="291"/>
      <c r="E43" s="264">
        <v>0.4</v>
      </c>
      <c r="F43" s="264"/>
      <c r="G43" s="264">
        <v>0.4</v>
      </c>
      <c r="H43" s="264"/>
      <c r="I43" s="264">
        <v>1.4000000000000004</v>
      </c>
      <c r="J43" s="264"/>
      <c r="K43" s="264">
        <f t="shared" si="4"/>
        <v>4.7999999999999989</v>
      </c>
      <c r="L43" s="552"/>
      <c r="M43" s="264"/>
      <c r="N43" s="552"/>
      <c r="O43" s="264"/>
      <c r="P43" s="552"/>
      <c r="Q43" s="264"/>
      <c r="R43" s="552"/>
      <c r="S43" s="264"/>
      <c r="T43" s="552"/>
      <c r="U43" s="264"/>
      <c r="V43" s="552"/>
      <c r="W43" s="264"/>
      <c r="X43" s="552"/>
      <c r="Y43" s="264"/>
      <c r="Z43" s="552"/>
      <c r="AA43" s="264"/>
      <c r="AB43" s="264"/>
      <c r="AC43" s="523"/>
      <c r="AD43" s="531">
        <v>7</v>
      </c>
      <c r="AE43" s="264"/>
      <c r="AF43" s="524" t="s">
        <v>103</v>
      </c>
      <c r="AG43" s="531">
        <v>13.7</v>
      </c>
      <c r="AH43" s="287"/>
      <c r="AI43" s="97"/>
      <c r="AJ43" s="264">
        <f t="shared" si="3"/>
        <v>-6.7</v>
      </c>
      <c r="AK43" s="41"/>
      <c r="AL43" s="542">
        <f>ROUND(IF(AG43=0,1,AJ43/ABS(AG43)),3)</f>
        <v>-0.48899999999999999</v>
      </c>
      <c r="AM43" s="1621"/>
      <c r="AN43" s="1621"/>
    </row>
    <row r="44" spans="1:40">
      <c r="A44" s="291"/>
      <c r="B44" s="350" t="s">
        <v>400</v>
      </c>
      <c r="C44" s="291"/>
      <c r="D44" s="291"/>
      <c r="E44" s="264">
        <v>5.6</v>
      </c>
      <c r="F44" s="264"/>
      <c r="G44" s="264">
        <v>1</v>
      </c>
      <c r="H44" s="264"/>
      <c r="I44" s="264">
        <v>1.3000000000000007</v>
      </c>
      <c r="J44" s="264"/>
      <c r="K44" s="264">
        <f t="shared" si="4"/>
        <v>1.4000000000000004</v>
      </c>
      <c r="L44" s="552"/>
      <c r="M44" s="264"/>
      <c r="N44" s="552"/>
      <c r="O44" s="264"/>
      <c r="P44" s="552"/>
      <c r="Q44" s="264"/>
      <c r="R44" s="552"/>
      <c r="S44" s="264"/>
      <c r="T44" s="552"/>
      <c r="U44" s="264"/>
      <c r="V44" s="552"/>
      <c r="W44" s="264"/>
      <c r="X44" s="552"/>
      <c r="Y44" s="264"/>
      <c r="Z44" s="552"/>
      <c r="AA44" s="264"/>
      <c r="AB44" s="264"/>
      <c r="AC44" s="523"/>
      <c r="AD44" s="531">
        <v>9.3000000000000007</v>
      </c>
      <c r="AE44" s="1227"/>
      <c r="AF44" s="264" t="s">
        <v>103</v>
      </c>
      <c r="AG44" s="531">
        <v>9.5</v>
      </c>
      <c r="AH44" s="287"/>
      <c r="AI44" s="97"/>
      <c r="AJ44" s="264">
        <f t="shared" si="3"/>
        <v>-0.2</v>
      </c>
      <c r="AK44" s="41"/>
      <c r="AL44" s="542">
        <f>ROUND(IF(AG44=0,1,AJ44/ABS(AG44)),3)</f>
        <v>-2.1000000000000001E-2</v>
      </c>
      <c r="AM44" s="1621"/>
      <c r="AN44" s="1621"/>
    </row>
    <row r="45" spans="1:40">
      <c r="A45" s="291"/>
      <c r="B45" s="350" t="s">
        <v>406</v>
      </c>
      <c r="C45" s="291"/>
      <c r="D45" s="291"/>
      <c r="E45" s="264">
        <v>4.0999999999999996</v>
      </c>
      <c r="F45" s="264"/>
      <c r="G45" s="264">
        <v>4.0999999999999996</v>
      </c>
      <c r="H45" s="264"/>
      <c r="I45" s="264">
        <v>4.4000000000000004</v>
      </c>
      <c r="J45" s="264"/>
      <c r="K45" s="264">
        <f t="shared" si="4"/>
        <v>4.2999999999999989</v>
      </c>
      <c r="L45" s="552"/>
      <c r="M45" s="264"/>
      <c r="N45" s="552"/>
      <c r="O45" s="264"/>
      <c r="P45" s="552"/>
      <c r="Q45" s="264"/>
      <c r="R45" s="552"/>
      <c r="S45" s="264"/>
      <c r="T45" s="552"/>
      <c r="U45" s="264"/>
      <c r="V45" s="552"/>
      <c r="W45" s="264"/>
      <c r="X45" s="552"/>
      <c r="Y45" s="264"/>
      <c r="Z45" s="552"/>
      <c r="AA45" s="264"/>
      <c r="AB45" s="264"/>
      <c r="AC45" s="523"/>
      <c r="AD45" s="531">
        <v>16.899999999999999</v>
      </c>
      <c r="AE45" s="1227"/>
      <c r="AF45" s="264" t="s">
        <v>103</v>
      </c>
      <c r="AG45" s="531">
        <v>15.7</v>
      </c>
      <c r="AH45" s="287"/>
      <c r="AI45" s="97"/>
      <c r="AJ45" s="264">
        <f t="shared" si="3"/>
        <v>1.2</v>
      </c>
      <c r="AK45" s="41"/>
      <c r="AL45" s="542">
        <f>ROUND(IF(AG45=0,1,AJ45/ABS(AG45)),3)</f>
        <v>7.5999999999999998E-2</v>
      </c>
      <c r="AM45" s="1621"/>
      <c r="AN45" s="1621"/>
    </row>
    <row r="46" spans="1:40">
      <c r="A46" s="291"/>
      <c r="B46" s="350" t="s">
        <v>407</v>
      </c>
      <c r="C46" s="291"/>
      <c r="D46" s="291"/>
      <c r="E46" s="264">
        <v>0</v>
      </c>
      <c r="F46" s="264"/>
      <c r="G46" s="264">
        <v>0</v>
      </c>
      <c r="H46" s="264"/>
      <c r="I46" s="264">
        <v>0</v>
      </c>
      <c r="J46" s="264"/>
      <c r="K46" s="264">
        <f t="shared" si="4"/>
        <v>0</v>
      </c>
      <c r="L46" s="552"/>
      <c r="M46" s="264"/>
      <c r="N46" s="552"/>
      <c r="O46" s="264"/>
      <c r="P46" s="552"/>
      <c r="Q46" s="264"/>
      <c r="R46" s="552"/>
      <c r="S46" s="264"/>
      <c r="T46" s="552"/>
      <c r="U46" s="264"/>
      <c r="V46" s="552"/>
      <c r="W46" s="264"/>
      <c r="X46" s="552"/>
      <c r="Y46" s="264"/>
      <c r="Z46" s="552"/>
      <c r="AA46" s="264"/>
      <c r="AB46" s="264"/>
      <c r="AC46" s="523"/>
      <c r="AD46" s="531">
        <v>0</v>
      </c>
      <c r="AE46" s="264"/>
      <c r="AF46" s="524" t="s">
        <v>103</v>
      </c>
      <c r="AG46" s="531">
        <v>0</v>
      </c>
      <c r="AH46" s="287"/>
      <c r="AI46" s="97"/>
      <c r="AJ46" s="264">
        <f>ROUND(AD46-AG46,1)</f>
        <v>0</v>
      </c>
      <c r="AK46" s="41"/>
      <c r="AL46" s="542">
        <f>ROUND(IF(AG46=0,0,AJ46/ABS(AG46)),3)</f>
        <v>0</v>
      </c>
      <c r="AM46" s="1621"/>
      <c r="AN46" s="1621"/>
    </row>
    <row r="47" spans="1:40">
      <c r="A47" s="291"/>
      <c r="B47" s="350" t="s">
        <v>408</v>
      </c>
      <c r="C47" s="291"/>
      <c r="D47" s="291"/>
      <c r="E47" s="264"/>
      <c r="F47" s="264"/>
      <c r="G47" s="264"/>
      <c r="H47" s="264"/>
      <c r="I47" s="264"/>
      <c r="J47" s="264"/>
      <c r="K47" s="264"/>
      <c r="L47" s="552"/>
      <c r="M47" s="264"/>
      <c r="N47" s="552"/>
      <c r="O47" s="264"/>
      <c r="P47" s="552"/>
      <c r="Q47" s="264"/>
      <c r="R47" s="552"/>
      <c r="S47" s="264"/>
      <c r="T47" s="552"/>
      <c r="U47" s="264"/>
      <c r="V47" s="552"/>
      <c r="W47" s="264"/>
      <c r="X47" s="552"/>
      <c r="Y47" s="264"/>
      <c r="Z47" s="552"/>
      <c r="AA47" s="264"/>
      <c r="AB47" s="264"/>
      <c r="AC47" s="523"/>
      <c r="AD47" s="289" t="s">
        <v>103</v>
      </c>
      <c r="AE47" s="1227"/>
      <c r="AF47" s="264"/>
      <c r="AG47" s="289" t="s">
        <v>103</v>
      </c>
      <c r="AH47" s="287"/>
      <c r="AI47" s="97"/>
      <c r="AJ47" s="264"/>
      <c r="AK47" s="41"/>
      <c r="AL47" s="96"/>
      <c r="AM47" s="1621"/>
      <c r="AN47" s="1621"/>
    </row>
    <row r="48" spans="1:40">
      <c r="A48" s="291"/>
      <c r="B48" s="350" t="s">
        <v>494</v>
      </c>
      <c r="C48" s="291"/>
      <c r="D48" s="291"/>
      <c r="E48" s="264">
        <v>3.8000000000000003</v>
      </c>
      <c r="F48" s="264"/>
      <c r="G48" s="264">
        <v>0.69999999999999973</v>
      </c>
      <c r="H48" s="264"/>
      <c r="I48" s="264">
        <v>2220.1</v>
      </c>
      <c r="J48" s="264"/>
      <c r="K48" s="264">
        <f>$AD48-I48-G48-E48</f>
        <v>515.20000000000027</v>
      </c>
      <c r="L48" s="552"/>
      <c r="M48" s="264"/>
      <c r="N48" s="552"/>
      <c r="O48" s="264"/>
      <c r="P48" s="552"/>
      <c r="Q48" s="264"/>
      <c r="R48" s="552"/>
      <c r="S48" s="264"/>
      <c r="T48" s="552"/>
      <c r="U48" s="264"/>
      <c r="V48" s="552"/>
      <c r="W48" s="264"/>
      <c r="X48" s="552"/>
      <c r="Y48" s="264"/>
      <c r="Z48" s="552"/>
      <c r="AA48" s="264"/>
      <c r="AB48" s="264"/>
      <c r="AC48" s="523"/>
      <c r="AD48" s="531">
        <v>2739.8</v>
      </c>
      <c r="AE48" s="264"/>
      <c r="AF48" s="524"/>
      <c r="AG48" s="531">
        <v>1172.9000000000001</v>
      </c>
      <c r="AH48" s="287"/>
      <c r="AI48" s="97"/>
      <c r="AJ48" s="264">
        <f t="shared" si="3"/>
        <v>1566.9</v>
      </c>
      <c r="AK48" s="41"/>
      <c r="AL48" s="1067">
        <f>ROUND(IF(AG48=0,1,AJ48/ABS(AG48)),3)</f>
        <v>1.3360000000000001</v>
      </c>
      <c r="AM48" s="1621"/>
      <c r="AN48" s="1621"/>
    </row>
    <row r="49" spans="1:40" s="372" customFormat="1">
      <c r="B49" s="350" t="s">
        <v>496</v>
      </c>
      <c r="C49" s="291"/>
      <c r="D49" s="291"/>
      <c r="E49" s="264">
        <v>0</v>
      </c>
      <c r="F49" s="289"/>
      <c r="G49" s="264">
        <v>0</v>
      </c>
      <c r="H49" s="289"/>
      <c r="I49" s="264">
        <v>0</v>
      </c>
      <c r="J49" s="289"/>
      <c r="K49" s="264">
        <f>$AD49-I49-G49-E49</f>
        <v>0</v>
      </c>
      <c r="L49" s="552"/>
      <c r="M49" s="264"/>
      <c r="N49" s="552"/>
      <c r="O49" s="264"/>
      <c r="P49" s="552"/>
      <c r="Q49" s="264"/>
      <c r="R49" s="552"/>
      <c r="S49" s="264"/>
      <c r="T49" s="552"/>
      <c r="U49" s="264"/>
      <c r="V49" s="552"/>
      <c r="W49" s="264"/>
      <c r="X49" s="552"/>
      <c r="Y49" s="264"/>
      <c r="Z49" s="552"/>
      <c r="AA49" s="264"/>
      <c r="AB49" s="264"/>
      <c r="AC49" s="523"/>
      <c r="AD49" s="531">
        <v>0</v>
      </c>
      <c r="AE49" s="264"/>
      <c r="AF49" s="524" t="s">
        <v>103</v>
      </c>
      <c r="AG49" s="531">
        <v>0</v>
      </c>
      <c r="AH49" s="287"/>
      <c r="AI49" s="97"/>
      <c r="AJ49" s="264">
        <f t="shared" si="3"/>
        <v>0</v>
      </c>
      <c r="AK49" s="268"/>
      <c r="AL49" s="266">
        <f>ROUND(IF(AG49=0,0,AJ49/ABS(AG49)),3)</f>
        <v>0</v>
      </c>
      <c r="AM49" s="1621"/>
      <c r="AN49" s="1621"/>
    </row>
    <row r="50" spans="1:40">
      <c r="A50" s="291"/>
      <c r="B50" s="350" t="s">
        <v>497</v>
      </c>
      <c r="C50" s="291"/>
      <c r="D50" s="291"/>
      <c r="E50" s="264">
        <v>0.2</v>
      </c>
      <c r="F50" s="264"/>
      <c r="G50" s="264">
        <v>0</v>
      </c>
      <c r="H50" s="264"/>
      <c r="I50" s="264">
        <v>61.699999999999996</v>
      </c>
      <c r="J50" s="264"/>
      <c r="K50" s="264">
        <f>$AD50-I50-G50-E50</f>
        <v>0.80000000000000715</v>
      </c>
      <c r="L50" s="552"/>
      <c r="M50" s="264"/>
      <c r="N50" s="552"/>
      <c r="O50" s="264"/>
      <c r="P50" s="552"/>
      <c r="Q50" s="264"/>
      <c r="R50" s="552"/>
      <c r="S50" s="264"/>
      <c r="T50" s="552"/>
      <c r="U50" s="264"/>
      <c r="V50" s="552"/>
      <c r="W50" s="264"/>
      <c r="X50" s="552"/>
      <c r="Y50" s="264"/>
      <c r="Z50" s="552"/>
      <c r="AA50" s="264"/>
      <c r="AB50" s="264"/>
      <c r="AC50" s="523"/>
      <c r="AD50" s="531">
        <v>62.7</v>
      </c>
      <c r="AE50" s="264"/>
      <c r="AF50" s="524" t="s">
        <v>103</v>
      </c>
      <c r="AG50" s="531">
        <v>140.4</v>
      </c>
      <c r="AH50" s="287"/>
      <c r="AI50" s="97"/>
      <c r="AJ50" s="264">
        <f t="shared" si="3"/>
        <v>-77.7</v>
      </c>
      <c r="AK50" s="41"/>
      <c r="AL50" s="542">
        <f>ROUND(IF(AG50=0,1,AJ50/ABS(AG50)),3)</f>
        <v>-0.55300000000000005</v>
      </c>
      <c r="AM50" s="1621"/>
      <c r="AN50" s="1621"/>
    </row>
    <row r="51" spans="1:40">
      <c r="A51" s="291"/>
      <c r="B51" s="350" t="s">
        <v>413</v>
      </c>
      <c r="C51" s="291"/>
      <c r="D51" s="291"/>
      <c r="E51" s="264">
        <v>0.8</v>
      </c>
      <c r="F51" s="264"/>
      <c r="G51" s="264">
        <v>1.4999999999999998</v>
      </c>
      <c r="H51" s="264"/>
      <c r="I51" s="264">
        <v>0.80000000000000027</v>
      </c>
      <c r="J51" s="264"/>
      <c r="K51" s="264">
        <f>$AD51-I51-G51-E51</f>
        <v>1.7</v>
      </c>
      <c r="L51" s="552"/>
      <c r="M51" s="264"/>
      <c r="N51" s="552"/>
      <c r="O51" s="264"/>
      <c r="P51" s="552"/>
      <c r="Q51" s="264"/>
      <c r="R51" s="552"/>
      <c r="S51" s="264"/>
      <c r="T51" s="552"/>
      <c r="U51" s="264"/>
      <c r="V51" s="552"/>
      <c r="W51" s="264"/>
      <c r="X51" s="552"/>
      <c r="Y51" s="264"/>
      <c r="Z51" s="552"/>
      <c r="AA51" s="264"/>
      <c r="AB51" s="264"/>
      <c r="AC51" s="523"/>
      <c r="AD51" s="531">
        <v>4.8</v>
      </c>
      <c r="AE51" s="264"/>
      <c r="AF51" s="524" t="s">
        <v>103</v>
      </c>
      <c r="AG51" s="531">
        <v>5.2</v>
      </c>
      <c r="AH51" s="287"/>
      <c r="AI51" s="97"/>
      <c r="AJ51" s="264">
        <f t="shared" si="3"/>
        <v>-0.4</v>
      </c>
      <c r="AK51" s="41"/>
      <c r="AL51" s="266">
        <f>ROUND(IF(AG51=0,0,AJ51/ABS(AG51)),3)</f>
        <v>-7.6999999999999999E-2</v>
      </c>
      <c r="AM51" s="1621"/>
      <c r="AN51" s="1621"/>
    </row>
    <row r="52" spans="1:40">
      <c r="A52" s="291"/>
      <c r="B52" s="350" t="s">
        <v>414</v>
      </c>
      <c r="C52" s="291"/>
      <c r="D52" s="291"/>
      <c r="E52" s="264"/>
      <c r="F52" s="264"/>
      <c r="G52" s="264"/>
      <c r="H52" s="264"/>
      <c r="I52" s="264"/>
      <c r="J52" s="264"/>
      <c r="K52" s="264"/>
      <c r="L52" s="552"/>
      <c r="M52" s="264"/>
      <c r="N52" s="552"/>
      <c r="O52" s="264"/>
      <c r="P52" s="552"/>
      <c r="Q52" s="264"/>
      <c r="R52" s="552"/>
      <c r="S52" s="264"/>
      <c r="T52" s="552"/>
      <c r="U52" s="264"/>
      <c r="V52" s="552"/>
      <c r="W52" s="264"/>
      <c r="X52" s="552"/>
      <c r="Y52" s="264"/>
      <c r="Z52" s="552"/>
      <c r="AA52" s="264"/>
      <c r="AB52" s="264"/>
      <c r="AC52" s="523"/>
      <c r="AD52" s="289" t="s">
        <v>103</v>
      </c>
      <c r="AE52" s="1227"/>
      <c r="AF52" s="264"/>
      <c r="AG52" s="289" t="s">
        <v>103</v>
      </c>
      <c r="AH52" s="287"/>
      <c r="AI52" s="97"/>
      <c r="AJ52" s="264"/>
      <c r="AK52" s="41"/>
      <c r="AL52" s="96"/>
      <c r="AM52" s="1621"/>
      <c r="AN52" s="1621"/>
    </row>
    <row r="53" spans="1:40">
      <c r="A53" s="291"/>
      <c r="B53" s="350" t="s">
        <v>498</v>
      </c>
      <c r="C53" s="291"/>
      <c r="D53" s="291"/>
      <c r="E53" s="264">
        <v>0</v>
      </c>
      <c r="F53" s="289"/>
      <c r="G53" s="264">
        <v>0</v>
      </c>
      <c r="H53" s="264"/>
      <c r="I53" s="264">
        <v>0</v>
      </c>
      <c r="J53" s="264"/>
      <c r="K53" s="264">
        <f t="shared" ref="K53:K59" si="5">$AD53-I53-G53-E53</f>
        <v>0</v>
      </c>
      <c r="L53" s="552"/>
      <c r="M53" s="264"/>
      <c r="N53" s="552"/>
      <c r="O53" s="264"/>
      <c r="P53" s="552"/>
      <c r="Q53" s="264"/>
      <c r="R53" s="552"/>
      <c r="S53" s="264"/>
      <c r="T53" s="552"/>
      <c r="U53" s="264"/>
      <c r="V53" s="552"/>
      <c r="W53" s="264"/>
      <c r="X53" s="552"/>
      <c r="Y53" s="264"/>
      <c r="Z53" s="552"/>
      <c r="AA53" s="264"/>
      <c r="AB53" s="264"/>
      <c r="AC53" s="523"/>
      <c r="AD53" s="531">
        <v>0</v>
      </c>
      <c r="AE53" s="264"/>
      <c r="AF53" s="524" t="s">
        <v>103</v>
      </c>
      <c r="AG53" s="531">
        <v>0</v>
      </c>
      <c r="AH53" s="287"/>
      <c r="AI53" s="97"/>
      <c r="AJ53" s="264">
        <f t="shared" si="3"/>
        <v>0</v>
      </c>
      <c r="AK53" s="41"/>
      <c r="AL53" s="266">
        <f>ROUND(IF(AG53=0,0,AJ53/ABS(AG53)),3)</f>
        <v>0</v>
      </c>
      <c r="AM53" s="1621"/>
      <c r="AN53" s="1621"/>
    </row>
    <row r="54" spans="1:40">
      <c r="A54" s="291"/>
      <c r="B54" s="350" t="s">
        <v>500</v>
      </c>
      <c r="C54" s="291"/>
      <c r="D54" s="291"/>
      <c r="E54" s="264">
        <v>0.1</v>
      </c>
      <c r="F54" s="289"/>
      <c r="G54" s="264">
        <v>0.1</v>
      </c>
      <c r="H54" s="264"/>
      <c r="I54" s="264">
        <v>0.30000000000000004</v>
      </c>
      <c r="J54" s="264"/>
      <c r="K54" s="264">
        <f t="shared" si="5"/>
        <v>0.19999999999999993</v>
      </c>
      <c r="L54" s="552"/>
      <c r="M54" s="264"/>
      <c r="N54" s="552"/>
      <c r="O54" s="264"/>
      <c r="P54" s="552"/>
      <c r="Q54" s="264"/>
      <c r="R54" s="552"/>
      <c r="S54" s="264"/>
      <c r="T54" s="552"/>
      <c r="U54" s="264"/>
      <c r="V54" s="552"/>
      <c r="W54" s="264"/>
      <c r="X54" s="552"/>
      <c r="Y54" s="264"/>
      <c r="Z54" s="552"/>
      <c r="AA54" s="264"/>
      <c r="AB54" s="264"/>
      <c r="AC54" s="523"/>
      <c r="AD54" s="531">
        <v>0.7</v>
      </c>
      <c r="AE54" s="264"/>
      <c r="AF54" s="524" t="s">
        <v>103</v>
      </c>
      <c r="AG54" s="531">
        <v>13.8</v>
      </c>
      <c r="AH54" s="287"/>
      <c r="AI54" s="97"/>
      <c r="AJ54" s="264">
        <f t="shared" si="3"/>
        <v>-13.1</v>
      </c>
      <c r="AK54" s="41"/>
      <c r="AL54" s="266">
        <f>ROUND(IF(AG54=0,0,AJ54/ABS(AG54)),3)</f>
        <v>-0.94899999999999995</v>
      </c>
      <c r="AM54" s="1621"/>
      <c r="AN54" s="1621"/>
    </row>
    <row r="55" spans="1:40">
      <c r="A55" s="291"/>
      <c r="B55" s="350" t="s">
        <v>501</v>
      </c>
      <c r="C55" s="291"/>
      <c r="D55" s="291"/>
      <c r="E55" s="264">
        <v>9.5</v>
      </c>
      <c r="F55" s="289"/>
      <c r="G55" s="264">
        <v>1.6999999999999993</v>
      </c>
      <c r="H55" s="264"/>
      <c r="I55" s="264">
        <v>21.000000000000004</v>
      </c>
      <c r="J55" s="264"/>
      <c r="K55" s="264">
        <f t="shared" si="5"/>
        <v>7.8999999999999986</v>
      </c>
      <c r="L55" s="552"/>
      <c r="M55" s="264"/>
      <c r="N55" s="552"/>
      <c r="O55" s="264"/>
      <c r="P55" s="552"/>
      <c r="Q55" s="264"/>
      <c r="R55" s="552"/>
      <c r="S55" s="264"/>
      <c r="T55" s="552"/>
      <c r="U55" s="264"/>
      <c r="V55" s="552"/>
      <c r="W55" s="264"/>
      <c r="X55" s="552"/>
      <c r="Y55" s="264"/>
      <c r="Z55" s="552"/>
      <c r="AA55" s="264"/>
      <c r="AB55" s="264"/>
      <c r="AC55" s="523"/>
      <c r="AD55" s="531">
        <v>40.1</v>
      </c>
      <c r="AE55" s="264"/>
      <c r="AF55" s="524" t="s">
        <v>103</v>
      </c>
      <c r="AG55" s="531">
        <v>25.7</v>
      </c>
      <c r="AH55" s="287"/>
      <c r="AI55" s="97"/>
      <c r="AJ55" s="264">
        <f t="shared" si="3"/>
        <v>14.4</v>
      </c>
      <c r="AK55" s="41"/>
      <c r="AL55" s="266">
        <f>ROUND(IF(AG55=0,1,AJ55/ABS(AG55)),3)</f>
        <v>0.56000000000000005</v>
      </c>
      <c r="AM55" s="1621"/>
      <c r="AN55" s="1621"/>
    </row>
    <row r="56" spans="1:40">
      <c r="A56" s="291"/>
      <c r="B56" s="350" t="s">
        <v>503</v>
      </c>
      <c r="C56" s="291"/>
      <c r="D56" s="291"/>
      <c r="E56" s="264">
        <v>0</v>
      </c>
      <c r="F56" s="289"/>
      <c r="G56" s="264">
        <v>0.1</v>
      </c>
      <c r="H56" s="264"/>
      <c r="I56" s="264">
        <v>0</v>
      </c>
      <c r="J56" s="264"/>
      <c r="K56" s="264">
        <f t="shared" si="5"/>
        <v>0</v>
      </c>
      <c r="L56" s="552"/>
      <c r="M56" s="264"/>
      <c r="N56" s="552"/>
      <c r="O56" s="264"/>
      <c r="P56" s="552"/>
      <c r="Q56" s="264"/>
      <c r="R56" s="552"/>
      <c r="S56" s="264"/>
      <c r="T56" s="552"/>
      <c r="U56" s="264"/>
      <c r="V56" s="552"/>
      <c r="W56" s="264"/>
      <c r="X56" s="552"/>
      <c r="Y56" s="264"/>
      <c r="Z56" s="552"/>
      <c r="AA56" s="264"/>
      <c r="AB56" s="264"/>
      <c r="AC56" s="523"/>
      <c r="AD56" s="531">
        <v>0.1</v>
      </c>
      <c r="AE56" s="264"/>
      <c r="AF56" s="524" t="s">
        <v>103</v>
      </c>
      <c r="AG56" s="531">
        <v>0</v>
      </c>
      <c r="AH56" s="287"/>
      <c r="AI56" s="97"/>
      <c r="AJ56" s="264">
        <f>ROUND(AD56-AG56,1)</f>
        <v>0.1</v>
      </c>
      <c r="AK56" s="41"/>
      <c r="AL56" s="266">
        <f>ROUND(IF(AG56=0,1,AJ56/ABS(AG56)),3)</f>
        <v>1</v>
      </c>
      <c r="AM56" s="1621"/>
      <c r="AN56" s="1621"/>
    </row>
    <row r="57" spans="1:40">
      <c r="A57" s="291"/>
      <c r="B57" s="350" t="s">
        <v>504</v>
      </c>
      <c r="C57" s="291"/>
      <c r="D57" s="291"/>
      <c r="E57" s="264">
        <v>0.8</v>
      </c>
      <c r="F57" s="289"/>
      <c r="G57" s="264">
        <v>1</v>
      </c>
      <c r="H57" s="264"/>
      <c r="I57" s="264">
        <v>0.8</v>
      </c>
      <c r="J57" s="264"/>
      <c r="K57" s="264">
        <f t="shared" si="5"/>
        <v>2.6000000000000005</v>
      </c>
      <c r="L57" s="552"/>
      <c r="M57" s="264"/>
      <c r="N57" s="552"/>
      <c r="O57" s="264"/>
      <c r="P57" s="552"/>
      <c r="Q57" s="264"/>
      <c r="R57" s="552"/>
      <c r="S57" s="264"/>
      <c r="T57" s="552"/>
      <c r="U57" s="264"/>
      <c r="V57" s="552"/>
      <c r="W57" s="264"/>
      <c r="X57" s="552"/>
      <c r="Y57" s="264"/>
      <c r="Z57" s="552"/>
      <c r="AA57" s="264"/>
      <c r="AB57" s="264"/>
      <c r="AC57" s="523"/>
      <c r="AD57" s="531">
        <v>5.2</v>
      </c>
      <c r="AE57" s="264"/>
      <c r="AF57" s="524" t="s">
        <v>103</v>
      </c>
      <c r="AG57" s="531">
        <v>2.7</v>
      </c>
      <c r="AH57" s="287"/>
      <c r="AI57" s="97"/>
      <c r="AJ57" s="264">
        <f t="shared" si="3"/>
        <v>2.5</v>
      </c>
      <c r="AK57" s="41"/>
      <c r="AL57" s="1067">
        <f>ROUND(IF(AG57=0,1,AJ57/ABS(AG57)),3)</f>
        <v>0.92600000000000005</v>
      </c>
      <c r="AM57" s="1621"/>
      <c r="AN57" s="1621"/>
    </row>
    <row r="58" spans="1:40">
      <c r="A58" s="291"/>
      <c r="B58" s="350" t="s">
        <v>505</v>
      </c>
      <c r="C58" s="291"/>
      <c r="D58" s="291"/>
      <c r="E58" s="264">
        <v>0.4</v>
      </c>
      <c r="F58" s="289"/>
      <c r="G58" s="264">
        <v>2.7</v>
      </c>
      <c r="H58" s="264"/>
      <c r="I58" s="264">
        <v>9.9999999999999978E-2</v>
      </c>
      <c r="J58" s="264"/>
      <c r="K58" s="264">
        <f t="shared" si="5"/>
        <v>0.69999999999999962</v>
      </c>
      <c r="L58" s="552"/>
      <c r="M58" s="264"/>
      <c r="N58" s="552"/>
      <c r="O58" s="264"/>
      <c r="P58" s="552"/>
      <c r="Q58" s="264"/>
      <c r="R58" s="552"/>
      <c r="S58" s="264"/>
      <c r="T58" s="552"/>
      <c r="U58" s="264"/>
      <c r="V58" s="552"/>
      <c r="W58" s="264"/>
      <c r="X58" s="552"/>
      <c r="Y58" s="264"/>
      <c r="Z58" s="552"/>
      <c r="AA58" s="264"/>
      <c r="AB58" s="264"/>
      <c r="AC58" s="523"/>
      <c r="AD58" s="531">
        <v>3.9</v>
      </c>
      <c r="AE58" s="264"/>
      <c r="AF58" s="524" t="s">
        <v>103</v>
      </c>
      <c r="AG58" s="531">
        <v>10</v>
      </c>
      <c r="AH58" s="287"/>
      <c r="AI58" s="97"/>
      <c r="AJ58" s="264">
        <f t="shared" si="3"/>
        <v>-6.1</v>
      </c>
      <c r="AK58" s="41"/>
      <c r="AL58" s="542">
        <f>ROUND(IF(AG58=0,0,AJ58/ABS(AG58)),3)</f>
        <v>-0.61</v>
      </c>
      <c r="AM58" s="1621"/>
      <c r="AN58" s="1621"/>
    </row>
    <row r="59" spans="1:40">
      <c r="A59" s="291"/>
      <c r="B59" s="350" t="s">
        <v>424</v>
      </c>
      <c r="C59" s="291"/>
      <c r="D59" s="291"/>
      <c r="E59" s="264">
        <v>0.1</v>
      </c>
      <c r="F59" s="289"/>
      <c r="G59" s="264">
        <v>0.1</v>
      </c>
      <c r="H59" s="264"/>
      <c r="I59" s="264">
        <v>0.30000000000000004</v>
      </c>
      <c r="J59" s="264"/>
      <c r="K59" s="264">
        <f t="shared" si="5"/>
        <v>9.9999999999999922E-2</v>
      </c>
      <c r="L59" s="552"/>
      <c r="M59" s="264"/>
      <c r="N59" s="552"/>
      <c r="O59" s="264"/>
      <c r="P59" s="552"/>
      <c r="Q59" s="264"/>
      <c r="R59" s="552"/>
      <c r="S59" s="264"/>
      <c r="T59" s="552"/>
      <c r="U59" s="264"/>
      <c r="V59" s="552"/>
      <c r="W59" s="264"/>
      <c r="X59" s="552"/>
      <c r="Y59" s="264"/>
      <c r="Z59" s="552"/>
      <c r="AA59" s="264"/>
      <c r="AB59" s="264"/>
      <c r="AC59" s="523"/>
      <c r="AD59" s="531">
        <v>0.6</v>
      </c>
      <c r="AE59" s="264"/>
      <c r="AF59" s="524" t="s">
        <v>103</v>
      </c>
      <c r="AG59" s="531">
        <v>0.3</v>
      </c>
      <c r="AH59" s="287"/>
      <c r="AI59" s="97"/>
      <c r="AJ59" s="264">
        <f t="shared" si="3"/>
        <v>0.3</v>
      </c>
      <c r="AK59" s="41"/>
      <c r="AL59" s="542">
        <f>ROUND(IF(AG59=0,1,AJ59/ABS(AG59)),3)</f>
        <v>1</v>
      </c>
      <c r="AM59" s="1621"/>
      <c r="AN59" s="1621"/>
    </row>
    <row r="60" spans="1:40" s="3" customFormat="1" collapsed="1">
      <c r="B60" s="83" t="s">
        <v>526</v>
      </c>
      <c r="E60" s="68">
        <f>ROUND(SUM(E33:E59),1)</f>
        <v>39</v>
      </c>
      <c r="F60" s="13"/>
      <c r="G60" s="68">
        <f>ROUND(SUM(G33:G59),1)</f>
        <v>94.1</v>
      </c>
      <c r="H60" s="393"/>
      <c r="I60" s="68">
        <f>ROUND(SUM(I33:I59),1)</f>
        <v>2403.6999999999998</v>
      </c>
      <c r="J60" s="13"/>
      <c r="K60" s="68">
        <f>ROUND(SUM(K33:K59),1)</f>
        <v>669.8</v>
      </c>
      <c r="L60" s="264"/>
      <c r="M60" s="68">
        <f>ROUND(SUM(M33:M59),1)</f>
        <v>0</v>
      </c>
      <c r="N60" s="264"/>
      <c r="O60" s="68">
        <f>ROUND(SUM(O33:O59),1)</f>
        <v>0</v>
      </c>
      <c r="P60" s="264"/>
      <c r="Q60" s="68">
        <f>ROUND(SUM(Q33:Q59),1)</f>
        <v>0</v>
      </c>
      <c r="R60" s="264"/>
      <c r="S60" s="68">
        <f>ROUND(SUM(S33:S59),1)</f>
        <v>0</v>
      </c>
      <c r="T60" s="13"/>
      <c r="U60" s="68">
        <f>ROUND(SUM(U33:U59),1)</f>
        <v>0</v>
      </c>
      <c r="V60" s="264"/>
      <c r="W60" s="68">
        <f>ROUND(SUM(W33:W59),1)</f>
        <v>0</v>
      </c>
      <c r="X60" s="264"/>
      <c r="Y60" s="68">
        <f>ROUND(SUM(Y33:Y59),1)</f>
        <v>0</v>
      </c>
      <c r="Z60" s="264"/>
      <c r="AA60" s="68">
        <f>ROUND(SUM(AA33:AA59),1)</f>
        <v>0</v>
      </c>
      <c r="AB60" s="13"/>
      <c r="AC60" s="14"/>
      <c r="AD60" s="68">
        <f>ROUND(SUM(AD33:AD59),1)</f>
        <v>3206.6</v>
      </c>
      <c r="AE60" s="1229"/>
      <c r="AF60" s="13"/>
      <c r="AG60" s="68">
        <f>ROUND(SUM(AG33:AG59),1)</f>
        <v>1705</v>
      </c>
      <c r="AH60" s="18"/>
      <c r="AI60" s="97"/>
      <c r="AJ60" s="68">
        <f>ROUND(SUM(AJ33:AJ59),1)</f>
        <v>1501.6</v>
      </c>
      <c r="AK60" s="40"/>
      <c r="AL60" s="537">
        <f>ROUND(IF(AG60=0,0,AJ60/ABS(AG60)),3)</f>
        <v>0.88100000000000001</v>
      </c>
      <c r="AM60" s="1621"/>
      <c r="AN60" s="1621"/>
    </row>
    <row r="61" spans="1:40" s="3" customFormat="1">
      <c r="B61" s="83"/>
      <c r="E61" s="13"/>
      <c r="F61" s="13"/>
      <c r="G61" s="13"/>
      <c r="H61" s="393"/>
      <c r="I61" s="13"/>
      <c r="J61" s="13"/>
      <c r="K61" s="13"/>
      <c r="L61" s="552"/>
      <c r="M61" s="512"/>
      <c r="N61" s="552"/>
      <c r="O61" s="512"/>
      <c r="P61" s="552"/>
      <c r="Q61" s="512"/>
      <c r="R61" s="552"/>
      <c r="S61" s="512"/>
      <c r="T61" s="552"/>
      <c r="U61" s="512"/>
      <c r="V61" s="552"/>
      <c r="W61" s="512"/>
      <c r="X61" s="552"/>
      <c r="Y61" s="512"/>
      <c r="Z61" s="552"/>
      <c r="AA61" s="512"/>
      <c r="AB61" s="13"/>
      <c r="AC61" s="14"/>
      <c r="AD61" s="13"/>
      <c r="AE61" s="1229"/>
      <c r="AF61" s="13"/>
      <c r="AG61" s="13"/>
      <c r="AH61" s="18"/>
      <c r="AI61" s="97"/>
      <c r="AJ61" s="13"/>
      <c r="AK61" s="40"/>
      <c r="AL61" s="74"/>
      <c r="AM61" s="1621"/>
      <c r="AN61" s="1621"/>
    </row>
    <row r="62" spans="1:40">
      <c r="A62" s="291"/>
      <c r="B62" s="291" t="s">
        <v>507</v>
      </c>
      <c r="C62" s="291"/>
      <c r="D62" s="291"/>
      <c r="E62" s="264">
        <v>0</v>
      </c>
      <c r="F62" s="264"/>
      <c r="G62" s="264">
        <v>0</v>
      </c>
      <c r="H62" s="264"/>
      <c r="I62" s="264">
        <v>0</v>
      </c>
      <c r="J62" s="264"/>
      <c r="K62" s="264">
        <f>$AD62-I62-G62-E62</f>
        <v>-0.9</v>
      </c>
      <c r="L62" s="253"/>
      <c r="M62" s="264"/>
      <c r="N62" s="253"/>
      <c r="O62" s="264"/>
      <c r="P62" s="253"/>
      <c r="Q62" s="264"/>
      <c r="R62" s="253"/>
      <c r="S62" s="264"/>
      <c r="T62" s="883"/>
      <c r="U62" s="264"/>
      <c r="V62" s="883"/>
      <c r="W62" s="264"/>
      <c r="X62" s="883"/>
      <c r="Y62" s="264"/>
      <c r="Z62" s="883"/>
      <c r="AA62" s="264"/>
      <c r="AB62" s="291"/>
      <c r="AC62" s="523"/>
      <c r="AD62" s="531">
        <v>-0.9</v>
      </c>
      <c r="AE62" s="264"/>
      <c r="AF62" s="524" t="s">
        <v>103</v>
      </c>
      <c r="AG62" s="531">
        <v>-0.2</v>
      </c>
      <c r="AH62" s="287"/>
      <c r="AI62" s="98"/>
      <c r="AJ62" s="382">
        <f>ROUND(AD62-AG62,1)</f>
        <v>-0.7</v>
      </c>
      <c r="AK62" s="41"/>
      <c r="AL62" s="533">
        <f>ROUND(IF(AG62=0,1,AJ62/ABS(AG62)),3)</f>
        <v>-3.5</v>
      </c>
      <c r="AM62" s="1621"/>
      <c r="AN62" s="1621"/>
    </row>
    <row r="63" spans="1:40">
      <c r="A63" s="291"/>
      <c r="B63" s="291"/>
      <c r="C63" s="291"/>
      <c r="D63" s="291"/>
      <c r="E63" s="615"/>
      <c r="F63" s="264"/>
      <c r="G63" s="615"/>
      <c r="H63" s="264"/>
      <c r="I63" s="615"/>
      <c r="J63" s="264"/>
      <c r="K63" s="615"/>
      <c r="L63" s="253"/>
      <c r="M63" s="615"/>
      <c r="N63" s="253"/>
      <c r="O63" s="615"/>
      <c r="P63" s="253"/>
      <c r="Q63" s="615"/>
      <c r="R63" s="253"/>
      <c r="S63" s="615"/>
      <c r="T63" s="253"/>
      <c r="U63" s="615"/>
      <c r="V63" s="253"/>
      <c r="W63" s="615"/>
      <c r="X63" s="253"/>
      <c r="Y63" s="615"/>
      <c r="Z63" s="253"/>
      <c r="AA63" s="615"/>
      <c r="AB63" s="291"/>
      <c r="AC63" s="523"/>
      <c r="AD63" s="615"/>
      <c r="AE63" s="1227"/>
      <c r="AF63" s="264"/>
      <c r="AG63" s="615"/>
      <c r="AH63" s="264"/>
      <c r="AI63" s="98"/>
      <c r="AJ63" s="264"/>
      <c r="AL63" s="266"/>
      <c r="AM63" s="1621"/>
      <c r="AN63" s="1621"/>
    </row>
    <row r="64" spans="1:40">
      <c r="A64" s="291"/>
      <c r="B64" s="3" t="s">
        <v>563</v>
      </c>
      <c r="C64" s="291"/>
      <c r="D64" s="291"/>
      <c r="E64" s="357">
        <f>ROUND(SUM(E31+E60+E62),1)</f>
        <v>125.1</v>
      </c>
      <c r="F64" s="13"/>
      <c r="G64" s="357">
        <f>ROUND(SUM(G31+G60+G62),1)</f>
        <v>178.9</v>
      </c>
      <c r="H64" s="13"/>
      <c r="I64" s="1130">
        <f>ROUND(SUM(I31+I60+I62),1)</f>
        <v>2547.6999999999998</v>
      </c>
      <c r="J64" s="13"/>
      <c r="K64" s="1130">
        <f>ROUND(SUM(K31+K60+K62),1)</f>
        <v>797</v>
      </c>
      <c r="L64" s="13"/>
      <c r="M64" s="357">
        <f>ROUND(SUM(M31+M60+M62),1)</f>
        <v>0</v>
      </c>
      <c r="N64" s="13"/>
      <c r="O64" s="357">
        <f>ROUND(SUM(O31+O60+O62),1)</f>
        <v>0</v>
      </c>
      <c r="P64" s="13"/>
      <c r="Q64" s="357">
        <f>ROUND(SUM(Q31+Q60+Q62),1)</f>
        <v>0</v>
      </c>
      <c r="R64" s="13"/>
      <c r="S64" s="357">
        <f>ROUND(SUM(S31+S60+S62),1)</f>
        <v>0</v>
      </c>
      <c r="T64" s="13"/>
      <c r="U64" s="357">
        <f>ROUND(SUM(U31+U60+U62),1)</f>
        <v>0</v>
      </c>
      <c r="V64" s="13"/>
      <c r="W64" s="357">
        <f>ROUND(SUM(W31+W60+W62),1)</f>
        <v>0</v>
      </c>
      <c r="X64" s="13"/>
      <c r="Y64" s="357">
        <f>ROUND(SUM(Y31+Y60+Y62),1)</f>
        <v>0</v>
      </c>
      <c r="Z64" s="13"/>
      <c r="AA64" s="357">
        <f>ROUND(SUM(AA31+AA60+AA62),1)</f>
        <v>0</v>
      </c>
      <c r="AB64" s="13"/>
      <c r="AC64" s="14"/>
      <c r="AD64" s="357">
        <f>ROUND(SUM(AD31+AD60+AD62),1)</f>
        <v>3648.7</v>
      </c>
      <c r="AE64" s="1229"/>
      <c r="AF64" s="13"/>
      <c r="AG64" s="357">
        <f>ROUND(SUM(AG31+AG60+AG62),1)</f>
        <v>2154.1999999999998</v>
      </c>
      <c r="AH64" s="18"/>
      <c r="AI64" s="98"/>
      <c r="AJ64" s="357">
        <f>ROUND(SUM(AJ31+AJ60+AJ62),1)</f>
        <v>1494.5</v>
      </c>
      <c r="AK64" s="40"/>
      <c r="AL64" s="538">
        <f>ROUND(IF(AG64=0,0,AJ64/ABS(AG64)),3)</f>
        <v>0.69399999999999995</v>
      </c>
      <c r="AM64" s="1621"/>
      <c r="AN64" s="1621"/>
    </row>
    <row r="65" spans="1:40">
      <c r="A65" s="291"/>
      <c r="B65" s="291"/>
      <c r="C65" s="291"/>
      <c r="D65" s="291"/>
      <c r="E65" s="264"/>
      <c r="F65" s="264"/>
      <c r="G65" s="264"/>
      <c r="H65" s="264"/>
      <c r="I65" s="264"/>
      <c r="J65" s="264"/>
      <c r="K65" s="264"/>
      <c r="L65" s="552"/>
      <c r="M65" s="512"/>
      <c r="N65" s="552"/>
      <c r="O65" s="512"/>
      <c r="P65" s="552"/>
      <c r="Q65" s="512"/>
      <c r="R65" s="552"/>
      <c r="S65" s="512"/>
      <c r="T65" s="552"/>
      <c r="U65" s="512"/>
      <c r="V65" s="552"/>
      <c r="W65" s="512"/>
      <c r="X65" s="552"/>
      <c r="Y65" s="512"/>
      <c r="Z65" s="552"/>
      <c r="AA65" s="512"/>
      <c r="AB65" s="1227"/>
      <c r="AC65" s="264"/>
      <c r="AD65" s="615"/>
      <c r="AE65" s="1227"/>
      <c r="AF65" s="264"/>
      <c r="AG65" s="615"/>
      <c r="AH65" s="264"/>
      <c r="AI65" s="98"/>
      <c r="AJ65" s="12"/>
      <c r="AL65" s="96"/>
      <c r="AM65" s="1621"/>
      <c r="AN65" s="1621"/>
    </row>
    <row r="66" spans="1:40">
      <c r="A66" s="291"/>
      <c r="B66" s="3" t="s">
        <v>122</v>
      </c>
      <c r="C66" s="291"/>
      <c r="D66" s="291"/>
      <c r="E66" s="264"/>
      <c r="F66" s="264"/>
      <c r="G66" s="264"/>
      <c r="H66" s="264"/>
      <c r="I66" s="264"/>
      <c r="J66" s="264"/>
      <c r="K66" s="264"/>
      <c r="L66" s="552"/>
      <c r="M66" s="512"/>
      <c r="N66" s="552"/>
      <c r="O66" s="512"/>
      <c r="P66" s="552"/>
      <c r="Q66" s="512"/>
      <c r="R66" s="552"/>
      <c r="S66" s="512"/>
      <c r="T66" s="552"/>
      <c r="U66" s="512"/>
      <c r="V66" s="552"/>
      <c r="W66" s="512"/>
      <c r="X66" s="552"/>
      <c r="Y66" s="512"/>
      <c r="Z66" s="552"/>
      <c r="AA66" s="512"/>
      <c r="AB66" s="1227"/>
      <c r="AC66" s="264"/>
      <c r="AD66" s="264"/>
      <c r="AE66" s="1227"/>
      <c r="AF66" s="264"/>
      <c r="AG66" s="264"/>
      <c r="AH66" s="264"/>
      <c r="AI66" s="98"/>
      <c r="AJ66" s="12"/>
      <c r="AL66" s="96"/>
      <c r="AM66" s="1621"/>
      <c r="AN66" s="1621"/>
    </row>
    <row r="67" spans="1:40">
      <c r="A67" s="291"/>
      <c r="B67" s="291" t="s">
        <v>451</v>
      </c>
      <c r="C67" s="291"/>
      <c r="D67" s="291"/>
      <c r="E67" s="264"/>
      <c r="F67" s="264"/>
      <c r="G67" s="264"/>
      <c r="H67" s="264"/>
      <c r="I67" s="264"/>
      <c r="J67" s="264"/>
      <c r="K67" s="264"/>
      <c r="L67" s="552"/>
      <c r="M67" s="512"/>
      <c r="N67" s="552"/>
      <c r="O67" s="512"/>
      <c r="P67" s="552"/>
      <c r="Q67" s="512"/>
      <c r="R67" s="552"/>
      <c r="S67" s="512"/>
      <c r="T67" s="552"/>
      <c r="U67" s="512"/>
      <c r="V67" s="552"/>
      <c r="W67" s="512"/>
      <c r="X67" s="552"/>
      <c r="Y67" s="512"/>
      <c r="Z67" s="552"/>
      <c r="AA67" s="512"/>
      <c r="AB67" s="264"/>
      <c r="AC67" s="523"/>
      <c r="AD67" s="264"/>
      <c r="AE67" s="1227"/>
      <c r="AF67" s="264"/>
      <c r="AG67" s="264"/>
      <c r="AH67" s="264"/>
      <c r="AI67" s="98"/>
      <c r="AJ67" s="12"/>
      <c r="AL67" s="96"/>
      <c r="AM67" s="1621"/>
      <c r="AN67" s="1621"/>
    </row>
    <row r="68" spans="1:40">
      <c r="A68" s="291"/>
      <c r="B68" s="291" t="s">
        <v>124</v>
      </c>
      <c r="C68" s="291"/>
      <c r="D68" s="291"/>
      <c r="E68" s="264">
        <v>36.1</v>
      </c>
      <c r="F68" s="264"/>
      <c r="G68" s="264">
        <v>4.6999999999999957</v>
      </c>
      <c r="H68" s="264"/>
      <c r="I68" s="264">
        <v>14.300000000000004</v>
      </c>
      <c r="J68" s="264"/>
      <c r="K68" s="264">
        <f>$AD68-I68-G68-E68</f>
        <v>9.4999999999999929</v>
      </c>
      <c r="L68" s="552"/>
      <c r="M68" s="264"/>
      <c r="N68" s="552"/>
      <c r="O68" s="264"/>
      <c r="P68" s="552"/>
      <c r="Q68" s="264"/>
      <c r="R68" s="552"/>
      <c r="S68" s="264"/>
      <c r="T68" s="552"/>
      <c r="U68" s="264"/>
      <c r="V68" s="552"/>
      <c r="W68" s="264"/>
      <c r="X68" s="552"/>
      <c r="Y68" s="264"/>
      <c r="Z68" s="552"/>
      <c r="AA68" s="264"/>
      <c r="AB68" s="264"/>
      <c r="AC68" s="523"/>
      <c r="AD68" s="531">
        <v>64.599999999999994</v>
      </c>
      <c r="AE68" s="264"/>
      <c r="AF68" s="524" t="s">
        <v>103</v>
      </c>
      <c r="AG68" s="531">
        <v>85.9</v>
      </c>
      <c r="AH68" s="287"/>
      <c r="AI68" s="97"/>
      <c r="AJ68" s="264">
        <f t="shared" ref="AJ68:AJ76" si="6">ROUND(AD68-AG68,1)</f>
        <v>-21.3</v>
      </c>
      <c r="AK68" s="41"/>
      <c r="AL68" s="1067">
        <f>ROUND(IF(AG68=0,1,AJ68/ABS(AG68)),3)</f>
        <v>-0.248</v>
      </c>
      <c r="AM68" s="1621"/>
      <c r="AN68" s="1621"/>
    </row>
    <row r="69" spans="1:40">
      <c r="A69" s="291"/>
      <c r="B69" s="291" t="s">
        <v>125</v>
      </c>
      <c r="C69" s="291"/>
      <c r="D69" s="291"/>
      <c r="E69" s="264">
        <v>11.4</v>
      </c>
      <c r="F69" s="264"/>
      <c r="G69" s="264">
        <v>24.800000000000004</v>
      </c>
      <c r="H69" s="264"/>
      <c r="I69" s="264">
        <v>35.799999999999997</v>
      </c>
      <c r="J69" s="264"/>
      <c r="K69" s="264">
        <f>$AD69-I69-G69-E69</f>
        <v>34.400000000000006</v>
      </c>
      <c r="L69" s="552"/>
      <c r="M69" s="264"/>
      <c r="N69" s="552"/>
      <c r="O69" s="264"/>
      <c r="P69" s="552"/>
      <c r="Q69" s="264"/>
      <c r="R69" s="552"/>
      <c r="S69" s="264"/>
      <c r="T69" s="552"/>
      <c r="U69" s="264"/>
      <c r="V69" s="552"/>
      <c r="W69" s="264"/>
      <c r="X69" s="552"/>
      <c r="Y69" s="264"/>
      <c r="Z69" s="552"/>
      <c r="AA69" s="264"/>
      <c r="AB69" s="264"/>
      <c r="AC69" s="523"/>
      <c r="AD69" s="531">
        <v>106.4</v>
      </c>
      <c r="AE69" s="264"/>
      <c r="AF69" s="524" t="s">
        <v>103</v>
      </c>
      <c r="AG69" s="531">
        <v>66</v>
      </c>
      <c r="AH69" s="287"/>
      <c r="AI69" s="97"/>
      <c r="AJ69" s="264">
        <f t="shared" si="6"/>
        <v>40.4</v>
      </c>
      <c r="AK69" s="41"/>
      <c r="AL69" s="266">
        <f>ROUND(IF(AG69=0,0,AJ69/ABS(AG69)),3)</f>
        <v>0.61199999999999999</v>
      </c>
      <c r="AM69" s="1621"/>
      <c r="AN69" s="1621"/>
    </row>
    <row r="70" spans="1:40">
      <c r="A70" s="291"/>
      <c r="B70" s="291" t="s">
        <v>126</v>
      </c>
      <c r="C70" s="291"/>
      <c r="D70" s="291"/>
      <c r="E70" s="264">
        <v>35.9</v>
      </c>
      <c r="F70" s="264"/>
      <c r="G70" s="264">
        <v>22.200000000000003</v>
      </c>
      <c r="H70" s="264"/>
      <c r="I70" s="264">
        <v>53.9</v>
      </c>
      <c r="J70" s="264"/>
      <c r="K70" s="264">
        <f>$AD70-I70-G70-E70</f>
        <v>79.699999999999989</v>
      </c>
      <c r="L70" s="552"/>
      <c r="M70" s="264"/>
      <c r="N70" s="552"/>
      <c r="O70" s="264"/>
      <c r="P70" s="552"/>
      <c r="Q70" s="264"/>
      <c r="R70" s="552"/>
      <c r="S70" s="264"/>
      <c r="T70" s="552"/>
      <c r="U70" s="264"/>
      <c r="V70" s="552"/>
      <c r="W70" s="264"/>
      <c r="X70" s="552"/>
      <c r="Y70" s="264"/>
      <c r="Z70" s="552"/>
      <c r="AA70" s="264"/>
      <c r="AB70" s="264"/>
      <c r="AC70" s="523"/>
      <c r="AD70" s="531">
        <v>191.7</v>
      </c>
      <c r="AE70" s="264"/>
      <c r="AF70" s="524" t="s">
        <v>103</v>
      </c>
      <c r="AG70" s="531">
        <v>154.30000000000001</v>
      </c>
      <c r="AH70" s="287"/>
      <c r="AI70" s="97"/>
      <c r="AJ70" s="264">
        <f t="shared" si="6"/>
        <v>37.4</v>
      </c>
      <c r="AK70" s="41"/>
      <c r="AL70" s="266">
        <f>ROUND(IF(AG70=0,0,AJ70/ABS(AG70)),3)</f>
        <v>0.24199999999999999</v>
      </c>
      <c r="AM70" s="1621"/>
      <c r="AN70" s="1621"/>
    </row>
    <row r="71" spans="1:40">
      <c r="A71" s="291"/>
      <c r="B71" s="291" t="s">
        <v>127</v>
      </c>
      <c r="C71" s="291"/>
      <c r="D71" s="291"/>
      <c r="E71" s="264"/>
      <c r="F71" s="264"/>
      <c r="G71" s="264"/>
      <c r="H71" s="264"/>
      <c r="I71" s="264"/>
      <c r="J71" s="264"/>
      <c r="K71" s="264"/>
      <c r="L71" s="552"/>
      <c r="M71" s="264"/>
      <c r="N71" s="552"/>
      <c r="O71" s="264"/>
      <c r="P71" s="552"/>
      <c r="Q71" s="264"/>
      <c r="R71" s="552"/>
      <c r="S71" s="264"/>
      <c r="T71" s="552"/>
      <c r="U71" s="264"/>
      <c r="V71" s="552"/>
      <c r="W71" s="264"/>
      <c r="X71" s="552"/>
      <c r="Y71" s="264"/>
      <c r="Z71" s="552"/>
      <c r="AA71" s="264"/>
      <c r="AB71" s="264"/>
      <c r="AC71" s="523"/>
      <c r="AD71" s="512"/>
      <c r="AE71" s="264"/>
      <c r="AF71" s="524" t="s">
        <v>103</v>
      </c>
      <c r="AG71" s="512"/>
      <c r="AH71" s="264"/>
      <c r="AI71" s="98"/>
      <c r="AJ71" s="264"/>
      <c r="AK71" s="41"/>
      <c r="AL71" s="96"/>
      <c r="AM71" s="1621"/>
      <c r="AN71" s="1621"/>
    </row>
    <row r="72" spans="1:40">
      <c r="A72" s="291"/>
      <c r="B72" s="291" t="s">
        <v>129</v>
      </c>
      <c r="C72" s="291"/>
      <c r="D72" s="291"/>
      <c r="E72" s="264">
        <v>22.2</v>
      </c>
      <c r="F72" s="264"/>
      <c r="G72" s="264">
        <v>21.2</v>
      </c>
      <c r="H72" s="264"/>
      <c r="I72" s="264">
        <v>107.40000000000002</v>
      </c>
      <c r="J72" s="264"/>
      <c r="K72" s="264">
        <f>$AD72-I72-G72-E72</f>
        <v>44.59999999999998</v>
      </c>
      <c r="L72" s="552"/>
      <c r="M72" s="264"/>
      <c r="N72" s="552"/>
      <c r="O72" s="264"/>
      <c r="P72" s="552"/>
      <c r="Q72" s="264"/>
      <c r="R72" s="552"/>
      <c r="S72" s="264"/>
      <c r="T72" s="552"/>
      <c r="U72" s="264"/>
      <c r="V72" s="552"/>
      <c r="W72" s="264"/>
      <c r="X72" s="552"/>
      <c r="Y72" s="264"/>
      <c r="Z72" s="552"/>
      <c r="AA72" s="264"/>
      <c r="AB72" s="264"/>
      <c r="AC72" s="523"/>
      <c r="AD72" s="531">
        <v>195.4</v>
      </c>
      <c r="AE72" s="264"/>
      <c r="AF72" s="524" t="s">
        <v>103</v>
      </c>
      <c r="AG72" s="531">
        <v>185.8</v>
      </c>
      <c r="AH72" s="287"/>
      <c r="AI72" s="97"/>
      <c r="AJ72" s="264">
        <f t="shared" si="6"/>
        <v>9.6</v>
      </c>
      <c r="AK72" s="41"/>
      <c r="AL72" s="266">
        <f>ROUND(IF(AG72=0,0,AJ72/ABS(AG72)),3)</f>
        <v>5.1999999999999998E-2</v>
      </c>
      <c r="AM72" s="1621"/>
      <c r="AN72" s="1621"/>
    </row>
    <row r="73" spans="1:40">
      <c r="A73" s="291"/>
      <c r="B73" s="291" t="s">
        <v>130</v>
      </c>
      <c r="C73" s="291"/>
      <c r="D73" s="291"/>
      <c r="E73" s="264">
        <v>3.2</v>
      </c>
      <c r="F73" s="264"/>
      <c r="G73" s="264">
        <v>7.4999999999999991</v>
      </c>
      <c r="H73" s="264"/>
      <c r="I73" s="264">
        <v>7.9999999999999991</v>
      </c>
      <c r="J73" s="264"/>
      <c r="K73" s="264">
        <f>$AD73-I73-G73-E73</f>
        <v>2.5</v>
      </c>
      <c r="L73" s="552"/>
      <c r="M73" s="264"/>
      <c r="N73" s="552"/>
      <c r="O73" s="264"/>
      <c r="P73" s="552"/>
      <c r="Q73" s="264"/>
      <c r="R73" s="552"/>
      <c r="S73" s="264"/>
      <c r="T73" s="552"/>
      <c r="U73" s="264"/>
      <c r="V73" s="552"/>
      <c r="W73" s="264"/>
      <c r="X73" s="552"/>
      <c r="Y73" s="264"/>
      <c r="Z73" s="552"/>
      <c r="AA73" s="264"/>
      <c r="AB73" s="264"/>
      <c r="AC73" s="523"/>
      <c r="AD73" s="531">
        <v>21.2</v>
      </c>
      <c r="AE73" s="264"/>
      <c r="AF73" s="524" t="s">
        <v>103</v>
      </c>
      <c r="AG73" s="531">
        <v>9.6999999999999993</v>
      </c>
      <c r="AH73" s="287"/>
      <c r="AI73" s="97"/>
      <c r="AJ73" s="264">
        <f t="shared" si="6"/>
        <v>11.5</v>
      </c>
      <c r="AK73" s="41"/>
      <c r="AL73" s="542">
        <f>ROUND(IF(AG73=0,1,AJ73/ABS(AG73)),3)</f>
        <v>1.1859999999999999</v>
      </c>
      <c r="AM73" s="1621"/>
      <c r="AN73" s="1621"/>
    </row>
    <row r="74" spans="1:40">
      <c r="A74" s="291"/>
      <c r="B74" s="291" t="s">
        <v>131</v>
      </c>
      <c r="C74" s="291"/>
      <c r="D74" s="291"/>
      <c r="E74" s="264">
        <v>91.6</v>
      </c>
      <c r="F74" s="264"/>
      <c r="G74" s="264">
        <v>139.5</v>
      </c>
      <c r="H74" s="264"/>
      <c r="I74" s="264">
        <v>124.20000000000002</v>
      </c>
      <c r="J74" s="264"/>
      <c r="K74" s="264">
        <f>$AD74-I74-G74-E74</f>
        <v>157.29999999999998</v>
      </c>
      <c r="L74" s="552"/>
      <c r="M74" s="264"/>
      <c r="N74" s="552"/>
      <c r="O74" s="264"/>
      <c r="P74" s="552"/>
      <c r="Q74" s="264"/>
      <c r="R74" s="552"/>
      <c r="S74" s="264"/>
      <c r="T74" s="552"/>
      <c r="U74" s="264"/>
      <c r="V74" s="552"/>
      <c r="W74" s="264"/>
      <c r="X74" s="552"/>
      <c r="Y74" s="264"/>
      <c r="Z74" s="552"/>
      <c r="AA74" s="264"/>
      <c r="AB74" s="264"/>
      <c r="AC74" s="523"/>
      <c r="AD74" s="531">
        <v>512.6</v>
      </c>
      <c r="AE74" s="264"/>
      <c r="AF74" s="524" t="s">
        <v>103</v>
      </c>
      <c r="AG74" s="531">
        <v>593.20000000000005</v>
      </c>
      <c r="AH74" s="264"/>
      <c r="AI74" s="98"/>
      <c r="AJ74" s="264">
        <f t="shared" si="6"/>
        <v>-80.599999999999994</v>
      </c>
      <c r="AK74" s="41"/>
      <c r="AL74" s="561">
        <f>ROUND(IF(AG74=0,1,AJ74/ABS(AG74)),3)</f>
        <v>-0.13600000000000001</v>
      </c>
      <c r="AM74" s="1621"/>
      <c r="AN74" s="1621"/>
    </row>
    <row r="75" spans="1:40">
      <c r="A75" s="291"/>
      <c r="B75" s="291" t="s">
        <v>132</v>
      </c>
      <c r="C75" s="3"/>
      <c r="D75" s="291"/>
      <c r="E75" s="264">
        <v>88.4</v>
      </c>
      <c r="F75" s="264"/>
      <c r="G75" s="264">
        <v>4</v>
      </c>
      <c r="H75" s="264"/>
      <c r="I75" s="264">
        <v>167.6</v>
      </c>
      <c r="J75" s="264"/>
      <c r="K75" s="264">
        <f>$AD75-I75-G75-E75</f>
        <v>288</v>
      </c>
      <c r="L75" s="552"/>
      <c r="M75" s="264"/>
      <c r="N75" s="552"/>
      <c r="O75" s="264"/>
      <c r="P75" s="552"/>
      <c r="Q75" s="264"/>
      <c r="R75" s="552"/>
      <c r="S75" s="264"/>
      <c r="T75" s="552"/>
      <c r="U75" s="264"/>
      <c r="V75" s="552"/>
      <c r="W75" s="264"/>
      <c r="X75" s="552"/>
      <c r="Y75" s="264"/>
      <c r="Z75" s="552"/>
      <c r="AA75" s="264"/>
      <c r="AB75" s="264"/>
      <c r="AC75" s="523"/>
      <c r="AD75" s="531">
        <v>548</v>
      </c>
      <c r="AE75" s="264"/>
      <c r="AF75" s="524" t="s">
        <v>103</v>
      </c>
      <c r="AG75" s="531">
        <v>243.9</v>
      </c>
      <c r="AH75" s="264"/>
      <c r="AI75" s="98"/>
      <c r="AJ75" s="264">
        <f t="shared" si="6"/>
        <v>304.10000000000002</v>
      </c>
      <c r="AL75" s="561">
        <f>ROUND(IF(AG75=0,0,AJ75/ABS(AG75)),3)</f>
        <v>1.2470000000000001</v>
      </c>
      <c r="AM75" s="1621"/>
      <c r="AN75" s="1621"/>
    </row>
    <row r="76" spans="1:40">
      <c r="A76" s="291"/>
      <c r="B76" s="291" t="s">
        <v>133</v>
      </c>
      <c r="C76" s="291"/>
      <c r="D76" s="291"/>
      <c r="E76" s="264">
        <v>37.1</v>
      </c>
      <c r="F76" s="264"/>
      <c r="G76" s="264">
        <v>6.2000000000000028</v>
      </c>
      <c r="H76" s="264"/>
      <c r="I76" s="264">
        <v>167.79999999999998</v>
      </c>
      <c r="J76" s="264"/>
      <c r="K76" s="264">
        <f>$AD76-I76-G76-E76</f>
        <v>474.9</v>
      </c>
      <c r="L76" s="552"/>
      <c r="M76" s="264"/>
      <c r="N76" s="552"/>
      <c r="O76" s="264"/>
      <c r="P76" s="552"/>
      <c r="Q76" s="264"/>
      <c r="R76" s="552"/>
      <c r="S76" s="264"/>
      <c r="T76" s="552"/>
      <c r="U76" s="264"/>
      <c r="V76" s="552"/>
      <c r="W76" s="264"/>
      <c r="X76" s="552"/>
      <c r="Y76" s="264"/>
      <c r="Z76" s="552"/>
      <c r="AA76" s="264"/>
      <c r="AB76" s="264"/>
      <c r="AC76" s="523"/>
      <c r="AD76" s="531">
        <v>686</v>
      </c>
      <c r="AE76" s="264"/>
      <c r="AF76" s="524" t="s">
        <v>103</v>
      </c>
      <c r="AG76" s="531">
        <v>159.1</v>
      </c>
      <c r="AH76" s="264"/>
      <c r="AI76" s="98"/>
      <c r="AJ76" s="264">
        <f t="shared" si="6"/>
        <v>526.9</v>
      </c>
      <c r="AK76" s="41"/>
      <c r="AL76" s="542">
        <f>ROUND(IF(AG76=0,0,AJ76/ABS(AG76)),3)</f>
        <v>3.3119999999999998</v>
      </c>
      <c r="AM76" s="1621"/>
      <c r="AN76" s="1621"/>
    </row>
    <row r="77" spans="1:40">
      <c r="A77" s="291"/>
      <c r="B77" s="3" t="s">
        <v>564</v>
      </c>
      <c r="C77" s="291"/>
      <c r="D77" s="291"/>
      <c r="E77" s="616">
        <f>ROUND(SUM(E68:E76),1)</f>
        <v>325.89999999999998</v>
      </c>
      <c r="F77" s="13"/>
      <c r="G77" s="616">
        <f>ROUND(SUM(G68:G76),1)</f>
        <v>230.1</v>
      </c>
      <c r="H77" s="13"/>
      <c r="I77" s="616">
        <f>ROUND(SUM(I68:I76),1)</f>
        <v>679</v>
      </c>
      <c r="J77" s="13"/>
      <c r="K77" s="616">
        <f>ROUND(SUM(K68:K76),1)</f>
        <v>1090.9000000000001</v>
      </c>
      <c r="L77" s="13"/>
      <c r="M77" s="616">
        <f>ROUND(SUM(M68:M76),1)</f>
        <v>0</v>
      </c>
      <c r="N77" s="13"/>
      <c r="O77" s="616">
        <f>ROUND(SUM(O68:O76),1)</f>
        <v>0</v>
      </c>
      <c r="P77" s="13"/>
      <c r="Q77" s="616">
        <f>ROUND(SUM(Q68:Q76),1)</f>
        <v>0</v>
      </c>
      <c r="R77" s="13"/>
      <c r="S77" s="616">
        <f>ROUND(SUM(S68:S76),1)</f>
        <v>0</v>
      </c>
      <c r="T77" s="13"/>
      <c r="U77" s="616">
        <f>ROUND(SUM(U68:U76),1)</f>
        <v>0</v>
      </c>
      <c r="V77" s="13"/>
      <c r="W77" s="616">
        <f>ROUND(SUM(W68:W76),1)</f>
        <v>0</v>
      </c>
      <c r="X77" s="13"/>
      <c r="Y77" s="616">
        <f>ROUND(SUM(Y68:Y76),1)</f>
        <v>0</v>
      </c>
      <c r="Z77" s="13"/>
      <c r="AA77" s="616">
        <f>ROUND(SUM(AA68:AA76),1)</f>
        <v>0</v>
      </c>
      <c r="AB77" s="13"/>
      <c r="AC77" s="14"/>
      <c r="AD77" s="616">
        <f>ROUND(SUM(AD68:AD76),1)</f>
        <v>2325.9</v>
      </c>
      <c r="AE77" s="1229"/>
      <c r="AF77" s="13"/>
      <c r="AG77" s="616">
        <f>ROUND(SUM(AG68:AG76),1)</f>
        <v>1497.9</v>
      </c>
      <c r="AH77" s="13"/>
      <c r="AI77" s="98"/>
      <c r="AJ77" s="616">
        <f>ROUND(SUM(AJ68:AJ76),1)</f>
        <v>828</v>
      </c>
      <c r="AK77" s="3"/>
      <c r="AL77" s="537">
        <f>ROUND(IF(AG77=0,0,AJ77/ABS(AG77)),3)</f>
        <v>0.55300000000000005</v>
      </c>
      <c r="AM77" s="1621"/>
      <c r="AN77" s="1621"/>
    </row>
    <row r="78" spans="1:40">
      <c r="A78" s="291"/>
      <c r="B78" s="291" t="s">
        <v>565</v>
      </c>
      <c r="C78" s="291"/>
      <c r="D78" s="291"/>
      <c r="E78" s="264"/>
      <c r="F78" s="264"/>
      <c r="G78" s="264"/>
      <c r="H78" s="264"/>
      <c r="I78" s="264"/>
      <c r="J78" s="264"/>
      <c r="K78" s="264"/>
      <c r="L78" s="264"/>
      <c r="M78" s="264"/>
      <c r="N78" s="264"/>
      <c r="O78" s="264"/>
      <c r="P78" s="264"/>
      <c r="Q78" s="264"/>
      <c r="R78" s="264"/>
      <c r="S78" s="264"/>
      <c r="T78" s="264"/>
      <c r="U78" s="264"/>
      <c r="V78" s="264"/>
      <c r="W78" s="264"/>
      <c r="X78" s="264"/>
      <c r="Y78" s="264"/>
      <c r="Z78" s="264"/>
      <c r="AA78" s="264"/>
      <c r="AB78" s="264"/>
      <c r="AC78" s="523"/>
      <c r="AD78" s="264"/>
      <c r="AE78" s="1227"/>
      <c r="AF78" s="264"/>
      <c r="AG78" s="264"/>
      <c r="AH78" s="264"/>
      <c r="AI78" s="98"/>
      <c r="AJ78" s="12"/>
      <c r="AL78" s="96"/>
      <c r="AM78" s="1621"/>
      <c r="AN78" s="1621"/>
    </row>
    <row r="79" spans="1:40">
      <c r="A79" s="291"/>
      <c r="B79" s="291" t="s">
        <v>566</v>
      </c>
      <c r="C79" s="291"/>
      <c r="D79" s="291"/>
      <c r="E79" s="264">
        <v>0</v>
      </c>
      <c r="F79" s="264"/>
      <c r="G79" s="264">
        <v>0</v>
      </c>
      <c r="H79" s="264"/>
      <c r="I79" s="264">
        <v>0</v>
      </c>
      <c r="J79" s="264"/>
      <c r="K79" s="264">
        <f>$AD79-I79-G79-E79</f>
        <v>0</v>
      </c>
      <c r="L79" s="552"/>
      <c r="M79" s="264"/>
      <c r="N79" s="552"/>
      <c r="O79" s="264"/>
      <c r="P79" s="552"/>
      <c r="Q79" s="264"/>
      <c r="R79" s="552"/>
      <c r="S79" s="264"/>
      <c r="T79" s="552"/>
      <c r="U79" s="264"/>
      <c r="V79" s="552"/>
      <c r="W79" s="264"/>
      <c r="X79" s="552"/>
      <c r="Y79" s="264"/>
      <c r="Z79" s="552"/>
      <c r="AA79" s="264"/>
      <c r="AB79" s="264"/>
      <c r="AC79" s="523"/>
      <c r="AD79" s="264">
        <v>0</v>
      </c>
      <c r="AE79" s="1227"/>
      <c r="AF79" s="264"/>
      <c r="AG79" s="264">
        <v>0</v>
      </c>
      <c r="AH79" s="367"/>
      <c r="AI79" s="100"/>
      <c r="AJ79" s="264">
        <f>ROUND(AD79-AG79,1)</f>
        <v>0</v>
      </c>
      <c r="AL79" s="266">
        <f>ROUND(IF(AG79=0,0,AJ79/ABS(AG79)),3)</f>
        <v>0</v>
      </c>
      <c r="AM79" s="1621"/>
      <c r="AN79" s="1621"/>
    </row>
    <row r="80" spans="1:40">
      <c r="A80" s="291"/>
      <c r="B80" s="291" t="s">
        <v>567</v>
      </c>
      <c r="C80" s="291"/>
      <c r="D80" s="291"/>
      <c r="E80" s="264">
        <v>0</v>
      </c>
      <c r="F80" s="264"/>
      <c r="G80" s="264">
        <v>0</v>
      </c>
      <c r="H80" s="264"/>
      <c r="I80" s="264">
        <v>0</v>
      </c>
      <c r="J80" s="264"/>
      <c r="K80" s="264">
        <f>$AD80-I80-G80-E80</f>
        <v>0</v>
      </c>
      <c r="L80" s="552"/>
      <c r="M80" s="264"/>
      <c r="N80" s="552"/>
      <c r="O80" s="264"/>
      <c r="P80" s="552"/>
      <c r="Q80" s="264"/>
      <c r="R80" s="552"/>
      <c r="S80" s="264"/>
      <c r="T80" s="552"/>
      <c r="U80" s="264"/>
      <c r="V80" s="552"/>
      <c r="W80" s="264"/>
      <c r="X80" s="552"/>
      <c r="Y80" s="264"/>
      <c r="Z80" s="552"/>
      <c r="AA80" s="264"/>
      <c r="AB80" s="264"/>
      <c r="AC80" s="523"/>
      <c r="AD80" s="881">
        <v>0</v>
      </c>
      <c r="AE80" s="1227"/>
      <c r="AF80" s="264"/>
      <c r="AG80" s="881">
        <v>0</v>
      </c>
      <c r="AH80" s="367"/>
      <c r="AI80" s="100"/>
      <c r="AJ80" s="264">
        <f>ROUND(AD80-AG80,1)</f>
        <v>0</v>
      </c>
      <c r="AL80" s="266">
        <f>ROUND(IF(AG80=0,0,AJ80/ABS(AG80)),3)</f>
        <v>0</v>
      </c>
      <c r="AM80" s="1621"/>
      <c r="AN80" s="1621"/>
    </row>
    <row r="81" spans="1:40">
      <c r="A81" s="291"/>
      <c r="B81" s="291" t="s">
        <v>568</v>
      </c>
      <c r="C81" s="291"/>
      <c r="D81" s="291"/>
      <c r="E81" s="264">
        <v>0</v>
      </c>
      <c r="F81" s="264"/>
      <c r="G81" s="264">
        <v>0</v>
      </c>
      <c r="H81" s="264"/>
      <c r="I81" s="264">
        <v>0</v>
      </c>
      <c r="J81" s="264"/>
      <c r="K81" s="264">
        <f>$AD81-I81-G81-E81</f>
        <v>0</v>
      </c>
      <c r="L81" s="552"/>
      <c r="M81" s="264"/>
      <c r="N81" s="552"/>
      <c r="O81" s="264"/>
      <c r="P81" s="552"/>
      <c r="Q81" s="264"/>
      <c r="R81" s="552"/>
      <c r="S81" s="264"/>
      <c r="T81" s="552"/>
      <c r="U81" s="264"/>
      <c r="V81" s="552"/>
      <c r="W81" s="264"/>
      <c r="X81" s="552"/>
      <c r="Y81" s="264"/>
      <c r="Z81" s="552"/>
      <c r="AA81" s="264"/>
      <c r="AB81" s="1062"/>
      <c r="AC81" s="1063"/>
      <c r="AD81" s="264">
        <v>0</v>
      </c>
      <c r="AE81" s="1227"/>
      <c r="AF81" s="264"/>
      <c r="AG81" s="264">
        <v>0</v>
      </c>
      <c r="AH81" s="367"/>
      <c r="AI81" s="100"/>
      <c r="AJ81" s="264">
        <f>ROUND(AD81-AG81,1)</f>
        <v>0</v>
      </c>
      <c r="AL81" s="266">
        <f>ROUND(IF(AG81=0,0,AJ81/ABS(AG81)),3)</f>
        <v>0</v>
      </c>
      <c r="AM81" s="1621"/>
      <c r="AN81" s="1621"/>
    </row>
    <row r="82" spans="1:40">
      <c r="A82" s="291"/>
      <c r="B82" s="412" t="s">
        <v>513</v>
      </c>
      <c r="C82" s="291"/>
      <c r="D82" s="291"/>
      <c r="E82" s="264">
        <v>363.7</v>
      </c>
      <c r="F82" s="264"/>
      <c r="G82" s="264">
        <v>566.40000000000009</v>
      </c>
      <c r="H82" s="264"/>
      <c r="I82" s="264">
        <v>969.39999999999986</v>
      </c>
      <c r="J82" s="264"/>
      <c r="K82" s="264">
        <f>$AD82-I82-G82-E82</f>
        <v>737</v>
      </c>
      <c r="L82" s="552"/>
      <c r="M82" s="264"/>
      <c r="N82" s="552"/>
      <c r="O82" s="264"/>
      <c r="P82" s="552"/>
      <c r="Q82" s="264"/>
      <c r="R82" s="552"/>
      <c r="S82" s="264"/>
      <c r="T82" s="552"/>
      <c r="U82" s="264"/>
      <c r="V82" s="552"/>
      <c r="W82" s="264"/>
      <c r="X82" s="552"/>
      <c r="Y82" s="264"/>
      <c r="Z82" s="552"/>
      <c r="AA82" s="264"/>
      <c r="AB82" s="264"/>
      <c r="AC82" s="523"/>
      <c r="AD82" s="981">
        <v>2636.5</v>
      </c>
      <c r="AE82" s="264"/>
      <c r="AF82" s="524" t="s">
        <v>103</v>
      </c>
      <c r="AG82" s="981">
        <v>2596.1999999999998</v>
      </c>
      <c r="AH82" s="287"/>
      <c r="AI82" s="97"/>
      <c r="AJ82" s="382">
        <f>ROUND(AD82-AG82,1)</f>
        <v>40.299999999999997</v>
      </c>
      <c r="AL82" s="533">
        <f>ROUND(IF(AG82=0,0,AJ82/ABS(AG82)),3)</f>
        <v>1.6E-2</v>
      </c>
      <c r="AM82" s="1621"/>
      <c r="AN82" s="1621"/>
    </row>
    <row r="83" spans="1:40">
      <c r="A83" s="291"/>
      <c r="B83" s="291"/>
      <c r="C83" s="291"/>
      <c r="D83" s="291"/>
      <c r="E83" s="615"/>
      <c r="F83" s="264"/>
      <c r="G83" s="615"/>
      <c r="H83" s="264"/>
      <c r="I83" s="615"/>
      <c r="J83" s="264"/>
      <c r="K83" s="615"/>
      <c r="L83" s="264"/>
      <c r="M83" s="615"/>
      <c r="N83" s="264"/>
      <c r="O83" s="615"/>
      <c r="P83" s="264"/>
      <c r="Q83" s="615"/>
      <c r="R83" s="264"/>
      <c r="S83" s="615"/>
      <c r="T83" s="264"/>
      <c r="U83" s="615"/>
      <c r="V83" s="264"/>
      <c r="W83" s="615"/>
      <c r="X83" s="264"/>
      <c r="Y83" s="615"/>
      <c r="Z83" s="264"/>
      <c r="AA83" s="615"/>
      <c r="AB83" s="264"/>
      <c r="AC83" s="523"/>
      <c r="AD83" s="12"/>
      <c r="AE83" s="1227"/>
      <c r="AF83" s="264"/>
      <c r="AG83" s="12"/>
      <c r="AH83" s="12"/>
      <c r="AI83" s="98"/>
      <c r="AJ83" s="12"/>
      <c r="AL83" s="96"/>
      <c r="AM83" s="1621"/>
      <c r="AN83" s="1621"/>
    </row>
    <row r="84" spans="1:40">
      <c r="A84" s="291"/>
      <c r="B84" s="3" t="s">
        <v>569</v>
      </c>
      <c r="C84" s="291"/>
      <c r="D84" s="291"/>
      <c r="E84" s="13">
        <f>ROUND(SUM(E77:E82),1)</f>
        <v>689.6</v>
      </c>
      <c r="F84" s="13"/>
      <c r="G84" s="13">
        <f>ROUND(SUM(G77:G82),1)</f>
        <v>796.5</v>
      </c>
      <c r="H84" s="13"/>
      <c r="I84" s="13">
        <f>ROUND(SUM(I77:I82),1)</f>
        <v>1648.4</v>
      </c>
      <c r="J84" s="13"/>
      <c r="K84" s="13">
        <f>ROUND(SUM(K77:K82),1)</f>
        <v>1827.9</v>
      </c>
      <c r="L84" s="13"/>
      <c r="M84" s="13">
        <f>ROUND(SUM(M77:M82),1)</f>
        <v>0</v>
      </c>
      <c r="N84" s="13"/>
      <c r="O84" s="13">
        <f>ROUND(SUM(O77:O82),1)</f>
        <v>0</v>
      </c>
      <c r="P84" s="13"/>
      <c r="Q84" s="13">
        <f>ROUND(SUM(Q77:Q82),1)</f>
        <v>0</v>
      </c>
      <c r="R84" s="13"/>
      <c r="S84" s="13">
        <f>ROUND(SUM(S77:S82),1)</f>
        <v>0</v>
      </c>
      <c r="T84" s="13"/>
      <c r="U84" s="13">
        <f>ROUND(SUM(U77:U82),1)</f>
        <v>0</v>
      </c>
      <c r="V84" s="13"/>
      <c r="W84" s="13">
        <f>ROUND(SUM(W77:W82),1)</f>
        <v>0</v>
      </c>
      <c r="X84" s="13"/>
      <c r="Y84" s="13">
        <f>ROUND(SUM(Y77:Y82),1)</f>
        <v>0</v>
      </c>
      <c r="Z84" s="13"/>
      <c r="AA84" s="13">
        <f>ROUND(SUM(AA77:AA82),1)</f>
        <v>0</v>
      </c>
      <c r="AB84" s="13"/>
      <c r="AC84" s="14"/>
      <c r="AD84" s="13">
        <f>ROUND(SUM(AD77:AD82),1)</f>
        <v>4962.3999999999996</v>
      </c>
      <c r="AE84" s="1229"/>
      <c r="AF84" s="13"/>
      <c r="AG84" s="13">
        <f>ROUND(SUM(AG77:AG82),1)</f>
        <v>4094.1</v>
      </c>
      <c r="AH84" s="13"/>
      <c r="AI84" s="98"/>
      <c r="AJ84" s="357">
        <f>ROUND(AD84-AG84,1)</f>
        <v>868.3</v>
      </c>
      <c r="AK84" s="3"/>
      <c r="AL84" s="538">
        <f>ROUND(IF(AG84=0,0,AJ84/ABS(AG84)),3)</f>
        <v>0.21199999999999999</v>
      </c>
      <c r="AM84" s="1621"/>
      <c r="AN84" s="1621"/>
    </row>
    <row r="85" spans="1:40">
      <c r="A85" s="291"/>
      <c r="B85" s="291"/>
      <c r="C85" s="291"/>
      <c r="D85" s="291"/>
      <c r="E85" s="615"/>
      <c r="F85" s="264"/>
      <c r="G85" s="615"/>
      <c r="H85" s="264"/>
      <c r="I85" s="615"/>
      <c r="J85" s="264"/>
      <c r="K85" s="615"/>
      <c r="L85" s="264"/>
      <c r="M85" s="615"/>
      <c r="N85" s="264"/>
      <c r="O85" s="615"/>
      <c r="P85" s="264"/>
      <c r="Q85" s="615"/>
      <c r="R85" s="264"/>
      <c r="S85" s="615"/>
      <c r="T85" s="264"/>
      <c r="U85" s="615"/>
      <c r="V85" s="264"/>
      <c r="W85" s="615"/>
      <c r="X85" s="264"/>
      <c r="Y85" s="615"/>
      <c r="Z85" s="264"/>
      <c r="AA85" s="615"/>
      <c r="AB85" s="264"/>
      <c r="AC85" s="523"/>
      <c r="AD85" s="615"/>
      <c r="AE85" s="1227"/>
      <c r="AF85" s="264"/>
      <c r="AG85" s="615"/>
      <c r="AH85" s="264"/>
      <c r="AI85" s="98"/>
      <c r="AJ85" s="12"/>
      <c r="AL85" s="96"/>
      <c r="AM85" s="1621"/>
      <c r="AN85" s="1621"/>
    </row>
    <row r="86" spans="1:40">
      <c r="A86" s="291"/>
      <c r="B86" s="3" t="s">
        <v>570</v>
      </c>
      <c r="C86" s="291"/>
      <c r="D86" s="291"/>
      <c r="E86" s="264"/>
      <c r="F86" s="264"/>
      <c r="G86" s="264"/>
      <c r="H86" s="264"/>
      <c r="I86" s="264"/>
      <c r="J86" s="264"/>
      <c r="K86" s="264"/>
      <c r="L86" s="264"/>
      <c r="M86" s="264"/>
      <c r="N86" s="264"/>
      <c r="O86" s="264"/>
      <c r="P86" s="264"/>
      <c r="Q86" s="264"/>
      <c r="R86" s="264"/>
      <c r="S86" s="264"/>
      <c r="T86" s="264"/>
      <c r="U86" s="264"/>
      <c r="V86" s="264"/>
      <c r="W86" s="264"/>
      <c r="X86" s="264"/>
      <c r="Y86" s="264"/>
      <c r="Z86" s="264"/>
      <c r="AA86" s="264"/>
      <c r="AB86" s="264"/>
      <c r="AC86" s="523"/>
      <c r="AD86" s="12"/>
      <c r="AE86" s="1227"/>
      <c r="AF86" s="264"/>
      <c r="AG86" s="12"/>
      <c r="AH86" s="12"/>
      <c r="AI86" s="98"/>
      <c r="AJ86" s="12"/>
      <c r="AL86" s="96"/>
      <c r="AM86" s="1621"/>
      <c r="AN86" s="1621"/>
    </row>
    <row r="87" spans="1:40">
      <c r="A87" s="291"/>
      <c r="B87" s="3" t="s">
        <v>571</v>
      </c>
      <c r="C87" s="291"/>
      <c r="D87" s="291"/>
      <c r="E87" s="13">
        <f>ROUND(SUM(E64-E84),1)</f>
        <v>-564.5</v>
      </c>
      <c r="F87" s="13"/>
      <c r="G87" s="13">
        <f>ROUND(SUM(G64-G84),1)</f>
        <v>-617.6</v>
      </c>
      <c r="H87" s="13"/>
      <c r="I87" s="13">
        <f>ROUND(SUM(I64-I84),1)</f>
        <v>899.3</v>
      </c>
      <c r="J87" s="13"/>
      <c r="K87" s="13">
        <f>ROUND(SUM(K64-K84),1)</f>
        <v>-1030.9000000000001</v>
      </c>
      <c r="L87" s="13"/>
      <c r="M87" s="13">
        <f>ROUND(SUM(M64-M84),1)</f>
        <v>0</v>
      </c>
      <c r="N87" s="13"/>
      <c r="O87" s="13">
        <f>ROUND(SUM(O64-O84),1)</f>
        <v>0</v>
      </c>
      <c r="P87" s="13"/>
      <c r="Q87" s="13">
        <f>ROUND(SUM(Q64-Q84),1)</f>
        <v>0</v>
      </c>
      <c r="R87" s="13"/>
      <c r="S87" s="13">
        <f>ROUND(SUM(S64-S84),1)</f>
        <v>0</v>
      </c>
      <c r="T87" s="13"/>
      <c r="U87" s="13">
        <f>ROUND(SUM(U64-U84),1)</f>
        <v>0</v>
      </c>
      <c r="V87" s="13"/>
      <c r="W87" s="13">
        <f>ROUND(SUM(W64-W84),1)</f>
        <v>0</v>
      </c>
      <c r="X87" s="13"/>
      <c r="Y87" s="13">
        <f>ROUND(SUM(Y64-Y84),1)</f>
        <v>0</v>
      </c>
      <c r="Z87" s="13"/>
      <c r="AA87" s="13">
        <f>ROUND(SUM(AA64-AA84),1)</f>
        <v>0</v>
      </c>
      <c r="AB87" s="13"/>
      <c r="AC87" s="14"/>
      <c r="AD87" s="13">
        <f>ROUND(SUM(AD64-AD84),1)</f>
        <v>-1313.7</v>
      </c>
      <c r="AE87" s="1229"/>
      <c r="AF87" s="13"/>
      <c r="AG87" s="13">
        <f>ROUND(SUM(AG64-AG84),1)</f>
        <v>-1939.9</v>
      </c>
      <c r="AH87" s="13"/>
      <c r="AI87" s="98"/>
      <c r="AJ87" s="357">
        <f>ROUND(AD87-AG87,1)</f>
        <v>626.20000000000005</v>
      </c>
      <c r="AK87" s="3"/>
      <c r="AL87" s="539">
        <f>ROUND(IF(AG87=0,0,AJ87/ABS(AG87)),3)</f>
        <v>0.32300000000000001</v>
      </c>
      <c r="AM87" s="1621"/>
      <c r="AN87" s="1621"/>
    </row>
    <row r="88" spans="1:40">
      <c r="A88" s="291"/>
      <c r="B88" s="291"/>
      <c r="C88" s="291"/>
      <c r="D88" s="291"/>
      <c r="E88" s="615"/>
      <c r="F88" s="264"/>
      <c r="G88" s="615"/>
      <c r="H88" s="264"/>
      <c r="I88" s="615"/>
      <c r="J88" s="264"/>
      <c r="K88" s="615"/>
      <c r="L88" s="264"/>
      <c r="M88" s="615"/>
      <c r="N88" s="264"/>
      <c r="O88" s="615"/>
      <c r="P88" s="264"/>
      <c r="Q88" s="615"/>
      <c r="R88" s="264"/>
      <c r="S88" s="615"/>
      <c r="T88" s="264"/>
      <c r="U88" s="615"/>
      <c r="V88" s="264"/>
      <c r="W88" s="615"/>
      <c r="X88" s="264"/>
      <c r="Y88" s="615"/>
      <c r="Z88" s="264"/>
      <c r="AA88" s="615"/>
      <c r="AB88" s="264"/>
      <c r="AC88" s="523"/>
      <c r="AD88" s="615"/>
      <c r="AE88" s="1227"/>
      <c r="AF88" s="264"/>
      <c r="AG88" s="615"/>
      <c r="AH88" s="264"/>
      <c r="AI88" s="98"/>
      <c r="AJ88" s="12"/>
      <c r="AL88" s="96"/>
      <c r="AM88" s="1621"/>
      <c r="AN88" s="1621"/>
    </row>
    <row r="89" spans="1:40">
      <c r="A89" s="291"/>
      <c r="B89" s="3" t="s">
        <v>572</v>
      </c>
      <c r="C89" s="291"/>
      <c r="D89" s="291"/>
      <c r="E89" s="264"/>
      <c r="F89" s="264"/>
      <c r="G89" s="264"/>
      <c r="H89" s="264"/>
      <c r="I89" s="264"/>
      <c r="J89" s="264"/>
      <c r="K89" s="264"/>
      <c r="L89" s="264"/>
      <c r="M89" s="264"/>
      <c r="N89" s="264"/>
      <c r="O89" s="264"/>
      <c r="P89" s="264"/>
      <c r="Q89" s="264"/>
      <c r="R89" s="264"/>
      <c r="S89" s="264"/>
      <c r="T89" s="264"/>
      <c r="U89" s="264"/>
      <c r="V89" s="264"/>
      <c r="W89" s="264"/>
      <c r="X89" s="264"/>
      <c r="Y89" s="264"/>
      <c r="Z89" s="264"/>
      <c r="AA89" s="264"/>
      <c r="AB89" s="264"/>
      <c r="AC89" s="523"/>
      <c r="AD89" s="367"/>
      <c r="AE89" s="1227"/>
      <c r="AF89" s="264"/>
      <c r="AG89" s="367"/>
      <c r="AH89" s="367"/>
      <c r="AI89" s="100"/>
      <c r="AJ89" s="12"/>
      <c r="AL89" s="96"/>
      <c r="AM89" s="1621"/>
      <c r="AN89" s="1621"/>
    </row>
    <row r="90" spans="1:40">
      <c r="A90" s="291"/>
      <c r="B90" s="291" t="s">
        <v>573</v>
      </c>
      <c r="C90" s="291"/>
      <c r="D90" s="291"/>
      <c r="E90" s="264">
        <v>0</v>
      </c>
      <c r="F90" s="264"/>
      <c r="G90" s="264">
        <v>0</v>
      </c>
      <c r="H90" s="264"/>
      <c r="I90" s="264">
        <v>0</v>
      </c>
      <c r="J90" s="264"/>
      <c r="K90" s="264">
        <f>$AD90-I90-G90-E90</f>
        <v>0</v>
      </c>
      <c r="L90" s="552"/>
      <c r="M90" s="264"/>
      <c r="N90" s="552"/>
      <c r="O90" s="264"/>
      <c r="P90" s="552"/>
      <c r="Q90" s="264"/>
      <c r="R90" s="552"/>
      <c r="S90" s="264"/>
      <c r="T90" s="552"/>
      <c r="U90" s="264"/>
      <c r="V90" s="552"/>
      <c r="W90" s="264"/>
      <c r="X90" s="552"/>
      <c r="Y90" s="264"/>
      <c r="Z90" s="552"/>
      <c r="AA90" s="264"/>
      <c r="AB90" s="264"/>
      <c r="AC90" s="523"/>
      <c r="AD90" s="531">
        <v>0</v>
      </c>
      <c r="AE90" s="287"/>
      <c r="AF90" s="1757"/>
      <c r="AG90" s="531">
        <v>0</v>
      </c>
      <c r="AH90" s="367"/>
      <c r="AI90" s="100"/>
      <c r="AJ90" s="264">
        <f>ROUND(AD90-AG90,1)</f>
        <v>0</v>
      </c>
      <c r="AK90" s="41"/>
      <c r="AL90" s="542">
        <f>ROUND(IF(AG90=0,0,AJ90/ABS(AG90)),3)</f>
        <v>0</v>
      </c>
      <c r="AM90" s="1621"/>
      <c r="AN90" s="1621"/>
    </row>
    <row r="91" spans="1:40">
      <c r="A91" s="291"/>
      <c r="B91" s="412" t="s">
        <v>515</v>
      </c>
      <c r="C91" s="291"/>
      <c r="D91" s="291"/>
      <c r="E91" s="264">
        <v>463.8</v>
      </c>
      <c r="F91" s="264"/>
      <c r="G91" s="264">
        <v>402.8</v>
      </c>
      <c r="H91" s="264"/>
      <c r="I91" s="264">
        <v>-1129.0999999999999</v>
      </c>
      <c r="J91" s="264"/>
      <c r="K91" s="264">
        <f>$AD91-I91-G91-E91</f>
        <v>1191.2999999999997</v>
      </c>
      <c r="L91" s="552"/>
      <c r="M91" s="264"/>
      <c r="N91" s="552"/>
      <c r="O91" s="264"/>
      <c r="P91" s="552"/>
      <c r="Q91" s="264"/>
      <c r="R91" s="552"/>
      <c r="S91" s="264"/>
      <c r="T91" s="552"/>
      <c r="U91" s="264"/>
      <c r="V91" s="552"/>
      <c r="W91" s="264"/>
      <c r="X91" s="552"/>
      <c r="Y91" s="264"/>
      <c r="Z91" s="552"/>
      <c r="AA91" s="264"/>
      <c r="AB91" s="264"/>
      <c r="AC91" s="523"/>
      <c r="AD91" s="531">
        <v>928.8</v>
      </c>
      <c r="AE91" s="287"/>
      <c r="AF91" s="1757"/>
      <c r="AG91" s="531">
        <v>1458.9</v>
      </c>
      <c r="AH91" s="287"/>
      <c r="AI91" s="97"/>
      <c r="AJ91" s="264">
        <f>ROUND(AD91-AG91,1)</f>
        <v>-530.1</v>
      </c>
      <c r="AL91" s="542">
        <f>ROUND(IF(AG91=0,0,AJ91/ABS(AG91)),3)</f>
        <v>-0.36299999999999999</v>
      </c>
      <c r="AM91" s="1621"/>
      <c r="AN91" s="1621"/>
    </row>
    <row r="92" spans="1:40">
      <c r="A92" s="291"/>
      <c r="B92" s="412" t="s">
        <v>574</v>
      </c>
      <c r="C92" s="291"/>
      <c r="D92" s="291"/>
      <c r="E92" s="264">
        <v>-1.3</v>
      </c>
      <c r="F92" s="264"/>
      <c r="G92" s="264">
        <v>-1.8</v>
      </c>
      <c r="H92" s="264"/>
      <c r="I92" s="264">
        <v>-0.29999999999999982</v>
      </c>
      <c r="J92" s="264"/>
      <c r="K92" s="264">
        <f>$AD92-I92-G92-E92</f>
        <v>-19.599999999999998</v>
      </c>
      <c r="L92" s="552"/>
      <c r="M92" s="264"/>
      <c r="N92" s="552"/>
      <c r="O92" s="264"/>
      <c r="P92" s="552"/>
      <c r="Q92" s="264"/>
      <c r="R92" s="552"/>
      <c r="S92" s="264"/>
      <c r="T92" s="552"/>
      <c r="U92" s="264"/>
      <c r="V92" s="552"/>
      <c r="W92" s="264"/>
      <c r="X92" s="552"/>
      <c r="Y92" s="264"/>
      <c r="Z92" s="552"/>
      <c r="AA92" s="264"/>
      <c r="AB92" s="264"/>
      <c r="AC92" s="523"/>
      <c r="AD92" s="981">
        <v>-23</v>
      </c>
      <c r="AE92" s="287"/>
      <c r="AF92" s="1757"/>
      <c r="AG92" s="981">
        <v>-16.100000000000001</v>
      </c>
      <c r="AH92" s="264"/>
      <c r="AI92" s="98"/>
      <c r="AJ92" s="382">
        <f>ROUND(-AD92+AG92,1)</f>
        <v>6.9</v>
      </c>
      <c r="AL92" s="533">
        <f>ROUND(IF(AG92=0,0,AJ92/ABS(AG92)),3)</f>
        <v>0.42899999999999999</v>
      </c>
      <c r="AM92" s="1621"/>
      <c r="AN92" s="1621"/>
    </row>
    <row r="93" spans="1:40">
      <c r="A93" s="291"/>
      <c r="B93" s="291"/>
      <c r="C93" s="291"/>
      <c r="D93" s="291"/>
      <c r="E93" s="615"/>
      <c r="F93" s="264"/>
      <c r="G93" s="615"/>
      <c r="H93" s="264"/>
      <c r="I93" s="615"/>
      <c r="J93" s="264"/>
      <c r="K93" s="615"/>
      <c r="L93" s="264"/>
      <c r="M93" s="615"/>
      <c r="N93" s="264"/>
      <c r="O93" s="615"/>
      <c r="P93" s="264"/>
      <c r="Q93" s="615"/>
      <c r="R93" s="264"/>
      <c r="S93" s="615"/>
      <c r="T93" s="264"/>
      <c r="U93" s="615"/>
      <c r="V93" s="264"/>
      <c r="W93" s="615"/>
      <c r="X93" s="264"/>
      <c r="Y93" s="615"/>
      <c r="Z93" s="264"/>
      <c r="AA93" s="615"/>
      <c r="AB93" s="264"/>
      <c r="AC93" s="523"/>
      <c r="AD93" s="12"/>
      <c r="AE93" s="1227"/>
      <c r="AF93" s="264"/>
      <c r="AG93" s="12"/>
      <c r="AH93" s="12"/>
      <c r="AI93" s="98"/>
      <c r="AJ93" s="12"/>
      <c r="AL93" s="96"/>
      <c r="AM93" s="1621"/>
      <c r="AN93" s="1621"/>
    </row>
    <row r="94" spans="1:40">
      <c r="A94" s="291"/>
      <c r="B94" s="3" t="s">
        <v>581</v>
      </c>
      <c r="C94" s="291"/>
      <c r="D94" s="291"/>
      <c r="E94" s="13">
        <f>ROUND(SUM(E90:E92),1)</f>
        <v>462.5</v>
      </c>
      <c r="F94" s="13"/>
      <c r="G94" s="13">
        <f>ROUND(SUM(G90:G92),1)</f>
        <v>401</v>
      </c>
      <c r="H94" s="13"/>
      <c r="I94" s="13">
        <f>ROUND(SUM(I90:I92),1)</f>
        <v>-1129.4000000000001</v>
      </c>
      <c r="J94" s="13"/>
      <c r="K94" s="13">
        <f>ROUND(SUM(K90:K92),1)</f>
        <v>1171.7</v>
      </c>
      <c r="L94" s="13"/>
      <c r="M94" s="13">
        <f>ROUND(SUM(M90:M92),1)</f>
        <v>0</v>
      </c>
      <c r="N94" s="13"/>
      <c r="O94" s="13">
        <f>ROUND(SUM(O90:O92),1)</f>
        <v>0</v>
      </c>
      <c r="P94" s="13"/>
      <c r="Q94" s="13">
        <f>ROUND(SUM(Q90:Q92),1)</f>
        <v>0</v>
      </c>
      <c r="R94" s="13"/>
      <c r="S94" s="13">
        <f>ROUND(SUM(S90:S92),1)</f>
        <v>0</v>
      </c>
      <c r="T94" s="13"/>
      <c r="U94" s="13">
        <f>ROUND(SUM(U90:U92),1)</f>
        <v>0</v>
      </c>
      <c r="V94" s="13"/>
      <c r="W94" s="13">
        <f>ROUND(SUM(W90:W92),1)</f>
        <v>0</v>
      </c>
      <c r="X94" s="13"/>
      <c r="Y94" s="13">
        <f>ROUND(SUM(Y90:Y92),1)</f>
        <v>0</v>
      </c>
      <c r="Z94" s="13"/>
      <c r="AA94" s="13">
        <f>ROUND(SUM(AA90:AA92),1)</f>
        <v>0</v>
      </c>
      <c r="AB94" s="13"/>
      <c r="AC94" s="14"/>
      <c r="AD94" s="13">
        <f>ROUND(SUM(AD90:AD92),1)</f>
        <v>905.8</v>
      </c>
      <c r="AE94" s="1229"/>
      <c r="AF94" s="13"/>
      <c r="AG94" s="13">
        <f>ROUND(SUM(AG90:AG92),1)</f>
        <v>1442.8</v>
      </c>
      <c r="AH94" s="13"/>
      <c r="AI94" s="98"/>
      <c r="AJ94" s="357">
        <f>ROUND(AD94-AG94,1)</f>
        <v>-537</v>
      </c>
      <c r="AK94" s="3"/>
      <c r="AL94" s="539">
        <f>ROUND(IF(AG94=0,0,AJ94/ABS(AG94)),3)</f>
        <v>-0.372</v>
      </c>
      <c r="AM94" s="1621"/>
      <c r="AN94" s="1621"/>
    </row>
    <row r="95" spans="1:40">
      <c r="A95" s="291"/>
      <c r="B95" s="291"/>
      <c r="C95" s="291"/>
      <c r="D95" s="291"/>
      <c r="E95" s="615"/>
      <c r="F95" s="264"/>
      <c r="G95" s="615"/>
      <c r="H95" s="264"/>
      <c r="I95" s="615"/>
      <c r="J95" s="264"/>
      <c r="K95" s="615"/>
      <c r="L95" s="264"/>
      <c r="M95" s="615"/>
      <c r="N95" s="264"/>
      <c r="O95" s="615"/>
      <c r="P95" s="264"/>
      <c r="Q95" s="615"/>
      <c r="R95" s="264"/>
      <c r="S95" s="615"/>
      <c r="T95" s="264"/>
      <c r="U95" s="615"/>
      <c r="V95" s="264"/>
      <c r="W95" s="615"/>
      <c r="X95" s="264"/>
      <c r="Y95" s="615"/>
      <c r="Z95" s="264"/>
      <c r="AA95" s="615"/>
      <c r="AB95" s="264"/>
      <c r="AC95" s="523"/>
      <c r="AD95" s="615"/>
      <c r="AE95" s="1227"/>
      <c r="AF95" s="264"/>
      <c r="AG95" s="615"/>
      <c r="AH95" s="264"/>
      <c r="AI95" s="98"/>
      <c r="AJ95" s="12"/>
      <c r="AL95" s="96"/>
      <c r="AM95" s="1621"/>
      <c r="AN95" s="1621"/>
    </row>
    <row r="96" spans="1:40">
      <c r="A96" s="291"/>
      <c r="B96" s="3" t="s">
        <v>576</v>
      </c>
      <c r="C96" s="291"/>
      <c r="D96" s="291"/>
      <c r="E96" s="264"/>
      <c r="F96" s="264"/>
      <c r="G96" s="264" t="s">
        <v>103</v>
      </c>
      <c r="H96" s="264"/>
      <c r="I96" s="264" t="s">
        <v>103</v>
      </c>
      <c r="J96" s="264"/>
      <c r="K96" s="264" t="s">
        <v>103</v>
      </c>
      <c r="L96" s="264"/>
      <c r="M96" s="264" t="s">
        <v>103</v>
      </c>
      <c r="N96" s="264"/>
      <c r="O96" s="264" t="s">
        <v>103</v>
      </c>
      <c r="P96" s="264"/>
      <c r="Q96" s="264" t="s">
        <v>103</v>
      </c>
      <c r="R96" s="264"/>
      <c r="S96" s="264" t="s">
        <v>103</v>
      </c>
      <c r="T96" s="264"/>
      <c r="U96" s="264" t="s">
        <v>103</v>
      </c>
      <c r="V96" s="264"/>
      <c r="W96" s="264" t="s">
        <v>103</v>
      </c>
      <c r="X96" s="264"/>
      <c r="Y96" s="264" t="s">
        <v>103</v>
      </c>
      <c r="Z96" s="264"/>
      <c r="AA96" s="264" t="s">
        <v>103</v>
      </c>
      <c r="AB96" s="264"/>
      <c r="AC96" s="523"/>
      <c r="AD96" s="264"/>
      <c r="AE96" s="1227"/>
      <c r="AF96" s="264"/>
      <c r="AG96" s="264"/>
      <c r="AH96" s="264"/>
      <c r="AI96" s="98"/>
      <c r="AJ96" s="12"/>
      <c r="AL96" s="96"/>
      <c r="AM96" s="1621"/>
      <c r="AN96" s="1621"/>
    </row>
    <row r="97" spans="1:40">
      <c r="A97" s="291"/>
      <c r="B97" s="3" t="s">
        <v>577</v>
      </c>
      <c r="C97" s="291"/>
      <c r="D97" s="291"/>
      <c r="E97" s="264" t="s">
        <v>103</v>
      </c>
      <c r="F97" s="264"/>
      <c r="G97" s="264"/>
      <c r="H97" s="264"/>
      <c r="I97" s="264"/>
      <c r="J97" s="264"/>
      <c r="K97" s="264"/>
      <c r="L97" s="264"/>
      <c r="M97" s="264"/>
      <c r="N97" s="264"/>
      <c r="O97" s="264"/>
      <c r="P97" s="264"/>
      <c r="Q97" s="264"/>
      <c r="R97" s="264"/>
      <c r="S97" s="264"/>
      <c r="T97" s="264"/>
      <c r="U97" s="264"/>
      <c r="V97" s="264"/>
      <c r="W97" s="264"/>
      <c r="X97" s="264"/>
      <c r="Y97" s="264"/>
      <c r="Z97" s="264"/>
      <c r="AA97" s="264"/>
      <c r="AB97" s="264"/>
      <c r="AC97" s="523"/>
      <c r="AD97" s="12"/>
      <c r="AE97" s="1227"/>
      <c r="AF97" s="264"/>
      <c r="AG97" s="12"/>
      <c r="AH97" s="12"/>
      <c r="AI97" s="98"/>
      <c r="AJ97" s="12"/>
      <c r="AL97" s="96"/>
      <c r="AM97" s="1621"/>
      <c r="AN97" s="1621"/>
    </row>
    <row r="98" spans="1:40" s="12" customFormat="1">
      <c r="A98" s="264"/>
      <c r="B98" s="13" t="s">
        <v>1371</v>
      </c>
      <c r="C98" s="264"/>
      <c r="D98" s="264"/>
      <c r="E98" s="717">
        <f>ROUND(SUM(E87+E94),1)</f>
        <v>-102</v>
      </c>
      <c r="F98" s="718"/>
      <c r="G98" s="717">
        <f>ROUND(SUM(G87+G94),1)</f>
        <v>-216.6</v>
      </c>
      <c r="H98" s="718"/>
      <c r="I98" s="717">
        <f>ROUND(SUM(I87+I94),1)</f>
        <v>-230.1</v>
      </c>
      <c r="J98" s="718"/>
      <c r="K98" s="717">
        <f>ROUND(SUM(K87+K94),1)</f>
        <v>140.80000000000001</v>
      </c>
      <c r="L98" s="718"/>
      <c r="M98" s="717">
        <f>ROUND(SUM(M87+M94),1)</f>
        <v>0</v>
      </c>
      <c r="N98" s="718"/>
      <c r="O98" s="717">
        <f>ROUND(SUM(O87+O94),1)</f>
        <v>0</v>
      </c>
      <c r="P98" s="718"/>
      <c r="Q98" s="717">
        <f>ROUND(SUM(Q87+Q94),1)</f>
        <v>0</v>
      </c>
      <c r="R98" s="718"/>
      <c r="S98" s="717">
        <f>ROUND(SUM(S87+S94),1)</f>
        <v>0</v>
      </c>
      <c r="T98" s="718"/>
      <c r="U98" s="717">
        <f>ROUND(SUM(U87+U94),1)</f>
        <v>0</v>
      </c>
      <c r="V98" s="718"/>
      <c r="W98" s="717">
        <f>ROUND(SUM(W87+W94),1)</f>
        <v>0</v>
      </c>
      <c r="X98" s="919"/>
      <c r="Y98" s="717">
        <f>ROUND(SUM(Y87+Y94),1)</f>
        <v>0</v>
      </c>
      <c r="Z98" s="718"/>
      <c r="AA98" s="717">
        <f>ROUND(SUM(AA87+AA94),1)</f>
        <v>0</v>
      </c>
      <c r="AB98" s="718"/>
      <c r="AC98" s="719"/>
      <c r="AD98" s="717">
        <f>ROUND(SUM(AD87+AD94),1)</f>
        <v>-407.9</v>
      </c>
      <c r="AE98" s="1239"/>
      <c r="AF98" s="13"/>
      <c r="AG98" s="717">
        <f>ROUND(SUM(AG87+AG94),1)</f>
        <v>-497.1</v>
      </c>
      <c r="AH98" s="13"/>
      <c r="AI98" s="98"/>
      <c r="AJ98" s="717">
        <f>ROUND(SUM(AJ87+AJ94),1)</f>
        <v>89.2</v>
      </c>
      <c r="AK98" s="13"/>
      <c r="AL98" s="539">
        <f>ROUND(IF(AG98=0,0,AJ98/ABS(AG98)),3)</f>
        <v>0.17899999999999999</v>
      </c>
      <c r="AM98" s="1621"/>
      <c r="AN98" s="1621"/>
    </row>
    <row r="99" spans="1:40">
      <c r="B99" s="924"/>
      <c r="X99" s="1068"/>
      <c r="AC99" s="1769"/>
      <c r="AF99" s="1769"/>
      <c r="AI99" s="1770"/>
      <c r="AM99" s="1621"/>
      <c r="AN99" s="1621"/>
    </row>
    <row r="100" spans="1:40" ht="16" thickBot="1">
      <c r="B100" s="3" t="s">
        <v>532</v>
      </c>
      <c r="C100" s="103"/>
      <c r="D100" s="103"/>
      <c r="E100" s="70">
        <f>ROUND(SUM(E13+E98),1)</f>
        <v>-2308.4</v>
      </c>
      <c r="F100" s="103"/>
      <c r="G100" s="70">
        <f>ROUND(SUM(G13+G98),1)</f>
        <v>-2525</v>
      </c>
      <c r="I100" s="70">
        <f>ROUND(SUM(I13+I98),1)</f>
        <v>-2755.1</v>
      </c>
      <c r="K100" s="70">
        <f>ROUND(SUM(K13+K98),1)</f>
        <v>-2614.3000000000002</v>
      </c>
      <c r="M100" s="70">
        <f>ROUND(SUM(M13+M98),1)</f>
        <v>0</v>
      </c>
      <c r="O100" s="70">
        <f>ROUND(SUM(O13+O98),1)</f>
        <v>0</v>
      </c>
      <c r="Q100" s="70">
        <f>ROUND(SUM(Q13+Q98),1)</f>
        <v>0</v>
      </c>
      <c r="S100" s="70">
        <f>ROUND(SUM(S13+S98),1)</f>
        <v>0</v>
      </c>
      <c r="U100" s="70">
        <f>ROUND(SUM(U13+U98),1)</f>
        <v>0</v>
      </c>
      <c r="W100" s="70">
        <f>ROUND(SUM(W13+W98),1)</f>
        <v>0</v>
      </c>
      <c r="Y100" s="70">
        <f>ROUND(SUM(Y13+Y98),1)</f>
        <v>0</v>
      </c>
      <c r="AA100" s="70">
        <f>ROUND(SUM(AA13+AA98),1)</f>
        <v>0</v>
      </c>
      <c r="AC100" s="1769"/>
      <c r="AD100" s="70">
        <f>ROUND(SUM(AD13+AD98),1)</f>
        <v>-2614.3000000000002</v>
      </c>
      <c r="AF100" s="1769"/>
      <c r="AG100" s="70">
        <f>ROUND(SUM(AG13+AG98),1)</f>
        <v>-1574.4</v>
      </c>
      <c r="AI100" s="1770"/>
      <c r="AJ100" s="70">
        <f>ROUND(SUM(AJ13+AJ98),1)</f>
        <v>-1039.9000000000001</v>
      </c>
      <c r="AL100" s="77">
        <f>ROUND(IF(AG100=0,0,AJ100/ABS(AG100)),3)</f>
        <v>-0.66100000000000003</v>
      </c>
      <c r="AM100" s="1621"/>
      <c r="AN100" s="1621"/>
    </row>
    <row r="101" spans="1:40" ht="16" thickTop="1">
      <c r="B101" s="920"/>
      <c r="C101" s="103"/>
      <c r="D101" s="103"/>
      <c r="E101" s="103"/>
      <c r="F101" s="103"/>
      <c r="G101" s="103"/>
      <c r="AG101" s="425"/>
      <c r="AJ101" s="41"/>
    </row>
    <row r="102" spans="1:40">
      <c r="B102" s="104"/>
    </row>
    <row r="103" spans="1:40">
      <c r="B103" s="104"/>
      <c r="AD103" s="12"/>
    </row>
    <row r="104" spans="1:40">
      <c r="B104" s="102"/>
    </row>
    <row r="105" spans="1:40">
      <c r="B105" s="104"/>
      <c r="AD105" s="425"/>
    </row>
    <row r="106" spans="1:40">
      <c r="B106" s="104"/>
    </row>
    <row r="107" spans="1:40">
      <c r="B107" s="102"/>
    </row>
  </sheetData>
  <mergeCells count="1">
    <mergeCell ref="AC9:AL9"/>
  </mergeCells>
  <printOptions horizontalCentered="1"/>
  <pageMargins left="0.25" right="0.25" top="0.5" bottom="0.25" header="0" footer="0.25"/>
  <pageSetup scale="43" firstPageNumber="31" fitToHeight="0" orientation="landscape" useFirstPageNumber="1" r:id="rId1"/>
  <headerFooter scaleWithDoc="0" alignWithMargins="0">
    <oddFooter>&amp;C&amp;8&amp;P</oddFooter>
  </headerFooter>
  <rowBreaks count="1" manualBreakCount="1">
    <brk id="65" min="1" max="37" man="1"/>
  </rowBreaks>
  <customProperties>
    <customPr name="SheetOptions" r:id="rId2"/>
  </customProperties>
  <ignoredErrors>
    <ignoredError sqref="AL39 AL31:AL34 AL37 AL93 AL95 AL88:AL89 AL85:AL86 AL91:AL92 AL78 AL83 AL84 AL79:AL82 AL75 AL22 AL30 AL27 AL19 AL29 AL23 AL25:AL26 AL21 AL77 AL96:AL98" unlockedFormula="1"/>
    <ignoredError sqref="AL47 AL64 AL72 AL69:AL70 AL71 AL65:AL67 AL61 AL52" formula="1" unlockedFormula="1"/>
    <ignoredError sqref="AL49:AL50 AL51 AL57:AL58 AL60" formula="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pageSetUpPr fitToPage="1"/>
  </sheetPr>
  <dimension ref="A1:AN89"/>
  <sheetViews>
    <sheetView showGridLines="0" zoomScale="80" zoomScaleNormal="85" workbookViewId="0"/>
  </sheetViews>
  <sheetFormatPr defaultColWidth="8.84375" defaultRowHeight="15.5"/>
  <cols>
    <col min="1" max="1" width="2.53515625" style="23" customWidth="1"/>
    <col min="2" max="2" width="14.07421875" style="23" customWidth="1"/>
    <col min="3" max="3" width="26.53515625" style="23" customWidth="1"/>
    <col min="4" max="4" width="2.07421875" style="23" customWidth="1"/>
    <col min="5" max="5" width="11.84375" style="23" customWidth="1"/>
    <col min="6" max="6" width="1.84375" style="23" customWidth="1"/>
    <col min="7" max="7" width="11.84375" style="23" customWidth="1"/>
    <col min="8" max="8" width="1.84375" style="23" customWidth="1"/>
    <col min="9" max="9" width="11.84375" style="23" customWidth="1"/>
    <col min="10" max="10" width="1.84375" style="23" customWidth="1"/>
    <col min="11" max="11" width="11.84375" style="23" customWidth="1"/>
    <col min="12" max="12" width="1.84375" style="23" customWidth="1"/>
    <col min="13" max="13" width="11.84375" style="23" customWidth="1"/>
    <col min="14" max="14" width="1.84375" style="23" customWidth="1"/>
    <col min="15" max="15" width="12.84375" style="23" customWidth="1"/>
    <col min="16" max="16" width="1.84375" style="23" customWidth="1"/>
    <col min="17" max="17" width="11.84375" style="23" customWidth="1"/>
    <col min="18" max="18" width="1.84375" style="23" customWidth="1"/>
    <col min="19" max="19" width="11.84375" style="23" customWidth="1"/>
    <col min="20" max="20" width="1.84375" style="23" customWidth="1"/>
    <col min="21" max="21" width="11.84375" style="23" customWidth="1"/>
    <col min="22" max="22" width="1.84375" style="23" customWidth="1"/>
    <col min="23" max="23" width="11.84375" style="23" customWidth="1"/>
    <col min="24" max="24" width="1.84375" style="23" customWidth="1"/>
    <col min="25" max="25" width="11.84375" style="23" customWidth="1"/>
    <col min="26" max="26" width="1.84375" style="23" customWidth="1"/>
    <col min="27" max="27" width="11.84375" style="23" customWidth="1"/>
    <col min="28" max="29" width="1.07421875" style="23" customWidth="1"/>
    <col min="30" max="30" width="12.84375" style="23" customWidth="1"/>
    <col min="31" max="32" width="1.07421875" style="23" customWidth="1"/>
    <col min="33" max="33" width="12.84375" style="23" customWidth="1"/>
    <col min="34" max="35" width="1.07421875" style="23" customWidth="1"/>
    <col min="36" max="36" width="12.84375" style="23" customWidth="1"/>
    <col min="37" max="37" width="1.07421875" style="23" customWidth="1"/>
    <col min="38" max="38" width="12.84375" style="23" customWidth="1"/>
    <col min="39" max="39" width="8.84375" style="23" bestFit="1" customWidth="1"/>
    <col min="40" max="40" width="9.4609375" style="23" bestFit="1" customWidth="1"/>
    <col min="41" max="16384" width="8.84375" style="23"/>
  </cols>
  <sheetData>
    <row r="1" spans="1:40">
      <c r="B1" s="265" t="s">
        <v>97</v>
      </c>
    </row>
    <row r="2" spans="1:40">
      <c r="B2" s="354"/>
    </row>
    <row r="3" spans="1:40" ht="19.5" customHeight="1">
      <c r="A3" s="84"/>
      <c r="B3" s="50" t="s">
        <v>98</v>
      </c>
      <c r="C3" s="85"/>
      <c r="D3" s="85"/>
      <c r="E3" s="85"/>
      <c r="F3" s="86"/>
      <c r="G3" s="86"/>
      <c r="H3" s="86"/>
      <c r="I3" s="86"/>
      <c r="J3" s="86"/>
      <c r="K3" s="86"/>
      <c r="L3" s="86"/>
      <c r="M3" s="86"/>
      <c r="N3" s="86"/>
      <c r="O3" s="86"/>
      <c r="P3" s="86"/>
      <c r="Q3" s="86"/>
      <c r="R3" s="86"/>
      <c r="S3" s="1131"/>
      <c r="T3" s="86"/>
      <c r="U3" s="86"/>
      <c r="V3" s="86"/>
      <c r="W3" s="86"/>
      <c r="X3" s="86"/>
      <c r="Y3" s="86"/>
      <c r="Z3" s="86"/>
      <c r="AA3" s="86"/>
      <c r="AB3" s="86"/>
      <c r="AC3" s="86"/>
      <c r="AD3" s="86"/>
      <c r="AE3" s="86"/>
      <c r="AF3" s="86"/>
      <c r="AG3" s="86"/>
      <c r="AH3" s="86"/>
      <c r="AI3" s="86"/>
      <c r="AL3" s="72" t="s">
        <v>553</v>
      </c>
    </row>
    <row r="4" spans="1:40" ht="19.5" customHeight="1">
      <c r="A4" s="84"/>
      <c r="B4" s="50" t="s">
        <v>582</v>
      </c>
      <c r="C4" s="85"/>
      <c r="D4" s="85"/>
      <c r="E4" s="85"/>
      <c r="F4" s="86"/>
      <c r="G4" s="86"/>
      <c r="H4" s="86"/>
      <c r="I4" s="86"/>
      <c r="J4" s="86"/>
      <c r="K4" s="86"/>
      <c r="L4" s="86"/>
      <c r="M4" s="86"/>
      <c r="N4" s="86"/>
      <c r="O4" s="86"/>
      <c r="P4" s="86"/>
      <c r="Q4" s="86"/>
      <c r="R4" s="86"/>
      <c r="S4" s="86"/>
      <c r="T4" s="86"/>
      <c r="U4" s="86"/>
      <c r="V4" s="86"/>
      <c r="W4" s="86"/>
      <c r="X4" s="86"/>
      <c r="Y4" s="86"/>
      <c r="Z4" s="86"/>
      <c r="AA4" s="86"/>
      <c r="AB4" s="86"/>
      <c r="AC4" s="86"/>
      <c r="AE4" s="87"/>
      <c r="AF4" s="87"/>
    </row>
    <row r="5" spans="1:40" ht="19.5" customHeight="1">
      <c r="A5" s="84"/>
      <c r="B5" s="540" t="s">
        <v>444</v>
      </c>
      <c r="C5" s="85"/>
      <c r="D5" s="85"/>
      <c r="E5" s="85"/>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L5" s="72"/>
    </row>
    <row r="6" spans="1:40" ht="19.5" customHeight="1">
      <c r="A6" s="84"/>
      <c r="B6" s="540" t="str">
        <f>'Cashflow Governmental'!A6</f>
        <v>FISCAL YEAR 2026-2027</v>
      </c>
      <c r="C6" s="923"/>
      <c r="D6" s="85"/>
      <c r="E6" s="85"/>
      <c r="F6" s="86"/>
      <c r="G6" s="86"/>
      <c r="H6" s="1127"/>
      <c r="I6" s="86"/>
      <c r="J6" s="86"/>
      <c r="K6" s="86"/>
      <c r="L6" s="86"/>
      <c r="M6" s="86"/>
      <c r="N6" s="86"/>
      <c r="O6" s="86"/>
      <c r="P6" s="86"/>
      <c r="Q6" s="86"/>
      <c r="R6" s="86"/>
      <c r="S6" s="86"/>
      <c r="T6" s="86"/>
      <c r="U6" s="86"/>
      <c r="V6" s="86"/>
      <c r="W6" s="86"/>
      <c r="X6" s="86"/>
      <c r="Y6" s="86"/>
      <c r="Z6" s="86"/>
      <c r="AA6" s="86"/>
      <c r="AB6" s="86"/>
      <c r="AC6" s="86"/>
      <c r="AD6" s="86"/>
      <c r="AE6" s="88"/>
      <c r="AF6" s="88"/>
      <c r="AG6" s="88"/>
      <c r="AH6" s="88"/>
      <c r="AI6" s="88"/>
    </row>
    <row r="7" spans="1:40" ht="19.5" customHeight="1">
      <c r="A7" s="84"/>
      <c r="B7" s="50" t="s">
        <v>226</v>
      </c>
      <c r="C7" s="85"/>
      <c r="D7" s="85"/>
      <c r="E7" s="85"/>
      <c r="F7" s="86"/>
      <c r="G7" s="86"/>
      <c r="H7" s="1127"/>
      <c r="I7" s="86"/>
      <c r="J7" s="86"/>
      <c r="K7" s="86"/>
      <c r="L7" s="86"/>
      <c r="M7" s="86"/>
      <c r="N7" s="86"/>
      <c r="O7" s="86"/>
      <c r="P7" s="86"/>
      <c r="Q7" s="86"/>
      <c r="R7" s="86"/>
      <c r="S7" s="86"/>
      <c r="T7" s="86"/>
      <c r="U7" s="86"/>
      <c r="V7" s="86"/>
      <c r="W7" s="86"/>
      <c r="X7" s="86"/>
      <c r="Y7" s="86"/>
      <c r="Z7" s="86"/>
      <c r="AA7" s="86"/>
      <c r="AB7" s="86"/>
      <c r="AC7" s="86"/>
      <c r="AD7" s="86"/>
      <c r="AE7" s="88"/>
      <c r="AF7" s="88"/>
      <c r="AG7" s="88"/>
      <c r="AH7" s="88"/>
      <c r="AI7" s="88"/>
    </row>
    <row r="8" spans="1:40" ht="19.5" customHeight="1">
      <c r="A8" s="84"/>
      <c r="B8" s="551"/>
      <c r="C8" s="85"/>
      <c r="D8" s="85"/>
      <c r="E8" s="1545"/>
      <c r="F8" s="86"/>
      <c r="G8" s="86"/>
      <c r="H8" s="1127"/>
      <c r="I8" s="86"/>
      <c r="J8" s="86"/>
      <c r="K8" s="86"/>
      <c r="L8" s="86"/>
      <c r="M8" s="86"/>
      <c r="N8" s="86"/>
      <c r="O8" s="86"/>
      <c r="P8" s="86"/>
      <c r="Q8" s="86"/>
      <c r="R8" s="86"/>
      <c r="S8" s="86"/>
      <c r="T8" s="86"/>
      <c r="U8" s="86"/>
      <c r="V8" s="86"/>
      <c r="W8" s="86"/>
      <c r="X8" s="86"/>
      <c r="Y8" s="86"/>
      <c r="Z8" s="86"/>
      <c r="AA8" s="86"/>
      <c r="AB8" s="86"/>
      <c r="AC8" s="86"/>
      <c r="AD8" s="86"/>
      <c r="AE8" s="88"/>
      <c r="AF8" s="88"/>
      <c r="AG8" s="88"/>
      <c r="AH8" s="88"/>
      <c r="AI8" s="88"/>
    </row>
    <row r="9" spans="1:40" ht="15.75" customHeight="1">
      <c r="A9" s="84"/>
      <c r="B9" s="50"/>
      <c r="C9" s="85"/>
      <c r="D9" s="85"/>
      <c r="E9" s="1520"/>
      <c r="F9" s="86"/>
      <c r="G9" s="86"/>
      <c r="H9" s="86"/>
      <c r="I9" s="86"/>
      <c r="J9" s="86"/>
      <c r="K9" s="86"/>
      <c r="L9" s="86"/>
      <c r="M9" s="86"/>
      <c r="N9" s="86"/>
      <c r="O9" s="86"/>
      <c r="P9" s="86"/>
      <c r="Q9" s="86"/>
      <c r="R9" s="86"/>
      <c r="S9" s="86"/>
      <c r="T9" s="86"/>
      <c r="U9" s="86"/>
      <c r="V9" s="86"/>
      <c r="W9" s="86"/>
      <c r="X9" s="86"/>
      <c r="Y9" s="86"/>
      <c r="Z9" s="86"/>
      <c r="AA9" s="86"/>
      <c r="AB9" s="86"/>
      <c r="AC9" s="2063" t="str">
        <f>'Cashflow Governmental'!$AB$12</f>
        <v>4 Months Ended July 31</v>
      </c>
      <c r="AD9" s="2063"/>
      <c r="AE9" s="2063"/>
      <c r="AF9" s="2063"/>
      <c r="AG9" s="2063"/>
      <c r="AH9" s="2063"/>
      <c r="AI9" s="2063"/>
      <c r="AJ9" s="2063"/>
      <c r="AK9" s="2063"/>
      <c r="AL9" s="2063"/>
    </row>
    <row r="10" spans="1:40">
      <c r="A10" s="91"/>
      <c r="B10" s="91"/>
      <c r="C10" s="91"/>
      <c r="D10" s="91"/>
      <c r="E10" s="314" t="str">
        <f>'Cashflow Governmental'!C13</f>
        <v>2026</v>
      </c>
      <c r="F10" s="323"/>
      <c r="G10" s="323"/>
      <c r="H10" s="323"/>
      <c r="I10" s="323"/>
      <c r="J10" s="323"/>
      <c r="K10" s="323"/>
      <c r="L10" s="323"/>
      <c r="M10" s="323"/>
      <c r="N10" s="323"/>
      <c r="O10" s="323"/>
      <c r="P10" s="323"/>
      <c r="Q10" s="323"/>
      <c r="R10" s="323"/>
      <c r="S10" s="323"/>
      <c r="T10" s="323"/>
      <c r="U10" s="323"/>
      <c r="V10" s="323"/>
      <c r="W10" s="314">
        <f>'Cashflow Governmental'!U13</f>
        <v>2027</v>
      </c>
      <c r="X10" s="323"/>
      <c r="Y10" s="323"/>
      <c r="Z10" s="323"/>
      <c r="AA10" s="323"/>
      <c r="AB10" s="323"/>
      <c r="AC10" s="323"/>
      <c r="AD10" s="323"/>
      <c r="AE10" s="323"/>
      <c r="AF10" s="323"/>
      <c r="AG10" s="323"/>
      <c r="AH10" s="323"/>
      <c r="AI10" s="323"/>
      <c r="AJ10" s="320" t="s">
        <v>110</v>
      </c>
      <c r="AK10" s="320"/>
      <c r="AL10" s="318" t="s">
        <v>111</v>
      </c>
      <c r="AM10" s="3"/>
    </row>
    <row r="11" spans="1:40">
      <c r="A11" s="291"/>
      <c r="B11" s="291"/>
      <c r="C11" s="291"/>
      <c r="D11" s="291"/>
      <c r="E11" s="1212" t="s">
        <v>329</v>
      </c>
      <c r="F11" s="3"/>
      <c r="G11" s="1212" t="s">
        <v>330</v>
      </c>
      <c r="H11" s="3"/>
      <c r="I11" s="1212" t="s">
        <v>331</v>
      </c>
      <c r="J11" s="3"/>
      <c r="K11" s="1212" t="s">
        <v>332</v>
      </c>
      <c r="L11" s="3"/>
      <c r="M11" s="1212" t="s">
        <v>333</v>
      </c>
      <c r="N11" s="3"/>
      <c r="O11" s="1212" t="s">
        <v>445</v>
      </c>
      <c r="P11" s="3"/>
      <c r="Q11" s="1212" t="s">
        <v>446</v>
      </c>
      <c r="R11" s="3"/>
      <c r="S11" s="1212" t="s">
        <v>336</v>
      </c>
      <c r="T11" s="3"/>
      <c r="U11" s="1212" t="s">
        <v>337</v>
      </c>
      <c r="V11" s="3"/>
      <c r="W11" s="1212" t="s">
        <v>338</v>
      </c>
      <c r="X11" s="3"/>
      <c r="Y11" s="1212" t="s">
        <v>339</v>
      </c>
      <c r="Z11" s="3"/>
      <c r="AA11" s="1212" t="s">
        <v>447</v>
      </c>
      <c r="AB11" s="3"/>
      <c r="AC11" s="3"/>
      <c r="AD11" s="1212" t="str">
        <f>'Cashflow Governmental'!AB14</f>
        <v>2026</v>
      </c>
      <c r="AE11" s="3" t="s">
        <v>103</v>
      </c>
      <c r="AF11" s="3"/>
      <c r="AG11" s="1212" t="str">
        <f>'Cashflow Governmental'!AE14</f>
        <v>2025</v>
      </c>
      <c r="AH11" s="52"/>
      <c r="AI11" s="52"/>
      <c r="AJ11" s="415" t="s">
        <v>112</v>
      </c>
      <c r="AK11" s="320"/>
      <c r="AL11" s="415" t="s">
        <v>113</v>
      </c>
      <c r="AM11" s="3"/>
    </row>
    <row r="12" spans="1:40" ht="5.25" customHeight="1">
      <c r="A12" s="291"/>
      <c r="B12" s="3"/>
      <c r="C12" s="3"/>
      <c r="D12" s="291"/>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40"/>
    </row>
    <row r="13" spans="1:40">
      <c r="A13" s="291"/>
      <c r="B13" s="1211" t="s">
        <v>556</v>
      </c>
      <c r="C13" s="3"/>
      <c r="E13" s="82">
        <v>-276.7</v>
      </c>
      <c r="F13" s="268"/>
      <c r="G13" s="82">
        <f>E81</f>
        <v>-266.10000000000002</v>
      </c>
      <c r="H13" s="82"/>
      <c r="I13" s="82">
        <f>G81</f>
        <v>-266.7</v>
      </c>
      <c r="J13" s="268"/>
      <c r="K13" s="82">
        <f>I81</f>
        <v>-403.7</v>
      </c>
      <c r="L13" s="268"/>
      <c r="M13" s="82"/>
      <c r="N13" s="268"/>
      <c r="O13" s="82"/>
      <c r="P13" s="268"/>
      <c r="Q13" s="82"/>
      <c r="R13" s="274"/>
      <c r="S13" s="82"/>
      <c r="T13" s="20"/>
      <c r="U13" s="82"/>
      <c r="V13" s="20"/>
      <c r="W13" s="82"/>
      <c r="X13" s="20"/>
      <c r="Y13" s="82"/>
      <c r="Z13" s="20"/>
      <c r="AA13" s="82"/>
      <c r="AB13" s="268"/>
      <c r="AC13" s="666"/>
      <c r="AD13" s="1753">
        <f>E13</f>
        <v>-276.7</v>
      </c>
      <c r="AE13" s="268"/>
      <c r="AF13" s="1043"/>
      <c r="AG13" s="1936">
        <v>-378.7</v>
      </c>
      <c r="AH13" s="268"/>
      <c r="AI13" s="92"/>
      <c r="AJ13" s="1753">
        <f>+AD13-AG13</f>
        <v>102</v>
      </c>
      <c r="AL13" s="74">
        <f>-ROUND((+AJ13/AG13),3)</f>
        <v>0.26900000000000002</v>
      </c>
      <c r="AM13" s="1621"/>
      <c r="AN13" s="1621"/>
    </row>
    <row r="14" spans="1:40">
      <c r="A14" s="291"/>
      <c r="B14" s="3"/>
      <c r="C14" s="3"/>
      <c r="D14" s="291"/>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666"/>
      <c r="AD14" s="268"/>
      <c r="AE14" s="268"/>
      <c r="AF14" s="1043"/>
      <c r="AG14" s="268"/>
      <c r="AH14" s="268"/>
      <c r="AI14" s="92"/>
      <c r="AM14" s="1621"/>
      <c r="AN14" s="1621"/>
    </row>
    <row r="15" spans="1:40">
      <c r="A15" s="291"/>
      <c r="B15" s="3" t="s">
        <v>557</v>
      </c>
      <c r="C15" s="291"/>
      <c r="D15" s="291"/>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666"/>
      <c r="AD15" s="268"/>
      <c r="AE15" s="268"/>
      <c r="AF15" s="1043"/>
      <c r="AG15" s="268"/>
      <c r="AH15" s="268"/>
      <c r="AI15" s="92"/>
      <c r="AM15" s="1621"/>
      <c r="AN15" s="1621"/>
    </row>
    <row r="16" spans="1:40">
      <c r="A16" s="291"/>
      <c r="B16" s="350" t="s">
        <v>383</v>
      </c>
      <c r="C16" s="291"/>
      <c r="D16" s="291"/>
      <c r="E16" s="289"/>
      <c r="F16" s="264"/>
      <c r="G16" s="289"/>
      <c r="H16" s="264"/>
      <c r="I16" s="289"/>
      <c r="J16" s="264"/>
      <c r="K16" s="289"/>
      <c r="L16" s="264"/>
      <c r="M16" s="264"/>
      <c r="N16" s="264"/>
      <c r="O16" s="289"/>
      <c r="P16" s="264"/>
      <c r="Q16" s="289"/>
      <c r="R16" s="264"/>
      <c r="S16" s="289"/>
      <c r="T16" s="264"/>
      <c r="U16" s="289"/>
      <c r="V16" s="264"/>
      <c r="W16" s="289"/>
      <c r="X16" s="264"/>
      <c r="Y16" s="289"/>
      <c r="Z16" s="264"/>
      <c r="AA16" s="289"/>
      <c r="AB16" s="264"/>
      <c r="AC16" s="523"/>
      <c r="AD16" s="1809"/>
      <c r="AE16" s="1227"/>
      <c r="AF16" s="264"/>
      <c r="AG16" s="264"/>
      <c r="AH16" s="287"/>
      <c r="AI16" s="97"/>
      <c r="AJ16" s="287"/>
      <c r="AK16" s="41"/>
      <c r="AL16" s="96"/>
      <c r="AM16" s="1621"/>
      <c r="AN16" s="1621"/>
    </row>
    <row r="17" spans="1:40">
      <c r="A17" s="291"/>
      <c r="B17" s="350" t="s">
        <v>384</v>
      </c>
      <c r="C17" s="291"/>
      <c r="D17" s="291"/>
      <c r="E17" s="289"/>
      <c r="F17" s="264"/>
      <c r="G17" s="289"/>
      <c r="H17" s="264"/>
      <c r="I17" s="289"/>
      <c r="J17" s="264"/>
      <c r="K17" s="289"/>
      <c r="L17" s="264"/>
      <c r="M17" s="264"/>
      <c r="N17" s="264"/>
      <c r="O17" s="289"/>
      <c r="P17" s="264"/>
      <c r="Q17" s="289"/>
      <c r="R17" s="264"/>
      <c r="S17" s="289"/>
      <c r="T17" s="264"/>
      <c r="U17" s="289"/>
      <c r="V17" s="264"/>
      <c r="W17" s="289"/>
      <c r="X17" s="264"/>
      <c r="Y17" s="289"/>
      <c r="Z17" s="264"/>
      <c r="AA17" s="289"/>
      <c r="AB17" s="264"/>
      <c r="AC17" s="523"/>
      <c r="AD17" s="1809"/>
      <c r="AE17" s="1227"/>
      <c r="AF17" s="264"/>
      <c r="AG17" s="264"/>
      <c r="AH17" s="287"/>
      <c r="AI17" s="97"/>
      <c r="AJ17" s="287"/>
      <c r="AK17" s="41"/>
      <c r="AL17" s="374"/>
      <c r="AM17" s="1621"/>
      <c r="AN17" s="1621"/>
    </row>
    <row r="18" spans="1:40">
      <c r="A18" s="291"/>
      <c r="B18" s="350" t="s">
        <v>1441</v>
      </c>
      <c r="C18" s="291"/>
      <c r="D18" s="291"/>
      <c r="E18" s="264">
        <v>0</v>
      </c>
      <c r="F18" s="289"/>
      <c r="G18" s="264">
        <v>0</v>
      </c>
      <c r="H18" s="289"/>
      <c r="I18" s="264">
        <v>0</v>
      </c>
      <c r="J18" s="264"/>
      <c r="K18" s="264">
        <f>$AD18-I18-G18-E18</f>
        <v>0</v>
      </c>
      <c r="L18" s="264"/>
      <c r="M18" s="264"/>
      <c r="N18" s="264"/>
      <c r="O18" s="264"/>
      <c r="P18" s="264"/>
      <c r="Q18" s="264"/>
      <c r="R18" s="264"/>
      <c r="S18" s="289"/>
      <c r="T18" s="289"/>
      <c r="U18" s="289"/>
      <c r="V18" s="289"/>
      <c r="W18" s="289"/>
      <c r="X18" s="289"/>
      <c r="Y18" s="289"/>
      <c r="Z18" s="289"/>
      <c r="AA18" s="289"/>
      <c r="AB18" s="264"/>
      <c r="AC18" s="523"/>
      <c r="AD18" s="531">
        <v>0</v>
      </c>
      <c r="AE18" s="264"/>
      <c r="AF18" s="524" t="s">
        <v>103</v>
      </c>
      <c r="AG18" s="531">
        <v>0</v>
      </c>
      <c r="AH18" s="287"/>
      <c r="AI18" s="1754"/>
      <c r="AJ18" s="287">
        <f>ROUND(AD18-AG18,1)</f>
        <v>0</v>
      </c>
      <c r="AK18" s="268"/>
      <c r="AL18" s="266">
        <f>ROUND(IF(AG18=0,0,AJ18/ABS(AG18)),3)</f>
        <v>0</v>
      </c>
      <c r="AM18" s="1621"/>
      <c r="AN18" s="1621"/>
    </row>
    <row r="19" spans="1:40" s="291" customFormat="1">
      <c r="B19" s="350" t="s">
        <v>561</v>
      </c>
      <c r="E19" s="264">
        <v>0</v>
      </c>
      <c r="F19" s="289"/>
      <c r="G19" s="264">
        <v>0</v>
      </c>
      <c r="H19" s="289"/>
      <c r="I19" s="264">
        <v>0</v>
      </c>
      <c r="J19" s="264"/>
      <c r="K19" s="264">
        <f>$AD19-I19-G19-E19</f>
        <v>0</v>
      </c>
      <c r="L19" s="264"/>
      <c r="M19" s="264"/>
      <c r="N19" s="264"/>
      <c r="O19" s="264"/>
      <c r="P19" s="264"/>
      <c r="Q19" s="264"/>
      <c r="R19" s="264"/>
      <c r="S19" s="289"/>
      <c r="T19" s="289"/>
      <c r="U19" s="289"/>
      <c r="V19" s="289"/>
      <c r="W19" s="289"/>
      <c r="X19" s="289"/>
      <c r="Y19" s="289"/>
      <c r="Z19" s="289"/>
      <c r="AA19" s="289"/>
      <c r="AB19" s="264"/>
      <c r="AC19" s="523"/>
      <c r="AD19" s="531">
        <v>0</v>
      </c>
      <c r="AE19" s="264"/>
      <c r="AF19" s="524" t="s">
        <v>103</v>
      </c>
      <c r="AG19" s="531">
        <v>0</v>
      </c>
      <c r="AH19" s="287"/>
      <c r="AI19" s="1754"/>
      <c r="AJ19" s="287">
        <f>ROUND(AD19-AG19,1)</f>
        <v>0</v>
      </c>
      <c r="AK19" s="268"/>
      <c r="AL19" s="266">
        <f>ROUND(IF(AG19=0,0,AJ19/ABS(AG19)),3)</f>
        <v>0</v>
      </c>
      <c r="AM19" s="1621"/>
      <c r="AN19" s="1621"/>
    </row>
    <row r="20" spans="1:40" s="291" customFormat="1">
      <c r="B20" s="350" t="s">
        <v>387</v>
      </c>
      <c r="E20" s="264"/>
      <c r="F20" s="264"/>
      <c r="G20" s="264"/>
      <c r="H20" s="264"/>
      <c r="I20" s="264"/>
      <c r="J20" s="264"/>
      <c r="K20" s="264"/>
      <c r="L20" s="264"/>
      <c r="M20" s="264"/>
      <c r="N20" s="264"/>
      <c r="O20" s="264"/>
      <c r="P20" s="264"/>
      <c r="Q20" s="264"/>
      <c r="R20" s="264"/>
      <c r="S20" s="289"/>
      <c r="T20" s="264"/>
      <c r="U20" s="289"/>
      <c r="V20" s="264"/>
      <c r="W20" s="289"/>
      <c r="X20" s="264"/>
      <c r="Y20" s="289"/>
      <c r="Z20" s="264"/>
      <c r="AA20" s="289"/>
      <c r="AB20" s="264"/>
      <c r="AC20" s="523"/>
      <c r="AD20" s="264" t="s">
        <v>103</v>
      </c>
      <c r="AE20" s="1227"/>
      <c r="AF20" s="264"/>
      <c r="AG20" s="264" t="s">
        <v>103</v>
      </c>
      <c r="AH20" s="287"/>
      <c r="AI20" s="97"/>
      <c r="AJ20" s="287" t="s">
        <v>103</v>
      </c>
      <c r="AK20" s="268"/>
      <c r="AL20" s="374" t="s">
        <v>103</v>
      </c>
      <c r="AM20" s="1621"/>
      <c r="AN20" s="1621"/>
    </row>
    <row r="21" spans="1:40" s="291" customFormat="1">
      <c r="B21" s="350" t="s">
        <v>483</v>
      </c>
      <c r="E21" s="264">
        <v>0</v>
      </c>
      <c r="F21" s="264"/>
      <c r="G21" s="264">
        <v>0</v>
      </c>
      <c r="H21" s="264"/>
      <c r="I21" s="264">
        <v>0</v>
      </c>
      <c r="J21" s="264"/>
      <c r="K21" s="264">
        <f>$AD21-I21-G21-E21</f>
        <v>0</v>
      </c>
      <c r="L21" s="264"/>
      <c r="M21" s="264"/>
      <c r="N21" s="264"/>
      <c r="O21" s="264"/>
      <c r="P21" s="264"/>
      <c r="Q21" s="264"/>
      <c r="R21" s="264"/>
      <c r="S21" s="289"/>
      <c r="T21" s="289"/>
      <c r="U21" s="289"/>
      <c r="V21" s="264"/>
      <c r="W21" s="289"/>
      <c r="X21" s="264"/>
      <c r="Y21" s="289"/>
      <c r="Z21" s="264"/>
      <c r="AA21" s="289"/>
      <c r="AB21" s="264"/>
      <c r="AC21" s="523"/>
      <c r="AD21" s="531">
        <v>0</v>
      </c>
      <c r="AE21" s="264"/>
      <c r="AF21" s="524" t="s">
        <v>103</v>
      </c>
      <c r="AG21" s="531">
        <v>0</v>
      </c>
      <c r="AH21" s="287"/>
      <c r="AI21" s="97"/>
      <c r="AJ21" s="287">
        <f t="shared" ref="AJ21:AJ41" si="0">ROUND(AD21-AG21,1)</f>
        <v>0</v>
      </c>
      <c r="AK21" s="268"/>
      <c r="AL21" s="374">
        <f>ROUND(IF(AG21=0,0,AJ21/ABS(AG21)),3)</f>
        <v>0</v>
      </c>
      <c r="AM21" s="1621"/>
      <c r="AN21" s="1621"/>
    </row>
    <row r="22" spans="1:40" s="291" customFormat="1">
      <c r="B22" s="350" t="s">
        <v>392</v>
      </c>
      <c r="E22" s="264"/>
      <c r="F22" s="264"/>
      <c r="G22" s="264"/>
      <c r="H22" s="264"/>
      <c r="I22" s="264"/>
      <c r="J22" s="264"/>
      <c r="K22" s="264"/>
      <c r="L22" s="264"/>
      <c r="M22" s="264"/>
      <c r="N22" s="264"/>
      <c r="O22" s="264"/>
      <c r="P22" s="264"/>
      <c r="Q22" s="264"/>
      <c r="R22" s="264"/>
      <c r="S22" s="289"/>
      <c r="T22" s="264"/>
      <c r="U22" s="289"/>
      <c r="V22" s="264"/>
      <c r="W22" s="289"/>
      <c r="X22" s="264"/>
      <c r="Y22" s="289"/>
      <c r="Z22" s="264"/>
      <c r="AA22" s="289"/>
      <c r="AB22" s="264"/>
      <c r="AC22" s="523"/>
      <c r="AD22" s="264" t="s">
        <v>103</v>
      </c>
      <c r="AE22" s="1227"/>
      <c r="AF22" s="264"/>
      <c r="AG22" s="264" t="s">
        <v>103</v>
      </c>
      <c r="AH22" s="287"/>
      <c r="AI22" s="97"/>
      <c r="AJ22" s="287" t="s">
        <v>103</v>
      </c>
      <c r="AK22" s="268"/>
      <c r="AL22" s="374" t="s">
        <v>103</v>
      </c>
      <c r="AM22" s="1621"/>
      <c r="AN22" s="1621"/>
    </row>
    <row r="23" spans="1:40" s="291" customFormat="1">
      <c r="B23" s="350" t="s">
        <v>486</v>
      </c>
      <c r="E23" s="264">
        <v>0</v>
      </c>
      <c r="F23" s="264"/>
      <c r="G23" s="264">
        <v>0</v>
      </c>
      <c r="H23" s="264"/>
      <c r="I23" s="264">
        <v>0</v>
      </c>
      <c r="J23" s="264"/>
      <c r="K23" s="264">
        <f t="shared" ref="K23:K29" si="1">$AD23-I23-G23-E23</f>
        <v>0</v>
      </c>
      <c r="L23" s="264"/>
      <c r="M23" s="264"/>
      <c r="N23" s="264"/>
      <c r="O23" s="264"/>
      <c r="P23" s="264"/>
      <c r="Q23" s="264"/>
      <c r="R23" s="264"/>
      <c r="S23" s="289"/>
      <c r="T23" s="289"/>
      <c r="U23" s="289"/>
      <c r="V23" s="264"/>
      <c r="W23" s="289"/>
      <c r="X23" s="264"/>
      <c r="Y23" s="289"/>
      <c r="Z23" s="264"/>
      <c r="AA23" s="289"/>
      <c r="AB23" s="264"/>
      <c r="AC23" s="523"/>
      <c r="AD23" s="531">
        <v>0</v>
      </c>
      <c r="AE23" s="264"/>
      <c r="AF23" s="524" t="s">
        <v>103</v>
      </c>
      <c r="AG23" s="531">
        <v>0</v>
      </c>
      <c r="AH23" s="287"/>
      <c r="AI23" s="97"/>
      <c r="AJ23" s="287">
        <f t="shared" si="0"/>
        <v>0</v>
      </c>
      <c r="AK23" s="268"/>
      <c r="AL23" s="374">
        <f t="shared" ref="AL23:AL27" si="2">ROUND(IF(AG23=0,0,AJ23/ABS(AG23)),3)</f>
        <v>0</v>
      </c>
      <c r="AM23" s="1621"/>
      <c r="AN23" s="1621"/>
    </row>
    <row r="24" spans="1:40" s="291" customFormat="1">
      <c r="B24" s="350" t="s">
        <v>562</v>
      </c>
      <c r="E24" s="264">
        <v>0</v>
      </c>
      <c r="F24" s="264"/>
      <c r="G24" s="264">
        <v>0</v>
      </c>
      <c r="H24" s="264"/>
      <c r="I24" s="264">
        <v>0</v>
      </c>
      <c r="J24" s="264"/>
      <c r="K24" s="264">
        <f t="shared" si="1"/>
        <v>0</v>
      </c>
      <c r="L24" s="264"/>
      <c r="M24" s="264"/>
      <c r="N24" s="264"/>
      <c r="O24" s="264"/>
      <c r="P24" s="264"/>
      <c r="Q24" s="264"/>
      <c r="R24" s="264"/>
      <c r="S24" s="289"/>
      <c r="T24" s="289"/>
      <c r="U24" s="289"/>
      <c r="V24" s="264"/>
      <c r="W24" s="289"/>
      <c r="X24" s="264"/>
      <c r="Y24" s="289"/>
      <c r="Z24" s="264"/>
      <c r="AA24" s="289"/>
      <c r="AB24" s="264"/>
      <c r="AC24" s="523"/>
      <c r="AD24" s="531">
        <v>0</v>
      </c>
      <c r="AE24" s="264"/>
      <c r="AF24" s="524" t="s">
        <v>103</v>
      </c>
      <c r="AG24" s="531">
        <v>0</v>
      </c>
      <c r="AH24" s="287"/>
      <c r="AI24" s="97"/>
      <c r="AJ24" s="287">
        <f>ROUND(AD24-AG24,1)</f>
        <v>0</v>
      </c>
      <c r="AK24" s="268"/>
      <c r="AL24" s="374">
        <f t="shared" si="2"/>
        <v>0</v>
      </c>
      <c r="AM24" s="1621"/>
      <c r="AN24" s="1621"/>
    </row>
    <row r="25" spans="1:40" s="291" customFormat="1">
      <c r="B25" s="350" t="s">
        <v>489</v>
      </c>
      <c r="E25" s="264">
        <v>0</v>
      </c>
      <c r="F25" s="264"/>
      <c r="G25" s="264">
        <v>0</v>
      </c>
      <c r="H25" s="264"/>
      <c r="I25" s="264">
        <v>0</v>
      </c>
      <c r="J25" s="264"/>
      <c r="K25" s="264">
        <f t="shared" si="1"/>
        <v>0</v>
      </c>
      <c r="L25" s="264"/>
      <c r="M25" s="264"/>
      <c r="N25" s="264"/>
      <c r="O25" s="264"/>
      <c r="P25" s="264"/>
      <c r="Q25" s="264"/>
      <c r="R25" s="264"/>
      <c r="S25" s="289"/>
      <c r="T25" s="289"/>
      <c r="U25" s="289"/>
      <c r="V25" s="264"/>
      <c r="W25" s="289"/>
      <c r="X25" s="264"/>
      <c r="Y25" s="289"/>
      <c r="Z25" s="264"/>
      <c r="AA25" s="289"/>
      <c r="AB25" s="264"/>
      <c r="AC25" s="523"/>
      <c r="AD25" s="531">
        <v>0</v>
      </c>
      <c r="AE25" s="264"/>
      <c r="AF25" s="524" t="s">
        <v>103</v>
      </c>
      <c r="AG25" s="531">
        <v>0</v>
      </c>
      <c r="AH25" s="287"/>
      <c r="AI25" s="97"/>
      <c r="AJ25" s="287">
        <f t="shared" si="0"/>
        <v>0</v>
      </c>
      <c r="AK25" s="268"/>
      <c r="AL25" s="374">
        <f t="shared" si="2"/>
        <v>0</v>
      </c>
      <c r="AM25" s="1621"/>
      <c r="AN25" s="1621"/>
    </row>
    <row r="26" spans="1:40" s="291" customFormat="1">
      <c r="B26" s="350" t="s">
        <v>490</v>
      </c>
      <c r="E26" s="264">
        <v>0</v>
      </c>
      <c r="F26" s="264"/>
      <c r="G26" s="264">
        <v>0</v>
      </c>
      <c r="H26" s="264"/>
      <c r="I26" s="264">
        <v>0</v>
      </c>
      <c r="J26" s="264"/>
      <c r="K26" s="264">
        <f t="shared" si="1"/>
        <v>0</v>
      </c>
      <c r="L26" s="264"/>
      <c r="M26" s="264"/>
      <c r="N26" s="264"/>
      <c r="O26" s="264"/>
      <c r="P26" s="264"/>
      <c r="Q26" s="264"/>
      <c r="R26" s="264"/>
      <c r="S26" s="289"/>
      <c r="T26" s="289"/>
      <c r="U26" s="289"/>
      <c r="V26" s="264"/>
      <c r="W26" s="289"/>
      <c r="X26" s="264"/>
      <c r="Y26" s="289"/>
      <c r="Z26" s="264"/>
      <c r="AA26" s="289"/>
      <c r="AB26" s="264"/>
      <c r="AC26" s="523"/>
      <c r="AD26" s="531">
        <v>0</v>
      </c>
      <c r="AE26" s="264"/>
      <c r="AF26" s="524" t="s">
        <v>103</v>
      </c>
      <c r="AG26" s="531">
        <v>0</v>
      </c>
      <c r="AH26" s="287"/>
      <c r="AI26" s="97"/>
      <c r="AJ26" s="287">
        <f t="shared" si="0"/>
        <v>0</v>
      </c>
      <c r="AK26" s="268"/>
      <c r="AL26" s="374">
        <f t="shared" si="2"/>
        <v>0</v>
      </c>
      <c r="AM26" s="1621"/>
      <c r="AN26" s="1621"/>
    </row>
    <row r="27" spans="1:40" s="291" customFormat="1">
      <c r="B27" s="350" t="s">
        <v>400</v>
      </c>
      <c r="E27" s="264">
        <v>0</v>
      </c>
      <c r="F27" s="264"/>
      <c r="G27" s="264">
        <v>0</v>
      </c>
      <c r="H27" s="264"/>
      <c r="I27" s="264">
        <v>0</v>
      </c>
      <c r="J27" s="264"/>
      <c r="K27" s="264">
        <f t="shared" si="1"/>
        <v>0</v>
      </c>
      <c r="L27" s="264"/>
      <c r="M27" s="264"/>
      <c r="N27" s="264"/>
      <c r="O27" s="264"/>
      <c r="P27" s="264"/>
      <c r="Q27" s="264"/>
      <c r="R27" s="264"/>
      <c r="S27" s="289"/>
      <c r="T27" s="289"/>
      <c r="U27" s="289"/>
      <c r="V27" s="264"/>
      <c r="W27" s="289"/>
      <c r="X27" s="264"/>
      <c r="Y27" s="289"/>
      <c r="Z27" s="264"/>
      <c r="AA27" s="289"/>
      <c r="AB27" s="264"/>
      <c r="AC27" s="523"/>
      <c r="AD27" s="531">
        <v>0</v>
      </c>
      <c r="AE27" s="1227"/>
      <c r="AF27" s="264" t="s">
        <v>103</v>
      </c>
      <c r="AG27" s="531">
        <v>0</v>
      </c>
      <c r="AH27" s="287"/>
      <c r="AI27" s="97"/>
      <c r="AJ27" s="287">
        <f t="shared" si="0"/>
        <v>0</v>
      </c>
      <c r="AK27" s="268"/>
      <c r="AL27" s="374">
        <f t="shared" si="2"/>
        <v>0</v>
      </c>
      <c r="AM27" s="1621"/>
      <c r="AN27" s="1621"/>
    </row>
    <row r="28" spans="1:40" s="291" customFormat="1">
      <c r="B28" s="350" t="s">
        <v>406</v>
      </c>
      <c r="E28" s="264">
        <v>0.1</v>
      </c>
      <c r="F28" s="264"/>
      <c r="G28" s="264">
        <v>0.1</v>
      </c>
      <c r="H28" s="264"/>
      <c r="I28" s="264">
        <v>0.10000000000000003</v>
      </c>
      <c r="J28" s="264"/>
      <c r="K28" s="264">
        <f t="shared" si="1"/>
        <v>0</v>
      </c>
      <c r="L28" s="264"/>
      <c r="M28" s="264"/>
      <c r="N28" s="264"/>
      <c r="O28" s="264"/>
      <c r="P28" s="264"/>
      <c r="Q28" s="264"/>
      <c r="R28" s="264"/>
      <c r="S28" s="289"/>
      <c r="T28" s="289"/>
      <c r="U28" s="289"/>
      <c r="V28" s="264"/>
      <c r="W28" s="289"/>
      <c r="X28" s="264"/>
      <c r="Y28" s="289"/>
      <c r="Z28" s="264"/>
      <c r="AA28" s="289"/>
      <c r="AB28" s="264"/>
      <c r="AC28" s="523"/>
      <c r="AD28" s="531">
        <v>0.3</v>
      </c>
      <c r="AE28" s="1227"/>
      <c r="AF28" s="264" t="s">
        <v>103</v>
      </c>
      <c r="AG28" s="531">
        <v>0.7</v>
      </c>
      <c r="AH28" s="287"/>
      <c r="AI28" s="97"/>
      <c r="AJ28" s="287">
        <f t="shared" si="0"/>
        <v>-0.4</v>
      </c>
      <c r="AK28" s="268"/>
      <c r="AL28" s="2006">
        <f>ROUND(IF(AG28=0,1,AJ28/ABS(AG28)),3)</f>
        <v>-0.57099999999999995</v>
      </c>
      <c r="AM28" s="1621"/>
      <c r="AN28" s="1621"/>
    </row>
    <row r="29" spans="1:40">
      <c r="A29" s="291"/>
      <c r="B29" s="350" t="s">
        <v>407</v>
      </c>
      <c r="C29" s="291"/>
      <c r="D29" s="291"/>
      <c r="E29" s="264">
        <v>0</v>
      </c>
      <c r="F29" s="264"/>
      <c r="G29" s="264">
        <v>0</v>
      </c>
      <c r="H29" s="264"/>
      <c r="I29" s="264">
        <v>0</v>
      </c>
      <c r="J29" s="264"/>
      <c r="K29" s="264">
        <f t="shared" si="1"/>
        <v>0</v>
      </c>
      <c r="L29" s="264"/>
      <c r="M29" s="264"/>
      <c r="N29" s="264"/>
      <c r="O29" s="264"/>
      <c r="P29" s="264"/>
      <c r="Q29" s="264"/>
      <c r="R29" s="264"/>
      <c r="S29" s="289"/>
      <c r="T29" s="289"/>
      <c r="U29" s="289"/>
      <c r="V29" s="264"/>
      <c r="W29" s="289"/>
      <c r="X29" s="264"/>
      <c r="Y29" s="289"/>
      <c r="Z29" s="264"/>
      <c r="AA29" s="289"/>
      <c r="AB29" s="264"/>
      <c r="AC29" s="523"/>
      <c r="AD29" s="531">
        <v>0</v>
      </c>
      <c r="AE29" s="264"/>
      <c r="AF29" s="524" t="s">
        <v>103</v>
      </c>
      <c r="AG29" s="531">
        <v>0</v>
      </c>
      <c r="AH29" s="287"/>
      <c r="AI29" s="97"/>
      <c r="AJ29" s="287">
        <f>ROUND(AD29-AG29,1)</f>
        <v>0</v>
      </c>
      <c r="AK29" s="41"/>
      <c r="AL29" s="374">
        <f>ROUND(IF(AG29=0,0,AJ29/ABS(AG29)),3)</f>
        <v>0</v>
      </c>
      <c r="AM29" s="1621"/>
      <c r="AN29" s="1621"/>
    </row>
    <row r="30" spans="1:40" s="291" customFormat="1">
      <c r="B30" s="350" t="s">
        <v>408</v>
      </c>
      <c r="E30" s="264"/>
      <c r="F30" s="264"/>
      <c r="G30" s="264"/>
      <c r="H30" s="264"/>
      <c r="I30" s="264"/>
      <c r="J30" s="264"/>
      <c r="K30" s="264"/>
      <c r="L30" s="264"/>
      <c r="M30" s="264"/>
      <c r="N30" s="264"/>
      <c r="O30" s="264"/>
      <c r="P30" s="264"/>
      <c r="Q30" s="264"/>
      <c r="R30" s="264"/>
      <c r="S30" s="289"/>
      <c r="T30" s="264"/>
      <c r="U30" s="289"/>
      <c r="V30" s="264"/>
      <c r="W30" s="289"/>
      <c r="X30" s="264"/>
      <c r="Y30" s="289"/>
      <c r="Z30" s="264"/>
      <c r="AA30" s="289"/>
      <c r="AB30" s="264"/>
      <c r="AC30" s="523"/>
      <c r="AD30" s="289" t="s">
        <v>103</v>
      </c>
      <c r="AE30" s="1227"/>
      <c r="AF30" s="264"/>
      <c r="AG30" s="289" t="s">
        <v>103</v>
      </c>
      <c r="AH30" s="287"/>
      <c r="AI30" s="97"/>
      <c r="AJ30" s="287" t="s">
        <v>103</v>
      </c>
      <c r="AK30" s="268"/>
      <c r="AL30" s="374" t="s">
        <v>103</v>
      </c>
      <c r="AM30" s="1621"/>
      <c r="AN30" s="1621"/>
    </row>
    <row r="31" spans="1:40" s="291" customFormat="1">
      <c r="B31" s="350" t="s">
        <v>494</v>
      </c>
      <c r="E31" s="264">
        <v>0</v>
      </c>
      <c r="F31" s="264"/>
      <c r="G31" s="264">
        <v>0</v>
      </c>
      <c r="H31" s="264"/>
      <c r="I31" s="264">
        <v>0</v>
      </c>
      <c r="J31" s="264"/>
      <c r="K31" s="264">
        <f>$AD31-I31-G31-E31</f>
        <v>0</v>
      </c>
      <c r="L31" s="264"/>
      <c r="M31" s="264"/>
      <c r="N31" s="264"/>
      <c r="O31" s="264"/>
      <c r="P31" s="264"/>
      <c r="Q31" s="264"/>
      <c r="R31" s="264"/>
      <c r="S31" s="289"/>
      <c r="T31" s="289"/>
      <c r="U31" s="289"/>
      <c r="V31" s="264"/>
      <c r="W31" s="289"/>
      <c r="X31" s="264"/>
      <c r="Y31" s="289"/>
      <c r="Z31" s="264"/>
      <c r="AA31" s="289"/>
      <c r="AB31" s="264"/>
      <c r="AC31" s="523"/>
      <c r="AD31" s="531">
        <v>0</v>
      </c>
      <c r="AE31" s="264"/>
      <c r="AF31" s="524"/>
      <c r="AG31" s="531">
        <v>0</v>
      </c>
      <c r="AH31" s="287"/>
      <c r="AI31" s="97"/>
      <c r="AJ31" s="287">
        <f t="shared" si="0"/>
        <v>0</v>
      </c>
      <c r="AK31" s="268"/>
      <c r="AL31" s="374">
        <f>ROUND(IF(AG31=0,0,AJ31/ABS(AG31)),3)</f>
        <v>0</v>
      </c>
      <c r="AM31" s="1621"/>
      <c r="AN31" s="1621"/>
    </row>
    <row r="32" spans="1:40" s="291" customFormat="1">
      <c r="B32" s="350" t="s">
        <v>496</v>
      </c>
      <c r="E32" s="264">
        <v>0</v>
      </c>
      <c r="F32" s="289"/>
      <c r="G32" s="264">
        <v>0</v>
      </c>
      <c r="H32" s="289"/>
      <c r="I32" s="264">
        <v>0</v>
      </c>
      <c r="J32" s="289"/>
      <c r="K32" s="264">
        <f>$AD32-I32-G32-E32</f>
        <v>0</v>
      </c>
      <c r="L32" s="289"/>
      <c r="M32" s="264"/>
      <c r="N32" s="264"/>
      <c r="O32" s="264"/>
      <c r="P32" s="264"/>
      <c r="Q32" s="264"/>
      <c r="R32" s="264"/>
      <c r="S32" s="289"/>
      <c r="T32" s="289"/>
      <c r="U32" s="289"/>
      <c r="V32" s="264"/>
      <c r="W32" s="289"/>
      <c r="X32" s="264"/>
      <c r="Y32" s="289"/>
      <c r="Z32" s="264"/>
      <c r="AA32" s="289"/>
      <c r="AB32" s="264"/>
      <c r="AC32" s="523"/>
      <c r="AD32" s="531">
        <v>0</v>
      </c>
      <c r="AE32" s="264"/>
      <c r="AF32" s="524" t="s">
        <v>103</v>
      </c>
      <c r="AG32" s="531">
        <v>0</v>
      </c>
      <c r="AH32" s="287"/>
      <c r="AI32" s="97"/>
      <c r="AJ32" s="287">
        <f t="shared" si="0"/>
        <v>0</v>
      </c>
      <c r="AK32" s="268"/>
      <c r="AL32" s="374">
        <f>ROUND(IF(AG32=0,0,AJ32/ABS(AG32)),3)</f>
        <v>0</v>
      </c>
      <c r="AM32" s="1621"/>
      <c r="AN32" s="1621"/>
    </row>
    <row r="33" spans="1:40" s="291" customFormat="1">
      <c r="B33" s="350" t="s">
        <v>497</v>
      </c>
      <c r="E33" s="264">
        <v>0</v>
      </c>
      <c r="F33" s="264"/>
      <c r="G33" s="264">
        <v>0</v>
      </c>
      <c r="H33" s="264"/>
      <c r="I33" s="264">
        <v>0</v>
      </c>
      <c r="J33" s="264"/>
      <c r="K33" s="264">
        <f>$AD33-I33-G33-E33</f>
        <v>0</v>
      </c>
      <c r="L33" s="264"/>
      <c r="M33" s="264"/>
      <c r="N33" s="264"/>
      <c r="O33" s="264"/>
      <c r="P33" s="264"/>
      <c r="Q33" s="264"/>
      <c r="R33" s="264"/>
      <c r="S33" s="289"/>
      <c r="T33" s="289"/>
      <c r="U33" s="289"/>
      <c r="V33" s="264"/>
      <c r="W33" s="289"/>
      <c r="X33" s="264"/>
      <c r="Y33" s="289"/>
      <c r="Z33" s="264"/>
      <c r="AA33" s="289"/>
      <c r="AB33" s="264"/>
      <c r="AC33" s="523"/>
      <c r="AD33" s="531">
        <v>0</v>
      </c>
      <c r="AE33" s="264"/>
      <c r="AF33" s="524" t="s">
        <v>103</v>
      </c>
      <c r="AG33" s="531">
        <v>0</v>
      </c>
      <c r="AH33" s="287"/>
      <c r="AI33" s="97"/>
      <c r="AJ33" s="287">
        <f>ROUND(AD33-AG33,1)</f>
        <v>0</v>
      </c>
      <c r="AK33" s="268"/>
      <c r="AL33" s="374">
        <f>ROUND(IF(AG33=0,0,AJ33/ABS(AG33)),3)</f>
        <v>0</v>
      </c>
      <c r="AM33" s="1621"/>
      <c r="AN33" s="1621"/>
    </row>
    <row r="34" spans="1:40">
      <c r="A34" s="291"/>
      <c r="B34" s="350" t="s">
        <v>413</v>
      </c>
      <c r="C34" s="291"/>
      <c r="D34" s="291"/>
      <c r="E34" s="264">
        <v>0</v>
      </c>
      <c r="F34" s="264"/>
      <c r="G34" s="264">
        <v>0</v>
      </c>
      <c r="H34" s="264"/>
      <c r="I34" s="264">
        <v>0</v>
      </c>
      <c r="J34" s="264"/>
      <c r="K34" s="264">
        <f>$AD34-I34-G34-E34</f>
        <v>0</v>
      </c>
      <c r="L34" s="264"/>
      <c r="M34" s="264"/>
      <c r="N34" s="264"/>
      <c r="O34" s="264"/>
      <c r="P34" s="264"/>
      <c r="Q34" s="264"/>
      <c r="R34" s="264"/>
      <c r="S34" s="289"/>
      <c r="T34" s="289"/>
      <c r="U34" s="289"/>
      <c r="V34" s="264"/>
      <c r="W34" s="289"/>
      <c r="X34" s="264"/>
      <c r="Y34" s="289"/>
      <c r="Z34" s="264"/>
      <c r="AA34" s="289"/>
      <c r="AB34" s="264"/>
      <c r="AC34" s="523"/>
      <c r="AD34" s="531">
        <v>0</v>
      </c>
      <c r="AE34" s="264"/>
      <c r="AF34" s="524" t="s">
        <v>103</v>
      </c>
      <c r="AG34" s="531">
        <v>0</v>
      </c>
      <c r="AH34" s="287"/>
      <c r="AI34" s="97"/>
      <c r="AJ34" s="287">
        <f t="shared" si="0"/>
        <v>0</v>
      </c>
      <c r="AK34" s="41"/>
      <c r="AL34" s="266">
        <f>ROUND(IF(AG34=0,0,AJ34/ABS(AG34)),3)</f>
        <v>0</v>
      </c>
      <c r="AM34" s="1621"/>
      <c r="AN34" s="1621"/>
    </row>
    <row r="35" spans="1:40">
      <c r="A35" s="291"/>
      <c r="B35" s="350" t="s">
        <v>414</v>
      </c>
      <c r="C35" s="291"/>
      <c r="D35" s="291"/>
      <c r="E35" s="264"/>
      <c r="F35" s="264"/>
      <c r="G35" s="264"/>
      <c r="H35" s="264"/>
      <c r="I35" s="264"/>
      <c r="J35" s="264"/>
      <c r="K35" s="264"/>
      <c r="L35" s="264"/>
      <c r="M35" s="264"/>
      <c r="N35" s="264"/>
      <c r="O35" s="264"/>
      <c r="P35" s="264"/>
      <c r="Q35" s="264"/>
      <c r="R35" s="264"/>
      <c r="S35" s="289"/>
      <c r="T35" s="264"/>
      <c r="U35" s="289"/>
      <c r="V35" s="264"/>
      <c r="W35" s="289"/>
      <c r="X35" s="264"/>
      <c r="Y35" s="289"/>
      <c r="Z35" s="264"/>
      <c r="AA35" s="289"/>
      <c r="AB35" s="264"/>
      <c r="AC35" s="523"/>
      <c r="AD35" s="264" t="s">
        <v>103</v>
      </c>
      <c r="AE35" s="1227"/>
      <c r="AF35" s="264"/>
      <c r="AG35" s="264" t="s">
        <v>103</v>
      </c>
      <c r="AH35" s="287"/>
      <c r="AI35" s="97"/>
      <c r="AJ35" s="287" t="s">
        <v>103</v>
      </c>
      <c r="AK35" s="41"/>
      <c r="AL35" s="374" t="s">
        <v>103</v>
      </c>
      <c r="AM35" s="1621"/>
      <c r="AN35" s="1621"/>
    </row>
    <row r="36" spans="1:40">
      <c r="A36" s="291"/>
      <c r="B36" s="350" t="s">
        <v>498</v>
      </c>
      <c r="C36" s="291"/>
      <c r="D36" s="291"/>
      <c r="E36" s="264">
        <v>0</v>
      </c>
      <c r="F36" s="264"/>
      <c r="G36" s="264">
        <v>0</v>
      </c>
      <c r="H36" s="264"/>
      <c r="I36" s="264">
        <v>0</v>
      </c>
      <c r="J36" s="264"/>
      <c r="K36" s="264">
        <f t="shared" ref="K36:K41" si="3">$AD36-I36-G36-E36</f>
        <v>0</v>
      </c>
      <c r="L36" s="264"/>
      <c r="M36" s="264"/>
      <c r="N36" s="264"/>
      <c r="O36" s="264"/>
      <c r="P36" s="264"/>
      <c r="Q36" s="264"/>
      <c r="R36" s="264"/>
      <c r="S36" s="289"/>
      <c r="T36" s="289"/>
      <c r="U36" s="289"/>
      <c r="V36" s="264"/>
      <c r="W36" s="289"/>
      <c r="X36" s="264"/>
      <c r="Y36" s="289"/>
      <c r="Z36" s="264"/>
      <c r="AA36" s="289"/>
      <c r="AB36" s="264"/>
      <c r="AC36" s="523"/>
      <c r="AD36" s="531">
        <v>0</v>
      </c>
      <c r="AE36" s="264"/>
      <c r="AF36" s="524" t="s">
        <v>103</v>
      </c>
      <c r="AG36" s="531">
        <v>0</v>
      </c>
      <c r="AH36" s="287"/>
      <c r="AI36" s="97"/>
      <c r="AJ36" s="287">
        <f t="shared" si="0"/>
        <v>0</v>
      </c>
      <c r="AK36" s="41"/>
      <c r="AL36" s="374">
        <f t="shared" ref="AL36:AL40" si="4">ROUND(IF(AG36=0,0,AJ36/ABS(AG36)),3)</f>
        <v>0</v>
      </c>
      <c r="AM36" s="1621"/>
      <c r="AN36" s="1621"/>
    </row>
    <row r="37" spans="1:40">
      <c r="A37" s="291"/>
      <c r="B37" s="350" t="s">
        <v>500</v>
      </c>
      <c r="C37" s="291"/>
      <c r="D37" s="291"/>
      <c r="E37" s="264">
        <v>0</v>
      </c>
      <c r="F37" s="264"/>
      <c r="G37" s="264">
        <v>0</v>
      </c>
      <c r="H37" s="264"/>
      <c r="I37" s="264">
        <v>0</v>
      </c>
      <c r="J37" s="264"/>
      <c r="K37" s="264">
        <f t="shared" si="3"/>
        <v>0</v>
      </c>
      <c r="L37" s="264"/>
      <c r="M37" s="264"/>
      <c r="N37" s="264"/>
      <c r="O37" s="264"/>
      <c r="P37" s="264"/>
      <c r="Q37" s="264"/>
      <c r="R37" s="264"/>
      <c r="S37" s="289"/>
      <c r="T37" s="289"/>
      <c r="U37" s="289"/>
      <c r="V37" s="264"/>
      <c r="W37" s="289"/>
      <c r="X37" s="264"/>
      <c r="Y37" s="289"/>
      <c r="Z37" s="264"/>
      <c r="AA37" s="289"/>
      <c r="AB37" s="264"/>
      <c r="AC37" s="523"/>
      <c r="AD37" s="531">
        <v>0</v>
      </c>
      <c r="AE37" s="264"/>
      <c r="AF37" s="524" t="s">
        <v>103</v>
      </c>
      <c r="AG37" s="531">
        <v>0</v>
      </c>
      <c r="AH37" s="287"/>
      <c r="AI37" s="97"/>
      <c r="AJ37" s="287">
        <f t="shared" si="0"/>
        <v>0</v>
      </c>
      <c r="AK37" s="41"/>
      <c r="AL37" s="374">
        <f t="shared" si="4"/>
        <v>0</v>
      </c>
      <c r="AM37" s="1621"/>
      <c r="AN37" s="1621"/>
    </row>
    <row r="38" spans="1:40">
      <c r="A38" s="291"/>
      <c r="B38" s="350" t="s">
        <v>501</v>
      </c>
      <c r="C38" s="291"/>
      <c r="D38" s="291"/>
      <c r="E38" s="264">
        <v>0</v>
      </c>
      <c r="F38" s="264"/>
      <c r="G38" s="264">
        <v>0</v>
      </c>
      <c r="H38" s="264"/>
      <c r="I38" s="264">
        <v>0</v>
      </c>
      <c r="J38" s="264"/>
      <c r="K38" s="264">
        <f t="shared" si="3"/>
        <v>0</v>
      </c>
      <c r="L38" s="264"/>
      <c r="M38" s="264"/>
      <c r="N38" s="264"/>
      <c r="O38" s="264"/>
      <c r="P38" s="264"/>
      <c r="Q38" s="264"/>
      <c r="R38" s="264"/>
      <c r="S38" s="289"/>
      <c r="T38" s="289"/>
      <c r="U38" s="289"/>
      <c r="V38" s="264"/>
      <c r="W38" s="289"/>
      <c r="X38" s="264"/>
      <c r="Y38" s="289"/>
      <c r="Z38" s="264"/>
      <c r="AA38" s="289"/>
      <c r="AB38" s="264"/>
      <c r="AC38" s="523"/>
      <c r="AD38" s="531">
        <v>0</v>
      </c>
      <c r="AE38" s="264"/>
      <c r="AF38" s="524" t="s">
        <v>103</v>
      </c>
      <c r="AG38" s="531">
        <v>0</v>
      </c>
      <c r="AH38" s="287"/>
      <c r="AI38" s="97"/>
      <c r="AJ38" s="287">
        <f t="shared" si="0"/>
        <v>0</v>
      </c>
      <c r="AK38" s="41"/>
      <c r="AL38" s="374">
        <f>ROUND(IF(AG38=0,0,AJ38/ABS(AG38)),3)</f>
        <v>0</v>
      </c>
      <c r="AM38" s="1621"/>
      <c r="AN38" s="1621"/>
    </row>
    <row r="39" spans="1:40">
      <c r="A39" s="291"/>
      <c r="B39" s="350" t="s">
        <v>504</v>
      </c>
      <c r="C39" s="291"/>
      <c r="D39" s="291"/>
      <c r="E39" s="264">
        <v>0</v>
      </c>
      <c r="F39" s="264"/>
      <c r="G39" s="264">
        <v>0</v>
      </c>
      <c r="H39" s="264"/>
      <c r="I39" s="264">
        <v>0</v>
      </c>
      <c r="J39" s="264"/>
      <c r="K39" s="264">
        <f t="shared" si="3"/>
        <v>0</v>
      </c>
      <c r="L39" s="264"/>
      <c r="M39" s="264"/>
      <c r="N39" s="264"/>
      <c r="O39" s="264"/>
      <c r="P39" s="264"/>
      <c r="Q39" s="264"/>
      <c r="R39" s="264"/>
      <c r="S39" s="289"/>
      <c r="T39" s="289"/>
      <c r="U39" s="289"/>
      <c r="V39" s="264"/>
      <c r="W39" s="289"/>
      <c r="X39" s="264"/>
      <c r="Y39" s="289"/>
      <c r="Z39" s="264"/>
      <c r="AA39" s="289"/>
      <c r="AB39" s="264"/>
      <c r="AC39" s="523"/>
      <c r="AD39" s="531">
        <v>0</v>
      </c>
      <c r="AE39" s="264"/>
      <c r="AF39" s="524" t="s">
        <v>103</v>
      </c>
      <c r="AG39" s="531">
        <v>0</v>
      </c>
      <c r="AH39" s="287"/>
      <c r="AI39" s="97"/>
      <c r="AJ39" s="287">
        <f t="shared" si="0"/>
        <v>0</v>
      </c>
      <c r="AK39" s="41"/>
      <c r="AL39" s="374">
        <f t="shared" si="4"/>
        <v>0</v>
      </c>
      <c r="AM39" s="1621"/>
      <c r="AN39" s="1621"/>
    </row>
    <row r="40" spans="1:40">
      <c r="A40" s="291"/>
      <c r="B40" s="350" t="s">
        <v>505</v>
      </c>
      <c r="C40" s="291"/>
      <c r="D40" s="291"/>
      <c r="E40" s="264">
        <v>0</v>
      </c>
      <c r="F40" s="264"/>
      <c r="G40" s="264">
        <v>0</v>
      </c>
      <c r="H40" s="264"/>
      <c r="I40" s="264">
        <v>0</v>
      </c>
      <c r="J40" s="264"/>
      <c r="K40" s="264">
        <f t="shared" si="3"/>
        <v>0</v>
      </c>
      <c r="L40" s="264"/>
      <c r="M40" s="264"/>
      <c r="N40" s="264"/>
      <c r="O40" s="264"/>
      <c r="P40" s="264"/>
      <c r="Q40" s="264"/>
      <c r="R40" s="264"/>
      <c r="S40" s="289"/>
      <c r="T40" s="289"/>
      <c r="U40" s="289"/>
      <c r="V40" s="264"/>
      <c r="W40" s="289"/>
      <c r="X40" s="264"/>
      <c r="Y40" s="289"/>
      <c r="Z40" s="264"/>
      <c r="AA40" s="289"/>
      <c r="AB40" s="264"/>
      <c r="AC40" s="523"/>
      <c r="AD40" s="531">
        <v>0</v>
      </c>
      <c r="AE40" s="264"/>
      <c r="AF40" s="524" t="s">
        <v>103</v>
      </c>
      <c r="AG40" s="531">
        <v>0</v>
      </c>
      <c r="AH40" s="287"/>
      <c r="AI40" s="97"/>
      <c r="AJ40" s="287">
        <f t="shared" si="0"/>
        <v>0</v>
      </c>
      <c r="AK40" s="41"/>
      <c r="AL40" s="374">
        <f t="shared" si="4"/>
        <v>0</v>
      </c>
      <c r="AM40" s="1621"/>
      <c r="AN40" s="1621"/>
    </row>
    <row r="41" spans="1:40">
      <c r="A41" s="291"/>
      <c r="B41" s="350" t="s">
        <v>424</v>
      </c>
      <c r="C41" s="291"/>
      <c r="D41" s="291"/>
      <c r="E41" s="264">
        <v>0</v>
      </c>
      <c r="F41" s="264"/>
      <c r="G41" s="264">
        <v>0</v>
      </c>
      <c r="H41" s="264"/>
      <c r="I41" s="264">
        <v>0</v>
      </c>
      <c r="J41" s="264"/>
      <c r="K41" s="264">
        <f t="shared" si="3"/>
        <v>0</v>
      </c>
      <c r="L41" s="264"/>
      <c r="M41" s="264"/>
      <c r="N41" s="552"/>
      <c r="O41" s="264"/>
      <c r="P41" s="552"/>
      <c r="Q41" s="264"/>
      <c r="R41" s="552"/>
      <c r="S41" s="289"/>
      <c r="T41" s="552"/>
      <c r="U41" s="289"/>
      <c r="V41" s="552"/>
      <c r="W41" s="289"/>
      <c r="X41" s="552"/>
      <c r="Y41" s="289"/>
      <c r="Z41" s="552"/>
      <c r="AA41" s="289"/>
      <c r="AB41" s="264"/>
      <c r="AC41" s="523"/>
      <c r="AD41" s="531">
        <v>0</v>
      </c>
      <c r="AE41" s="264"/>
      <c r="AF41" s="524" t="s">
        <v>103</v>
      </c>
      <c r="AG41" s="531">
        <v>0.1</v>
      </c>
      <c r="AH41" s="287"/>
      <c r="AI41" s="97"/>
      <c r="AJ41" s="287">
        <f t="shared" si="0"/>
        <v>-0.1</v>
      </c>
      <c r="AK41" s="41"/>
      <c r="AL41" s="266">
        <f>ROUND(IF(AG41=0,0,AJ41/ABS(AG41)),3)</f>
        <v>-1</v>
      </c>
      <c r="AM41" s="1621"/>
      <c r="AN41" s="1621"/>
    </row>
    <row r="42" spans="1:40" s="3" customFormat="1" collapsed="1">
      <c r="B42" s="83" t="s">
        <v>426</v>
      </c>
      <c r="E42" s="68">
        <f>ROUND(SUM(E19:E41),1)</f>
        <v>0.1</v>
      </c>
      <c r="F42" s="13"/>
      <c r="G42" s="68">
        <f>ROUND(SUM(G19:G41),1)</f>
        <v>0.1</v>
      </c>
      <c r="H42" s="393"/>
      <c r="I42" s="68">
        <f>ROUND(SUM(I19:I41),1)</f>
        <v>0.1</v>
      </c>
      <c r="J42" s="13"/>
      <c r="K42" s="68">
        <f>ROUND(SUM(K19:K41),1)</f>
        <v>0</v>
      </c>
      <c r="L42" s="13"/>
      <c r="M42" s="68">
        <f>ROUND(SUM(M19:M41),1)</f>
        <v>0</v>
      </c>
      <c r="N42" s="13"/>
      <c r="O42" s="68">
        <f>ROUND(SUM(O19:O41),1)</f>
        <v>0</v>
      </c>
      <c r="P42" s="13"/>
      <c r="Q42" s="68">
        <f>ROUND(SUM(Q19:Q41),1)</f>
        <v>0</v>
      </c>
      <c r="R42" s="13"/>
      <c r="S42" s="68">
        <f>ROUND(SUM(S19:S41),1)</f>
        <v>0</v>
      </c>
      <c r="T42" s="13"/>
      <c r="U42" s="68">
        <f>ROUND(SUM(U19:U41),1)</f>
        <v>0</v>
      </c>
      <c r="V42" s="13"/>
      <c r="W42" s="68">
        <f>ROUND(SUM(W19:W41),1)</f>
        <v>0</v>
      </c>
      <c r="X42" s="13"/>
      <c r="Y42" s="68">
        <f>ROUND(SUM(Y19:Y41),1)</f>
        <v>0</v>
      </c>
      <c r="Z42" s="13"/>
      <c r="AA42" s="68">
        <f>ROUND(SUM(AA19:AA41),1)</f>
        <v>0</v>
      </c>
      <c r="AB42" s="13"/>
      <c r="AC42" s="14"/>
      <c r="AD42" s="68">
        <f>ROUND(SUM(AD19:AD41),1)</f>
        <v>0.3</v>
      </c>
      <c r="AE42" s="1229"/>
      <c r="AF42" s="13"/>
      <c r="AG42" s="68">
        <f>ROUND(SUM(AG19:AG41),1)</f>
        <v>0.8</v>
      </c>
      <c r="AH42" s="18"/>
      <c r="AI42" s="97"/>
      <c r="AJ42" s="68">
        <f>ROUND(SUM(AJ19:AJ41),1)</f>
        <v>-0.5</v>
      </c>
      <c r="AK42" s="40"/>
      <c r="AL42" s="1978">
        <f>ROUND(IF(AG42=0,1,AJ42/ABS(AG42)),3)</f>
        <v>-0.625</v>
      </c>
      <c r="AM42" s="1710"/>
      <c r="AN42" s="1710"/>
    </row>
    <row r="43" spans="1:40" s="12" customFormat="1">
      <c r="A43" s="264"/>
      <c r="B43" s="1070"/>
      <c r="C43" s="264"/>
      <c r="D43" s="264"/>
      <c r="E43" s="289"/>
      <c r="F43" s="264"/>
      <c r="G43" s="275"/>
      <c r="H43" s="264"/>
      <c r="I43" s="289"/>
      <c r="J43" s="264"/>
      <c r="K43" s="275"/>
      <c r="L43" s="264"/>
      <c r="M43" s="289"/>
      <c r="N43" s="264"/>
      <c r="O43" s="288"/>
      <c r="P43" s="264"/>
      <c r="Q43" s="289"/>
      <c r="R43" s="264"/>
      <c r="S43" s="288"/>
      <c r="T43" s="264"/>
      <c r="U43" s="288"/>
      <c r="V43" s="264"/>
      <c r="W43" s="289"/>
      <c r="X43" s="264"/>
      <c r="Y43" s="289"/>
      <c r="Z43" s="264"/>
      <c r="AA43" s="289"/>
      <c r="AB43" s="264"/>
      <c r="AC43" s="523"/>
      <c r="AD43" s="289"/>
      <c r="AE43" s="1227"/>
      <c r="AF43" s="523"/>
      <c r="AG43" s="289"/>
      <c r="AH43" s="287"/>
      <c r="AI43" s="97"/>
      <c r="AL43" s="96"/>
      <c r="AM43" s="1621"/>
      <c r="AN43" s="1621"/>
    </row>
    <row r="44" spans="1:40">
      <c r="A44" s="291"/>
      <c r="B44" s="291" t="s">
        <v>507</v>
      </c>
      <c r="C44" s="291"/>
      <c r="D44" s="291"/>
      <c r="E44" s="264">
        <v>87.6</v>
      </c>
      <c r="F44" s="264"/>
      <c r="G44" s="264">
        <v>135.6</v>
      </c>
      <c r="H44" s="264"/>
      <c r="I44" s="264">
        <v>155.5</v>
      </c>
      <c r="J44" s="264"/>
      <c r="K44" s="264">
        <f>$AD44-I44-G44-E44</f>
        <v>301.29999999999995</v>
      </c>
      <c r="L44" s="264"/>
      <c r="M44" s="264"/>
      <c r="N44" s="264"/>
      <c r="O44" s="264"/>
      <c r="P44" s="264"/>
      <c r="Q44" s="264"/>
      <c r="R44" s="264"/>
      <c r="S44" s="289"/>
      <c r="T44" s="289"/>
      <c r="U44" s="289"/>
      <c r="V44" s="264"/>
      <c r="W44" s="289"/>
      <c r="X44" s="264"/>
      <c r="Y44" s="289"/>
      <c r="Z44" s="264"/>
      <c r="AA44" s="289"/>
      <c r="AB44" s="264"/>
      <c r="AC44" s="523"/>
      <c r="AD44" s="531">
        <v>680</v>
      </c>
      <c r="AE44" s="264"/>
      <c r="AF44" s="524" t="s">
        <v>103</v>
      </c>
      <c r="AG44" s="531">
        <v>737.4</v>
      </c>
      <c r="AH44" s="287"/>
      <c r="AI44" s="98"/>
      <c r="AJ44" s="1060">
        <f>ROUND(AD44-AG44,1)</f>
        <v>-57.4</v>
      </c>
      <c r="AK44" s="41"/>
      <c r="AL44" s="1755">
        <f>ROUND(IF(AG44=0,0,AJ44/ABS(AG44)),3)</f>
        <v>-7.8E-2</v>
      </c>
      <c r="AM44" s="1621"/>
      <c r="AN44" s="1621"/>
    </row>
    <row r="45" spans="1:40">
      <c r="A45" s="291"/>
      <c r="B45" s="291"/>
      <c r="C45" s="291"/>
      <c r="D45" s="291"/>
      <c r="E45" s="615"/>
      <c r="F45" s="264"/>
      <c r="G45" s="615"/>
      <c r="H45" s="264"/>
      <c r="I45" s="615"/>
      <c r="J45" s="264"/>
      <c r="K45" s="615"/>
      <c r="L45" s="264"/>
      <c r="M45" s="615"/>
      <c r="N45" s="264"/>
      <c r="O45" s="615"/>
      <c r="P45" s="264"/>
      <c r="Q45" s="615"/>
      <c r="R45" s="264"/>
      <c r="S45" s="615"/>
      <c r="T45" s="264"/>
      <c r="U45" s="615"/>
      <c r="V45" s="264"/>
      <c r="W45" s="615"/>
      <c r="X45" s="264"/>
      <c r="Y45" s="615"/>
      <c r="Z45" s="264"/>
      <c r="AA45" s="615"/>
      <c r="AB45" s="264"/>
      <c r="AC45" s="523"/>
      <c r="AD45" s="615"/>
      <c r="AE45" s="1227"/>
      <c r="AF45" s="523"/>
      <c r="AG45" s="615"/>
      <c r="AH45" s="264"/>
      <c r="AI45" s="98"/>
      <c r="AJ45" s="12"/>
      <c r="AL45" s="96"/>
      <c r="AM45" s="1621"/>
      <c r="AN45" s="1621"/>
    </row>
    <row r="46" spans="1:40">
      <c r="A46" s="291"/>
      <c r="B46" s="3" t="s">
        <v>563</v>
      </c>
      <c r="C46" s="291"/>
      <c r="D46" s="291"/>
      <c r="E46" s="13">
        <f>ROUND(SUM(E42+E44),1)</f>
        <v>87.7</v>
      </c>
      <c r="F46" s="13"/>
      <c r="G46" s="13">
        <f>ROUND(SUM(G42+G44),1)</f>
        <v>135.69999999999999</v>
      </c>
      <c r="H46" s="13"/>
      <c r="I46" s="13">
        <f>ROUND(SUM(I42+I44),1)</f>
        <v>155.6</v>
      </c>
      <c r="J46" s="13"/>
      <c r="K46" s="13">
        <f>ROUND(SUM(K42+K44),1)</f>
        <v>301.3</v>
      </c>
      <c r="L46" s="13"/>
      <c r="M46" s="13">
        <f>ROUND(SUM(M42+M44),1)</f>
        <v>0</v>
      </c>
      <c r="N46" s="13"/>
      <c r="O46" s="13">
        <f>ROUND(SUM(O42+O44),1)</f>
        <v>0</v>
      </c>
      <c r="P46" s="13"/>
      <c r="Q46" s="13">
        <f>ROUND(SUM(Q42+Q44),1)</f>
        <v>0</v>
      </c>
      <c r="R46" s="13"/>
      <c r="S46" s="13">
        <f>ROUND(SUM(S42+S44),1)</f>
        <v>0</v>
      </c>
      <c r="T46" s="13"/>
      <c r="U46" s="13">
        <f>ROUND(SUM(U42+U44),1)</f>
        <v>0</v>
      </c>
      <c r="V46" s="13"/>
      <c r="W46" s="13">
        <f>ROUND(SUM(W42+W44),1)</f>
        <v>0</v>
      </c>
      <c r="X46" s="13"/>
      <c r="Y46" s="13">
        <f>ROUND(SUM(Y42+Y44),1)</f>
        <v>0</v>
      </c>
      <c r="Z46" s="13"/>
      <c r="AA46" s="13">
        <f>ROUND(SUM(AA42+AA44),1)</f>
        <v>0</v>
      </c>
      <c r="AB46" s="13"/>
      <c r="AC46" s="14"/>
      <c r="AD46" s="13">
        <f>ROUND(SUM(AD42+AD44),1)</f>
        <v>680.3</v>
      </c>
      <c r="AE46" s="1229"/>
      <c r="AF46" s="14"/>
      <c r="AG46" s="13">
        <f>ROUND(SUM(AG42+AG44),1)</f>
        <v>738.2</v>
      </c>
      <c r="AH46" s="18"/>
      <c r="AI46" s="98"/>
      <c r="AJ46" s="357">
        <f>ROUND(SUM(AJ42+AJ44),1)</f>
        <v>-57.9</v>
      </c>
      <c r="AK46" s="40"/>
      <c r="AL46" s="611">
        <f>ROUND(SUM(AD46-AG46)/ABS(AG46),3)</f>
        <v>-7.8E-2</v>
      </c>
      <c r="AM46" s="1710"/>
      <c r="AN46" s="1621"/>
    </row>
    <row r="47" spans="1:40">
      <c r="A47" s="291"/>
      <c r="B47" s="291"/>
      <c r="C47" s="291"/>
      <c r="D47" s="291"/>
      <c r="E47" s="615"/>
      <c r="F47" s="264"/>
      <c r="G47" s="615"/>
      <c r="H47" s="264"/>
      <c r="I47" s="615"/>
      <c r="J47" s="264"/>
      <c r="K47" s="615"/>
      <c r="L47" s="264"/>
      <c r="M47" s="615"/>
      <c r="N47" s="264"/>
      <c r="O47" s="615"/>
      <c r="P47" s="264"/>
      <c r="Q47" s="615"/>
      <c r="R47" s="264"/>
      <c r="S47" s="615"/>
      <c r="T47" s="264"/>
      <c r="U47" s="615"/>
      <c r="V47" s="264"/>
      <c r="W47" s="615"/>
      <c r="X47" s="264"/>
      <c r="Y47" s="615"/>
      <c r="Z47" s="264"/>
      <c r="AA47" s="615"/>
      <c r="AB47" s="264"/>
      <c r="AC47" s="523"/>
      <c r="AD47" s="615"/>
      <c r="AE47" s="1227"/>
      <c r="AF47" s="523"/>
      <c r="AG47" s="615"/>
      <c r="AH47" s="264"/>
      <c r="AI47" s="98"/>
      <c r="AJ47" s="12"/>
      <c r="AL47" s="96"/>
      <c r="AM47" s="1621"/>
      <c r="AN47" s="1621"/>
    </row>
    <row r="48" spans="1:40">
      <c r="A48" s="291"/>
      <c r="B48" s="3" t="s">
        <v>122</v>
      </c>
      <c r="C48" s="291"/>
      <c r="D48" s="291"/>
      <c r="E48" s="264"/>
      <c r="F48" s="264"/>
      <c r="G48" s="264"/>
      <c r="H48" s="264"/>
      <c r="I48" s="264"/>
      <c r="J48" s="264"/>
      <c r="K48" s="264"/>
      <c r="L48" s="264"/>
      <c r="M48" s="264"/>
      <c r="N48" s="264"/>
      <c r="O48" s="264"/>
      <c r="P48" s="264"/>
      <c r="Q48" s="264"/>
      <c r="R48" s="264"/>
      <c r="S48" s="264"/>
      <c r="T48" s="264"/>
      <c r="U48" s="264"/>
      <c r="V48" s="264"/>
      <c r="W48" s="264"/>
      <c r="X48" s="264"/>
      <c r="Y48" s="264"/>
      <c r="Z48" s="264"/>
      <c r="AA48" s="264"/>
      <c r="AB48" s="264"/>
      <c r="AC48" s="523"/>
      <c r="AD48" s="264"/>
      <c r="AE48" s="1227"/>
      <c r="AF48" s="523"/>
      <c r="AG48" s="264"/>
      <c r="AH48" s="264"/>
      <c r="AI48" s="98"/>
      <c r="AJ48" s="12"/>
      <c r="AL48" s="96"/>
      <c r="AM48" s="1621"/>
      <c r="AN48" s="1621"/>
    </row>
    <row r="49" spans="1:40">
      <c r="A49" s="291"/>
      <c r="B49" s="291" t="s">
        <v>451</v>
      </c>
      <c r="C49" s="291"/>
      <c r="D49" s="291"/>
      <c r="E49" s="289"/>
      <c r="F49" s="264"/>
      <c r="G49" s="264"/>
      <c r="H49" s="264"/>
      <c r="I49" s="264"/>
      <c r="J49" s="264"/>
      <c r="K49" s="264"/>
      <c r="L49" s="264"/>
      <c r="M49" s="264"/>
      <c r="N49" s="264"/>
      <c r="O49" s="264"/>
      <c r="P49" s="264"/>
      <c r="Q49" s="289"/>
      <c r="R49" s="264"/>
      <c r="S49" s="264"/>
      <c r="T49" s="264"/>
      <c r="U49" s="264"/>
      <c r="V49" s="264"/>
      <c r="W49" s="264"/>
      <c r="X49" s="264"/>
      <c r="Y49" s="264"/>
      <c r="Z49" s="264"/>
      <c r="AA49" s="264"/>
      <c r="AB49" s="264"/>
      <c r="AC49" s="523"/>
      <c r="AD49" s="264"/>
      <c r="AE49" s="1227"/>
      <c r="AF49" s="523"/>
      <c r="AG49" s="264"/>
      <c r="AH49" s="264"/>
      <c r="AI49" s="98"/>
      <c r="AJ49" s="12"/>
      <c r="AK49" s="41"/>
      <c r="AL49" s="96"/>
      <c r="AM49" s="1621"/>
      <c r="AN49" s="1621"/>
    </row>
    <row r="50" spans="1:40">
      <c r="A50" s="291"/>
      <c r="B50" s="291" t="s">
        <v>124</v>
      </c>
      <c r="C50" s="291"/>
      <c r="D50" s="291"/>
      <c r="E50" s="264">
        <v>0</v>
      </c>
      <c r="F50" s="264"/>
      <c r="G50" s="264">
        <v>0</v>
      </c>
      <c r="H50" s="264"/>
      <c r="I50" s="264">
        <v>0</v>
      </c>
      <c r="J50" s="264"/>
      <c r="K50" s="264">
        <f>$AD50-I50-G50-E50</f>
        <v>0</v>
      </c>
      <c r="L50" s="264"/>
      <c r="M50" s="264"/>
      <c r="N50" s="264"/>
      <c r="O50" s="264"/>
      <c r="P50" s="264"/>
      <c r="Q50" s="264"/>
      <c r="R50" s="264"/>
      <c r="S50" s="289"/>
      <c r="T50" s="289"/>
      <c r="U50" s="289"/>
      <c r="V50" s="264"/>
      <c r="W50" s="289"/>
      <c r="X50" s="289"/>
      <c r="Y50" s="289"/>
      <c r="Z50" s="264"/>
      <c r="AA50" s="289"/>
      <c r="AB50" s="264"/>
      <c r="AC50" s="523"/>
      <c r="AD50" s="531">
        <v>0</v>
      </c>
      <c r="AE50" s="264"/>
      <c r="AF50" s="524" t="s">
        <v>103</v>
      </c>
      <c r="AG50" s="531">
        <v>0</v>
      </c>
      <c r="AH50" s="287"/>
      <c r="AI50" s="97"/>
      <c r="AJ50" s="423">
        <f>ROUND(AD50-AG50,1)</f>
        <v>0</v>
      </c>
      <c r="AK50" s="41"/>
      <c r="AL50" s="374">
        <f>ROUND(IF(AG50=0,0,AJ50/ABS(AG50)),3)</f>
        <v>0</v>
      </c>
      <c r="AM50" s="1621"/>
      <c r="AN50" s="1621"/>
    </row>
    <row r="51" spans="1:40">
      <c r="A51" s="291"/>
      <c r="B51" s="291" t="s">
        <v>125</v>
      </c>
      <c r="C51" s="291"/>
      <c r="D51" s="291"/>
      <c r="E51" s="264">
        <v>0.2</v>
      </c>
      <c r="F51" s="264"/>
      <c r="G51" s="264">
        <v>0.49999999999999994</v>
      </c>
      <c r="H51" s="264"/>
      <c r="I51" s="264">
        <v>0</v>
      </c>
      <c r="J51" s="264"/>
      <c r="K51" s="264">
        <f>$AD51-I51-G51-E51</f>
        <v>0.7</v>
      </c>
      <c r="L51" s="264"/>
      <c r="M51" s="264"/>
      <c r="N51" s="264"/>
      <c r="O51" s="264"/>
      <c r="P51" s="264"/>
      <c r="Q51" s="264"/>
      <c r="R51" s="264"/>
      <c r="S51" s="289"/>
      <c r="T51" s="289"/>
      <c r="U51" s="289"/>
      <c r="V51" s="264"/>
      <c r="W51" s="289"/>
      <c r="X51" s="289"/>
      <c r="Y51" s="289"/>
      <c r="Z51" s="264"/>
      <c r="AA51" s="289"/>
      <c r="AB51" s="264"/>
      <c r="AC51" s="523"/>
      <c r="AD51" s="531">
        <v>1.4</v>
      </c>
      <c r="AE51" s="264"/>
      <c r="AF51" s="524" t="s">
        <v>103</v>
      </c>
      <c r="AG51" s="531">
        <v>0.1</v>
      </c>
      <c r="AH51" s="287"/>
      <c r="AI51" s="97"/>
      <c r="AJ51" s="423">
        <f>ROUND(AD51-AG51,1)</f>
        <v>1.3</v>
      </c>
      <c r="AK51" s="41"/>
      <c r="AL51" s="542">
        <f>ROUND(IF(AG51=0,1,AJ51/ABS(AG51)),3)</f>
        <v>13</v>
      </c>
      <c r="AM51" s="1621"/>
      <c r="AN51" s="1621"/>
    </row>
    <row r="52" spans="1:40">
      <c r="A52" s="291"/>
      <c r="B52" s="291" t="s">
        <v>126</v>
      </c>
      <c r="C52" s="291"/>
      <c r="D52" s="291"/>
      <c r="E52" s="264">
        <v>0</v>
      </c>
      <c r="F52" s="264"/>
      <c r="G52" s="264">
        <v>0</v>
      </c>
      <c r="H52" s="264"/>
      <c r="I52" s="264">
        <v>0</v>
      </c>
      <c r="J52" s="264"/>
      <c r="K52" s="264">
        <f>$AD52-I52-G52-E52</f>
        <v>0</v>
      </c>
      <c r="L52" s="264"/>
      <c r="M52" s="264"/>
      <c r="N52" s="264"/>
      <c r="O52" s="264"/>
      <c r="P52" s="264"/>
      <c r="Q52" s="264"/>
      <c r="R52" s="264"/>
      <c r="S52" s="289"/>
      <c r="T52" s="289"/>
      <c r="U52" s="289"/>
      <c r="V52" s="264"/>
      <c r="W52" s="289"/>
      <c r="X52" s="289"/>
      <c r="Y52" s="289"/>
      <c r="Z52" s="264"/>
      <c r="AA52" s="289"/>
      <c r="AB52" s="264"/>
      <c r="AC52" s="523"/>
      <c r="AD52" s="531">
        <v>0</v>
      </c>
      <c r="AE52" s="264"/>
      <c r="AF52" s="524" t="s">
        <v>103</v>
      </c>
      <c r="AG52" s="531">
        <v>0</v>
      </c>
      <c r="AH52" s="287"/>
      <c r="AI52" s="97"/>
      <c r="AJ52" s="423">
        <f>ROUND(AD52-AG52,1)</f>
        <v>0</v>
      </c>
      <c r="AL52" s="374">
        <f>ROUND(IF(AG52=0,0,AJ52/ABS(AG52)),3)</f>
        <v>0</v>
      </c>
      <c r="AM52" s="1621"/>
      <c r="AN52" s="1621"/>
    </row>
    <row r="53" spans="1:40">
      <c r="A53" s="291"/>
      <c r="B53" s="291" t="s">
        <v>127</v>
      </c>
      <c r="C53" s="291"/>
      <c r="D53" s="291"/>
      <c r="E53" s="264"/>
      <c r="F53" s="264"/>
      <c r="G53" s="264"/>
      <c r="H53" s="264"/>
      <c r="I53" s="264"/>
      <c r="J53" s="264"/>
      <c r="K53" s="264"/>
      <c r="L53" s="264"/>
      <c r="M53" s="264"/>
      <c r="N53" s="264"/>
      <c r="O53" s="264"/>
      <c r="P53" s="264"/>
      <c r="Q53" s="264"/>
      <c r="R53" s="264"/>
      <c r="S53" s="289"/>
      <c r="T53" s="289"/>
      <c r="U53" s="289"/>
      <c r="V53" s="264"/>
      <c r="W53" s="289"/>
      <c r="X53" s="289"/>
      <c r="Y53" s="289"/>
      <c r="Z53" s="264"/>
      <c r="AA53" s="289"/>
      <c r="AB53" s="264"/>
      <c r="AC53" s="523"/>
      <c r="AD53" s="531"/>
      <c r="AE53" s="264"/>
      <c r="AF53" s="524" t="s">
        <v>103</v>
      </c>
      <c r="AG53" s="512"/>
      <c r="AH53" s="264"/>
      <c r="AI53" s="98"/>
      <c r="AJ53" s="423"/>
      <c r="AK53" s="41"/>
      <c r="AL53" s="592" t="s">
        <v>103</v>
      </c>
      <c r="AM53" s="1621"/>
      <c r="AN53" s="1621"/>
    </row>
    <row r="54" spans="1:40">
      <c r="A54" s="291"/>
      <c r="B54" s="291" t="s">
        <v>129</v>
      </c>
      <c r="C54" s="291"/>
      <c r="D54" s="291"/>
      <c r="E54" s="264">
        <v>0</v>
      </c>
      <c r="F54" s="264"/>
      <c r="G54" s="264">
        <v>1.4</v>
      </c>
      <c r="H54" s="264"/>
      <c r="I54" s="264">
        <v>0</v>
      </c>
      <c r="J54" s="264"/>
      <c r="K54" s="264">
        <f>$AD54-I54-G54-E54</f>
        <v>7.6</v>
      </c>
      <c r="L54" s="264"/>
      <c r="M54" s="264"/>
      <c r="N54" s="264"/>
      <c r="O54" s="264"/>
      <c r="P54" s="264"/>
      <c r="Q54" s="264"/>
      <c r="R54" s="264"/>
      <c r="S54" s="289"/>
      <c r="T54" s="289"/>
      <c r="U54" s="289"/>
      <c r="V54" s="264"/>
      <c r="W54" s="289"/>
      <c r="X54" s="289"/>
      <c r="Y54" s="289"/>
      <c r="Z54" s="264"/>
      <c r="AA54" s="289"/>
      <c r="AB54" s="264"/>
      <c r="AC54" s="523"/>
      <c r="AD54" s="531">
        <v>9</v>
      </c>
      <c r="AE54" s="264"/>
      <c r="AF54" s="524" t="s">
        <v>103</v>
      </c>
      <c r="AG54" s="531">
        <v>2</v>
      </c>
      <c r="AH54" s="287"/>
      <c r="AI54" s="97"/>
      <c r="AJ54" s="423">
        <f t="shared" ref="AJ54:AJ58" si="5">ROUND(AD54-AG54,1)</f>
        <v>7</v>
      </c>
      <c r="AK54" s="41"/>
      <c r="AL54" s="542">
        <f>ROUND(IF(AG54=0,1,AJ54/ABS(AG54)),3)</f>
        <v>3.5</v>
      </c>
      <c r="AM54" s="1621"/>
      <c r="AN54" s="1621"/>
    </row>
    <row r="55" spans="1:40">
      <c r="A55" s="291"/>
      <c r="B55" s="291" t="s">
        <v>130</v>
      </c>
      <c r="C55" s="291"/>
      <c r="D55" s="291"/>
      <c r="E55" s="264">
        <v>0</v>
      </c>
      <c r="F55" s="264"/>
      <c r="G55" s="264">
        <v>0</v>
      </c>
      <c r="H55" s="264"/>
      <c r="I55" s="264">
        <v>0</v>
      </c>
      <c r="J55" s="264"/>
      <c r="K55" s="264">
        <f>$AD55-I55-G55-E55</f>
        <v>0</v>
      </c>
      <c r="L55" s="264"/>
      <c r="M55" s="264"/>
      <c r="N55" s="264"/>
      <c r="O55" s="264"/>
      <c r="P55" s="264"/>
      <c r="Q55" s="264"/>
      <c r="R55" s="264"/>
      <c r="S55" s="289"/>
      <c r="T55" s="289"/>
      <c r="U55" s="289"/>
      <c r="V55" s="264"/>
      <c r="W55" s="289"/>
      <c r="X55" s="289"/>
      <c r="Y55" s="289"/>
      <c r="Z55" s="264"/>
      <c r="AA55" s="289"/>
      <c r="AB55" s="264"/>
      <c r="AC55" s="523"/>
      <c r="AD55" s="531">
        <v>0</v>
      </c>
      <c r="AE55" s="264"/>
      <c r="AF55" s="524" t="s">
        <v>103</v>
      </c>
      <c r="AG55" s="531">
        <v>0</v>
      </c>
      <c r="AH55" s="287"/>
      <c r="AI55" s="97"/>
      <c r="AJ55" s="423">
        <f t="shared" si="5"/>
        <v>0</v>
      </c>
      <c r="AL55" s="542">
        <f>ROUND(IF(AG55=0,0,AJ55/ABS(AG55)),3)</f>
        <v>0</v>
      </c>
      <c r="AM55" s="1621"/>
      <c r="AN55" s="1621"/>
    </row>
    <row r="56" spans="1:40">
      <c r="A56" s="291"/>
      <c r="B56" s="291" t="s">
        <v>131</v>
      </c>
      <c r="C56" s="291"/>
      <c r="D56" s="291"/>
      <c r="E56" s="264">
        <v>0</v>
      </c>
      <c r="F56" s="264"/>
      <c r="G56" s="264">
        <v>0</v>
      </c>
      <c r="H56" s="264"/>
      <c r="I56" s="264">
        <v>0</v>
      </c>
      <c r="J56" s="264"/>
      <c r="K56" s="264">
        <f>$AD56-I56-G56-E56</f>
        <v>0</v>
      </c>
      <c r="L56" s="264"/>
      <c r="M56" s="264"/>
      <c r="N56" s="264"/>
      <c r="O56" s="264"/>
      <c r="P56" s="264"/>
      <c r="Q56" s="264"/>
      <c r="R56" s="264"/>
      <c r="S56" s="289"/>
      <c r="T56" s="289"/>
      <c r="U56" s="289"/>
      <c r="V56" s="264"/>
      <c r="W56" s="289"/>
      <c r="X56" s="289"/>
      <c r="Y56" s="289"/>
      <c r="Z56" s="264"/>
      <c r="AA56" s="289"/>
      <c r="AB56" s="264"/>
      <c r="AC56" s="523"/>
      <c r="AD56" s="531">
        <v>0</v>
      </c>
      <c r="AE56" s="264"/>
      <c r="AF56" s="524" t="s">
        <v>103</v>
      </c>
      <c r="AG56" s="531">
        <v>0</v>
      </c>
      <c r="AH56" s="264"/>
      <c r="AI56" s="98"/>
      <c r="AJ56" s="423">
        <f t="shared" si="5"/>
        <v>0</v>
      </c>
      <c r="AK56" s="41"/>
      <c r="AL56" s="374">
        <f>ROUND(IF(AG56=0,0,AJ56/ABS(AG56)),3)</f>
        <v>0</v>
      </c>
      <c r="AM56" s="1621"/>
      <c r="AN56" s="1621"/>
    </row>
    <row r="57" spans="1:40">
      <c r="A57" s="291"/>
      <c r="B57" s="291" t="s">
        <v>132</v>
      </c>
      <c r="C57" s="3"/>
      <c r="D57" s="291"/>
      <c r="E57" s="264">
        <v>9.8000000000000007</v>
      </c>
      <c r="F57" s="264"/>
      <c r="G57" s="264">
        <v>11.899999999999999</v>
      </c>
      <c r="H57" s="264"/>
      <c r="I57" s="264">
        <v>8.1000000000000014</v>
      </c>
      <c r="J57" s="264"/>
      <c r="K57" s="264">
        <f>$AD57-I57-G57-E57</f>
        <v>6.6999999999999993</v>
      </c>
      <c r="L57" s="264"/>
      <c r="M57" s="264"/>
      <c r="N57" s="264"/>
      <c r="O57" s="264"/>
      <c r="P57" s="264"/>
      <c r="Q57" s="264"/>
      <c r="R57" s="264"/>
      <c r="S57" s="289"/>
      <c r="T57" s="289"/>
      <c r="U57" s="289"/>
      <c r="V57" s="264"/>
      <c r="W57" s="289"/>
      <c r="X57" s="289"/>
      <c r="Y57" s="289"/>
      <c r="Z57" s="264"/>
      <c r="AA57" s="289"/>
      <c r="AB57" s="264"/>
      <c r="AC57" s="523"/>
      <c r="AD57" s="531">
        <v>36.5</v>
      </c>
      <c r="AE57" s="264"/>
      <c r="AF57" s="524" t="s">
        <v>103</v>
      </c>
      <c r="AG57" s="531">
        <v>3.7</v>
      </c>
      <c r="AH57" s="264"/>
      <c r="AI57" s="98"/>
      <c r="AJ57" s="423">
        <f t="shared" si="5"/>
        <v>32.799999999999997</v>
      </c>
      <c r="AL57" s="2006">
        <f>ROUND(IF(AG57=0,1,AJ57/ABS(AG57)),3)</f>
        <v>8.8650000000000002</v>
      </c>
      <c r="AM57" s="1621"/>
      <c r="AN57" s="1621"/>
    </row>
    <row r="58" spans="1:40">
      <c r="A58" s="291"/>
      <c r="B58" s="291" t="s">
        <v>133</v>
      </c>
      <c r="C58" s="291"/>
      <c r="D58" s="291"/>
      <c r="E58" s="264">
        <v>24.8</v>
      </c>
      <c r="F58" s="264"/>
      <c r="G58" s="264">
        <v>46.100000000000009</v>
      </c>
      <c r="H58" s="264"/>
      <c r="I58" s="264">
        <v>10.899999999999988</v>
      </c>
      <c r="J58" s="264"/>
      <c r="K58" s="264">
        <f>$AD58-I58-G58-E58</f>
        <v>25.300000000000008</v>
      </c>
      <c r="L58" s="264"/>
      <c r="M58" s="264"/>
      <c r="N58" s="264"/>
      <c r="O58" s="264"/>
      <c r="P58" s="264"/>
      <c r="Q58" s="264"/>
      <c r="R58" s="264"/>
      <c r="S58" s="289"/>
      <c r="T58" s="289"/>
      <c r="U58" s="289"/>
      <c r="V58" s="264"/>
      <c r="W58" s="289"/>
      <c r="X58" s="289"/>
      <c r="Y58" s="289"/>
      <c r="Z58" s="264"/>
      <c r="AA58" s="289"/>
      <c r="AB58" s="264"/>
      <c r="AC58" s="523"/>
      <c r="AD58" s="531">
        <v>107.10000000000001</v>
      </c>
      <c r="AE58" s="264"/>
      <c r="AF58" s="524" t="s">
        <v>103</v>
      </c>
      <c r="AG58" s="531">
        <v>78</v>
      </c>
      <c r="AH58" s="264"/>
      <c r="AI58" s="98"/>
      <c r="AJ58" s="423">
        <f t="shared" si="5"/>
        <v>29.1</v>
      </c>
      <c r="AL58" s="1756">
        <f>ROUND((AD58-AG58)/ABS(AG58),3)</f>
        <v>0.373</v>
      </c>
      <c r="AM58" s="1621"/>
      <c r="AN58" s="1621"/>
    </row>
    <row r="59" spans="1:40">
      <c r="A59" s="291"/>
      <c r="B59" s="3" t="s">
        <v>564</v>
      </c>
      <c r="C59" s="291"/>
      <c r="D59" s="291"/>
      <c r="E59" s="616">
        <f>ROUND(SUM(E50:E58),1)</f>
        <v>34.799999999999997</v>
      </c>
      <c r="F59" s="13"/>
      <c r="G59" s="616">
        <f>ROUND(SUM(G50:G58),1)</f>
        <v>59.9</v>
      </c>
      <c r="H59" s="13"/>
      <c r="I59" s="616">
        <f>ROUND(SUM(I50:I58),1)</f>
        <v>19</v>
      </c>
      <c r="J59" s="13"/>
      <c r="K59" s="616">
        <f>ROUND(SUM(K50:K58),1)</f>
        <v>40.299999999999997</v>
      </c>
      <c r="L59" s="13"/>
      <c r="M59" s="616">
        <f>ROUND(SUM(M50:M58),1)</f>
        <v>0</v>
      </c>
      <c r="N59" s="13"/>
      <c r="O59" s="616">
        <f>ROUND(SUM(O50:O58),1)</f>
        <v>0</v>
      </c>
      <c r="P59" s="13"/>
      <c r="Q59" s="616">
        <f>ROUND(SUM(Q50:Q58),1)</f>
        <v>0</v>
      </c>
      <c r="R59" s="13"/>
      <c r="S59" s="616">
        <f>ROUND(SUM(S50:S58),1)</f>
        <v>0</v>
      </c>
      <c r="T59" s="13"/>
      <c r="U59" s="616">
        <f>ROUND(SUM(U50:U58),1)</f>
        <v>0</v>
      </c>
      <c r="V59" s="13"/>
      <c r="W59" s="616">
        <f>ROUND(SUM(W50:W58),1)</f>
        <v>0</v>
      </c>
      <c r="X59" s="13"/>
      <c r="Y59" s="616">
        <f>ROUND(SUM(Y50:Y58),1)</f>
        <v>0</v>
      </c>
      <c r="Z59" s="13"/>
      <c r="AA59" s="616">
        <f>ROUND(SUM(AA50:AA58),1)</f>
        <v>0</v>
      </c>
      <c r="AB59" s="13"/>
      <c r="AC59" s="14"/>
      <c r="AD59" s="616">
        <f>ROUND(SUM(AD50:AD58),1)</f>
        <v>154</v>
      </c>
      <c r="AE59" s="1229"/>
      <c r="AF59" s="14"/>
      <c r="AG59" s="616">
        <f>ROUND(SUM(AG50:AG58),1)</f>
        <v>83.8</v>
      </c>
      <c r="AH59" s="13"/>
      <c r="AI59" s="98"/>
      <c r="AJ59" s="616">
        <f>ROUND(SUM(AJ50:AJ58),1)</f>
        <v>70.2</v>
      </c>
      <c r="AK59" s="3"/>
      <c r="AL59" s="922">
        <f>ROUND(SUM(AD59-AG59)/ABS(AG59),3)</f>
        <v>0.83799999999999997</v>
      </c>
      <c r="AM59" s="1710"/>
      <c r="AN59" s="1621"/>
    </row>
    <row r="60" spans="1:40">
      <c r="A60" s="291"/>
      <c r="B60" s="291" t="s">
        <v>565</v>
      </c>
      <c r="C60" s="291"/>
      <c r="D60" s="291"/>
      <c r="E60" s="264"/>
      <c r="F60" s="264"/>
      <c r="G60" s="264"/>
      <c r="H60" s="264"/>
      <c r="I60" s="264"/>
      <c r="J60" s="264"/>
      <c r="K60" s="264"/>
      <c r="L60" s="264"/>
      <c r="M60" s="264"/>
      <c r="N60" s="264"/>
      <c r="O60" s="264"/>
      <c r="P60" s="264"/>
      <c r="Q60" s="264"/>
      <c r="R60" s="264"/>
      <c r="S60" s="264"/>
      <c r="T60" s="264"/>
      <c r="U60" s="264"/>
      <c r="V60" s="264"/>
      <c r="W60" s="264"/>
      <c r="X60" s="264"/>
      <c r="Y60" s="264"/>
      <c r="Z60" s="264"/>
      <c r="AA60" s="264"/>
      <c r="AB60" s="264"/>
      <c r="AC60" s="523"/>
      <c r="AD60" s="264"/>
      <c r="AE60" s="1227"/>
      <c r="AF60" s="523"/>
      <c r="AG60" s="264"/>
      <c r="AH60" s="264"/>
      <c r="AI60" s="98"/>
      <c r="AJ60" s="12"/>
      <c r="AL60" s="96"/>
      <c r="AM60" s="1621"/>
      <c r="AN60" s="1621"/>
    </row>
    <row r="61" spans="1:40">
      <c r="A61" s="291"/>
      <c r="B61" s="291" t="s">
        <v>566</v>
      </c>
      <c r="C61" s="291"/>
      <c r="D61" s="291"/>
      <c r="E61" s="264">
        <v>0</v>
      </c>
      <c r="F61" s="264"/>
      <c r="G61" s="264">
        <v>0</v>
      </c>
      <c r="H61" s="264"/>
      <c r="I61" s="264">
        <v>0</v>
      </c>
      <c r="J61" s="264"/>
      <c r="K61" s="264">
        <f>$AD61-I61-G61-E61</f>
        <v>0</v>
      </c>
      <c r="L61" s="264"/>
      <c r="M61" s="264"/>
      <c r="N61" s="264"/>
      <c r="O61" s="264"/>
      <c r="P61" s="264"/>
      <c r="Q61" s="264"/>
      <c r="R61" s="264"/>
      <c r="S61" s="289"/>
      <c r="T61" s="289"/>
      <c r="U61" s="289"/>
      <c r="V61" s="264"/>
      <c r="W61" s="289"/>
      <c r="X61" s="264"/>
      <c r="Y61" s="289"/>
      <c r="Z61" s="264"/>
      <c r="AA61" s="289"/>
      <c r="AB61" s="264"/>
      <c r="AC61" s="523"/>
      <c r="AD61" s="264">
        <v>0</v>
      </c>
      <c r="AE61" s="1227"/>
      <c r="AF61" s="264"/>
      <c r="AG61" s="264">
        <v>0</v>
      </c>
      <c r="AH61" s="367"/>
      <c r="AI61" s="100"/>
      <c r="AJ61" s="423">
        <f>ROUND(AD61-AG61,1)</f>
        <v>0</v>
      </c>
      <c r="AL61" s="374">
        <f>ROUND(IF(AG61=0,0,AJ61/ABS(AG61)),3)</f>
        <v>0</v>
      </c>
      <c r="AM61" s="1621"/>
      <c r="AN61" s="1621"/>
    </row>
    <row r="62" spans="1:40">
      <c r="A62" s="291"/>
      <c r="B62" s="291" t="s">
        <v>567</v>
      </c>
      <c r="C62" s="291"/>
      <c r="D62" s="291"/>
      <c r="E62" s="264">
        <v>0</v>
      </c>
      <c r="F62" s="264"/>
      <c r="G62" s="264">
        <v>0</v>
      </c>
      <c r="H62" s="264"/>
      <c r="I62" s="264">
        <v>0</v>
      </c>
      <c r="J62" s="264"/>
      <c r="K62" s="264">
        <f>$AD62-I62-G62-E62</f>
        <v>0</v>
      </c>
      <c r="L62" s="264"/>
      <c r="M62" s="264"/>
      <c r="N62" s="264"/>
      <c r="O62" s="264"/>
      <c r="P62" s="264"/>
      <c r="Q62" s="264"/>
      <c r="R62" s="264"/>
      <c r="S62" s="289"/>
      <c r="T62" s="289"/>
      <c r="U62" s="289"/>
      <c r="V62" s="264"/>
      <c r="W62" s="289"/>
      <c r="X62" s="264"/>
      <c r="Y62" s="289"/>
      <c r="Z62" s="264"/>
      <c r="AA62" s="289"/>
      <c r="AB62" s="264"/>
      <c r="AC62" s="523"/>
      <c r="AD62" s="264">
        <v>0</v>
      </c>
      <c r="AE62" s="1227"/>
      <c r="AF62" s="264"/>
      <c r="AG62" s="264">
        <v>0</v>
      </c>
      <c r="AH62" s="367"/>
      <c r="AI62" s="100"/>
      <c r="AJ62" s="423">
        <f>ROUND(AD62-AG62,1)</f>
        <v>0</v>
      </c>
      <c r="AL62" s="374">
        <f>ROUND(IF(AG62=0,0,AJ62/ABS(AG62)),3)</f>
        <v>0</v>
      </c>
      <c r="AM62" s="1621"/>
      <c r="AN62" s="1621"/>
    </row>
    <row r="63" spans="1:40">
      <c r="A63" s="291"/>
      <c r="B63" s="291" t="s">
        <v>568</v>
      </c>
      <c r="C63" s="291"/>
      <c r="D63" s="291"/>
      <c r="E63" s="264">
        <v>0</v>
      </c>
      <c r="F63" s="264"/>
      <c r="G63" s="264">
        <v>0</v>
      </c>
      <c r="H63" s="264"/>
      <c r="I63" s="264">
        <v>0</v>
      </c>
      <c r="J63" s="264"/>
      <c r="K63" s="264">
        <f>$AD63-I63-G63-E63</f>
        <v>0</v>
      </c>
      <c r="L63" s="264"/>
      <c r="M63" s="264"/>
      <c r="N63" s="264"/>
      <c r="O63" s="264"/>
      <c r="P63" s="264"/>
      <c r="Q63" s="264"/>
      <c r="R63" s="264"/>
      <c r="S63" s="289"/>
      <c r="T63" s="289"/>
      <c r="U63" s="289"/>
      <c r="V63" s="264"/>
      <c r="W63" s="289"/>
      <c r="X63" s="264"/>
      <c r="Y63" s="289"/>
      <c r="Z63" s="264"/>
      <c r="AA63" s="289"/>
      <c r="AB63" s="264"/>
      <c r="AC63" s="523"/>
      <c r="AD63" s="264">
        <v>0</v>
      </c>
      <c r="AE63" s="1227"/>
      <c r="AF63" s="264"/>
      <c r="AG63" s="264">
        <v>0</v>
      </c>
      <c r="AH63" s="367"/>
      <c r="AI63" s="100"/>
      <c r="AJ63" s="423">
        <f>ROUND(AD63-AG63,1)</f>
        <v>0</v>
      </c>
      <c r="AL63" s="374">
        <f>ROUND(IF(AG63=0,0,AJ63/ABS(AG63)),3)</f>
        <v>0</v>
      </c>
      <c r="AM63" s="1621"/>
      <c r="AN63" s="1621"/>
    </row>
    <row r="64" spans="1:40">
      <c r="A64" s="291"/>
      <c r="B64" s="412" t="s">
        <v>583</v>
      </c>
      <c r="C64" s="291"/>
      <c r="D64" s="291"/>
      <c r="E64" s="264">
        <v>42.3</v>
      </c>
      <c r="F64" s="264"/>
      <c r="G64" s="264">
        <v>76.400000000000006</v>
      </c>
      <c r="H64" s="264"/>
      <c r="I64" s="264">
        <v>273.59999999999997</v>
      </c>
      <c r="J64" s="264"/>
      <c r="K64" s="264">
        <f>$AD64-I64-G64-E64</f>
        <v>193.80000000000007</v>
      </c>
      <c r="L64" s="264"/>
      <c r="M64" s="264"/>
      <c r="N64" s="264"/>
      <c r="O64" s="264"/>
      <c r="P64" s="264"/>
      <c r="Q64" s="264"/>
      <c r="R64" s="264"/>
      <c r="S64" s="289"/>
      <c r="T64" s="289"/>
      <c r="U64" s="289"/>
      <c r="V64" s="264"/>
      <c r="W64" s="289"/>
      <c r="X64" s="264"/>
      <c r="Y64" s="289"/>
      <c r="Z64" s="264"/>
      <c r="AA64" s="289"/>
      <c r="AB64" s="264"/>
      <c r="AC64" s="523"/>
      <c r="AD64" s="981">
        <v>586.1</v>
      </c>
      <c r="AE64" s="264"/>
      <c r="AF64" s="524" t="s">
        <v>103</v>
      </c>
      <c r="AG64" s="981">
        <v>660.9</v>
      </c>
      <c r="AH64" s="287"/>
      <c r="AI64" s="97"/>
      <c r="AJ64" s="1071">
        <f>ROUND(AD64-AG64,1)</f>
        <v>-74.8</v>
      </c>
      <c r="AL64" s="862">
        <f>ROUND(IF(AG64=0,0,AJ64/ABS(AG64)),3)</f>
        <v>-0.113</v>
      </c>
      <c r="AM64" s="1621"/>
      <c r="AN64" s="1621"/>
    </row>
    <row r="65" spans="1:40">
      <c r="A65" s="291"/>
      <c r="B65" s="291"/>
      <c r="C65" s="291"/>
      <c r="D65" s="291"/>
      <c r="E65" s="615"/>
      <c r="F65" s="264"/>
      <c r="G65" s="615"/>
      <c r="H65" s="264"/>
      <c r="I65" s="615"/>
      <c r="J65" s="264"/>
      <c r="K65" s="615"/>
      <c r="L65" s="264"/>
      <c r="M65" s="615"/>
      <c r="N65" s="264"/>
      <c r="O65" s="615"/>
      <c r="P65" s="264"/>
      <c r="Q65" s="615"/>
      <c r="R65" s="264"/>
      <c r="S65" s="615"/>
      <c r="T65" s="264"/>
      <c r="U65" s="615"/>
      <c r="V65" s="264"/>
      <c r="W65" s="615"/>
      <c r="X65" s="264"/>
      <c r="Y65" s="615"/>
      <c r="Z65" s="264"/>
      <c r="AA65" s="615"/>
      <c r="AB65" s="264"/>
      <c r="AC65" s="523"/>
      <c r="AD65" s="12"/>
      <c r="AE65" s="1227"/>
      <c r="AF65" s="523"/>
      <c r="AG65" s="12"/>
      <c r="AH65" s="12"/>
      <c r="AI65" s="98"/>
      <c r="AJ65" s="12"/>
      <c r="AL65" s="96"/>
      <c r="AM65" s="1621"/>
      <c r="AN65" s="1621"/>
    </row>
    <row r="66" spans="1:40">
      <c r="A66" s="291"/>
      <c r="B66" s="3" t="s">
        <v>569</v>
      </c>
      <c r="C66" s="291"/>
      <c r="D66" s="291"/>
      <c r="E66" s="13">
        <f>ROUND(SUM(E59:E64),1)</f>
        <v>77.099999999999994</v>
      </c>
      <c r="F66" s="13"/>
      <c r="G66" s="13">
        <f>ROUND(SUM(G59:G64),1)</f>
        <v>136.30000000000001</v>
      </c>
      <c r="H66" s="13"/>
      <c r="I66" s="13">
        <f>ROUND(SUM(I59:I64),1)</f>
        <v>292.60000000000002</v>
      </c>
      <c r="J66" s="13"/>
      <c r="K66" s="13">
        <f>ROUND(SUM(K59:K64),1)</f>
        <v>234.1</v>
      </c>
      <c r="L66" s="13"/>
      <c r="M66" s="13">
        <f>ROUND(SUM(M59:M64),1)</f>
        <v>0</v>
      </c>
      <c r="N66" s="13"/>
      <c r="O66" s="13">
        <f>ROUND(SUM(O59:O64),1)</f>
        <v>0</v>
      </c>
      <c r="P66" s="13"/>
      <c r="Q66" s="13">
        <f>ROUND(SUM(Q59:Q64),1)</f>
        <v>0</v>
      </c>
      <c r="R66" s="13"/>
      <c r="S66" s="13">
        <f>ROUND(SUM(S59:S64),1)</f>
        <v>0</v>
      </c>
      <c r="T66" s="13"/>
      <c r="U66" s="13">
        <f>ROUND(SUM(U59:U64),1)</f>
        <v>0</v>
      </c>
      <c r="V66" s="13"/>
      <c r="W66" s="13">
        <f>ROUND(SUM(W59:W64),1)</f>
        <v>0</v>
      </c>
      <c r="X66" s="13"/>
      <c r="Y66" s="13">
        <f>ROUND(SUM(Y59:Y64),1)</f>
        <v>0</v>
      </c>
      <c r="Z66" s="13"/>
      <c r="AA66" s="13">
        <f>ROUND(SUM(AA59:AA64),1)</f>
        <v>0</v>
      </c>
      <c r="AB66" s="13"/>
      <c r="AC66" s="14"/>
      <c r="AD66" s="13">
        <f>ROUND(SUM(AD59:AD64),1)</f>
        <v>740.1</v>
      </c>
      <c r="AE66" s="1229"/>
      <c r="AF66" s="14"/>
      <c r="AG66" s="13">
        <f>ROUND(SUM(AG59:AG64),1)</f>
        <v>744.7</v>
      </c>
      <c r="AH66" s="13"/>
      <c r="AI66" s="98"/>
      <c r="AJ66" s="357">
        <f>ROUND(AD66-AG66,1)</f>
        <v>-4.5999999999999996</v>
      </c>
      <c r="AK66" s="3"/>
      <c r="AL66" s="611">
        <f>ROUND(SUM(AD66-AG66)/ABS(AG66),3)</f>
        <v>-6.0000000000000001E-3</v>
      </c>
      <c r="AM66" s="1621"/>
      <c r="AN66" s="1621"/>
    </row>
    <row r="67" spans="1:40">
      <c r="A67" s="291"/>
      <c r="B67" s="291"/>
      <c r="C67" s="291"/>
      <c r="D67" s="291"/>
      <c r="E67" s="615"/>
      <c r="F67" s="264"/>
      <c r="G67" s="615"/>
      <c r="H67" s="264"/>
      <c r="I67" s="615"/>
      <c r="J67" s="264"/>
      <c r="K67" s="615"/>
      <c r="L67" s="264"/>
      <c r="M67" s="615"/>
      <c r="N67" s="264"/>
      <c r="O67" s="615"/>
      <c r="P67" s="264"/>
      <c r="Q67" s="615"/>
      <c r="R67" s="264"/>
      <c r="S67" s="615"/>
      <c r="T67" s="264"/>
      <c r="U67" s="615"/>
      <c r="V67" s="264"/>
      <c r="W67" s="615"/>
      <c r="X67" s="264"/>
      <c r="Y67" s="615"/>
      <c r="Z67" s="264"/>
      <c r="AA67" s="615"/>
      <c r="AB67" s="264"/>
      <c r="AC67" s="523"/>
      <c r="AD67" s="615"/>
      <c r="AE67" s="1227"/>
      <c r="AF67" s="523"/>
      <c r="AG67" s="615"/>
      <c r="AH67" s="264"/>
      <c r="AI67" s="98"/>
      <c r="AJ67" s="12"/>
      <c r="AL67" s="96"/>
      <c r="AM67" s="1621"/>
      <c r="AN67" s="1621"/>
    </row>
    <row r="68" spans="1:40">
      <c r="A68" s="291"/>
      <c r="B68" s="3" t="s">
        <v>570</v>
      </c>
      <c r="C68" s="291"/>
      <c r="D68" s="291"/>
      <c r="E68" s="264"/>
      <c r="F68" s="264"/>
      <c r="G68" s="264"/>
      <c r="H68" s="264"/>
      <c r="I68" s="264"/>
      <c r="J68" s="264"/>
      <c r="K68" s="264"/>
      <c r="L68" s="264"/>
      <c r="M68" s="264"/>
      <c r="N68" s="264"/>
      <c r="O68" s="264"/>
      <c r="P68" s="264"/>
      <c r="Q68" s="264"/>
      <c r="R68" s="264"/>
      <c r="S68" s="264"/>
      <c r="T68" s="264"/>
      <c r="U68" s="264"/>
      <c r="V68" s="264"/>
      <c r="W68" s="264"/>
      <c r="X68" s="264"/>
      <c r="Y68" s="264"/>
      <c r="Z68" s="264"/>
      <c r="AA68" s="264"/>
      <c r="AB68" s="264"/>
      <c r="AC68" s="523"/>
      <c r="AD68" s="12"/>
      <c r="AE68" s="1227"/>
      <c r="AF68" s="264"/>
      <c r="AG68" s="12"/>
      <c r="AH68" s="12"/>
      <c r="AI68" s="98"/>
      <c r="AJ68" s="12"/>
      <c r="AL68" s="96"/>
      <c r="AM68" s="1621"/>
      <c r="AN68" s="1621"/>
    </row>
    <row r="69" spans="1:40">
      <c r="A69" s="291"/>
      <c r="B69" s="3" t="s">
        <v>571</v>
      </c>
      <c r="C69" s="291"/>
      <c r="D69" s="291"/>
      <c r="E69" s="13">
        <f>ROUND(E46-E66,1)</f>
        <v>10.6</v>
      </c>
      <c r="F69" s="13"/>
      <c r="G69" s="13">
        <f>ROUND(G46-G66,1)</f>
        <v>-0.6</v>
      </c>
      <c r="H69" s="13"/>
      <c r="I69" s="13">
        <f>ROUND(I46-I66,1)</f>
        <v>-137</v>
      </c>
      <c r="J69" s="13"/>
      <c r="K69" s="13">
        <f>ROUND(K46-K66,1)</f>
        <v>67.2</v>
      </c>
      <c r="L69" s="13"/>
      <c r="M69" s="13">
        <f>ROUND(M46-M66,1)</f>
        <v>0</v>
      </c>
      <c r="N69" s="13"/>
      <c r="O69" s="13">
        <f>ROUND(O46-O66,1)</f>
        <v>0</v>
      </c>
      <c r="P69" s="13"/>
      <c r="Q69" s="13">
        <f>ROUND(Q46-Q66,1)</f>
        <v>0</v>
      </c>
      <c r="R69" s="13"/>
      <c r="S69" s="13">
        <f>ROUND(S46-S66,1)</f>
        <v>0</v>
      </c>
      <c r="T69" s="13"/>
      <c r="U69" s="13">
        <f>ROUND(U46-U66,1)</f>
        <v>0</v>
      </c>
      <c r="V69" s="13"/>
      <c r="W69" s="13">
        <f>ROUND(W46-W66,1)</f>
        <v>0</v>
      </c>
      <c r="X69" s="13"/>
      <c r="Y69" s="13">
        <f>ROUND(Y46-Y66,1)</f>
        <v>0</v>
      </c>
      <c r="Z69" s="13"/>
      <c r="AA69" s="13">
        <f>ROUND(AA46-AA66,1)</f>
        <v>0</v>
      </c>
      <c r="AB69" s="13"/>
      <c r="AC69" s="14"/>
      <c r="AD69" s="13">
        <f>ROUND(AD46-AD66,1)</f>
        <v>-59.8</v>
      </c>
      <c r="AE69" s="1229"/>
      <c r="AF69" s="14"/>
      <c r="AG69" s="13">
        <f>ROUND(AG46-AG66,1)</f>
        <v>-6.5</v>
      </c>
      <c r="AH69" s="13"/>
      <c r="AI69" s="98"/>
      <c r="AJ69" s="357">
        <f>ROUND(AD69-AG69,1)</f>
        <v>-53.3</v>
      </c>
      <c r="AK69" s="3"/>
      <c r="AL69" s="539">
        <f>ROUND(SUM(AD69-AG69)/ABS(AG69),3)</f>
        <v>-8.1999999999999993</v>
      </c>
      <c r="AM69" s="1621"/>
      <c r="AN69" s="1621"/>
    </row>
    <row r="70" spans="1:40">
      <c r="A70" s="291"/>
      <c r="B70" s="291"/>
      <c r="C70" s="291"/>
      <c r="D70" s="291"/>
      <c r="E70" s="615"/>
      <c r="F70" s="264"/>
      <c r="G70" s="615"/>
      <c r="H70" s="264"/>
      <c r="I70" s="615"/>
      <c r="J70" s="264"/>
      <c r="K70" s="615"/>
      <c r="L70" s="264"/>
      <c r="M70" s="615"/>
      <c r="N70" s="264"/>
      <c r="O70" s="615"/>
      <c r="P70" s="264"/>
      <c r="Q70" s="615"/>
      <c r="R70" s="264"/>
      <c r="S70" s="615"/>
      <c r="T70" s="264"/>
      <c r="U70" s="615"/>
      <c r="V70" s="264"/>
      <c r="W70" s="615"/>
      <c r="X70" s="264"/>
      <c r="Y70" s="615"/>
      <c r="Z70" s="264"/>
      <c r="AA70" s="615"/>
      <c r="AB70" s="264"/>
      <c r="AC70" s="523"/>
      <c r="AD70" s="615"/>
      <c r="AE70" s="1227"/>
      <c r="AF70" s="523"/>
      <c r="AG70" s="615"/>
      <c r="AH70" s="264"/>
      <c r="AI70" s="98"/>
      <c r="AJ70" s="12"/>
      <c r="AL70" s="96"/>
      <c r="AM70" s="1621"/>
      <c r="AN70" s="1621"/>
    </row>
    <row r="71" spans="1:40">
      <c r="A71" s="291"/>
      <c r="B71" s="3" t="s">
        <v>572</v>
      </c>
      <c r="C71" s="291"/>
      <c r="D71" s="291"/>
      <c r="E71" s="264"/>
      <c r="F71" s="264"/>
      <c r="G71" s="264"/>
      <c r="H71" s="264"/>
      <c r="I71" s="264"/>
      <c r="J71" s="264"/>
      <c r="K71" s="264"/>
      <c r="L71" s="264"/>
      <c r="M71" s="264"/>
      <c r="N71" s="264"/>
      <c r="O71" s="264"/>
      <c r="P71" s="264"/>
      <c r="Q71" s="264"/>
      <c r="R71" s="264"/>
      <c r="S71" s="264"/>
      <c r="T71" s="264"/>
      <c r="U71" s="264"/>
      <c r="V71" s="264"/>
      <c r="W71" s="264"/>
      <c r="X71" s="264"/>
      <c r="Y71" s="264"/>
      <c r="Z71" s="264"/>
      <c r="AA71" s="264"/>
      <c r="AB71" s="264"/>
      <c r="AC71" s="523"/>
      <c r="AD71" s="367"/>
      <c r="AE71" s="1227"/>
      <c r="AF71" s="523"/>
      <c r="AG71" s="367"/>
      <c r="AH71" s="367"/>
      <c r="AI71" s="100"/>
      <c r="AJ71" s="12"/>
      <c r="AL71" s="96"/>
      <c r="AM71" s="1621"/>
      <c r="AN71" s="1621"/>
    </row>
    <row r="72" spans="1:40">
      <c r="A72" s="291"/>
      <c r="B72" s="412" t="s">
        <v>584</v>
      </c>
      <c r="C72" s="291"/>
      <c r="D72" s="291"/>
      <c r="E72" s="264">
        <v>0</v>
      </c>
      <c r="F72" s="264"/>
      <c r="G72" s="264">
        <v>0</v>
      </c>
      <c r="H72" s="264"/>
      <c r="I72" s="264">
        <v>0</v>
      </c>
      <c r="J72" s="264"/>
      <c r="K72" s="264">
        <f>$AD72-I72-G72-E72</f>
        <v>0</v>
      </c>
      <c r="L72" s="264"/>
      <c r="M72" s="264"/>
      <c r="N72" s="264"/>
      <c r="O72" s="264"/>
      <c r="P72" s="264"/>
      <c r="Q72" s="264"/>
      <c r="R72" s="264"/>
      <c r="S72" s="289"/>
      <c r="T72" s="289"/>
      <c r="U72" s="289"/>
      <c r="V72" s="264"/>
      <c r="W72" s="289"/>
      <c r="X72" s="264"/>
      <c r="Y72" s="289"/>
      <c r="Z72" s="264"/>
      <c r="AA72" s="289"/>
      <c r="AB72" s="264"/>
      <c r="AC72" s="523"/>
      <c r="AD72" s="531">
        <v>0</v>
      </c>
      <c r="AE72" s="287"/>
      <c r="AF72" s="1757"/>
      <c r="AG72" s="531">
        <v>0</v>
      </c>
      <c r="AH72" s="287"/>
      <c r="AI72" s="97"/>
      <c r="AJ72" s="1072">
        <f>ROUND(AD72-AG72,1)</f>
        <v>0</v>
      </c>
      <c r="AL72" s="374">
        <f>ROUND(IF(AG72=0,0,AJ72/ABS(AG72)),3)</f>
        <v>0</v>
      </c>
      <c r="AM72" s="1621"/>
      <c r="AN72" s="1621"/>
    </row>
    <row r="73" spans="1:40">
      <c r="A73" s="291"/>
      <c r="B73" s="412" t="s">
        <v>585</v>
      </c>
      <c r="C73" s="291"/>
      <c r="D73" s="291"/>
      <c r="E73" s="264">
        <v>0</v>
      </c>
      <c r="F73" s="264"/>
      <c r="G73" s="264">
        <v>0</v>
      </c>
      <c r="H73" s="264"/>
      <c r="I73" s="264">
        <v>0</v>
      </c>
      <c r="J73" s="264"/>
      <c r="K73" s="264">
        <f>$AD73-I73-G73-E73</f>
        <v>-0.2</v>
      </c>
      <c r="L73" s="264"/>
      <c r="M73" s="264"/>
      <c r="N73" s="264"/>
      <c r="O73" s="264"/>
      <c r="P73" s="264"/>
      <c r="Q73" s="264"/>
      <c r="R73" s="264"/>
      <c r="S73" s="289"/>
      <c r="T73" s="289"/>
      <c r="U73" s="289"/>
      <c r="V73" s="264"/>
      <c r="W73" s="289"/>
      <c r="X73" s="264"/>
      <c r="Y73" s="289"/>
      <c r="Z73" s="289"/>
      <c r="AA73" s="289"/>
      <c r="AB73" s="264"/>
      <c r="AC73" s="523"/>
      <c r="AD73" s="981">
        <v>-0.2</v>
      </c>
      <c r="AE73" s="287"/>
      <c r="AF73" s="1757"/>
      <c r="AG73" s="981">
        <v>-0.2</v>
      </c>
      <c r="AH73" s="264"/>
      <c r="AI73" s="98"/>
      <c r="AJ73" s="1071">
        <f>-ROUND(AD73-AG73,1)</f>
        <v>0</v>
      </c>
      <c r="AL73" s="374">
        <f>ROUND(IF(AG73=0,0,AJ73/ABS(AG73)),3)</f>
        <v>0</v>
      </c>
      <c r="AM73" s="1621"/>
      <c r="AN73" s="1621"/>
    </row>
    <row r="74" spans="1:40">
      <c r="A74" s="291"/>
      <c r="B74" s="291"/>
      <c r="C74" s="291"/>
      <c r="D74" s="291"/>
      <c r="E74" s="615"/>
      <c r="F74" s="264"/>
      <c r="G74" s="615"/>
      <c r="H74" s="264"/>
      <c r="I74" s="615"/>
      <c r="J74" s="264"/>
      <c r="K74" s="615"/>
      <c r="L74" s="264"/>
      <c r="M74" s="615"/>
      <c r="N74" s="264"/>
      <c r="O74" s="615"/>
      <c r="P74" s="264"/>
      <c r="Q74" s="615"/>
      <c r="R74" s="264"/>
      <c r="S74" s="615"/>
      <c r="T74" s="264"/>
      <c r="U74" s="615"/>
      <c r="V74" s="264"/>
      <c r="W74" s="617"/>
      <c r="X74" s="264"/>
      <c r="Y74" s="615"/>
      <c r="Z74" s="264"/>
      <c r="AA74" s="615"/>
      <c r="AB74" s="264"/>
      <c r="AC74" s="523"/>
      <c r="AD74" s="12"/>
      <c r="AE74" s="1227"/>
      <c r="AF74" s="523"/>
      <c r="AG74" s="12"/>
      <c r="AH74" s="12"/>
      <c r="AI74" s="98"/>
      <c r="AJ74" s="1758"/>
      <c r="AK74" s="1759"/>
      <c r="AL74" s="1760"/>
      <c r="AM74" s="1621"/>
      <c r="AN74" s="1621"/>
    </row>
    <row r="75" spans="1:40">
      <c r="A75" s="291"/>
      <c r="B75" s="3" t="s">
        <v>586</v>
      </c>
      <c r="C75" s="291"/>
      <c r="D75" s="291"/>
      <c r="E75" s="16">
        <f>ROUND(SUM(E72:E74),1)</f>
        <v>0</v>
      </c>
      <c r="F75" s="264"/>
      <c r="G75" s="16">
        <v>0</v>
      </c>
      <c r="H75" s="264"/>
      <c r="I75" s="16">
        <f>ROUND(SUM(I72:I74),1)</f>
        <v>0</v>
      </c>
      <c r="J75" s="264"/>
      <c r="K75" s="16">
        <f>ROUND(SUM(K72:K74),1)</f>
        <v>-0.2</v>
      </c>
      <c r="L75" s="264"/>
      <c r="M75" s="16">
        <f>ROUND(SUM(M72:M74),1)</f>
        <v>0</v>
      </c>
      <c r="N75" s="264"/>
      <c r="O75" s="16">
        <f>ROUND(SUM(O72:O74),1)</f>
        <v>0</v>
      </c>
      <c r="P75" s="264"/>
      <c r="Q75" s="16">
        <f>ROUND(SUM(Q72:Q74),1)</f>
        <v>0</v>
      </c>
      <c r="R75" s="367"/>
      <c r="S75" s="16">
        <f>ROUND(SUM(S72:S74),1)</f>
        <v>0</v>
      </c>
      <c r="T75" s="264"/>
      <c r="U75" s="16">
        <f>ROUND(SUM(U72:U74),1)</f>
        <v>0</v>
      </c>
      <c r="V75" s="264"/>
      <c r="W75" s="16">
        <f>ROUND(SUM(W72:W74),1)</f>
        <v>0</v>
      </c>
      <c r="X75" s="264"/>
      <c r="Y75" s="16">
        <f>ROUND(SUM(Y72:Y74),1)</f>
        <v>0</v>
      </c>
      <c r="Z75" s="287"/>
      <c r="AA75" s="16">
        <f>ROUND(SUM(AA72:AA74),1)</f>
        <v>0</v>
      </c>
      <c r="AB75" s="264"/>
      <c r="AC75" s="523"/>
      <c r="AD75" s="16">
        <f>ROUND(SUM(AD72:AD74),1)</f>
        <v>-0.2</v>
      </c>
      <c r="AE75" s="1227"/>
      <c r="AF75" s="523"/>
      <c r="AG75" s="16">
        <f>ROUND(SUM(AG72:AG74),1)</f>
        <v>-0.2</v>
      </c>
      <c r="AH75" s="264"/>
      <c r="AI75" s="98"/>
      <c r="AJ75" s="16">
        <f>ROUND(SUM(AD75-AG75),1)</f>
        <v>0</v>
      </c>
      <c r="AK75" s="1759"/>
      <c r="AL75" s="539">
        <f>ROUND(IF(AG75=0,0,AJ75/ABS(AG75)),3)</f>
        <v>0</v>
      </c>
      <c r="AM75" s="1621"/>
      <c r="AN75" s="1621"/>
    </row>
    <row r="76" spans="1:40">
      <c r="A76" s="291"/>
      <c r="B76" s="291"/>
      <c r="C76" s="291"/>
      <c r="D76" s="291"/>
      <c r="E76" s="615"/>
      <c r="F76" s="264"/>
      <c r="G76" s="615"/>
      <c r="H76" s="264"/>
      <c r="I76" s="615"/>
      <c r="J76" s="264"/>
      <c r="K76" s="615"/>
      <c r="L76" s="264"/>
      <c r="M76" s="615"/>
      <c r="N76" s="264"/>
      <c r="O76" s="615"/>
      <c r="P76" s="264"/>
      <c r="Q76" s="615"/>
      <c r="R76" s="264"/>
      <c r="S76" s="615"/>
      <c r="T76" s="264"/>
      <c r="U76" s="615"/>
      <c r="V76" s="264"/>
      <c r="W76" s="615"/>
      <c r="X76" s="264"/>
      <c r="Y76" s="615"/>
      <c r="Z76" s="264"/>
      <c r="AA76" s="615"/>
      <c r="AB76" s="264"/>
      <c r="AC76" s="523"/>
      <c r="AD76" s="615"/>
      <c r="AE76" s="1227"/>
      <c r="AF76" s="523"/>
      <c r="AG76" s="615"/>
      <c r="AH76" s="264"/>
      <c r="AI76" s="98"/>
      <c r="AJ76" s="615"/>
      <c r="AL76" s="1025"/>
      <c r="AM76" s="1621"/>
      <c r="AN76" s="1621"/>
    </row>
    <row r="77" spans="1:40">
      <c r="A77" s="291"/>
      <c r="B77" s="3" t="s">
        <v>576</v>
      </c>
      <c r="C77" s="291"/>
      <c r="D77" s="291"/>
      <c r="E77" s="264" t="s">
        <v>103</v>
      </c>
      <c r="F77" s="264" t="s">
        <v>103</v>
      </c>
      <c r="G77" s="264" t="s">
        <v>103</v>
      </c>
      <c r="H77" s="264"/>
      <c r="I77" s="264" t="s">
        <v>103</v>
      </c>
      <c r="J77" s="264"/>
      <c r="K77" s="264" t="s">
        <v>103</v>
      </c>
      <c r="L77" s="264"/>
      <c r="M77" s="264" t="s">
        <v>103</v>
      </c>
      <c r="N77" s="264"/>
      <c r="O77" s="264" t="s">
        <v>103</v>
      </c>
      <c r="P77" s="264"/>
      <c r="Q77" s="264" t="s">
        <v>103</v>
      </c>
      <c r="R77" s="264"/>
      <c r="S77" s="264" t="s">
        <v>103</v>
      </c>
      <c r="T77" s="264"/>
      <c r="U77" s="264" t="s">
        <v>103</v>
      </c>
      <c r="V77" s="264"/>
      <c r="W77" s="264" t="s">
        <v>103</v>
      </c>
      <c r="X77" s="264"/>
      <c r="Y77" s="264" t="s">
        <v>103</v>
      </c>
      <c r="Z77" s="264"/>
      <c r="AA77" s="264" t="s">
        <v>103</v>
      </c>
      <c r="AB77" s="264"/>
      <c r="AC77" s="523"/>
      <c r="AD77" s="264"/>
      <c r="AE77" s="1227"/>
      <c r="AF77" s="523"/>
      <c r="AG77" s="264"/>
      <c r="AH77" s="264"/>
      <c r="AI77" s="98"/>
      <c r="AJ77" s="12"/>
      <c r="AL77" s="96"/>
      <c r="AM77" s="1621"/>
      <c r="AN77" s="1621"/>
    </row>
    <row r="78" spans="1:40">
      <c r="A78" s="291"/>
      <c r="B78" s="3" t="s">
        <v>577</v>
      </c>
      <c r="C78" s="291"/>
      <c r="D78" s="291"/>
      <c r="E78" s="264"/>
      <c r="F78" s="264"/>
      <c r="G78" s="264" t="s">
        <v>103</v>
      </c>
      <c r="H78" s="264"/>
      <c r="I78" s="264" t="s">
        <v>103</v>
      </c>
      <c r="J78" s="264"/>
      <c r="K78" s="264" t="s">
        <v>103</v>
      </c>
      <c r="L78" s="264"/>
      <c r="M78" s="264" t="s">
        <v>103</v>
      </c>
      <c r="N78" s="264"/>
      <c r="O78" s="264" t="s">
        <v>103</v>
      </c>
      <c r="P78" s="264"/>
      <c r="Q78" s="264" t="s">
        <v>103</v>
      </c>
      <c r="R78" s="264"/>
      <c r="S78" s="264" t="s">
        <v>103</v>
      </c>
      <c r="T78" s="264"/>
      <c r="U78" s="264" t="s">
        <v>103</v>
      </c>
      <c r="V78" s="264"/>
      <c r="W78" s="264" t="s">
        <v>103</v>
      </c>
      <c r="X78" s="264"/>
      <c r="Y78" s="264" t="s">
        <v>103</v>
      </c>
      <c r="Z78" s="264"/>
      <c r="AA78" s="264" t="s">
        <v>103</v>
      </c>
      <c r="AB78" s="264"/>
      <c r="AC78" s="523"/>
      <c r="AD78" s="264"/>
      <c r="AE78" s="1227"/>
      <c r="AF78" s="523"/>
      <c r="AG78" s="264"/>
      <c r="AH78" s="264"/>
      <c r="AI78" s="98"/>
      <c r="AJ78" s="12"/>
      <c r="AL78" s="96"/>
      <c r="AM78" s="1621"/>
      <c r="AN78" s="1621"/>
    </row>
    <row r="79" spans="1:40">
      <c r="A79" s="291"/>
      <c r="B79" s="3" t="s">
        <v>471</v>
      </c>
      <c r="C79" s="291"/>
      <c r="D79" s="291"/>
      <c r="E79" s="357">
        <f>ROUND(E69+E75,1)</f>
        <v>10.6</v>
      </c>
      <c r="F79" s="264"/>
      <c r="G79" s="357">
        <f>ROUND(G69+G75,1)</f>
        <v>-0.6</v>
      </c>
      <c r="H79" s="264"/>
      <c r="I79" s="357">
        <f>ROUND(I69+I75,1)</f>
        <v>-137</v>
      </c>
      <c r="J79" s="264"/>
      <c r="K79" s="357">
        <f>ROUND(K69+K75,1)</f>
        <v>67</v>
      </c>
      <c r="L79" s="264"/>
      <c r="M79" s="357">
        <f>ROUND(M69+M75,1)</f>
        <v>0</v>
      </c>
      <c r="N79" s="264"/>
      <c r="O79" s="357">
        <f>ROUND(O69+O75,1)</f>
        <v>0</v>
      </c>
      <c r="P79" s="264"/>
      <c r="Q79" s="357">
        <f>ROUND(Q69+Q75,1)</f>
        <v>0</v>
      </c>
      <c r="R79" s="264"/>
      <c r="S79" s="357">
        <f>ROUND(S69+S75,1)</f>
        <v>0</v>
      </c>
      <c r="T79" s="264"/>
      <c r="U79" s="357">
        <f>ROUND(U69+U75,1)</f>
        <v>0</v>
      </c>
      <c r="V79" s="264"/>
      <c r="W79" s="357">
        <f>ROUND(W69+W75,1)</f>
        <v>0</v>
      </c>
      <c r="X79" s="264"/>
      <c r="Y79" s="357">
        <f>ROUND(Y69+Y75,1)</f>
        <v>0</v>
      </c>
      <c r="Z79" s="264"/>
      <c r="AA79" s="357">
        <f>ROUND(AA69+AA75,1)</f>
        <v>0</v>
      </c>
      <c r="AB79" s="264"/>
      <c r="AC79" s="524"/>
      <c r="AD79" s="357">
        <f>ROUND(AD69+AD75,1)</f>
        <v>-60</v>
      </c>
      <c r="AE79" s="1761"/>
      <c r="AF79" s="854"/>
      <c r="AG79" s="357">
        <f>ROUND(AG69+AG75,1)</f>
        <v>-6.7</v>
      </c>
      <c r="AH79" s="610"/>
      <c r="AI79" s="1762"/>
      <c r="AJ79" s="357">
        <f>ROUND(AD79-AG79,1)</f>
        <v>-53.3</v>
      </c>
      <c r="AK79" s="13"/>
      <c r="AL79" s="539">
        <f>ROUND(SUM(AD79-AG79)/ABS(AG79),3)</f>
        <v>-7.9550000000000001</v>
      </c>
      <c r="AM79" s="1621"/>
      <c r="AN79" s="1621"/>
    </row>
    <row r="80" spans="1:40">
      <c r="A80" s="291"/>
      <c r="B80" s="3"/>
      <c r="C80" s="291"/>
      <c r="D80" s="291"/>
      <c r="E80" s="20"/>
      <c r="F80" s="264"/>
      <c r="G80" s="20"/>
      <c r="H80" s="264"/>
      <c r="I80" s="20"/>
      <c r="J80" s="264"/>
      <c r="K80" s="20"/>
      <c r="L80" s="264"/>
      <c r="M80" s="20"/>
      <c r="N80" s="264"/>
      <c r="O80" s="20"/>
      <c r="P80" s="264"/>
      <c r="Q80" s="20"/>
      <c r="R80" s="264"/>
      <c r="S80" s="20"/>
      <c r="T80" s="264"/>
      <c r="U80" s="20"/>
      <c r="V80" s="264"/>
      <c r="W80" s="20"/>
      <c r="X80" s="264"/>
      <c r="Y80" s="20"/>
      <c r="Z80" s="264"/>
      <c r="AA80" s="20"/>
      <c r="AB80" s="264"/>
      <c r="AC80" s="524"/>
      <c r="AD80" s="20"/>
      <c r="AE80" s="1763"/>
      <c r="AF80" s="1764"/>
      <c r="AG80" s="20"/>
      <c r="AH80" s="1763"/>
      <c r="AI80" s="1765"/>
      <c r="AJ80" s="20"/>
      <c r="AK80" s="3"/>
      <c r="AL80" s="543"/>
      <c r="AM80" s="1621"/>
      <c r="AN80" s="1621"/>
    </row>
    <row r="81" spans="1:40" ht="16" thickBot="1">
      <c r="A81" s="291"/>
      <c r="B81" s="3" t="s">
        <v>532</v>
      </c>
      <c r="C81" s="291"/>
      <c r="D81" s="291"/>
      <c r="E81" s="70">
        <f>ROUND(SUM(E13+E79),1)</f>
        <v>-266.10000000000002</v>
      </c>
      <c r="F81" s="264"/>
      <c r="G81" s="70">
        <f>ROUND(SUM(G13+G79),1)</f>
        <v>-266.7</v>
      </c>
      <c r="H81" s="264"/>
      <c r="I81" s="70">
        <f>ROUND(SUM(I13+I79),1)</f>
        <v>-403.7</v>
      </c>
      <c r="J81" s="264"/>
      <c r="K81" s="70">
        <f>ROUND(SUM(K13+K79),1)</f>
        <v>-336.7</v>
      </c>
      <c r="L81" s="264"/>
      <c r="M81" s="70">
        <f>ROUND(SUM(M13+M79),1)</f>
        <v>0</v>
      </c>
      <c r="N81" s="264"/>
      <c r="O81" s="70">
        <f>ROUND(SUM(O13+O79),1)</f>
        <v>0</v>
      </c>
      <c r="P81" s="264"/>
      <c r="Q81" s="70">
        <f>ROUND(SUM(Q13+Q79),1)</f>
        <v>0</v>
      </c>
      <c r="R81" s="264"/>
      <c r="S81" s="70">
        <f>ROUND(SUM(S13+S79),1)</f>
        <v>0</v>
      </c>
      <c r="T81" s="264"/>
      <c r="U81" s="70">
        <f>ROUND(SUM(U13+U79),1)</f>
        <v>0</v>
      </c>
      <c r="V81" s="264"/>
      <c r="W81" s="70">
        <f>ROUND(SUM(W13+W79),1)</f>
        <v>0</v>
      </c>
      <c r="X81" s="264"/>
      <c r="Y81" s="70">
        <f>ROUND(SUM(Y13+Y79),1)</f>
        <v>0</v>
      </c>
      <c r="Z81" s="264"/>
      <c r="AA81" s="70">
        <f>ROUND(SUM(AA13+AA79),1)</f>
        <v>0</v>
      </c>
      <c r="AB81" s="264"/>
      <c r="AC81" s="524"/>
      <c r="AD81" s="70">
        <f>ROUND(SUM(AD13+AD79),1)</f>
        <v>-336.7</v>
      </c>
      <c r="AE81" s="1763"/>
      <c r="AF81" s="1764"/>
      <c r="AG81" s="70">
        <f>ROUND(SUM(AG13+AG79),1)</f>
        <v>-385.4</v>
      </c>
      <c r="AH81" s="1763"/>
      <c r="AI81" s="1765"/>
      <c r="AJ81" s="70">
        <f>ROUND(SUM(AJ13+AJ79),1)</f>
        <v>48.7</v>
      </c>
      <c r="AK81" s="3"/>
      <c r="AL81" s="970">
        <f>ROUND(SUM(AD81-AG81)/ABS(AG81),3)</f>
        <v>0.126</v>
      </c>
      <c r="AM81" s="1621"/>
      <c r="AN81" s="1621"/>
    </row>
    <row r="82" spans="1:40" ht="16" thickTop="1">
      <c r="A82" s="291"/>
      <c r="B82" s="291"/>
      <c r="C82" s="291"/>
      <c r="D82" s="291"/>
      <c r="E82" s="268"/>
      <c r="F82" s="268"/>
      <c r="G82" s="268"/>
      <c r="H82" s="268"/>
      <c r="I82" s="268"/>
      <c r="J82" s="268"/>
      <c r="K82" s="268"/>
      <c r="L82" s="268"/>
      <c r="M82" s="268"/>
      <c r="N82" s="268"/>
      <c r="O82" s="268"/>
      <c r="P82" s="268"/>
      <c r="Q82" s="268"/>
      <c r="R82" s="268"/>
      <c r="S82" s="268"/>
      <c r="T82" s="268"/>
      <c r="U82" s="268"/>
      <c r="V82" s="268"/>
      <c r="W82" s="268"/>
      <c r="X82" s="268"/>
      <c r="Y82" s="268"/>
      <c r="Z82" s="268"/>
      <c r="AA82" s="268"/>
      <c r="AB82" s="268"/>
      <c r="AC82" s="268"/>
      <c r="AD82" s="268"/>
      <c r="AE82" s="268"/>
      <c r="AF82" s="268"/>
      <c r="AG82" s="268"/>
      <c r="AH82" s="268"/>
      <c r="AI82" s="40"/>
      <c r="AL82" s="1766"/>
    </row>
    <row r="83" spans="1:40">
      <c r="A83" s="291"/>
      <c r="B83" s="924"/>
      <c r="C83" s="291"/>
      <c r="D83" s="291"/>
      <c r="E83" s="291"/>
      <c r="F83" s="291"/>
      <c r="G83" s="291"/>
      <c r="H83" s="291"/>
      <c r="I83" s="291"/>
      <c r="J83" s="291"/>
      <c r="K83" s="291"/>
      <c r="L83" s="291"/>
      <c r="M83" s="291"/>
      <c r="N83" s="291"/>
      <c r="O83" s="291"/>
      <c r="P83" s="291"/>
      <c r="Q83" s="291"/>
      <c r="R83" s="291"/>
      <c r="S83" s="405" t="s">
        <v>103</v>
      </c>
      <c r="T83" s="291"/>
      <c r="U83" s="405" t="s">
        <v>103</v>
      </c>
      <c r="V83" s="291"/>
      <c r="W83" s="291"/>
      <c r="X83" s="291"/>
      <c r="Y83" s="291"/>
      <c r="Z83" s="291"/>
      <c r="AA83" s="291"/>
      <c r="AB83" s="291"/>
      <c r="AC83" s="291"/>
      <c r="AD83" s="291"/>
      <c r="AE83" s="291"/>
      <c r="AF83" s="291"/>
      <c r="AG83" s="291"/>
      <c r="AH83" s="291"/>
      <c r="AI83" s="291"/>
      <c r="AL83" s="96"/>
    </row>
    <row r="84" spans="1:40">
      <c r="B84" s="291"/>
      <c r="Y84" s="885" t="s">
        <v>103</v>
      </c>
      <c r="AJ84" s="23" t="s">
        <v>103</v>
      </c>
      <c r="AL84" s="96"/>
    </row>
    <row r="89" spans="1:40">
      <c r="AD89" s="12"/>
    </row>
  </sheetData>
  <mergeCells count="1">
    <mergeCell ref="AC9:AL9"/>
  </mergeCells>
  <printOptions horizontalCentered="1"/>
  <pageMargins left="0.25" right="0.25" top="0.5" bottom="0.25" header="0" footer="0.25"/>
  <pageSetup scale="42" firstPageNumber="33" fitToHeight="0" orientation="landscape" useFirstPageNumber="1" r:id="rId1"/>
  <headerFooter scaleWithDoc="0" alignWithMargins="0">
    <oddFooter>&amp;C&amp;8&amp;P</oddFooter>
  </headerFooter>
  <customProperties>
    <customPr name="SheetOptions" r:id="rId2"/>
  </customProperties>
  <ignoredErrors>
    <ignoredError sqref="AL21:AL27 AL53 AL39:AL40 AL35:AL37 AL56 AL61:AL64 AL30:AL33 AL28:AL29 AL34 AL65:AL85 AL57:AL60 AL38 AL41:AL52 AL54:AL55" unlocked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pageSetUpPr fitToPage="1"/>
  </sheetPr>
  <dimension ref="A1:AL55"/>
  <sheetViews>
    <sheetView showGridLines="0" topLeftCell="A4" zoomScale="90" workbookViewId="0"/>
  </sheetViews>
  <sheetFormatPr defaultColWidth="8.84375" defaultRowHeight="15.5"/>
  <cols>
    <col min="1" max="1" width="40.07421875" style="58" customWidth="1"/>
    <col min="2" max="2" width="1.84375" style="58" customWidth="1"/>
    <col min="3" max="3" width="11.84375" style="58" customWidth="1"/>
    <col min="4" max="4" width="1.84375" style="58" customWidth="1"/>
    <col min="5" max="5" width="11.84375" style="58" customWidth="1"/>
    <col min="6" max="6" width="1.84375" style="58" customWidth="1"/>
    <col min="7" max="7" width="11.84375" style="58" customWidth="1"/>
    <col min="8" max="8" width="1.84375" style="58" customWidth="1"/>
    <col min="9" max="9" width="11.84375" style="58" customWidth="1"/>
    <col min="10" max="10" width="1.53515625" style="58" customWidth="1"/>
    <col min="11" max="11" width="11.84375" style="58" customWidth="1"/>
    <col min="12" max="12" width="1.53515625" style="58" customWidth="1"/>
    <col min="13" max="13" width="12.84375" style="58" customWidth="1"/>
    <col min="14" max="14" width="1.84375" style="58" customWidth="1"/>
    <col min="15" max="15" width="11.84375" style="58" customWidth="1"/>
    <col min="16" max="16" width="1.84375" style="58" customWidth="1"/>
    <col min="17" max="17" width="11.84375" style="58" customWidth="1"/>
    <col min="18" max="18" width="1.84375" style="58" customWidth="1"/>
    <col min="19" max="19" width="11.84375" style="58" customWidth="1"/>
    <col min="20" max="20" width="1.84375" style="58" customWidth="1"/>
    <col min="21" max="21" width="11.84375" style="58" customWidth="1"/>
    <col min="22" max="22" width="1.84375" style="58" customWidth="1"/>
    <col min="23" max="23" width="11.84375" style="58" customWidth="1"/>
    <col min="24" max="24" width="1.84375" style="58" customWidth="1"/>
    <col min="25" max="25" width="11.84375" style="58" customWidth="1"/>
    <col min="26" max="27" width="1.07421875" style="58" customWidth="1"/>
    <col min="28" max="28" width="11.84375" style="58" customWidth="1"/>
    <col min="29" max="30" width="1.07421875" style="58" customWidth="1"/>
    <col min="31" max="31" width="11.84375" style="58" customWidth="1"/>
    <col min="32" max="32" width="1.07421875" style="107" customWidth="1"/>
    <col min="33" max="33" width="1.07421875" style="291" customWidth="1"/>
    <col min="34" max="34" width="11.84375" style="291" customWidth="1"/>
    <col min="35" max="35" width="1.84375" style="291" customWidth="1"/>
    <col min="36" max="36" width="11.84375" style="291" customWidth="1"/>
    <col min="37" max="38" width="9.07421875" style="58" bestFit="1" customWidth="1"/>
    <col min="39" max="16384" width="8.84375" style="58"/>
  </cols>
  <sheetData>
    <row r="1" spans="1:38">
      <c r="A1" s="265" t="s">
        <v>97</v>
      </c>
    </row>
    <row r="2" spans="1:38">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row>
    <row r="3" spans="1:38">
      <c r="A3" s="187" t="s">
        <v>98</v>
      </c>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291"/>
      <c r="AJ3" s="317" t="s">
        <v>587</v>
      </c>
    </row>
    <row r="4" spans="1:38">
      <c r="A4" s="187" t="s">
        <v>588</v>
      </c>
      <c r="B4" s="62"/>
      <c r="C4" s="62"/>
      <c r="D4" s="62"/>
      <c r="E4" s="62"/>
      <c r="F4" s="62"/>
      <c r="G4" s="62"/>
      <c r="H4" s="62"/>
      <c r="I4" s="62" t="s">
        <v>103</v>
      </c>
      <c r="J4" s="62"/>
      <c r="K4" s="62"/>
      <c r="L4" s="62"/>
      <c r="M4" s="62"/>
      <c r="N4" s="62"/>
      <c r="O4" s="62"/>
      <c r="P4" s="62"/>
      <c r="Q4" s="62"/>
      <c r="R4" s="62"/>
      <c r="S4" s="62"/>
      <c r="T4" s="62"/>
      <c r="U4" s="62"/>
      <c r="V4" s="62"/>
      <c r="W4" s="62"/>
      <c r="X4" s="62"/>
      <c r="Y4" s="62" t="s">
        <v>103</v>
      </c>
      <c r="Z4" s="62"/>
      <c r="AA4" s="62"/>
      <c r="AB4" s="62"/>
      <c r="AC4" s="62"/>
      <c r="AD4" s="62"/>
      <c r="AE4" s="62"/>
      <c r="AF4" s="291"/>
    </row>
    <row r="5" spans="1:38">
      <c r="A5" s="188" t="s">
        <v>328</v>
      </c>
      <c r="B5" s="62"/>
      <c r="C5" s="62"/>
      <c r="D5" s="62"/>
      <c r="E5" s="62"/>
      <c r="F5" s="62"/>
      <c r="G5" s="62"/>
      <c r="H5" s="62"/>
      <c r="I5" s="62"/>
      <c r="J5" s="62"/>
      <c r="K5" s="62"/>
      <c r="L5" s="62"/>
      <c r="M5" s="62"/>
      <c r="N5" s="62"/>
      <c r="O5" s="62"/>
      <c r="P5" s="62"/>
      <c r="Q5" s="62"/>
      <c r="R5" s="62"/>
      <c r="S5" s="62"/>
      <c r="T5" s="62"/>
      <c r="U5" s="62"/>
      <c r="V5" s="62"/>
      <c r="W5" s="62"/>
      <c r="X5" s="62"/>
      <c r="Y5" s="62"/>
      <c r="Z5" s="62"/>
      <c r="AA5" s="62"/>
      <c r="AF5" s="1210"/>
      <c r="AK5" s="187"/>
    </row>
    <row r="6" spans="1:38">
      <c r="A6" s="188" t="str">
        <f>'Cashflow Governmental'!A6</f>
        <v>FISCAL YEAR 2026-2027</v>
      </c>
      <c r="B6" s="62"/>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291"/>
    </row>
    <row r="7" spans="1:38">
      <c r="A7" s="187" t="s">
        <v>102</v>
      </c>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291"/>
    </row>
    <row r="8" spans="1:38">
      <c r="A8" s="187"/>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291"/>
    </row>
    <row r="9" spans="1:38">
      <c r="A9" s="62"/>
      <c r="B9" s="62"/>
      <c r="C9" s="1126"/>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291"/>
    </row>
    <row r="10" spans="1:38">
      <c r="A10" s="62"/>
      <c r="B10" s="62"/>
      <c r="C10" s="1126"/>
      <c r="D10" s="62"/>
      <c r="E10" s="62"/>
      <c r="F10" s="62"/>
      <c r="G10" s="62"/>
      <c r="H10" s="62"/>
      <c r="I10" s="62"/>
      <c r="J10" s="62"/>
      <c r="K10" s="62"/>
      <c r="L10" s="62"/>
      <c r="M10" s="62"/>
      <c r="N10" s="62"/>
      <c r="O10" s="62"/>
      <c r="P10" s="62"/>
      <c r="Q10" s="62"/>
      <c r="R10" s="62"/>
      <c r="S10" s="62"/>
      <c r="T10" s="62"/>
      <c r="U10" s="62"/>
      <c r="V10" s="62"/>
      <c r="W10" s="62"/>
      <c r="X10" s="62"/>
      <c r="Y10" s="62"/>
      <c r="Z10" s="62"/>
      <c r="AA10" s="2063" t="str">
        <f>'Cashflow Governmental'!$AB$12</f>
        <v>4 Months Ended July 31</v>
      </c>
      <c r="AB10" s="2063"/>
      <c r="AC10" s="2063"/>
      <c r="AD10" s="2063"/>
      <c r="AE10" s="2063"/>
      <c r="AF10" s="2063"/>
      <c r="AG10" s="2063"/>
      <c r="AH10" s="2063"/>
      <c r="AI10" s="2063"/>
      <c r="AJ10" s="2063"/>
    </row>
    <row r="11" spans="1:38">
      <c r="A11" s="62"/>
      <c r="B11" s="62"/>
      <c r="C11" s="558" t="str">
        <f>'Cashflow Governmental'!C13</f>
        <v>2026</v>
      </c>
      <c r="D11" s="187"/>
      <c r="E11" s="187"/>
      <c r="F11" s="187"/>
      <c r="G11" s="187"/>
      <c r="H11" s="187"/>
      <c r="I11" s="187"/>
      <c r="J11" s="187"/>
      <c r="K11" s="187"/>
      <c r="L11" s="187"/>
      <c r="M11" s="187"/>
      <c r="N11" s="187"/>
      <c r="O11" s="187"/>
      <c r="P11" s="187"/>
      <c r="Q11" s="187"/>
      <c r="R11" s="187"/>
      <c r="S11" s="187"/>
      <c r="T11" s="187"/>
      <c r="U11" s="558">
        <f>'Cashflow Governmental'!U13</f>
        <v>2027</v>
      </c>
      <c r="V11" s="187"/>
      <c r="W11" s="187"/>
      <c r="X11" s="187"/>
      <c r="Y11" s="187"/>
      <c r="Z11" s="187"/>
      <c r="AA11" s="187"/>
      <c r="AB11" s="187"/>
      <c r="AC11" s="187"/>
      <c r="AD11" s="187"/>
      <c r="AE11" s="187"/>
      <c r="AF11" s="1546"/>
      <c r="AG11" s="1547"/>
      <c r="AH11" s="320" t="s">
        <v>110</v>
      </c>
      <c r="AI11" s="320"/>
      <c r="AJ11" s="318" t="s">
        <v>111</v>
      </c>
    </row>
    <row r="12" spans="1:38">
      <c r="A12" s="62"/>
      <c r="B12" s="62"/>
      <c r="C12" s="317" t="s">
        <v>329</v>
      </c>
      <c r="D12" s="187"/>
      <c r="E12" s="317" t="s">
        <v>330</v>
      </c>
      <c r="F12" s="187"/>
      <c r="G12" s="317" t="s">
        <v>331</v>
      </c>
      <c r="H12" s="187"/>
      <c r="I12" s="317" t="s">
        <v>332</v>
      </c>
      <c r="J12" s="187"/>
      <c r="K12" s="317" t="s">
        <v>333</v>
      </c>
      <c r="L12" s="187"/>
      <c r="M12" s="317" t="s">
        <v>445</v>
      </c>
      <c r="N12" s="187"/>
      <c r="O12" s="317" t="s">
        <v>446</v>
      </c>
      <c r="P12" s="187"/>
      <c r="Q12" s="317" t="s">
        <v>336</v>
      </c>
      <c r="R12" s="187"/>
      <c r="S12" s="317" t="s">
        <v>337</v>
      </c>
      <c r="T12" s="187"/>
      <c r="U12" s="317" t="s">
        <v>338</v>
      </c>
      <c r="V12" s="187"/>
      <c r="W12" s="317" t="s">
        <v>339</v>
      </c>
      <c r="X12" s="187"/>
      <c r="Y12" s="317" t="s">
        <v>447</v>
      </c>
      <c r="Z12" s="187"/>
      <c r="AA12" s="187"/>
      <c r="AB12" s="558" t="str">
        <f>'Cashflow Governmental'!AB14</f>
        <v>2026</v>
      </c>
      <c r="AC12" s="187" t="s">
        <v>103</v>
      </c>
      <c r="AD12" s="187"/>
      <c r="AE12" s="558" t="str">
        <f>'Cashflow Governmental'!AE14</f>
        <v>2025</v>
      </c>
      <c r="AF12" s="291"/>
      <c r="AG12" s="1548"/>
      <c r="AH12" s="415" t="s">
        <v>112</v>
      </c>
      <c r="AI12" s="320"/>
      <c r="AJ12" s="415" t="s">
        <v>113</v>
      </c>
    </row>
    <row r="13" spans="1:38" ht="8.9" customHeight="1">
      <c r="A13" s="62"/>
      <c r="B13" s="62"/>
      <c r="C13" s="1007"/>
      <c r="D13" s="62"/>
      <c r="E13" s="1007"/>
      <c r="F13" s="62"/>
      <c r="G13" s="1007"/>
      <c r="H13" s="62"/>
      <c r="I13" s="1007"/>
      <c r="J13" s="62"/>
      <c r="K13" s="1007"/>
      <c r="L13" s="62"/>
      <c r="M13" s="1007"/>
      <c r="N13" s="62"/>
      <c r="O13" s="1007"/>
      <c r="P13" s="62"/>
      <c r="Q13" s="1007"/>
      <c r="R13" s="62"/>
      <c r="S13" s="1007"/>
      <c r="T13" s="62"/>
      <c r="U13" s="1007"/>
      <c r="V13" s="62"/>
      <c r="W13" s="1007"/>
      <c r="X13" s="62"/>
      <c r="Y13" s="1007"/>
      <c r="Z13" s="62"/>
      <c r="AA13" s="62"/>
      <c r="AB13" s="1007"/>
      <c r="AC13" s="62"/>
      <c r="AD13" s="62"/>
      <c r="AE13" s="1007"/>
      <c r="AF13" s="291"/>
      <c r="AG13" s="1548"/>
    </row>
    <row r="14" spans="1:38">
      <c r="A14" s="188" t="s">
        <v>341</v>
      </c>
      <c r="B14" s="62"/>
      <c r="C14" s="82">
        <v>1279.9000000000001</v>
      </c>
      <c r="D14" s="190"/>
      <c r="E14" s="190">
        <f>C49</f>
        <v>1221.5999999999999</v>
      </c>
      <c r="F14" s="190"/>
      <c r="G14" s="190">
        <f>E49</f>
        <v>1273.3</v>
      </c>
      <c r="H14" s="1549"/>
      <c r="I14" s="190">
        <f>G49</f>
        <v>1333.9</v>
      </c>
      <c r="J14" s="190"/>
      <c r="K14" s="190"/>
      <c r="L14" s="1549"/>
      <c r="M14" s="190"/>
      <c r="N14" s="1549"/>
      <c r="O14" s="190"/>
      <c r="P14" s="1549"/>
      <c r="Q14" s="190"/>
      <c r="R14" s="190"/>
      <c r="S14" s="190"/>
      <c r="T14" s="190"/>
      <c r="U14" s="190"/>
      <c r="V14" s="190"/>
      <c r="W14" s="190"/>
      <c r="X14" s="190"/>
      <c r="Y14" s="190"/>
      <c r="Z14" s="190"/>
      <c r="AA14" s="856"/>
      <c r="AB14" s="190">
        <f>C14</f>
        <v>1279.9000000000001</v>
      </c>
      <c r="AC14" s="190"/>
      <c r="AD14" s="856"/>
      <c r="AE14" s="1936">
        <v>970.3</v>
      </c>
      <c r="AF14" s="288"/>
      <c r="AG14" s="1722"/>
      <c r="AH14" s="20">
        <f>ROUND(SUM(AB14-AE14),1)</f>
        <v>309.60000000000002</v>
      </c>
      <c r="AJ14" s="1749">
        <f>ROUND(IF(AH14=0,0,AH14/(AE14)),3)</f>
        <v>0.31900000000000001</v>
      </c>
      <c r="AK14" s="1520"/>
      <c r="AL14" s="1520"/>
    </row>
    <row r="15" spans="1:38">
      <c r="A15" s="62"/>
      <c r="B15" s="62"/>
      <c r="C15" s="62" t="s">
        <v>103</v>
      </c>
      <c r="D15" s="62"/>
      <c r="E15" s="192"/>
      <c r="F15" s="192"/>
      <c r="G15" s="192"/>
      <c r="H15" s="192"/>
      <c r="I15" s="192"/>
      <c r="J15" s="192"/>
      <c r="K15" s="192"/>
      <c r="L15" s="192"/>
      <c r="M15" s="192"/>
      <c r="N15" s="192"/>
      <c r="O15" s="192"/>
      <c r="P15" s="192"/>
      <c r="Q15" s="192"/>
      <c r="R15" s="192"/>
      <c r="S15" s="192"/>
      <c r="T15" s="192"/>
      <c r="U15" s="192"/>
      <c r="V15" s="192"/>
      <c r="W15" s="192"/>
      <c r="X15" s="192"/>
      <c r="Y15" s="192"/>
      <c r="Z15" s="62"/>
      <c r="AA15" s="857"/>
      <c r="AB15" s="62" t="s">
        <v>103</v>
      </c>
      <c r="AC15" s="62"/>
      <c r="AD15" s="857"/>
      <c r="AE15" s="62" t="s">
        <v>103</v>
      </c>
      <c r="AF15" s="26"/>
      <c r="AG15" s="1722"/>
      <c r="AJ15" s="1750"/>
      <c r="AK15" s="1520"/>
      <c r="AL15" s="1520"/>
    </row>
    <row r="16" spans="1:38">
      <c r="A16" s="187" t="s">
        <v>114</v>
      </c>
      <c r="B16" s="62"/>
      <c r="C16" s="62"/>
      <c r="D16" s="62"/>
      <c r="E16" s="192"/>
      <c r="F16" s="192"/>
      <c r="G16" s="192"/>
      <c r="H16" s="192"/>
      <c r="I16" s="192"/>
      <c r="J16" s="192"/>
      <c r="K16" s="192"/>
      <c r="L16" s="192"/>
      <c r="M16" s="192"/>
      <c r="N16" s="192"/>
      <c r="O16" s="192"/>
      <c r="P16" s="192"/>
      <c r="Q16" s="192"/>
      <c r="R16" s="192"/>
      <c r="S16" s="192"/>
      <c r="T16" s="192"/>
      <c r="U16" s="192"/>
      <c r="V16" s="192"/>
      <c r="W16" s="192"/>
      <c r="X16" s="192"/>
      <c r="Y16" s="192"/>
      <c r="Z16" s="62"/>
      <c r="AA16" s="857"/>
      <c r="AB16" s="62"/>
      <c r="AC16" s="62"/>
      <c r="AD16" s="857"/>
      <c r="AE16" s="62"/>
      <c r="AF16" s="264"/>
      <c r="AG16" s="1722"/>
      <c r="AJ16" s="1750"/>
      <c r="AK16" s="1520"/>
      <c r="AL16" s="1520"/>
    </row>
    <row r="17" spans="1:38">
      <c r="A17" s="62" t="s">
        <v>589</v>
      </c>
      <c r="B17" s="62"/>
      <c r="C17" s="194">
        <v>292.2</v>
      </c>
      <c r="D17" s="194"/>
      <c r="E17" s="194">
        <v>304.3</v>
      </c>
      <c r="F17" s="194"/>
      <c r="G17" s="194">
        <v>316.59999999999997</v>
      </c>
      <c r="H17" s="105"/>
      <c r="I17" s="194">
        <f>$AB17-G17-E17-C17</f>
        <v>296.80000000000024</v>
      </c>
      <c r="J17" s="105"/>
      <c r="K17" s="194"/>
      <c r="L17" s="105"/>
      <c r="M17" s="194"/>
      <c r="N17" s="105"/>
      <c r="O17" s="194"/>
      <c r="P17" s="105"/>
      <c r="Q17" s="194"/>
      <c r="R17" s="194"/>
      <c r="S17" s="194"/>
      <c r="T17" s="194"/>
      <c r="U17" s="194"/>
      <c r="V17" s="194"/>
      <c r="W17" s="194"/>
      <c r="X17" s="194"/>
      <c r="Y17" s="194"/>
      <c r="Z17" s="194"/>
      <c r="AA17" s="860"/>
      <c r="AB17" s="531">
        <v>1209.9000000000001</v>
      </c>
      <c r="AC17" s="264"/>
      <c r="AD17" s="524" t="s">
        <v>103</v>
      </c>
      <c r="AE17" s="531">
        <v>1006.6</v>
      </c>
      <c r="AF17" s="264"/>
      <c r="AG17" s="1722"/>
      <c r="AH17" s="423">
        <f>ROUND(AB17-AE17,1)</f>
        <v>203.3</v>
      </c>
      <c r="AI17" s="268"/>
      <c r="AJ17" s="542">
        <f>ROUND(IF(AE17=0,0,AH17/ABS(AE17)),3)</f>
        <v>0.20200000000000001</v>
      </c>
      <c r="AK17" s="1520"/>
      <c r="AL17" s="1520"/>
    </row>
    <row r="18" spans="1:38">
      <c r="A18" s="188" t="s">
        <v>1428</v>
      </c>
      <c r="B18" s="62"/>
      <c r="C18" s="194">
        <v>2.2000000000000002</v>
      </c>
      <c r="D18" s="194"/>
      <c r="E18" s="194">
        <v>1.6999999999999997</v>
      </c>
      <c r="F18" s="105"/>
      <c r="G18" s="194">
        <v>2.0000000000000009</v>
      </c>
      <c r="H18" s="105"/>
      <c r="I18" s="194">
        <f t="shared" ref="I18:I19" si="0">$AB18-G18-E18-C18</f>
        <v>1.5999999999999992</v>
      </c>
      <c r="J18" s="105"/>
      <c r="K18" s="194"/>
      <c r="L18" s="105"/>
      <c r="M18" s="194"/>
      <c r="N18" s="105"/>
      <c r="O18" s="194"/>
      <c r="P18" s="105"/>
      <c r="Q18" s="194"/>
      <c r="R18" s="105"/>
      <c r="S18" s="194"/>
      <c r="T18" s="105"/>
      <c r="U18" s="194"/>
      <c r="V18" s="105"/>
      <c r="W18" s="194"/>
      <c r="X18" s="105"/>
      <c r="Y18" s="194"/>
      <c r="Z18" s="194"/>
      <c r="AA18" s="860"/>
      <c r="AB18" s="531">
        <v>7.5</v>
      </c>
      <c r="AC18" s="264"/>
      <c r="AD18" s="524" t="s">
        <v>103</v>
      </c>
      <c r="AE18" s="531">
        <v>4.3</v>
      </c>
      <c r="AF18" s="264"/>
      <c r="AG18" s="1722"/>
      <c r="AH18" s="423">
        <f>ROUND(AB18-AE18,1)</f>
        <v>3.2</v>
      </c>
      <c r="AI18" s="268"/>
      <c r="AJ18" s="542">
        <f>ROUND(IF(AE18=0,0,AH18/ABS(AE18)),3)</f>
        <v>0.74399999999999999</v>
      </c>
      <c r="AK18" s="1520"/>
      <c r="AL18" s="1520"/>
    </row>
    <row r="19" spans="1:38">
      <c r="A19" s="1013" t="s">
        <v>590</v>
      </c>
      <c r="B19" s="62"/>
      <c r="C19" s="194">
        <v>314.8</v>
      </c>
      <c r="D19" s="194"/>
      <c r="E19" s="194">
        <v>302.3</v>
      </c>
      <c r="F19" s="105"/>
      <c r="G19" s="194">
        <v>355.7999999999999</v>
      </c>
      <c r="H19" s="105"/>
      <c r="I19" s="194">
        <f t="shared" si="0"/>
        <v>342.7</v>
      </c>
      <c r="J19" s="105"/>
      <c r="K19" s="194"/>
      <c r="L19" s="105"/>
      <c r="M19" s="194"/>
      <c r="N19" s="105"/>
      <c r="O19" s="194"/>
      <c r="P19" s="105"/>
      <c r="Q19" s="194"/>
      <c r="R19" s="105"/>
      <c r="S19" s="194"/>
      <c r="T19" s="105"/>
      <c r="U19" s="194"/>
      <c r="V19" s="105"/>
      <c r="W19" s="194"/>
      <c r="X19" s="105"/>
      <c r="Y19" s="194"/>
      <c r="Z19" s="194"/>
      <c r="AA19" s="860"/>
      <c r="AB19" s="531">
        <v>1315.6</v>
      </c>
      <c r="AC19" s="264"/>
      <c r="AD19" s="524" t="s">
        <v>103</v>
      </c>
      <c r="AE19" s="531">
        <v>936.6</v>
      </c>
      <c r="AF19" s="275"/>
      <c r="AG19" s="402"/>
      <c r="AH19" s="1071">
        <f>ROUND(AB19-AE19,1)</f>
        <v>379</v>
      </c>
      <c r="AI19" s="268"/>
      <c r="AJ19" s="1021">
        <f>ROUND(IF(AE19=0,0,AH19/ABS(AE19)),3)</f>
        <v>0.40500000000000003</v>
      </c>
      <c r="AK19" s="1520"/>
      <c r="AL19" s="1520"/>
    </row>
    <row r="20" spans="1:38">
      <c r="A20" s="62"/>
      <c r="B20" s="62"/>
      <c r="C20" s="1017"/>
      <c r="D20" s="194"/>
      <c r="E20" s="1551"/>
      <c r="F20" s="105"/>
      <c r="G20" s="1551"/>
      <c r="H20" s="105"/>
      <c r="I20" s="1551"/>
      <c r="J20" s="105"/>
      <c r="K20" s="1551"/>
      <c r="L20" s="105"/>
      <c r="M20" s="1551"/>
      <c r="N20" s="105"/>
      <c r="O20" s="1551"/>
      <c r="P20" s="105"/>
      <c r="Q20" s="1551"/>
      <c r="R20" s="105"/>
      <c r="S20" s="1551"/>
      <c r="T20" s="105"/>
      <c r="U20" s="1551"/>
      <c r="V20" s="105"/>
      <c r="W20" s="1552"/>
      <c r="X20" s="105"/>
      <c r="Y20" s="1551"/>
      <c r="Z20" s="194"/>
      <c r="AA20" s="860"/>
      <c r="AB20" s="1017"/>
      <c r="AC20" s="194"/>
      <c r="AD20" s="860"/>
      <c r="AE20" s="1017"/>
      <c r="AF20" s="289"/>
      <c r="AG20" s="402"/>
      <c r="AH20" s="264"/>
      <c r="AJ20" s="1750"/>
      <c r="AK20" s="1520"/>
      <c r="AL20" s="1520"/>
    </row>
    <row r="21" spans="1:38">
      <c r="A21" s="187" t="s">
        <v>427</v>
      </c>
      <c r="B21" s="62"/>
      <c r="C21" s="204">
        <f>ROUND(SUM(C17:C20),1)</f>
        <v>609.20000000000005</v>
      </c>
      <c r="D21" s="197"/>
      <c r="E21" s="204">
        <f>ROUND(SUM(E17:E20),1)</f>
        <v>608.29999999999995</v>
      </c>
      <c r="F21" s="204"/>
      <c r="G21" s="204">
        <f>ROUND(SUM(G17:G20),1)</f>
        <v>674.4</v>
      </c>
      <c r="H21" s="204"/>
      <c r="I21" s="204">
        <f>ROUND(SUM(I17:I20),1)</f>
        <v>641.1</v>
      </c>
      <c r="J21" s="204"/>
      <c r="K21" s="204">
        <f>ROUND(SUM(K17:K20),1)</f>
        <v>0</v>
      </c>
      <c r="L21" s="204"/>
      <c r="M21" s="204">
        <f>ROUND(SUM(M17:M20),1)</f>
        <v>0</v>
      </c>
      <c r="N21" s="204"/>
      <c r="O21" s="204">
        <f>ROUND(SUM(O17:O20),1)</f>
        <v>0</v>
      </c>
      <c r="P21" s="204"/>
      <c r="Q21" s="204">
        <f>ROUND(SUM(Q17:Q20),1)</f>
        <v>0</v>
      </c>
      <c r="R21" s="204"/>
      <c r="S21" s="204">
        <f>ROUND(SUM(S17:S20),1)</f>
        <v>0</v>
      </c>
      <c r="T21" s="204"/>
      <c r="U21" s="204">
        <f>ROUND(SUM(U17:U20),1)</f>
        <v>0</v>
      </c>
      <c r="V21" s="204"/>
      <c r="W21" s="204">
        <f>ROUND(SUM(W17:W20),1)</f>
        <v>0</v>
      </c>
      <c r="X21" s="204"/>
      <c r="Y21" s="204">
        <f>ROUND(SUM(Y17:Y20),1)</f>
        <v>0</v>
      </c>
      <c r="Z21" s="197"/>
      <c r="AA21" s="863"/>
      <c r="AB21" s="204">
        <f>ROUND(SUM(AB17:AB20),1)</f>
        <v>2533</v>
      </c>
      <c r="AC21" s="1751"/>
      <c r="AD21" s="197"/>
      <c r="AE21" s="204">
        <f>ROUND(SUM(AE17:AE20),1)</f>
        <v>1947.5</v>
      </c>
      <c r="AF21" s="275"/>
      <c r="AG21" s="402"/>
      <c r="AH21" s="357">
        <f>ROUND(SUM(AH17:AH19),1)</f>
        <v>585.5</v>
      </c>
      <c r="AI21" s="40"/>
      <c r="AJ21" s="1727">
        <f>ROUND(IF(AH21=0,0,AH21/ABS(AE21)),3)</f>
        <v>0.30099999999999999</v>
      </c>
      <c r="AK21" s="1520"/>
      <c r="AL21" s="1520"/>
    </row>
    <row r="22" spans="1:38">
      <c r="A22" s="62"/>
      <c r="B22" s="62"/>
      <c r="C22" s="1017"/>
      <c r="D22" s="194"/>
      <c r="E22" s="1551"/>
      <c r="F22" s="105"/>
      <c r="G22" s="1551"/>
      <c r="H22" s="105"/>
      <c r="I22" s="1551"/>
      <c r="J22" s="105"/>
      <c r="K22" s="1551"/>
      <c r="L22" s="105"/>
      <c r="M22" s="1551"/>
      <c r="N22" s="105"/>
      <c r="O22" s="1551"/>
      <c r="P22" s="105"/>
      <c r="Q22" s="1551"/>
      <c r="R22" s="105"/>
      <c r="S22" s="1551"/>
      <c r="T22" s="105"/>
      <c r="U22" s="1551"/>
      <c r="V22" s="105"/>
      <c r="W22" s="1551"/>
      <c r="X22" s="105"/>
      <c r="Y22" s="1551"/>
      <c r="Z22" s="194"/>
      <c r="AA22" s="860"/>
      <c r="AB22" s="1017"/>
      <c r="AC22" s="194"/>
      <c r="AD22" s="860"/>
      <c r="AE22" s="1017"/>
      <c r="AF22" s="289"/>
      <c r="AG22" s="402"/>
      <c r="AH22" s="264"/>
      <c r="AJ22" s="1750"/>
      <c r="AK22" s="1520"/>
      <c r="AL22" s="1520"/>
    </row>
    <row r="23" spans="1:38">
      <c r="A23" s="62"/>
      <c r="B23" s="62"/>
      <c r="C23" s="194"/>
      <c r="D23" s="194"/>
      <c r="E23" s="105"/>
      <c r="F23" s="105"/>
      <c r="G23" s="105"/>
      <c r="H23" s="105"/>
      <c r="I23" s="105"/>
      <c r="J23" s="105"/>
      <c r="K23" s="105"/>
      <c r="L23" s="105"/>
      <c r="M23" s="105"/>
      <c r="N23" s="105"/>
      <c r="O23" s="105"/>
      <c r="P23" s="105"/>
      <c r="Q23" s="105"/>
      <c r="R23" s="105"/>
      <c r="S23" s="105"/>
      <c r="T23" s="105"/>
      <c r="U23" s="105"/>
      <c r="V23" s="105"/>
      <c r="W23" s="105"/>
      <c r="X23" s="105"/>
      <c r="Y23" s="105"/>
      <c r="Z23" s="194"/>
      <c r="AA23" s="860"/>
      <c r="AB23" s="194"/>
      <c r="AC23" s="194"/>
      <c r="AD23" s="860"/>
      <c r="AE23" s="194"/>
      <c r="AF23" s="264"/>
      <c r="AG23" s="1722"/>
      <c r="AH23" s="264"/>
      <c r="AJ23" s="1555"/>
      <c r="AK23" s="1520"/>
      <c r="AL23" s="1520"/>
    </row>
    <row r="24" spans="1:38">
      <c r="A24" s="187" t="s">
        <v>122</v>
      </c>
      <c r="B24" s="62"/>
      <c r="C24" s="194"/>
      <c r="D24" s="194"/>
      <c r="E24" s="105"/>
      <c r="F24" s="105"/>
      <c r="G24" s="105"/>
      <c r="H24" s="105"/>
      <c r="I24" s="105"/>
      <c r="J24" s="105"/>
      <c r="K24" s="105"/>
      <c r="L24" s="105"/>
      <c r="M24" s="105"/>
      <c r="N24" s="105"/>
      <c r="O24" s="105"/>
      <c r="P24" s="105"/>
      <c r="Q24" s="105"/>
      <c r="R24" s="105"/>
      <c r="S24" s="105"/>
      <c r="T24" s="105"/>
      <c r="U24" s="105"/>
      <c r="V24" s="105"/>
      <c r="W24" s="105"/>
      <c r="X24" s="105"/>
      <c r="Y24" s="105"/>
      <c r="Z24" s="194"/>
      <c r="AA24" s="860"/>
      <c r="AB24" s="194"/>
      <c r="AC24" s="194"/>
      <c r="AD24" s="860"/>
      <c r="AE24" s="194"/>
      <c r="AF24" s="264"/>
      <c r="AG24" s="1722"/>
      <c r="AH24" s="264"/>
      <c r="AI24" s="1553"/>
      <c r="AJ24" s="1555"/>
      <c r="AK24" s="1520"/>
      <c r="AL24" s="1520"/>
    </row>
    <row r="25" spans="1:38">
      <c r="A25" s="62" t="s">
        <v>453</v>
      </c>
      <c r="B25" s="62"/>
      <c r="C25" s="194"/>
      <c r="D25" s="194"/>
      <c r="E25" s="194"/>
      <c r="F25" s="105"/>
      <c r="G25" s="105"/>
      <c r="H25" s="105"/>
      <c r="I25" s="105"/>
      <c r="J25" s="105"/>
      <c r="K25" s="105"/>
      <c r="L25" s="105"/>
      <c r="M25" s="105"/>
      <c r="N25" s="105"/>
      <c r="O25" s="105"/>
      <c r="P25" s="105"/>
      <c r="Q25" s="105"/>
      <c r="R25" s="105"/>
      <c r="S25" s="1554"/>
      <c r="T25" s="105"/>
      <c r="U25" s="105"/>
      <c r="V25" s="105"/>
      <c r="W25" s="105"/>
      <c r="X25" s="105"/>
      <c r="Y25" s="105"/>
      <c r="Z25" s="194"/>
      <c r="AA25" s="860"/>
      <c r="AB25" s="194"/>
      <c r="AC25" s="194"/>
      <c r="AD25" s="860"/>
      <c r="AE25" s="194"/>
      <c r="AF25" s="26"/>
      <c r="AG25" s="402"/>
      <c r="AH25" s="264"/>
      <c r="AJ25" s="1555"/>
      <c r="AK25" s="1520"/>
      <c r="AL25" s="1520"/>
    </row>
    <row r="26" spans="1:38">
      <c r="A26" s="62" t="s">
        <v>591</v>
      </c>
      <c r="B26" s="62"/>
      <c r="C26" s="194">
        <v>240.1</v>
      </c>
      <c r="D26" s="194"/>
      <c r="E26" s="194">
        <v>145.70000000000002</v>
      </c>
      <c r="F26" s="105"/>
      <c r="G26" s="194">
        <v>146.49999999999991</v>
      </c>
      <c r="H26" s="105"/>
      <c r="I26" s="194">
        <f>$AB26-G26-E26-C26</f>
        <v>154.40000000000012</v>
      </c>
      <c r="J26" s="105"/>
      <c r="K26" s="194"/>
      <c r="L26" s="105"/>
      <c r="M26" s="194"/>
      <c r="N26" s="105"/>
      <c r="O26" s="194"/>
      <c r="P26" s="105"/>
      <c r="Q26" s="194"/>
      <c r="R26" s="105"/>
      <c r="S26" s="194"/>
      <c r="T26" s="105"/>
      <c r="U26" s="194"/>
      <c r="V26" s="105"/>
      <c r="W26" s="194"/>
      <c r="X26" s="105"/>
      <c r="Y26" s="194"/>
      <c r="Z26" s="194"/>
      <c r="AA26" s="860"/>
      <c r="AB26" s="531">
        <v>686.7</v>
      </c>
      <c r="AC26" s="264"/>
      <c r="AD26" s="524" t="s">
        <v>103</v>
      </c>
      <c r="AE26" s="531">
        <v>669.9</v>
      </c>
      <c r="AF26" s="264"/>
      <c r="AG26" s="1731"/>
      <c r="AH26" s="264">
        <f>ROUND(SUM(AB26-AE26),1)</f>
        <v>16.8</v>
      </c>
      <c r="AJ26" s="1579">
        <f>ROUND(IF(AH26=0,0,AH26/ABS(AE26)),3)</f>
        <v>2.5000000000000001E-2</v>
      </c>
      <c r="AK26" s="1520"/>
      <c r="AL26" s="1520"/>
    </row>
    <row r="27" spans="1:38">
      <c r="A27" s="62" t="s">
        <v>535</v>
      </c>
      <c r="B27" s="62"/>
      <c r="C27" s="194">
        <v>39.6</v>
      </c>
      <c r="D27" s="194"/>
      <c r="E27" s="194">
        <v>32.1</v>
      </c>
      <c r="F27" s="105"/>
      <c r="G27" s="194">
        <v>57.499999999999993</v>
      </c>
      <c r="H27" s="105"/>
      <c r="I27" s="194">
        <f t="shared" ref="I27:I29" si="1">$AB27-G27-E27-C27</f>
        <v>35.499999999999993</v>
      </c>
      <c r="J27" s="105"/>
      <c r="K27" s="194"/>
      <c r="L27" s="105"/>
      <c r="M27" s="194"/>
      <c r="N27" s="105"/>
      <c r="O27" s="194"/>
      <c r="P27" s="105"/>
      <c r="Q27" s="194"/>
      <c r="R27" s="105"/>
      <c r="S27" s="194"/>
      <c r="T27" s="105"/>
      <c r="U27" s="194"/>
      <c r="V27" s="105"/>
      <c r="W27" s="194"/>
      <c r="X27" s="105"/>
      <c r="Y27" s="194"/>
      <c r="Z27" s="194"/>
      <c r="AA27" s="860"/>
      <c r="AB27" s="531">
        <v>164.7</v>
      </c>
      <c r="AC27" s="264"/>
      <c r="AD27" s="524" t="s">
        <v>103</v>
      </c>
      <c r="AE27" s="531">
        <v>173.9</v>
      </c>
      <c r="AF27" s="264"/>
      <c r="AG27" s="1731"/>
      <c r="AH27" s="264">
        <f>ROUND(SUM(AB27-AE27),1)</f>
        <v>-9.1999999999999993</v>
      </c>
      <c r="AJ27" s="1579">
        <f t="shared" ref="AJ27:AJ28" si="2">ROUND(IF(AH27=0,0,AH27/ABS(AE27)),3)</f>
        <v>-5.2999999999999999E-2</v>
      </c>
      <c r="AK27" s="1520"/>
      <c r="AL27" s="1520"/>
    </row>
    <row r="28" spans="1:38">
      <c r="A28" s="62" t="s">
        <v>456</v>
      </c>
      <c r="B28" s="62"/>
      <c r="C28" s="194">
        <v>71.699999999999989</v>
      </c>
      <c r="D28" s="194"/>
      <c r="E28" s="194">
        <v>75.100000000000023</v>
      </c>
      <c r="F28" s="105"/>
      <c r="G28" s="194">
        <v>51.599999999999994</v>
      </c>
      <c r="H28" s="105"/>
      <c r="I28" s="194">
        <f t="shared" si="1"/>
        <v>81.299999999999983</v>
      </c>
      <c r="J28" s="105"/>
      <c r="K28" s="194"/>
      <c r="L28" s="105"/>
      <c r="M28" s="194"/>
      <c r="N28" s="105"/>
      <c r="O28" s="194"/>
      <c r="P28" s="105"/>
      <c r="Q28" s="194"/>
      <c r="R28" s="105"/>
      <c r="S28" s="194"/>
      <c r="T28" s="105"/>
      <c r="U28" s="194"/>
      <c r="V28" s="105"/>
      <c r="W28" s="194"/>
      <c r="X28" s="105"/>
      <c r="Y28" s="194"/>
      <c r="Z28" s="194"/>
      <c r="AA28" s="860"/>
      <c r="AB28" s="531">
        <v>279.7</v>
      </c>
      <c r="AC28" s="264"/>
      <c r="AD28" s="524" t="s">
        <v>103</v>
      </c>
      <c r="AE28" s="531">
        <v>298.39999999999998</v>
      </c>
      <c r="AF28" s="275"/>
      <c r="AG28" s="1736"/>
      <c r="AH28" s="264">
        <f>ROUND(SUM(AB28-AE28),1)</f>
        <v>-18.7</v>
      </c>
      <c r="AJ28" s="1579">
        <f t="shared" si="2"/>
        <v>-6.3E-2</v>
      </c>
      <c r="AK28" s="1520"/>
      <c r="AL28" s="1520"/>
    </row>
    <row r="29" spans="1:38">
      <c r="A29" s="1013" t="s">
        <v>592</v>
      </c>
      <c r="B29" s="62"/>
      <c r="C29" s="194">
        <v>316.10000000000002</v>
      </c>
      <c r="D29" s="194"/>
      <c r="E29" s="194">
        <v>303.69999999999993</v>
      </c>
      <c r="F29" s="105"/>
      <c r="G29" s="194">
        <v>358.20000000000005</v>
      </c>
      <c r="H29" s="105"/>
      <c r="I29" s="194">
        <f t="shared" si="1"/>
        <v>344</v>
      </c>
      <c r="J29" s="105"/>
      <c r="K29" s="194"/>
      <c r="L29" s="105"/>
      <c r="M29" s="194"/>
      <c r="N29" s="105"/>
      <c r="O29" s="194"/>
      <c r="P29" s="105"/>
      <c r="Q29" s="194"/>
      <c r="R29" s="105"/>
      <c r="S29" s="194"/>
      <c r="T29" s="105"/>
      <c r="U29" s="194"/>
      <c r="V29" s="105"/>
      <c r="W29" s="194"/>
      <c r="X29" s="105"/>
      <c r="Y29" s="194"/>
      <c r="Z29" s="194"/>
      <c r="AA29" s="860"/>
      <c r="AB29" s="531">
        <v>1322</v>
      </c>
      <c r="AC29" s="264"/>
      <c r="AD29" s="524" t="s">
        <v>103</v>
      </c>
      <c r="AE29" s="531">
        <v>6940.9</v>
      </c>
      <c r="AF29" s="275"/>
      <c r="AG29" s="1731"/>
      <c r="AH29" s="382">
        <f>ROUND(SUM(AB29-AE29),1)</f>
        <v>-5618.9</v>
      </c>
      <c r="AJ29" s="1807">
        <f>ROUND(IF(AH29=0,0,AH29/ABS(AE29)),3)</f>
        <v>-0.81</v>
      </c>
      <c r="AK29" s="1520"/>
      <c r="AL29" s="1520"/>
    </row>
    <row r="30" spans="1:38">
      <c r="A30" s="62"/>
      <c r="B30" s="62"/>
      <c r="C30" s="1017"/>
      <c r="D30" s="194"/>
      <c r="E30" s="1551"/>
      <c r="F30" s="105"/>
      <c r="G30" s="1551"/>
      <c r="H30" s="105"/>
      <c r="I30" s="1551"/>
      <c r="J30" s="105"/>
      <c r="K30" s="1551"/>
      <c r="L30" s="105"/>
      <c r="M30" s="1551"/>
      <c r="N30" s="105"/>
      <c r="O30" s="1551"/>
      <c r="P30" s="105"/>
      <c r="Q30" s="1551"/>
      <c r="R30" s="105"/>
      <c r="S30" s="1551"/>
      <c r="T30" s="105"/>
      <c r="U30" s="1551"/>
      <c r="V30" s="105"/>
      <c r="W30" s="1552"/>
      <c r="X30" s="105"/>
      <c r="Y30" s="1551"/>
      <c r="Z30" s="194"/>
      <c r="AA30" s="860"/>
      <c r="AB30" s="1017"/>
      <c r="AC30" s="194"/>
      <c r="AD30" s="860"/>
      <c r="AE30" s="1017"/>
      <c r="AF30" s="16"/>
      <c r="AG30" s="1736"/>
      <c r="AH30" s="264"/>
      <c r="AI30" s="268"/>
      <c r="AJ30" s="1555"/>
      <c r="AK30" s="1520"/>
      <c r="AL30" s="1520"/>
    </row>
    <row r="31" spans="1:38">
      <c r="A31" s="187" t="s">
        <v>457</v>
      </c>
      <c r="B31" s="62"/>
      <c r="C31" s="204">
        <f>ROUND(SUM(C26:C30),1)</f>
        <v>667.5</v>
      </c>
      <c r="D31" s="197"/>
      <c r="E31" s="204">
        <f>ROUND(SUM(E26:E30),1)</f>
        <v>556.6</v>
      </c>
      <c r="F31" s="204"/>
      <c r="G31" s="204">
        <f>ROUND(SUM(G26:G30),1)</f>
        <v>613.79999999999995</v>
      </c>
      <c r="H31" s="204"/>
      <c r="I31" s="204">
        <f>ROUND(SUM(I26:I30),1)</f>
        <v>615.20000000000005</v>
      </c>
      <c r="J31" s="204"/>
      <c r="K31" s="753">
        <f>ROUND(SUM(K26:K30),1)</f>
        <v>0</v>
      </c>
      <c r="L31" s="204"/>
      <c r="M31" s="753">
        <f>ROUND(SUM(M26:M30),1)</f>
        <v>0</v>
      </c>
      <c r="N31" s="204"/>
      <c r="O31" s="204">
        <f>ROUND(SUM(O26:O30),1)</f>
        <v>0</v>
      </c>
      <c r="P31" s="204"/>
      <c r="Q31" s="204">
        <f>ROUND(SUM(Q26:Q30),1)</f>
        <v>0</v>
      </c>
      <c r="R31" s="204"/>
      <c r="S31" s="204">
        <f>ROUND(SUM(S26:S30),1)</f>
        <v>0</v>
      </c>
      <c r="T31" s="204"/>
      <c r="U31" s="204">
        <f>ROUND(SUM(U26:U30),1)</f>
        <v>0</v>
      </c>
      <c r="V31" s="204"/>
      <c r="W31" s="204">
        <f>ROUND(SUM(W26:W30),1)</f>
        <v>0</v>
      </c>
      <c r="X31" s="204"/>
      <c r="Y31" s="204">
        <f>ROUND(SUM(Y26:Y30),1)</f>
        <v>0</v>
      </c>
      <c r="Z31" s="197"/>
      <c r="AA31" s="863"/>
      <c r="AB31" s="204">
        <f>ROUND(SUM(AB26:AB30),1)</f>
        <v>2453.1</v>
      </c>
      <c r="AC31" s="1751"/>
      <c r="AD31" s="197"/>
      <c r="AE31" s="204">
        <f>ROUND(SUM(AE26:AE30),1)</f>
        <v>8083.1</v>
      </c>
      <c r="AF31" s="264"/>
      <c r="AG31" s="1722"/>
      <c r="AH31" s="357">
        <f>ROUND(SUM(AH26:AH29),1)</f>
        <v>-5630</v>
      </c>
      <c r="AI31" s="40"/>
      <c r="AJ31" s="611">
        <f>ROUND(IF(AH31=0,0,AH31/ABS(AE31)),3)</f>
        <v>-0.69699999999999995</v>
      </c>
      <c r="AK31" s="1520"/>
      <c r="AL31" s="1520"/>
    </row>
    <row r="32" spans="1:38">
      <c r="A32" s="62"/>
      <c r="B32" s="62"/>
      <c r="C32" s="1017"/>
      <c r="D32" s="194"/>
      <c r="E32" s="1551"/>
      <c r="F32" s="105"/>
      <c r="G32" s="1551"/>
      <c r="H32" s="105"/>
      <c r="I32" s="1551"/>
      <c r="J32" s="105"/>
      <c r="K32" s="105"/>
      <c r="L32" s="105"/>
      <c r="M32" s="105"/>
      <c r="N32" s="105"/>
      <c r="O32" s="1551"/>
      <c r="P32" s="105"/>
      <c r="Q32" s="1551"/>
      <c r="R32" s="105"/>
      <c r="S32" s="1551"/>
      <c r="T32" s="105"/>
      <c r="U32" s="1551"/>
      <c r="V32" s="105"/>
      <c r="W32" s="1551"/>
      <c r="X32" s="105"/>
      <c r="Y32" s="1551"/>
      <c r="Z32" s="194"/>
      <c r="AA32" s="860"/>
      <c r="AB32" s="1017"/>
      <c r="AC32" s="1224"/>
      <c r="AD32" s="860"/>
      <c r="AE32" s="1017"/>
      <c r="AF32" s="264"/>
      <c r="AG32" s="1722"/>
      <c r="AH32" s="264"/>
      <c r="AJ32" s="1750"/>
      <c r="AK32" s="1520"/>
      <c r="AL32" s="1520"/>
    </row>
    <row r="33" spans="1:38">
      <c r="A33" s="62"/>
      <c r="B33" s="62"/>
      <c r="C33" s="194"/>
      <c r="D33" s="194"/>
      <c r="E33" s="105"/>
      <c r="F33" s="105"/>
      <c r="G33" s="105"/>
      <c r="H33" s="105"/>
      <c r="I33" s="105"/>
      <c r="J33" s="105"/>
      <c r="K33" s="105"/>
      <c r="L33" s="105"/>
      <c r="M33" s="105"/>
      <c r="N33" s="105"/>
      <c r="O33" s="105"/>
      <c r="P33" s="105"/>
      <c r="Q33" s="105"/>
      <c r="R33" s="105"/>
      <c r="S33" s="105"/>
      <c r="T33" s="105"/>
      <c r="U33" s="105"/>
      <c r="V33" s="105"/>
      <c r="W33" s="105"/>
      <c r="X33" s="105"/>
      <c r="Y33" s="105"/>
      <c r="Z33" s="194"/>
      <c r="AA33" s="860"/>
      <c r="AB33" s="194"/>
      <c r="AC33" s="1224"/>
      <c r="AD33" s="860"/>
      <c r="AE33" s="194"/>
      <c r="AF33" s="26"/>
      <c r="AG33" s="92"/>
      <c r="AH33" s="264"/>
      <c r="AI33" s="1553"/>
      <c r="AJ33" s="1555"/>
      <c r="AK33" s="1520"/>
      <c r="AL33" s="1520"/>
    </row>
    <row r="34" spans="1:38">
      <c r="A34" s="187" t="s">
        <v>458</v>
      </c>
      <c r="B34" s="62"/>
      <c r="C34" s="194"/>
      <c r="D34" s="194"/>
      <c r="E34" s="105"/>
      <c r="F34" s="105"/>
      <c r="G34" s="105"/>
      <c r="H34" s="105"/>
      <c r="I34" s="105"/>
      <c r="J34" s="105"/>
      <c r="K34" s="105"/>
      <c r="L34" s="105"/>
      <c r="M34" s="105"/>
      <c r="N34" s="105"/>
      <c r="O34" s="105"/>
      <c r="P34" s="105"/>
      <c r="Q34" s="105"/>
      <c r="R34" s="105"/>
      <c r="S34" s="105"/>
      <c r="T34" s="105"/>
      <c r="U34" s="105"/>
      <c r="V34" s="105"/>
      <c r="W34" s="105"/>
      <c r="X34" s="105"/>
      <c r="Y34" s="105"/>
      <c r="Z34" s="194"/>
      <c r="AA34" s="860"/>
      <c r="AB34" s="194"/>
      <c r="AC34" s="1224"/>
      <c r="AD34" s="860"/>
      <c r="AE34" s="194"/>
      <c r="AF34" s="20"/>
      <c r="AG34" s="403"/>
      <c r="AH34" s="264"/>
      <c r="AI34" s="1553"/>
      <c r="AJ34" s="1555"/>
      <c r="AK34" s="1520"/>
      <c r="AL34" s="1520"/>
    </row>
    <row r="35" spans="1:38">
      <c r="A35" s="187" t="s">
        <v>144</v>
      </c>
      <c r="B35" s="62"/>
      <c r="C35" s="204">
        <f>ROUND(C21-C31,1)</f>
        <v>-58.3</v>
      </c>
      <c r="D35" s="197"/>
      <c r="E35" s="204">
        <f>ROUND(E21-E31,1)</f>
        <v>51.7</v>
      </c>
      <c r="F35" s="204"/>
      <c r="G35" s="204">
        <f>ROUND(G21-G31,1)</f>
        <v>60.6</v>
      </c>
      <c r="H35" s="204"/>
      <c r="I35" s="204">
        <f>ROUND(I21-I31,1)</f>
        <v>25.9</v>
      </c>
      <c r="J35" s="204"/>
      <c r="K35" s="204">
        <f>ROUND(K21-K31,1)</f>
        <v>0</v>
      </c>
      <c r="L35" s="204"/>
      <c r="M35" s="204">
        <f>ROUND(M21-M31,1)</f>
        <v>0</v>
      </c>
      <c r="N35" s="204"/>
      <c r="O35" s="204">
        <f>ROUND(O21-O31,1)</f>
        <v>0</v>
      </c>
      <c r="P35" s="204"/>
      <c r="Q35" s="204">
        <f>ROUND(Q21-Q31,1)</f>
        <v>0</v>
      </c>
      <c r="R35" s="204"/>
      <c r="S35" s="204">
        <f>ROUND(S21-S31,1)</f>
        <v>0</v>
      </c>
      <c r="T35" s="204"/>
      <c r="U35" s="204">
        <f>ROUND(U21-U31,1)</f>
        <v>0</v>
      </c>
      <c r="V35" s="204"/>
      <c r="W35" s="204">
        <f>ROUND(W21-W31,1)</f>
        <v>0</v>
      </c>
      <c r="X35" s="204"/>
      <c r="Y35" s="204">
        <f>ROUND(Y21-Y31,1)</f>
        <v>0</v>
      </c>
      <c r="Z35" s="197"/>
      <c r="AA35" s="863"/>
      <c r="AB35" s="204">
        <f>ROUND(AB21-AB31,1)</f>
        <v>79.900000000000006</v>
      </c>
      <c r="AC35" s="1751"/>
      <c r="AD35" s="197"/>
      <c r="AE35" s="204">
        <f>ROUND(AE21-AE31,1)</f>
        <v>-6135.6</v>
      </c>
      <c r="AF35" s="268"/>
      <c r="AG35" s="406"/>
      <c r="AH35" s="357">
        <f>ROUND(SUM(AH21-AH31),1)</f>
        <v>6215.5</v>
      </c>
      <c r="AI35" s="40"/>
      <c r="AJ35" s="1727">
        <f>ROUND(IF(AE35=0,1,AH35/ABS(AE35)),3)</f>
        <v>1.0129999999999999</v>
      </c>
      <c r="AK35" s="1520"/>
      <c r="AL35" s="1520"/>
    </row>
    <row r="36" spans="1:38">
      <c r="A36" s="62"/>
      <c r="B36" s="62"/>
      <c r="C36" s="1017"/>
      <c r="D36" s="194"/>
      <c r="E36" s="1551"/>
      <c r="F36" s="105"/>
      <c r="G36" s="1551"/>
      <c r="H36" s="105"/>
      <c r="I36" s="1551"/>
      <c r="J36" s="105"/>
      <c r="K36" s="1551"/>
      <c r="L36" s="105"/>
      <c r="M36" s="1551"/>
      <c r="N36" s="105"/>
      <c r="O36" s="1551"/>
      <c r="P36" s="105"/>
      <c r="Q36" s="1551"/>
      <c r="R36" s="105"/>
      <c r="S36" s="1551"/>
      <c r="T36" s="105"/>
      <c r="U36" s="1551"/>
      <c r="V36" s="105"/>
      <c r="W36" s="1551"/>
      <c r="X36" s="105"/>
      <c r="Y36" s="1551"/>
      <c r="Z36" s="194"/>
      <c r="AA36" s="860"/>
      <c r="AB36" s="1017"/>
      <c r="AC36" s="1224"/>
      <c r="AD36" s="860"/>
      <c r="AE36" s="1017"/>
      <c r="AF36" s="268"/>
      <c r="AG36" s="406"/>
      <c r="AH36" s="264"/>
      <c r="AJ36" s="1750"/>
      <c r="AK36" s="1520"/>
      <c r="AL36" s="1520"/>
    </row>
    <row r="37" spans="1:38">
      <c r="A37" s="62"/>
      <c r="B37" s="62"/>
      <c r="C37" s="194"/>
      <c r="D37" s="194"/>
      <c r="E37" s="105"/>
      <c r="F37" s="105"/>
      <c r="G37" s="105"/>
      <c r="H37" s="105"/>
      <c r="I37" s="105"/>
      <c r="J37" s="105"/>
      <c r="K37" s="105"/>
      <c r="L37" s="105"/>
      <c r="M37" s="105"/>
      <c r="N37" s="105"/>
      <c r="O37" s="105"/>
      <c r="P37" s="105"/>
      <c r="Q37" s="105"/>
      <c r="R37" s="105"/>
      <c r="S37" s="105"/>
      <c r="T37" s="105"/>
      <c r="U37" s="105"/>
      <c r="V37" s="105"/>
      <c r="W37" s="105"/>
      <c r="X37" s="105"/>
      <c r="Y37" s="105"/>
      <c r="Z37" s="194"/>
      <c r="AA37" s="860"/>
      <c r="AB37" s="194"/>
      <c r="AC37" s="194"/>
      <c r="AD37" s="860"/>
      <c r="AE37" s="194"/>
      <c r="AG37" s="402"/>
      <c r="AH37" s="264"/>
      <c r="AJ37" s="1555"/>
      <c r="AK37" s="1520"/>
      <c r="AL37" s="1520"/>
    </row>
    <row r="38" spans="1:38">
      <c r="A38" s="187" t="s">
        <v>145</v>
      </c>
      <c r="B38" s="62"/>
      <c r="C38" s="194"/>
      <c r="D38" s="194"/>
      <c r="E38" s="105"/>
      <c r="F38" s="105"/>
      <c r="G38" s="105"/>
      <c r="H38" s="105"/>
      <c r="I38" s="105"/>
      <c r="J38" s="105"/>
      <c r="K38" s="1268"/>
      <c r="L38" s="105"/>
      <c r="M38" s="1268"/>
      <c r="N38" s="105"/>
      <c r="O38" s="105"/>
      <c r="P38" s="105"/>
      <c r="Q38" s="105"/>
      <c r="R38" s="105"/>
      <c r="S38" s="105"/>
      <c r="T38" s="105"/>
      <c r="U38" s="105"/>
      <c r="V38" s="105"/>
      <c r="W38" s="105"/>
      <c r="X38" s="105"/>
      <c r="Y38" s="105"/>
      <c r="Z38" s="194"/>
      <c r="AA38" s="860"/>
      <c r="AB38" s="194"/>
      <c r="AC38" s="194"/>
      <c r="AD38" s="860"/>
      <c r="AE38" s="194"/>
      <c r="AF38" s="268"/>
      <c r="AG38" s="406"/>
      <c r="AH38" s="274"/>
      <c r="AI38" s="379"/>
      <c r="AJ38" s="1555"/>
      <c r="AK38" s="1520"/>
      <c r="AL38" s="1520"/>
    </row>
    <row r="39" spans="1:38">
      <c r="A39" s="62" t="s">
        <v>537</v>
      </c>
      <c r="B39" s="62"/>
      <c r="C39" s="194">
        <v>0</v>
      </c>
      <c r="D39" s="194"/>
      <c r="E39" s="194">
        <v>0</v>
      </c>
      <c r="F39" s="105"/>
      <c r="G39" s="194">
        <v>0</v>
      </c>
      <c r="H39" s="287"/>
      <c r="I39" s="194">
        <f>$AB39-G39-E39-C39</f>
        <v>0</v>
      </c>
      <c r="J39" s="105"/>
      <c r="K39" s="194"/>
      <c r="L39" s="105"/>
      <c r="M39" s="194"/>
      <c r="N39" s="105"/>
      <c r="O39" s="194"/>
      <c r="P39" s="105"/>
      <c r="Q39" s="194"/>
      <c r="R39" s="105"/>
      <c r="S39" s="194"/>
      <c r="T39" s="105"/>
      <c r="U39" s="194"/>
      <c r="V39" s="105"/>
      <c r="W39" s="194"/>
      <c r="X39" s="105"/>
      <c r="Y39" s="194"/>
      <c r="Z39" s="194"/>
      <c r="AA39" s="860"/>
      <c r="AB39" s="531">
        <v>0</v>
      </c>
      <c r="AC39" s="264"/>
      <c r="AD39" s="524" t="s">
        <v>103</v>
      </c>
      <c r="AE39" s="531">
        <v>6000</v>
      </c>
      <c r="AF39" s="268"/>
      <c r="AG39" s="406"/>
      <c r="AH39" s="264">
        <f>ROUND(SUM(AB39-AE39),1)</f>
        <v>-6000</v>
      </c>
      <c r="AJ39" s="1556">
        <f>ROUND(IF(AE39=0,0,AH39/ABS(AE39)),3)</f>
        <v>-1</v>
      </c>
      <c r="AK39" s="1520"/>
      <c r="AL39" s="1520"/>
    </row>
    <row r="40" spans="1:38">
      <c r="A40" s="62" t="s">
        <v>538</v>
      </c>
      <c r="B40" s="62"/>
      <c r="C40" s="194">
        <v>0</v>
      </c>
      <c r="D40" s="194"/>
      <c r="E40" s="194">
        <v>0</v>
      </c>
      <c r="F40" s="105"/>
      <c r="G40" s="194">
        <v>0</v>
      </c>
      <c r="H40" s="287"/>
      <c r="I40" s="194">
        <f>$AB40-G40-E40-C40</f>
        <v>0</v>
      </c>
      <c r="J40" s="105"/>
      <c r="K40" s="194"/>
      <c r="L40" s="105"/>
      <c r="M40" s="194"/>
      <c r="N40" s="105"/>
      <c r="O40" s="194"/>
      <c r="P40" s="105"/>
      <c r="Q40" s="194"/>
      <c r="R40" s="105"/>
      <c r="S40" s="194"/>
      <c r="T40" s="105"/>
      <c r="U40" s="194"/>
      <c r="V40" s="105"/>
      <c r="W40" s="194"/>
      <c r="X40" s="105"/>
      <c r="Y40" s="194"/>
      <c r="Z40" s="194"/>
      <c r="AA40" s="860"/>
      <c r="AB40" s="531">
        <v>0</v>
      </c>
      <c r="AC40" s="264"/>
      <c r="AD40" s="524" t="s">
        <v>103</v>
      </c>
      <c r="AE40" s="531">
        <v>0</v>
      </c>
      <c r="AF40" s="268"/>
      <c r="AG40" s="406"/>
      <c r="AH40" s="382">
        <f>-ROUND(SUM(AB40-AE40),1)</f>
        <v>0</v>
      </c>
      <c r="AJ40" s="1572">
        <f>ROUND(IF(AE40=0,0,AH40/ABS(AE40)),3)</f>
        <v>0</v>
      </c>
      <c r="AK40" s="1520"/>
      <c r="AL40" s="1520"/>
    </row>
    <row r="41" spans="1:38">
      <c r="A41" s="62"/>
      <c r="B41" s="62"/>
      <c r="C41" s="1017"/>
      <c r="D41" s="194"/>
      <c r="E41" s="1017"/>
      <c r="F41" s="105"/>
      <c r="G41" s="1017"/>
      <c r="H41" s="105"/>
      <c r="I41" s="1017"/>
      <c r="J41" s="105"/>
      <c r="K41" s="1017"/>
      <c r="L41" s="105"/>
      <c r="M41" s="1017"/>
      <c r="N41" s="105"/>
      <c r="O41" s="1017"/>
      <c r="P41" s="105"/>
      <c r="Q41" s="1017"/>
      <c r="R41" s="105"/>
      <c r="S41" s="1017"/>
      <c r="T41" s="105"/>
      <c r="U41" s="1551"/>
      <c r="V41" s="105"/>
      <c r="W41" s="1551"/>
      <c r="X41" s="105"/>
      <c r="Y41" s="1551"/>
      <c r="Z41" s="194"/>
      <c r="AA41" s="860"/>
      <c r="AB41" s="1017"/>
      <c r="AC41" s="194"/>
      <c r="AD41" s="860"/>
      <c r="AE41" s="1017"/>
      <c r="AF41" s="268"/>
      <c r="AG41" s="406"/>
      <c r="AJ41" s="1750"/>
      <c r="AK41" s="1520"/>
      <c r="AL41" s="1520"/>
    </row>
    <row r="42" spans="1:38">
      <c r="A42" s="187" t="s">
        <v>586</v>
      </c>
      <c r="B42" s="62"/>
      <c r="C42" s="1558">
        <f>ROUND(SUM(C39:C41),1)</f>
        <v>0</v>
      </c>
      <c r="D42" s="197"/>
      <c r="E42" s="1558">
        <f>ROUND(SUM(E39:E41),1)</f>
        <v>0</v>
      </c>
      <c r="F42" s="204"/>
      <c r="G42" s="1558">
        <f>ROUND(SUM(G39:G41),1)</f>
        <v>0</v>
      </c>
      <c r="H42" s="204"/>
      <c r="I42" s="1558">
        <f>ROUND(SUM(I39:I41),1)</f>
        <v>0</v>
      </c>
      <c r="J42" s="204"/>
      <c r="K42" s="1558">
        <f>ROUND(SUM(K39:K41),1)</f>
        <v>0</v>
      </c>
      <c r="L42" s="204"/>
      <c r="M42" s="1558">
        <f>ROUND(SUM(M39:M41),1)</f>
        <v>0</v>
      </c>
      <c r="N42" s="204"/>
      <c r="O42" s="1558">
        <f>ROUND(SUM(O39:O41),1)</f>
        <v>0</v>
      </c>
      <c r="P42" s="204"/>
      <c r="Q42" s="1558">
        <f>ROUND(SUM(Q39:Q41),1)</f>
        <v>0</v>
      </c>
      <c r="R42" s="1558"/>
      <c r="S42" s="1558">
        <f>ROUND(SUM(S39:S41),1)</f>
        <v>0</v>
      </c>
      <c r="T42" s="204"/>
      <c r="U42" s="1558">
        <f>ROUND(SUM(U39:U41),1)</f>
        <v>0</v>
      </c>
      <c r="V42" s="204"/>
      <c r="W42" s="1558">
        <f>ROUND(SUM(W39:W41),1)</f>
        <v>0</v>
      </c>
      <c r="X42" s="204"/>
      <c r="Y42" s="1558">
        <f>ROUND(SUM(Y39:Y41),1)</f>
        <v>0</v>
      </c>
      <c r="Z42" s="197"/>
      <c r="AA42" s="863"/>
      <c r="AB42" s="357">
        <f>ROUND(SUM(AB39+AB40),1)</f>
        <v>0</v>
      </c>
      <c r="AC42" s="1751"/>
      <c r="AD42" s="197"/>
      <c r="AE42" s="357">
        <f>ROUND(SUM(AE39+AE40),1)</f>
        <v>6000</v>
      </c>
      <c r="AF42" s="291"/>
      <c r="AG42" s="402"/>
      <c r="AH42" s="357">
        <f>ROUND(SUM(AH39:AH40),1)</f>
        <v>-6000</v>
      </c>
      <c r="AI42" s="52"/>
      <c r="AJ42" s="1727">
        <f>ROUND(IF(AE42=0,0,AH42/ABS(AE42)),3)</f>
        <v>-1</v>
      </c>
      <c r="AK42" s="1520"/>
      <c r="AL42" s="1520"/>
    </row>
    <row r="43" spans="1:38">
      <c r="A43" s="62"/>
      <c r="B43" s="62"/>
      <c r="C43" s="1017"/>
      <c r="D43" s="194"/>
      <c r="E43" s="1551"/>
      <c r="F43" s="105"/>
      <c r="G43" s="1551"/>
      <c r="H43" s="105"/>
      <c r="I43" s="1551"/>
      <c r="J43" s="105"/>
      <c r="K43" s="1551"/>
      <c r="L43" s="105"/>
      <c r="M43" s="1551"/>
      <c r="N43" s="105"/>
      <c r="O43" s="1551"/>
      <c r="P43" s="105"/>
      <c r="Q43" s="1551"/>
      <c r="R43" s="105"/>
      <c r="S43" s="1551"/>
      <c r="T43" s="105"/>
      <c r="U43" s="1551"/>
      <c r="V43" s="105"/>
      <c r="W43" s="1551"/>
      <c r="X43" s="105"/>
      <c r="Y43" s="1551"/>
      <c r="Z43" s="194"/>
      <c r="AA43" s="860"/>
      <c r="AB43" s="1017"/>
      <c r="AC43" s="194"/>
      <c r="AD43" s="860"/>
      <c r="AE43" s="1017"/>
      <c r="AG43" s="402"/>
      <c r="AJ43" s="1750"/>
      <c r="AK43" s="1520"/>
      <c r="AL43" s="1520"/>
    </row>
    <row r="44" spans="1:38">
      <c r="A44" s="62"/>
      <c r="B44" s="62"/>
      <c r="C44" s="194"/>
      <c r="D44" s="194"/>
      <c r="E44" s="105"/>
      <c r="F44" s="105"/>
      <c r="G44" s="105"/>
      <c r="H44" s="105"/>
      <c r="I44" s="105"/>
      <c r="J44" s="105"/>
      <c r="K44" s="105"/>
      <c r="L44" s="105"/>
      <c r="M44" s="105"/>
      <c r="N44" s="105"/>
      <c r="O44" s="105"/>
      <c r="P44" s="105"/>
      <c r="Q44" s="105"/>
      <c r="R44" s="105"/>
      <c r="S44" s="105"/>
      <c r="T44" s="105"/>
      <c r="U44" s="105"/>
      <c r="V44" s="105"/>
      <c r="W44" s="105"/>
      <c r="X44" s="105"/>
      <c r="Y44" s="105"/>
      <c r="Z44" s="194"/>
      <c r="AA44" s="860"/>
      <c r="AB44" s="194"/>
      <c r="AC44" s="194"/>
      <c r="AD44" s="860"/>
      <c r="AE44" s="194"/>
      <c r="AG44" s="402"/>
      <c r="AJ44" s="1750"/>
      <c r="AK44" s="1520"/>
      <c r="AL44" s="1520"/>
    </row>
    <row r="45" spans="1:38">
      <c r="A45" s="187" t="s">
        <v>469</v>
      </c>
      <c r="B45" s="62"/>
      <c r="C45" s="194"/>
      <c r="D45" s="194"/>
      <c r="E45" s="105"/>
      <c r="F45" s="105"/>
      <c r="G45" s="105"/>
      <c r="H45" s="105"/>
      <c r="I45" s="105"/>
      <c r="J45" s="105"/>
      <c r="K45" s="105"/>
      <c r="L45" s="105"/>
      <c r="M45" s="105"/>
      <c r="N45" s="105"/>
      <c r="O45" s="105"/>
      <c r="P45" s="105"/>
      <c r="Q45" s="105"/>
      <c r="R45" s="105"/>
      <c r="S45" s="105"/>
      <c r="T45" s="105"/>
      <c r="U45" s="105"/>
      <c r="V45" s="105"/>
      <c r="W45" s="105"/>
      <c r="X45" s="105"/>
      <c r="Y45" s="105"/>
      <c r="Z45" s="194"/>
      <c r="AA45" s="860"/>
      <c r="AB45" s="194"/>
      <c r="AC45" s="194"/>
      <c r="AD45" s="860"/>
      <c r="AE45" s="194"/>
      <c r="AG45" s="402"/>
      <c r="AJ45" s="1750"/>
      <c r="AK45" s="1520"/>
      <c r="AL45" s="1520"/>
    </row>
    <row r="46" spans="1:38">
      <c r="A46" s="187" t="s">
        <v>593</v>
      </c>
      <c r="B46" s="62"/>
      <c r="C46" s="194"/>
      <c r="D46" s="194"/>
      <c r="E46" s="105"/>
      <c r="F46" s="105"/>
      <c r="G46" s="105"/>
      <c r="H46" s="105"/>
      <c r="I46" s="105"/>
      <c r="J46" s="105"/>
      <c r="K46" s="1268"/>
      <c r="L46" s="105"/>
      <c r="M46" s="105"/>
      <c r="N46" s="105"/>
      <c r="O46" s="105"/>
      <c r="P46" s="105"/>
      <c r="Q46" s="105"/>
      <c r="R46" s="105"/>
      <c r="S46" s="105"/>
      <c r="T46" s="105"/>
      <c r="U46" s="105"/>
      <c r="V46" s="105"/>
      <c r="W46" s="105"/>
      <c r="X46" s="105"/>
      <c r="Y46" s="105"/>
      <c r="Z46" s="194"/>
      <c r="AA46" s="860"/>
      <c r="AB46" s="194"/>
      <c r="AC46" s="194"/>
      <c r="AD46" s="860"/>
      <c r="AE46" s="194"/>
      <c r="AG46" s="402"/>
      <c r="AJ46" s="1750"/>
      <c r="AK46" s="1520"/>
      <c r="AL46" s="1520"/>
    </row>
    <row r="47" spans="1:38">
      <c r="A47" s="187" t="s">
        <v>471</v>
      </c>
      <c r="B47" s="62"/>
      <c r="C47" s="204">
        <f>ROUND(C35+C42,1)</f>
        <v>-58.3</v>
      </c>
      <c r="D47" s="197"/>
      <c r="E47" s="204">
        <f>ROUND(E35+E42,1)</f>
        <v>51.7</v>
      </c>
      <c r="F47" s="204"/>
      <c r="G47" s="204">
        <f>ROUND(G35+G42,1)</f>
        <v>60.6</v>
      </c>
      <c r="H47" s="204"/>
      <c r="I47" s="204">
        <f>ROUND(I35+I42,1)</f>
        <v>25.9</v>
      </c>
      <c r="J47" s="204"/>
      <c r="K47" s="753">
        <f>ROUND(K35+K42,1)</f>
        <v>0</v>
      </c>
      <c r="L47" s="204"/>
      <c r="M47" s="204">
        <f>ROUND(M35+M42,1)</f>
        <v>0</v>
      </c>
      <c r="N47" s="204"/>
      <c r="O47" s="204">
        <f>ROUND(O35+O42,1)</f>
        <v>0</v>
      </c>
      <c r="P47" s="204"/>
      <c r="Q47" s="204">
        <f>ROUND(Q35+Q42,1)</f>
        <v>0</v>
      </c>
      <c r="R47" s="204"/>
      <c r="S47" s="204">
        <f>ROUND(S35+S42,1)</f>
        <v>0</v>
      </c>
      <c r="T47" s="204"/>
      <c r="U47" s="204">
        <f>ROUND(U35+U42,1)</f>
        <v>0</v>
      </c>
      <c r="V47" s="204"/>
      <c r="W47" s="204">
        <f>ROUND(W35+W42,1)</f>
        <v>0</v>
      </c>
      <c r="X47" s="204"/>
      <c r="Y47" s="204">
        <f>ROUND(Y35+Y42,1)</f>
        <v>0</v>
      </c>
      <c r="Z47" s="197"/>
      <c r="AA47" s="863"/>
      <c r="AB47" s="204">
        <f>ROUND(AB35+AB42,1)</f>
        <v>79.900000000000006</v>
      </c>
      <c r="AC47" s="1751"/>
      <c r="AD47" s="197"/>
      <c r="AE47" s="204">
        <f>ROUND(AE35+AE42,1)</f>
        <v>-135.6</v>
      </c>
      <c r="AG47" s="402"/>
      <c r="AH47" s="357">
        <f>ROUND(SUM(AH35+AH42),1)</f>
        <v>215.5</v>
      </c>
      <c r="AI47" s="3"/>
      <c r="AJ47" s="1727">
        <f>ROUND(IF(AE47=0,1,AH47/ABS(AE47)),3)</f>
        <v>1.589</v>
      </c>
      <c r="AK47" s="1520"/>
      <c r="AL47" s="1520"/>
    </row>
    <row r="48" spans="1:38">
      <c r="A48" s="62"/>
      <c r="B48" s="62"/>
      <c r="C48" s="1560"/>
      <c r="D48" s="187"/>
      <c r="E48" s="1561"/>
      <c r="F48" s="1562"/>
      <c r="G48" s="1561"/>
      <c r="H48" s="1562"/>
      <c r="I48" s="1561"/>
      <c r="J48" s="1562"/>
      <c r="K48" s="1563"/>
      <c r="L48" s="1562"/>
      <c r="M48" s="1561"/>
      <c r="N48" s="1562"/>
      <c r="O48" s="1561"/>
      <c r="P48" s="1562"/>
      <c r="Q48" s="1561"/>
      <c r="R48" s="1562"/>
      <c r="S48" s="1561"/>
      <c r="T48" s="1562"/>
      <c r="U48" s="1561"/>
      <c r="V48" s="1562"/>
      <c r="W48" s="1561"/>
      <c r="X48" s="1562"/>
      <c r="Y48" s="1561"/>
      <c r="Z48" s="187"/>
      <c r="AA48" s="1564"/>
      <c r="AB48" s="1560"/>
      <c r="AC48" s="187"/>
      <c r="AD48" s="1564"/>
      <c r="AE48" s="1560"/>
      <c r="AG48" s="402"/>
      <c r="AJ48" s="1750"/>
      <c r="AK48" s="1520"/>
      <c r="AL48" s="1520"/>
    </row>
    <row r="49" spans="1:38" ht="16" thickBot="1">
      <c r="A49" s="187" t="s">
        <v>433</v>
      </c>
      <c r="B49" s="62"/>
      <c r="C49" s="190">
        <f>ROUND(C14+C47,1)</f>
        <v>1221.5999999999999</v>
      </c>
      <c r="D49" s="190"/>
      <c r="E49" s="190">
        <f>ROUND(E14+E47,1)</f>
        <v>1273.3</v>
      </c>
      <c r="F49" s="1549"/>
      <c r="G49" s="190">
        <f>ROUND(G14+G47,1)</f>
        <v>1333.9</v>
      </c>
      <c r="H49" s="1549"/>
      <c r="I49" s="1565">
        <f>ROUND(I14+I47,1)</f>
        <v>1359.8</v>
      </c>
      <c r="J49" s="1549"/>
      <c r="K49" s="190">
        <f>ROUND(K14+K47,1)</f>
        <v>0</v>
      </c>
      <c r="L49" s="1549"/>
      <c r="M49" s="190">
        <f>ROUND(M14+M47,1)</f>
        <v>0</v>
      </c>
      <c r="N49" s="1549"/>
      <c r="O49" s="190">
        <f>ROUND(O14+O47,1)</f>
        <v>0</v>
      </c>
      <c r="P49" s="1549"/>
      <c r="Q49" s="190">
        <f>ROUND(Q14+Q47,1)</f>
        <v>0</v>
      </c>
      <c r="R49" s="1549"/>
      <c r="S49" s="190">
        <f>ROUND(S14+S47,1)</f>
        <v>0</v>
      </c>
      <c r="T49" s="1549"/>
      <c r="U49" s="190">
        <f>ROUND(U14+U47,1)</f>
        <v>0</v>
      </c>
      <c r="V49" s="1549"/>
      <c r="W49" s="190">
        <f>ROUND(W14+W47,1)</f>
        <v>0</v>
      </c>
      <c r="X49" s="1549"/>
      <c r="Y49" s="190">
        <f>ROUND(Y14+Y47,1)</f>
        <v>0</v>
      </c>
      <c r="Z49" s="190"/>
      <c r="AA49" s="856"/>
      <c r="AB49" s="190">
        <f>ROUND(AB14+AB47,1)</f>
        <v>1359.8</v>
      </c>
      <c r="AC49" s="190"/>
      <c r="AD49" s="856"/>
      <c r="AE49" s="190">
        <f>ROUND(AE14+AE47,1)</f>
        <v>834.7</v>
      </c>
      <c r="AG49" s="402"/>
      <c r="AH49" s="70">
        <f>ROUND(SUM(AB49-AE49),1)</f>
        <v>525.1</v>
      </c>
      <c r="AI49" s="379"/>
      <c r="AJ49" s="1752">
        <f>ROUND(IF(AH49=0,0,AH49/ABS(AE49)),3)</f>
        <v>0.629</v>
      </c>
      <c r="AK49" s="1520"/>
      <c r="AL49" s="1520"/>
    </row>
    <row r="50" spans="1:38" ht="16" thickTop="1">
      <c r="C50" s="1567"/>
      <c r="E50" s="1567"/>
      <c r="G50" s="1567"/>
      <c r="K50" s="1567"/>
      <c r="M50" s="1567"/>
      <c r="O50" s="1567"/>
      <c r="Q50" s="1567"/>
      <c r="S50" s="1567"/>
      <c r="U50" s="1567"/>
      <c r="W50" s="1567"/>
      <c r="Y50" s="1567"/>
      <c r="AB50" s="1567"/>
      <c r="AE50" s="1567"/>
    </row>
    <row r="51" spans="1:38">
      <c r="A51" s="1013"/>
    </row>
    <row r="52" spans="1:38">
      <c r="A52" s="1013"/>
    </row>
    <row r="53" spans="1:38">
      <c r="A53" s="1013"/>
    </row>
    <row r="54" spans="1:38">
      <c r="A54" s="1013"/>
    </row>
    <row r="55" spans="1:38">
      <c r="A55" s="1013"/>
    </row>
  </sheetData>
  <mergeCells count="1">
    <mergeCell ref="AA10:AJ10"/>
  </mergeCells>
  <printOptions horizontalCentered="1"/>
  <pageMargins left="0.25" right="0.25" top="0.5" bottom="0.25" header="0" footer="0.25"/>
  <pageSetup scale="43" firstPageNumber="34" orientation="landscape" useFirstPageNumber="1" r:id="rId1"/>
  <headerFooter scaleWithDoc="0" alignWithMargins="0">
    <oddFooter>&amp;C&amp;8 &amp;P</oddFooter>
  </headerFooter>
  <customProperties>
    <customPr name="SheetOptions"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pageSetUpPr fitToPage="1"/>
  </sheetPr>
  <dimension ref="A1:AK50"/>
  <sheetViews>
    <sheetView showGridLines="0" zoomScale="85" zoomScaleNormal="85" workbookViewId="0"/>
  </sheetViews>
  <sheetFormatPr defaultColWidth="8.84375" defaultRowHeight="15.5"/>
  <cols>
    <col min="1" max="1" width="41.07421875" style="10" customWidth="1"/>
    <col min="2" max="2" width="11.84375" style="10" customWidth="1"/>
    <col min="3" max="3" width="1.84375" style="10" customWidth="1"/>
    <col min="4" max="4" width="11.84375" style="10" customWidth="1"/>
    <col min="5" max="5" width="1.84375" style="10" customWidth="1"/>
    <col min="6" max="6" width="11.84375" style="10" customWidth="1"/>
    <col min="7" max="7" width="1.84375" style="10" customWidth="1"/>
    <col min="8" max="8" width="11.84375" style="10" customWidth="1"/>
    <col min="9" max="9" width="1.84375" style="10" customWidth="1"/>
    <col min="10" max="10" width="11.84375" style="10" customWidth="1"/>
    <col min="11" max="11" width="1.84375" style="10" customWidth="1"/>
    <col min="12" max="12" width="12.07421875" style="10" customWidth="1"/>
    <col min="13" max="13" width="1.84375" style="10" customWidth="1"/>
    <col min="14" max="14" width="11.84375" style="10" customWidth="1"/>
    <col min="15" max="15" width="1.84375" style="10" customWidth="1"/>
    <col min="16" max="16" width="11.84375" style="10" customWidth="1"/>
    <col min="17" max="17" width="1.84375" style="10" customWidth="1"/>
    <col min="18" max="18" width="11.84375" style="10" customWidth="1"/>
    <col min="19" max="19" width="1.84375" style="10" customWidth="1"/>
    <col min="20" max="20" width="11.84375" style="10" customWidth="1"/>
    <col min="21" max="21" width="1.84375" style="10" customWidth="1"/>
    <col min="22" max="22" width="11.84375" style="10" customWidth="1"/>
    <col min="23" max="23" width="1.84375" style="10" customWidth="1"/>
    <col min="24" max="24" width="11.84375" style="10" customWidth="1"/>
    <col min="25" max="26" width="0.84375" style="10" customWidth="1"/>
    <col min="27" max="27" width="11.84375" style="10" customWidth="1"/>
    <col min="28" max="29" width="0.84375" style="10" customWidth="1"/>
    <col min="30" max="30" width="11.84375" style="10" customWidth="1"/>
    <col min="31" max="31" width="0.84375" style="107" customWidth="1"/>
    <col min="32" max="32" width="0.84375" style="291" customWidth="1"/>
    <col min="33" max="33" width="11.84375" style="291" customWidth="1"/>
    <col min="34" max="34" width="1.84375" style="291" customWidth="1"/>
    <col min="35" max="35" width="11.84375" style="291" customWidth="1"/>
    <col min="36" max="36" width="9.07421875" style="10" bestFit="1" customWidth="1"/>
    <col min="37" max="37" width="8.84375" style="10" bestFit="1" customWidth="1"/>
    <col min="38" max="16384" width="8.84375" style="10"/>
  </cols>
  <sheetData>
    <row r="1" spans="1:37">
      <c r="A1" s="265" t="s">
        <v>97</v>
      </c>
    </row>
    <row r="2" spans="1:37">
      <c r="A2" s="354"/>
    </row>
    <row r="3" spans="1:37">
      <c r="A3" s="1568" t="s">
        <v>98</v>
      </c>
      <c r="B3" s="1569"/>
      <c r="AE3" s="291"/>
      <c r="AI3" s="1210" t="s">
        <v>594</v>
      </c>
    </row>
    <row r="4" spans="1:37">
      <c r="A4" s="1568" t="s">
        <v>595</v>
      </c>
      <c r="B4" s="1569"/>
      <c r="H4" s="1569" t="s">
        <v>103</v>
      </c>
      <c r="X4" s="10" t="s">
        <v>103</v>
      </c>
      <c r="AE4" s="291"/>
    </row>
    <row r="5" spans="1:37">
      <c r="A5" s="1568" t="s">
        <v>596</v>
      </c>
      <c r="B5" s="1569"/>
      <c r="AB5" s="1210"/>
      <c r="AC5" s="1210"/>
      <c r="AD5" s="1210"/>
      <c r="AE5" s="1210"/>
    </row>
    <row r="6" spans="1:37">
      <c r="A6" s="1570" t="str">
        <f>'Cashflow Governmental'!A6</f>
        <v>FISCAL YEAR 2026-2027</v>
      </c>
      <c r="B6" s="1569"/>
      <c r="AE6" s="291"/>
    </row>
    <row r="7" spans="1:37">
      <c r="A7" s="1568" t="s">
        <v>102</v>
      </c>
      <c r="B7" s="1569"/>
      <c r="AE7" s="291"/>
    </row>
    <row r="8" spans="1:37">
      <c r="A8" s="1568"/>
      <c r="B8" s="1569"/>
      <c r="AE8" s="291"/>
    </row>
    <row r="9" spans="1:37">
      <c r="B9" s="1619"/>
      <c r="AA9" s="2068"/>
      <c r="AB9" s="2068"/>
      <c r="AC9" s="2068"/>
      <c r="AD9" s="2068"/>
      <c r="AE9" s="2068"/>
      <c r="AF9" s="2068"/>
      <c r="AG9" s="2068"/>
      <c r="AH9" s="2068"/>
      <c r="AI9" s="2068"/>
    </row>
    <row r="10" spans="1:37">
      <c r="A10" s="1571"/>
      <c r="B10" s="1112"/>
      <c r="C10" s="15"/>
      <c r="D10" s="15"/>
      <c r="E10" s="15"/>
      <c r="F10" s="15"/>
      <c r="G10" s="15"/>
      <c r="H10" s="1569"/>
      <c r="I10" s="1569"/>
      <c r="J10" s="1569"/>
      <c r="K10" s="15"/>
      <c r="L10" s="15"/>
      <c r="M10" s="15"/>
      <c r="N10" s="15"/>
      <c r="O10" s="15"/>
      <c r="P10" s="15"/>
      <c r="Q10" s="15"/>
      <c r="R10" s="15"/>
      <c r="S10" s="15"/>
      <c r="T10" s="15"/>
      <c r="U10" s="15"/>
      <c r="V10" s="15"/>
      <c r="W10" s="15"/>
      <c r="X10" s="15"/>
      <c r="Y10" s="15"/>
      <c r="Z10" s="1990" t="str">
        <f>'Cashflow Governmental'!$AB$12</f>
        <v>4 Months Ended July 31</v>
      </c>
      <c r="AA10" s="1990"/>
      <c r="AB10" s="1990"/>
      <c r="AC10" s="1990"/>
      <c r="AD10" s="1990"/>
      <c r="AE10" s="1990"/>
      <c r="AF10" s="1990"/>
      <c r="AG10" s="1990"/>
      <c r="AH10" s="1990"/>
      <c r="AI10" s="1990"/>
    </row>
    <row r="11" spans="1:37">
      <c r="A11" s="364"/>
      <c r="B11" s="314" t="str">
        <f>'Cashflow Governmental'!C13</f>
        <v>2026</v>
      </c>
      <c r="C11" s="3"/>
      <c r="D11" s="3"/>
      <c r="E11" s="3"/>
      <c r="F11" s="3"/>
      <c r="G11" s="3"/>
      <c r="H11" s="3"/>
      <c r="I11" s="3"/>
      <c r="J11" s="3"/>
      <c r="K11" s="3"/>
      <c r="L11" s="3"/>
      <c r="M11" s="3"/>
      <c r="N11" s="3"/>
      <c r="O11" s="3"/>
      <c r="P11" s="3"/>
      <c r="Q11" s="3"/>
      <c r="R11" s="3"/>
      <c r="S11" s="3"/>
      <c r="T11" s="314">
        <f>'Cashflow Governmental'!U13</f>
        <v>2027</v>
      </c>
      <c r="U11" s="3"/>
      <c r="V11" s="3"/>
      <c r="W11" s="3"/>
      <c r="X11" s="3"/>
      <c r="Y11" s="3"/>
      <c r="Z11" s="3"/>
      <c r="AA11" s="3"/>
      <c r="AB11" s="3"/>
      <c r="AC11" s="3"/>
      <c r="AD11" s="3"/>
      <c r="AE11" s="6"/>
      <c r="AF11" s="3"/>
      <c r="AG11" s="320" t="s">
        <v>110</v>
      </c>
      <c r="AH11" s="320"/>
      <c r="AI11" s="318" t="s">
        <v>111</v>
      </c>
    </row>
    <row r="12" spans="1:37">
      <c r="A12" s="364"/>
      <c r="B12" s="52" t="s">
        <v>329</v>
      </c>
      <c r="C12" s="3"/>
      <c r="D12" s="52" t="s">
        <v>330</v>
      </c>
      <c r="E12" s="3"/>
      <c r="F12" s="52" t="s">
        <v>331</v>
      </c>
      <c r="G12" s="3"/>
      <c r="H12" s="52" t="s">
        <v>332</v>
      </c>
      <c r="I12" s="3"/>
      <c r="J12" s="52" t="s">
        <v>333</v>
      </c>
      <c r="K12" s="3"/>
      <c r="L12" s="314" t="s">
        <v>445</v>
      </c>
      <c r="M12" s="3"/>
      <c r="N12" s="314" t="s">
        <v>446</v>
      </c>
      <c r="O12" s="3"/>
      <c r="P12" s="52" t="s">
        <v>336</v>
      </c>
      <c r="Q12" s="3"/>
      <c r="R12" s="52" t="s">
        <v>337</v>
      </c>
      <c r="S12" s="3"/>
      <c r="T12" s="52" t="s">
        <v>338</v>
      </c>
      <c r="U12" s="3"/>
      <c r="V12" s="52" t="s">
        <v>339</v>
      </c>
      <c r="W12" s="3"/>
      <c r="X12" s="314" t="s">
        <v>447</v>
      </c>
      <c r="Y12" s="3"/>
      <c r="Z12" s="3"/>
      <c r="AA12" s="52" t="str">
        <f>'Cashflow Governmental'!AB14</f>
        <v>2026</v>
      </c>
      <c r="AB12" s="3" t="s">
        <v>103</v>
      </c>
      <c r="AC12" s="3"/>
      <c r="AD12" s="52" t="str">
        <f>'Cashflow Governmental'!AE14</f>
        <v>2025</v>
      </c>
      <c r="AE12" s="52"/>
      <c r="AF12" s="52"/>
      <c r="AG12" s="415" t="s">
        <v>112</v>
      </c>
      <c r="AH12" s="320"/>
      <c r="AI12" s="415" t="s">
        <v>113</v>
      </c>
    </row>
    <row r="13" spans="1:37" ht="8.9" customHeight="1">
      <c r="A13" s="364"/>
      <c r="B13" s="984"/>
      <c r="C13" s="364"/>
      <c r="D13" s="984"/>
      <c r="E13" s="364"/>
      <c r="F13" s="984"/>
      <c r="G13" s="364"/>
      <c r="H13" s="984"/>
      <c r="I13" s="364"/>
      <c r="J13" s="984"/>
      <c r="K13" s="364"/>
      <c r="L13" s="984"/>
      <c r="M13" s="364"/>
      <c r="N13" s="984"/>
      <c r="O13" s="364"/>
      <c r="P13" s="984"/>
      <c r="Q13" s="364"/>
      <c r="R13" s="984"/>
      <c r="S13" s="364"/>
      <c r="T13" s="984"/>
      <c r="U13" s="364"/>
      <c r="V13" s="984"/>
      <c r="W13" s="364"/>
      <c r="X13" s="984"/>
      <c r="Y13" s="364"/>
      <c r="Z13" s="364"/>
      <c r="AA13" s="984"/>
      <c r="AB13" s="364"/>
      <c r="AC13" s="364"/>
      <c r="AD13" s="984"/>
      <c r="AE13" s="1546"/>
      <c r="AF13" s="1547"/>
    </row>
    <row r="14" spans="1:37">
      <c r="A14" s="1211" t="s">
        <v>341</v>
      </c>
      <c r="B14" s="82">
        <v>108.2</v>
      </c>
      <c r="C14" s="20"/>
      <c r="D14" s="20">
        <f>B46</f>
        <v>65.5</v>
      </c>
      <c r="E14" s="20"/>
      <c r="F14" s="20">
        <f>D46</f>
        <v>49.9</v>
      </c>
      <c r="G14" s="20"/>
      <c r="H14" s="20">
        <f>F46</f>
        <v>59.8</v>
      </c>
      <c r="I14" s="20"/>
      <c r="J14" s="20"/>
      <c r="K14" s="20"/>
      <c r="L14" s="20"/>
      <c r="M14" s="20"/>
      <c r="N14" s="20"/>
      <c r="O14" s="20"/>
      <c r="P14" s="20"/>
      <c r="Q14" s="20"/>
      <c r="R14" s="20"/>
      <c r="S14" s="20"/>
      <c r="T14" s="20"/>
      <c r="U14" s="20"/>
      <c r="V14" s="20"/>
      <c r="W14" s="20"/>
      <c r="X14" s="20"/>
      <c r="Y14" s="20"/>
      <c r="Z14" s="21"/>
      <c r="AA14" s="20">
        <f>B14</f>
        <v>108.2</v>
      </c>
      <c r="AB14" s="1236"/>
      <c r="AC14" s="20"/>
      <c r="AD14" s="1936">
        <v>108</v>
      </c>
      <c r="AE14" s="291"/>
      <c r="AF14" s="1717"/>
      <c r="AG14" s="20">
        <f>ROUND(SUM(AA14-AD14),1)</f>
        <v>0.2</v>
      </c>
      <c r="AI14" s="1550">
        <f>ROUND(IF(AG14=0,0,AG14/(AD14)),3)</f>
        <v>2E-3</v>
      </c>
      <c r="AJ14" s="1486"/>
      <c r="AK14" s="1486"/>
    </row>
    <row r="15" spans="1:37">
      <c r="A15" s="291"/>
      <c r="B15" s="291"/>
      <c r="C15" s="291"/>
      <c r="D15" s="291"/>
      <c r="E15" s="291"/>
      <c r="F15" s="291"/>
      <c r="G15" s="291"/>
      <c r="H15" s="291"/>
      <c r="I15" s="291"/>
      <c r="J15" s="291"/>
      <c r="K15" s="291"/>
      <c r="L15" s="291"/>
      <c r="M15" s="291"/>
      <c r="N15" s="291"/>
      <c r="O15" s="291"/>
      <c r="P15" s="291"/>
      <c r="Q15" s="291"/>
      <c r="R15" s="291"/>
      <c r="S15" s="291"/>
      <c r="T15" s="291"/>
      <c r="U15" s="291"/>
      <c r="V15" s="291"/>
      <c r="W15" s="291"/>
      <c r="X15" s="291"/>
      <c r="Y15" s="291"/>
      <c r="Z15" s="853"/>
      <c r="AA15" s="291"/>
      <c r="AB15" s="1746"/>
      <c r="AC15" s="291"/>
      <c r="AD15" s="291"/>
      <c r="AE15" s="291"/>
      <c r="AF15" s="1717"/>
      <c r="AJ15" s="1486"/>
      <c r="AK15" s="1486"/>
    </row>
    <row r="16" spans="1:37">
      <c r="A16" s="3" t="s">
        <v>114</v>
      </c>
      <c r="B16" s="291"/>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853"/>
      <c r="AA16" s="291"/>
      <c r="AB16" s="1746"/>
      <c r="AC16" s="291"/>
      <c r="AD16" s="291"/>
      <c r="AE16" s="288"/>
      <c r="AF16" s="1722"/>
      <c r="AG16" s="264"/>
      <c r="AI16" s="921"/>
      <c r="AJ16" s="1486"/>
      <c r="AK16" s="1486"/>
    </row>
    <row r="17" spans="1:37">
      <c r="A17" s="291" t="s">
        <v>589</v>
      </c>
      <c r="B17" s="264">
        <v>37.6</v>
      </c>
      <c r="C17" s="264"/>
      <c r="D17" s="264">
        <v>35.999999999999993</v>
      </c>
      <c r="E17" s="264"/>
      <c r="F17" s="264">
        <v>64.5</v>
      </c>
      <c r="G17" s="264"/>
      <c r="H17" s="264">
        <f>$AA17-F17-D17-B17</f>
        <v>62.9</v>
      </c>
      <c r="I17" s="264"/>
      <c r="J17" s="264"/>
      <c r="K17" s="264"/>
      <c r="L17" s="264"/>
      <c r="M17" s="264"/>
      <c r="N17" s="264"/>
      <c r="O17" s="264"/>
      <c r="P17" s="264"/>
      <c r="Q17" s="264"/>
      <c r="R17" s="264"/>
      <c r="S17" s="264"/>
      <c r="T17" s="264"/>
      <c r="U17" s="264"/>
      <c r="V17" s="264"/>
      <c r="W17" s="264"/>
      <c r="X17" s="264"/>
      <c r="Y17" s="264"/>
      <c r="Z17" s="523"/>
      <c r="AA17" s="981">
        <v>201</v>
      </c>
      <c r="AB17" s="264"/>
      <c r="AC17" s="524" t="s">
        <v>103</v>
      </c>
      <c r="AD17" s="981">
        <v>240.4</v>
      </c>
      <c r="AE17" s="26"/>
      <c r="AF17" s="1722"/>
      <c r="AG17" s="382">
        <f>ROUND(SUM(AA17-AD17),1)</f>
        <v>-39.4</v>
      </c>
      <c r="AI17" s="1572">
        <f>ROUND(IF(AG17=0,0,AG17/ABS(AD17)),3)</f>
        <v>-0.16400000000000001</v>
      </c>
      <c r="AJ17" s="1486"/>
      <c r="AK17" s="1486"/>
    </row>
    <row r="18" spans="1:37">
      <c r="A18" s="291"/>
      <c r="B18" s="615"/>
      <c r="C18" s="264"/>
      <c r="D18" s="615"/>
      <c r="E18" s="264"/>
      <c r="F18" s="615"/>
      <c r="G18" s="264"/>
      <c r="H18" s="615"/>
      <c r="I18" s="264"/>
      <c r="J18" s="615"/>
      <c r="K18" s="264"/>
      <c r="L18" s="615"/>
      <c r="M18" s="264"/>
      <c r="N18" s="615"/>
      <c r="O18" s="264"/>
      <c r="P18" s="615"/>
      <c r="Q18" s="264"/>
      <c r="R18" s="615"/>
      <c r="S18" s="264"/>
      <c r="T18" s="615"/>
      <c r="U18" s="264"/>
      <c r="V18" s="615"/>
      <c r="W18" s="264"/>
      <c r="X18" s="615"/>
      <c r="Y18" s="264"/>
      <c r="Z18" s="523"/>
      <c r="AA18" s="264"/>
      <c r="AB18" s="1227"/>
      <c r="AC18" s="264"/>
      <c r="AD18" s="264"/>
      <c r="AE18" s="264"/>
      <c r="AF18" s="1722"/>
      <c r="AG18" s="264"/>
      <c r="AJ18" s="1486"/>
      <c r="AK18" s="1486"/>
    </row>
    <row r="19" spans="1:37">
      <c r="A19" s="3" t="s">
        <v>427</v>
      </c>
      <c r="B19" s="13">
        <f>ROUND(SUM(B17),1)</f>
        <v>37.6</v>
      </c>
      <c r="C19" s="13"/>
      <c r="D19" s="13">
        <f>ROUND(SUM(D17),1)</f>
        <v>36</v>
      </c>
      <c r="E19" s="13"/>
      <c r="F19" s="13">
        <f>ROUND(SUM(F17),1)</f>
        <v>64.5</v>
      </c>
      <c r="G19" s="13"/>
      <c r="H19" s="13">
        <f>ROUND(SUM(H17),1)</f>
        <v>62.9</v>
      </c>
      <c r="I19" s="13"/>
      <c r="J19" s="13">
        <f>ROUND(SUM(J17),1)</f>
        <v>0</v>
      </c>
      <c r="K19" s="13"/>
      <c r="L19" s="13">
        <f>ROUND(SUM(L17),1)</f>
        <v>0</v>
      </c>
      <c r="M19" s="13"/>
      <c r="N19" s="13">
        <f>ROUND(SUM(N17),1)</f>
        <v>0</v>
      </c>
      <c r="O19" s="13"/>
      <c r="P19" s="13">
        <f>ROUND(SUM(P17),1)</f>
        <v>0</v>
      </c>
      <c r="Q19" s="13"/>
      <c r="R19" s="13">
        <f>ROUND(SUM(R17),1)</f>
        <v>0</v>
      </c>
      <c r="S19" s="13"/>
      <c r="T19" s="13">
        <f>ROUND(SUM(T17),1)</f>
        <v>0</v>
      </c>
      <c r="U19" s="13"/>
      <c r="V19" s="13">
        <f>ROUND(SUM(V17),1)</f>
        <v>0</v>
      </c>
      <c r="W19" s="13"/>
      <c r="X19" s="13">
        <f>ROUND(SUM(X17),1)</f>
        <v>0</v>
      </c>
      <c r="Y19" s="13"/>
      <c r="Z19" s="14"/>
      <c r="AA19" s="13">
        <f>ROUND(SUM(AA17),1)</f>
        <v>201</v>
      </c>
      <c r="AB19" s="1229"/>
      <c r="AC19" s="13"/>
      <c r="AD19" s="13">
        <f>ROUND(SUM(AD17),1)</f>
        <v>240.4</v>
      </c>
      <c r="AE19" s="264"/>
      <c r="AF19" s="1722"/>
      <c r="AG19" s="357">
        <f>ROUND(SUM(AG17),1)</f>
        <v>-39.4</v>
      </c>
      <c r="AH19" s="40"/>
      <c r="AI19" s="521">
        <f>ROUND(IF(AG19=0,0,AG19/ABS(AD19)),3)</f>
        <v>-0.16400000000000001</v>
      </c>
      <c r="AJ19" s="1486"/>
      <c r="AK19" s="1486"/>
    </row>
    <row r="20" spans="1:37">
      <c r="A20" s="291"/>
      <c r="B20" s="615"/>
      <c r="C20" s="264"/>
      <c r="D20" s="615"/>
      <c r="E20" s="264"/>
      <c r="F20" s="615"/>
      <c r="G20" s="264"/>
      <c r="H20" s="615"/>
      <c r="I20" s="264"/>
      <c r="J20" s="615"/>
      <c r="K20" s="264"/>
      <c r="L20" s="615"/>
      <c r="M20" s="264"/>
      <c r="N20" s="615"/>
      <c r="O20" s="264"/>
      <c r="P20" s="615"/>
      <c r="Q20" s="264"/>
      <c r="R20" s="615"/>
      <c r="S20" s="264"/>
      <c r="T20" s="615"/>
      <c r="U20" s="264"/>
      <c r="V20" s="615"/>
      <c r="W20" s="264"/>
      <c r="X20" s="615"/>
      <c r="Y20" s="264"/>
      <c r="Z20" s="523"/>
      <c r="AA20" s="615"/>
      <c r="AB20" s="1227"/>
      <c r="AC20" s="264"/>
      <c r="AD20" s="615"/>
      <c r="AE20" s="264"/>
      <c r="AF20" s="1722"/>
      <c r="AG20" s="264"/>
      <c r="AJ20" s="1486"/>
      <c r="AK20" s="1486"/>
    </row>
    <row r="21" spans="1:37">
      <c r="A21" s="291"/>
      <c r="B21" s="264"/>
      <c r="C21" s="264"/>
      <c r="D21" s="264"/>
      <c r="E21" s="264"/>
      <c r="F21" s="264"/>
      <c r="G21" s="264"/>
      <c r="H21" s="264"/>
      <c r="I21" s="264"/>
      <c r="J21" s="264"/>
      <c r="K21" s="264"/>
      <c r="L21" s="264"/>
      <c r="M21" s="264"/>
      <c r="N21" s="264"/>
      <c r="O21" s="264"/>
      <c r="P21" s="264"/>
      <c r="Q21" s="264"/>
      <c r="R21" s="264"/>
      <c r="S21" s="264"/>
      <c r="T21" s="264"/>
      <c r="U21" s="264"/>
      <c r="V21" s="264"/>
      <c r="W21" s="264"/>
      <c r="X21" s="264"/>
      <c r="Y21" s="264"/>
      <c r="Z21" s="523"/>
      <c r="AA21" s="264"/>
      <c r="AB21" s="1227"/>
      <c r="AC21" s="264"/>
      <c r="AD21" s="264"/>
      <c r="AE21" s="289"/>
      <c r="AF21" s="402"/>
      <c r="AG21" s="264"/>
      <c r="AI21" s="921"/>
      <c r="AJ21" s="1486"/>
      <c r="AK21" s="1486"/>
    </row>
    <row r="22" spans="1:37">
      <c r="A22" s="3" t="s">
        <v>122</v>
      </c>
      <c r="B22" s="264"/>
      <c r="C22" s="264"/>
      <c r="D22" s="264"/>
      <c r="E22" s="264"/>
      <c r="F22" s="264"/>
      <c r="G22" s="264"/>
      <c r="H22" s="264"/>
      <c r="I22" s="264"/>
      <c r="J22" s="264"/>
      <c r="K22" s="264"/>
      <c r="L22" s="264"/>
      <c r="M22" s="264"/>
      <c r="N22" s="264"/>
      <c r="O22" s="264"/>
      <c r="P22" s="264"/>
      <c r="Q22" s="264"/>
      <c r="R22" s="264"/>
      <c r="S22" s="264"/>
      <c r="T22" s="264"/>
      <c r="U22" s="264"/>
      <c r="V22" s="264"/>
      <c r="W22" s="264"/>
      <c r="X22" s="264"/>
      <c r="Y22" s="264"/>
      <c r="Z22" s="523"/>
      <c r="AA22" s="264"/>
      <c r="AB22" s="1227"/>
      <c r="AC22" s="264"/>
      <c r="AD22" s="264"/>
      <c r="AE22" s="275"/>
      <c r="AF22" s="402"/>
      <c r="AG22" s="264"/>
      <c r="AH22" s="1553"/>
      <c r="AI22" s="921"/>
      <c r="AJ22" s="1486"/>
      <c r="AK22" s="1486"/>
    </row>
    <row r="23" spans="1:37">
      <c r="A23" s="291" t="s">
        <v>453</v>
      </c>
      <c r="B23" s="264"/>
      <c r="C23" s="264"/>
      <c r="D23" s="264"/>
      <c r="E23" s="264"/>
      <c r="F23" s="264"/>
      <c r="G23" s="264"/>
      <c r="H23" s="264"/>
      <c r="I23" s="264"/>
      <c r="J23" s="264"/>
      <c r="K23" s="264"/>
      <c r="L23" s="264"/>
      <c r="M23" s="264"/>
      <c r="N23" s="264"/>
      <c r="O23" s="264"/>
      <c r="P23" s="264"/>
      <c r="Q23" s="264"/>
      <c r="R23" s="264"/>
      <c r="S23" s="264"/>
      <c r="T23" s="264"/>
      <c r="U23" s="264"/>
      <c r="V23" s="264"/>
      <c r="W23" s="264"/>
      <c r="X23" s="264"/>
      <c r="Y23" s="264"/>
      <c r="Z23" s="523"/>
      <c r="AA23" s="275"/>
      <c r="AB23" s="1227"/>
      <c r="AC23" s="264"/>
      <c r="AD23" s="275"/>
      <c r="AE23" s="289"/>
      <c r="AF23" s="402"/>
      <c r="AG23" s="264"/>
      <c r="AI23" s="921"/>
      <c r="AJ23" s="1486"/>
      <c r="AK23" s="1486"/>
    </row>
    <row r="24" spans="1:37">
      <c r="A24" s="291" t="s">
        <v>591</v>
      </c>
      <c r="B24" s="264">
        <v>14.6</v>
      </c>
      <c r="C24" s="264"/>
      <c r="D24" s="264">
        <v>12.4</v>
      </c>
      <c r="E24" s="264"/>
      <c r="F24" s="264">
        <v>12.799999999999999</v>
      </c>
      <c r="G24" s="264"/>
      <c r="H24" s="264">
        <f>$AA24-F24-D24-B24</f>
        <v>18.100000000000001</v>
      </c>
      <c r="I24" s="264"/>
      <c r="J24" s="264"/>
      <c r="K24" s="264"/>
      <c r="L24" s="264"/>
      <c r="M24" s="264"/>
      <c r="N24" s="264"/>
      <c r="O24" s="264"/>
      <c r="P24" s="264"/>
      <c r="Q24" s="264"/>
      <c r="R24" s="264"/>
      <c r="S24" s="264"/>
      <c r="T24" s="264"/>
      <c r="U24" s="264"/>
      <c r="V24" s="264"/>
      <c r="W24" s="264"/>
      <c r="X24" s="264"/>
      <c r="Y24" s="264"/>
      <c r="Z24" s="523"/>
      <c r="AA24" s="531">
        <v>57.9</v>
      </c>
      <c r="AB24" s="264"/>
      <c r="AC24" s="524" t="s">
        <v>103</v>
      </c>
      <c r="AD24" s="531">
        <v>54.6</v>
      </c>
      <c r="AE24" s="16"/>
      <c r="AF24" s="402"/>
      <c r="AG24" s="264">
        <f>ROUND(SUM(AA24-AD24),1)</f>
        <v>3.3</v>
      </c>
      <c r="AI24" s="520">
        <f>ROUND(IF(AG24=0,0,AG24/ABS(AD24)),3)</f>
        <v>0.06</v>
      </c>
      <c r="AJ24" s="1486"/>
      <c r="AK24" s="1486"/>
    </row>
    <row r="25" spans="1:37">
      <c r="A25" s="291" t="s">
        <v>535</v>
      </c>
      <c r="B25" s="264">
        <v>67.3</v>
      </c>
      <c r="C25" s="264"/>
      <c r="D25" s="264">
        <v>42.2</v>
      </c>
      <c r="E25" s="264"/>
      <c r="F25" s="264">
        <v>58.099999999999994</v>
      </c>
      <c r="G25" s="264"/>
      <c r="H25" s="264">
        <f t="shared" ref="H25:H26" si="0">$AA25-F25-D25-B25</f>
        <v>41.800000000000011</v>
      </c>
      <c r="I25" s="264"/>
      <c r="J25" s="264"/>
      <c r="K25" s="264"/>
      <c r="L25" s="264"/>
      <c r="M25" s="264"/>
      <c r="N25" s="264"/>
      <c r="O25" s="264"/>
      <c r="P25" s="264"/>
      <c r="Q25" s="264"/>
      <c r="R25" s="264"/>
      <c r="S25" s="264"/>
      <c r="T25" s="264"/>
      <c r="U25" s="264"/>
      <c r="V25" s="264"/>
      <c r="W25" s="264"/>
      <c r="X25" s="264"/>
      <c r="Y25" s="264"/>
      <c r="Z25" s="523"/>
      <c r="AA25" s="531">
        <v>209.4</v>
      </c>
      <c r="AB25" s="264"/>
      <c r="AC25" s="524" t="s">
        <v>103</v>
      </c>
      <c r="AD25" s="531">
        <v>279</v>
      </c>
      <c r="AE25" s="264"/>
      <c r="AF25" s="1722"/>
      <c r="AG25" s="264">
        <f>ROUND(SUM(AA25-AD25),1)</f>
        <v>-69.599999999999994</v>
      </c>
      <c r="AI25" s="520">
        <f>ROUND(IF(AG25=0,0,AG25/ABS(AD25)),3)</f>
        <v>-0.249</v>
      </c>
      <c r="AJ25" s="1486"/>
      <c r="AK25" s="1486"/>
    </row>
    <row r="26" spans="1:37">
      <c r="A26" s="291" t="s">
        <v>456</v>
      </c>
      <c r="B26" s="264">
        <v>0</v>
      </c>
      <c r="C26" s="264"/>
      <c r="D26" s="264">
        <v>0</v>
      </c>
      <c r="E26" s="264"/>
      <c r="F26" s="264">
        <v>20.5</v>
      </c>
      <c r="G26" s="264"/>
      <c r="H26" s="264">
        <f t="shared" si="0"/>
        <v>5.6000000000000014</v>
      </c>
      <c r="I26" s="264"/>
      <c r="J26" s="264"/>
      <c r="K26" s="264"/>
      <c r="L26" s="264"/>
      <c r="M26" s="264"/>
      <c r="N26" s="264"/>
      <c r="O26" s="264"/>
      <c r="P26" s="264"/>
      <c r="Q26" s="264"/>
      <c r="R26" s="264"/>
      <c r="S26" s="264"/>
      <c r="T26" s="264"/>
      <c r="U26" s="264"/>
      <c r="V26" s="264"/>
      <c r="W26" s="264"/>
      <c r="X26" s="264"/>
      <c r="Y26" s="264"/>
      <c r="Z26" s="523"/>
      <c r="AA26" s="531">
        <v>26.1</v>
      </c>
      <c r="AB26" s="264"/>
      <c r="AC26" s="524" t="s">
        <v>103</v>
      </c>
      <c r="AD26" s="531">
        <v>23.9</v>
      </c>
      <c r="AE26" s="264"/>
      <c r="AF26" s="1722"/>
      <c r="AG26" s="382">
        <f>ROUND(SUM(AA26-AD26),1)</f>
        <v>2.2000000000000002</v>
      </c>
      <c r="AI26" s="1557">
        <f>ROUND(IF(AG26=0,0,AG26/ABS(AD26)),3)</f>
        <v>9.1999999999999998E-2</v>
      </c>
      <c r="AJ26" s="1486"/>
      <c r="AK26" s="1486"/>
    </row>
    <row r="27" spans="1:37">
      <c r="A27" s="291"/>
      <c r="B27" s="615"/>
      <c r="C27" s="264"/>
      <c r="D27" s="615"/>
      <c r="E27" s="264"/>
      <c r="F27" s="615"/>
      <c r="G27" s="264"/>
      <c r="H27" s="615"/>
      <c r="I27" s="264"/>
      <c r="J27" s="615"/>
      <c r="K27" s="264"/>
      <c r="L27" s="615"/>
      <c r="M27" s="264"/>
      <c r="N27" s="615"/>
      <c r="O27" s="264"/>
      <c r="P27" s="615"/>
      <c r="Q27" s="264"/>
      <c r="R27" s="615"/>
      <c r="S27" s="264"/>
      <c r="T27" s="615"/>
      <c r="U27" s="264"/>
      <c r="V27" s="615"/>
      <c r="W27" s="264"/>
      <c r="X27" s="615"/>
      <c r="Y27" s="264"/>
      <c r="Z27" s="523"/>
      <c r="AA27" s="615"/>
      <c r="AB27" s="1227"/>
      <c r="AC27" s="264"/>
      <c r="AD27" s="615"/>
      <c r="AE27" s="26"/>
      <c r="AF27" s="402"/>
      <c r="AG27" s="264"/>
      <c r="AH27" s="268"/>
      <c r="AI27" s="921"/>
      <c r="AJ27" s="1486"/>
      <c r="AK27" s="1486"/>
    </row>
    <row r="28" spans="1:37">
      <c r="A28" s="3" t="s">
        <v>457</v>
      </c>
      <c r="B28" s="13">
        <f>ROUND(SUM(B24:B27),1)</f>
        <v>81.900000000000006</v>
      </c>
      <c r="C28" s="13"/>
      <c r="D28" s="13">
        <f>ROUND(SUM(D24:D27),1)</f>
        <v>54.6</v>
      </c>
      <c r="E28" s="13"/>
      <c r="F28" s="13">
        <f>ROUND(SUM(F24:F27),1)</f>
        <v>91.4</v>
      </c>
      <c r="G28" s="13"/>
      <c r="H28" s="13">
        <f>ROUND(SUM(H24:H27),1)</f>
        <v>65.5</v>
      </c>
      <c r="I28" s="13"/>
      <c r="J28" s="13">
        <f>ROUND(SUM(J24:J27),1)</f>
        <v>0</v>
      </c>
      <c r="K28" s="13"/>
      <c r="L28" s="13">
        <f>ROUND(SUM(L24:L27),1)</f>
        <v>0</v>
      </c>
      <c r="M28" s="13"/>
      <c r="N28" s="13">
        <f>ROUND(SUM(N24:N27),1)</f>
        <v>0</v>
      </c>
      <c r="O28" s="13"/>
      <c r="P28" s="13">
        <f>ROUND(SUM(P24:P27),1)</f>
        <v>0</v>
      </c>
      <c r="Q28" s="13"/>
      <c r="R28" s="13">
        <f>ROUND(SUM(R24:R27),1)</f>
        <v>0</v>
      </c>
      <c r="S28" s="13"/>
      <c r="T28" s="13">
        <f>ROUND(SUM(T24:T27),1)</f>
        <v>0</v>
      </c>
      <c r="U28" s="13"/>
      <c r="V28" s="13">
        <f>ROUND(SUM(V24:V27),1)</f>
        <v>0</v>
      </c>
      <c r="W28" s="13">
        <f>SUM(W24:W27)</f>
        <v>0</v>
      </c>
      <c r="X28" s="13">
        <f>ROUND(SUM(X24:X27),1)</f>
        <v>0</v>
      </c>
      <c r="Y28" s="13"/>
      <c r="Z28" s="14"/>
      <c r="AA28" s="13">
        <f>ROUND(SUM(AA24:AA27),1)</f>
        <v>293.39999999999998</v>
      </c>
      <c r="AB28" s="1229"/>
      <c r="AC28" s="13"/>
      <c r="AD28" s="13">
        <f>ROUND(SUM(AD24:AD27),1)</f>
        <v>357.5</v>
      </c>
      <c r="AE28" s="264"/>
      <c r="AF28" s="1731"/>
      <c r="AG28" s="357">
        <f>ROUND(SUM(AG24:AG26),1)</f>
        <v>-64.099999999999994</v>
      </c>
      <c r="AH28" s="40"/>
      <c r="AI28" s="521">
        <f>ROUND(IF(AG28=0,0,AG28/ABS(AD28)),3)</f>
        <v>-0.17899999999999999</v>
      </c>
      <c r="AJ28" s="1486"/>
      <c r="AK28" s="1486"/>
    </row>
    <row r="29" spans="1:37">
      <c r="A29" s="291"/>
      <c r="B29" s="615"/>
      <c r="C29" s="264"/>
      <c r="D29" s="615"/>
      <c r="E29" s="264"/>
      <c r="F29" s="615"/>
      <c r="G29" s="264"/>
      <c r="H29" s="615"/>
      <c r="I29" s="264"/>
      <c r="J29" s="615"/>
      <c r="K29" s="264"/>
      <c r="L29" s="615"/>
      <c r="M29" s="264"/>
      <c r="N29" s="615"/>
      <c r="O29" s="264"/>
      <c r="P29" s="615"/>
      <c r="Q29" s="264"/>
      <c r="R29" s="615"/>
      <c r="S29" s="264"/>
      <c r="T29" s="615"/>
      <c r="U29" s="264"/>
      <c r="V29" s="615"/>
      <c r="W29" s="264"/>
      <c r="X29" s="615"/>
      <c r="Y29" s="264"/>
      <c r="Z29" s="523"/>
      <c r="AA29" s="615"/>
      <c r="AB29" s="1227"/>
      <c r="AC29" s="264"/>
      <c r="AD29" s="615"/>
      <c r="AE29" s="264"/>
      <c r="AF29" s="1731"/>
      <c r="AG29" s="264"/>
      <c r="AJ29" s="1486"/>
      <c r="AK29" s="1486"/>
    </row>
    <row r="30" spans="1:37">
      <c r="A30" s="291"/>
      <c r="B30" s="264"/>
      <c r="C30" s="264"/>
      <c r="D30" s="264"/>
      <c r="E30" s="264"/>
      <c r="F30" s="264"/>
      <c r="G30" s="264"/>
      <c r="H30" s="264"/>
      <c r="I30" s="264"/>
      <c r="J30" s="264"/>
      <c r="K30" s="264"/>
      <c r="L30" s="264"/>
      <c r="M30" s="264"/>
      <c r="N30" s="264"/>
      <c r="O30" s="264"/>
      <c r="P30" s="264"/>
      <c r="Q30" s="264"/>
      <c r="R30" s="264"/>
      <c r="S30" s="264"/>
      <c r="T30" s="264"/>
      <c r="U30" s="264"/>
      <c r="V30" s="264"/>
      <c r="W30" s="264"/>
      <c r="X30" s="264"/>
      <c r="Y30" s="264"/>
      <c r="Z30" s="523"/>
      <c r="AA30" s="264"/>
      <c r="AB30" s="1227"/>
      <c r="AC30" s="264"/>
      <c r="AD30" s="264"/>
      <c r="AE30" s="275"/>
      <c r="AF30" s="1731"/>
      <c r="AG30" s="264"/>
      <c r="AH30" s="1553"/>
      <c r="AI30" s="921"/>
      <c r="AJ30" s="1486"/>
      <c r="AK30" s="1486"/>
    </row>
    <row r="31" spans="1:37">
      <c r="A31" s="3" t="s">
        <v>458</v>
      </c>
      <c r="B31" s="264"/>
      <c r="C31" s="264"/>
      <c r="D31" s="264"/>
      <c r="E31" s="264"/>
      <c r="F31" s="264"/>
      <c r="G31" s="264"/>
      <c r="H31" s="264"/>
      <c r="I31" s="264"/>
      <c r="J31" s="264"/>
      <c r="K31" s="264"/>
      <c r="L31" s="264"/>
      <c r="M31" s="264"/>
      <c r="N31" s="264"/>
      <c r="O31" s="264"/>
      <c r="P31" s="264"/>
      <c r="Q31" s="264"/>
      <c r="R31" s="264"/>
      <c r="S31" s="264"/>
      <c r="T31" s="264"/>
      <c r="U31" s="264"/>
      <c r="V31" s="264"/>
      <c r="W31" s="264"/>
      <c r="X31" s="264"/>
      <c r="Y31" s="264"/>
      <c r="Z31" s="523"/>
      <c r="AA31" s="264"/>
      <c r="AB31" s="1227"/>
      <c r="AC31" s="264"/>
      <c r="AD31" s="264"/>
      <c r="AE31" s="16"/>
      <c r="AF31" s="1736"/>
      <c r="AG31" s="264"/>
      <c r="AH31" s="1553"/>
      <c r="AI31" s="921"/>
      <c r="AJ31" s="1486"/>
      <c r="AK31" s="1486"/>
    </row>
    <row r="32" spans="1:37">
      <c r="A32" s="3" t="s">
        <v>144</v>
      </c>
      <c r="B32" s="13">
        <f>ROUND(B19-B28,1)</f>
        <v>-44.3</v>
      </c>
      <c r="C32" s="13"/>
      <c r="D32" s="13">
        <f>ROUND(D19-D28,1)</f>
        <v>-18.600000000000001</v>
      </c>
      <c r="E32" s="13"/>
      <c r="F32" s="13">
        <f>ROUND(F19-F28,1)</f>
        <v>-26.9</v>
      </c>
      <c r="G32" s="13"/>
      <c r="H32" s="13">
        <f>ROUND(H19-H28,1)</f>
        <v>-2.6</v>
      </c>
      <c r="I32" s="13"/>
      <c r="J32" s="13">
        <f>ROUND(J19-J28,1)</f>
        <v>0</v>
      </c>
      <c r="K32" s="13"/>
      <c r="L32" s="13">
        <f>ROUND(L19-L28,1)</f>
        <v>0</v>
      </c>
      <c r="M32" s="13"/>
      <c r="N32" s="13">
        <f>ROUND(N19-N28,1)</f>
        <v>0</v>
      </c>
      <c r="O32" s="13"/>
      <c r="P32" s="13">
        <f>ROUND(P19-P28,1)</f>
        <v>0</v>
      </c>
      <c r="Q32" s="13"/>
      <c r="R32" s="13">
        <f>ROUND(R19-R28,1)</f>
        <v>0</v>
      </c>
      <c r="S32" s="13"/>
      <c r="T32" s="13">
        <f>ROUND(T19-T28,1)</f>
        <v>0</v>
      </c>
      <c r="U32" s="13"/>
      <c r="V32" s="13">
        <f>ROUND(V19-V28,1)</f>
        <v>0</v>
      </c>
      <c r="W32" s="13"/>
      <c r="X32" s="13">
        <f>ROUND(X19-X28,1)</f>
        <v>0</v>
      </c>
      <c r="Y32" s="13"/>
      <c r="Z32" s="14"/>
      <c r="AA32" s="13">
        <f>ROUND(AA19-AA28,1)</f>
        <v>-92.4</v>
      </c>
      <c r="AB32" s="1229"/>
      <c r="AC32" s="13"/>
      <c r="AD32" s="13">
        <f>ROUND(AD19-AD28,1)</f>
        <v>-117.1</v>
      </c>
      <c r="AE32" s="264"/>
      <c r="AF32" s="1722"/>
      <c r="AG32" s="357">
        <f>ROUND(SUM(AG19-AG28),1)</f>
        <v>24.7</v>
      </c>
      <c r="AH32" s="40"/>
      <c r="AI32" s="675">
        <f>ROUND(IF(AG32=0,0,AG32/ABS(AD32)),3)</f>
        <v>0.21099999999999999</v>
      </c>
      <c r="AJ32" s="1486"/>
      <c r="AK32" s="1486"/>
    </row>
    <row r="33" spans="1:37">
      <c r="A33" s="291"/>
      <c r="B33" s="615"/>
      <c r="C33" s="264"/>
      <c r="D33" s="615"/>
      <c r="E33" s="264"/>
      <c r="F33" s="615"/>
      <c r="G33" s="264"/>
      <c r="H33" s="615"/>
      <c r="I33" s="264"/>
      <c r="J33" s="615"/>
      <c r="K33" s="264"/>
      <c r="L33" s="615"/>
      <c r="M33" s="264"/>
      <c r="N33" s="615"/>
      <c r="O33" s="264"/>
      <c r="P33" s="615"/>
      <c r="Q33" s="264"/>
      <c r="R33" s="615"/>
      <c r="S33" s="264"/>
      <c r="T33" s="615"/>
      <c r="U33" s="264"/>
      <c r="V33" s="615"/>
      <c r="W33" s="264"/>
      <c r="X33" s="615"/>
      <c r="Y33" s="264"/>
      <c r="Z33" s="523"/>
      <c r="AA33" s="615"/>
      <c r="AB33" s="1227"/>
      <c r="AC33" s="264"/>
      <c r="AD33" s="615"/>
      <c r="AE33" s="264"/>
      <c r="AF33" s="1722"/>
      <c r="AG33" s="264"/>
      <c r="AJ33" s="1486"/>
      <c r="AK33" s="1486"/>
    </row>
    <row r="34" spans="1:37">
      <c r="A34" s="291"/>
      <c r="B34" s="264"/>
      <c r="C34" s="264"/>
      <c r="D34" s="264"/>
      <c r="E34" s="264"/>
      <c r="F34" s="264"/>
      <c r="G34" s="264"/>
      <c r="H34" s="264"/>
      <c r="I34" s="264"/>
      <c r="J34" s="264"/>
      <c r="K34" s="264"/>
      <c r="L34" s="264"/>
      <c r="M34" s="264"/>
      <c r="N34" s="264"/>
      <c r="O34" s="264"/>
      <c r="P34" s="264"/>
      <c r="Q34" s="264"/>
      <c r="R34" s="264"/>
      <c r="S34" s="264"/>
      <c r="T34" s="264"/>
      <c r="U34" s="264"/>
      <c r="V34" s="264"/>
      <c r="W34" s="264"/>
      <c r="X34" s="264"/>
      <c r="Y34" s="264"/>
      <c r="Z34" s="523"/>
      <c r="AA34" s="264"/>
      <c r="AB34" s="1227"/>
      <c r="AC34" s="264"/>
      <c r="AD34" s="264"/>
      <c r="AE34" s="26"/>
      <c r="AF34" s="92"/>
      <c r="AG34" s="264"/>
      <c r="AI34" s="921"/>
      <c r="AJ34" s="1486"/>
      <c r="AK34" s="1486"/>
    </row>
    <row r="35" spans="1:37">
      <c r="A35" s="3" t="s">
        <v>145</v>
      </c>
      <c r="B35" s="264"/>
      <c r="C35" s="264"/>
      <c r="D35" s="264"/>
      <c r="E35" s="264"/>
      <c r="F35" s="264"/>
      <c r="G35" s="264"/>
      <c r="H35" s="264"/>
      <c r="I35" s="264"/>
      <c r="J35" s="264"/>
      <c r="K35" s="264"/>
      <c r="L35" s="264"/>
      <c r="M35" s="264"/>
      <c r="N35" s="264"/>
      <c r="O35" s="264"/>
      <c r="P35" s="264"/>
      <c r="Q35" s="264"/>
      <c r="R35" s="264"/>
      <c r="S35" s="264"/>
      <c r="T35" s="264"/>
      <c r="U35" s="264"/>
      <c r="V35" s="264"/>
      <c r="W35" s="264"/>
      <c r="X35" s="264"/>
      <c r="Y35" s="264"/>
      <c r="Z35" s="523"/>
      <c r="AA35" s="264"/>
      <c r="AB35" s="1227"/>
      <c r="AC35" s="264"/>
      <c r="AD35" s="264"/>
      <c r="AE35" s="20"/>
      <c r="AF35" s="403"/>
      <c r="AG35" s="274"/>
      <c r="AH35" s="379"/>
      <c r="AI35" s="921"/>
      <c r="AJ35" s="1486"/>
      <c r="AK35" s="1486"/>
    </row>
    <row r="36" spans="1:37">
      <c r="A36" s="291" t="s">
        <v>537</v>
      </c>
      <c r="B36" s="264">
        <v>1.6</v>
      </c>
      <c r="C36" s="264"/>
      <c r="D36" s="264">
        <v>2.9999999999999996</v>
      </c>
      <c r="E36" s="264"/>
      <c r="F36" s="264">
        <v>37</v>
      </c>
      <c r="G36" s="264"/>
      <c r="H36" s="264">
        <f>$AA36-F36-D36-B36</f>
        <v>0.69999999999999751</v>
      </c>
      <c r="I36" s="264"/>
      <c r="J36" s="264"/>
      <c r="K36" s="264"/>
      <c r="L36" s="264"/>
      <c r="M36" s="264"/>
      <c r="N36" s="264"/>
      <c r="O36" s="264"/>
      <c r="P36" s="264"/>
      <c r="Q36" s="264"/>
      <c r="R36" s="264"/>
      <c r="S36" s="264"/>
      <c r="T36" s="264"/>
      <c r="U36" s="264"/>
      <c r="V36" s="264"/>
      <c r="W36" s="264"/>
      <c r="X36" s="264"/>
      <c r="Y36" s="264"/>
      <c r="Z36" s="523"/>
      <c r="AA36" s="531">
        <v>42.3</v>
      </c>
      <c r="AB36" s="264"/>
      <c r="AC36" s="524" t="s">
        <v>103</v>
      </c>
      <c r="AD36" s="531">
        <v>40.299999999999997</v>
      </c>
      <c r="AE36" s="268"/>
      <c r="AF36" s="406"/>
      <c r="AG36" s="264">
        <f>ROUND(SUM(AA36-AD36),1)</f>
        <v>2</v>
      </c>
      <c r="AH36" s="1553"/>
      <c r="AI36" s="520">
        <f>ROUND(IF(AG36=0,0,AG36/ABS(AD36)),3)</f>
        <v>0.05</v>
      </c>
      <c r="AJ36" s="1486"/>
      <c r="AK36" s="1486"/>
    </row>
    <row r="37" spans="1:37">
      <c r="A37" s="291" t="s">
        <v>538</v>
      </c>
      <c r="B37" s="264">
        <v>0</v>
      </c>
      <c r="C37" s="264"/>
      <c r="D37" s="264">
        <v>0</v>
      </c>
      <c r="E37" s="264"/>
      <c r="F37" s="264">
        <v>-0.2</v>
      </c>
      <c r="G37" s="264"/>
      <c r="H37" s="264">
        <f>$AA37-F37-D37-B37</f>
        <v>-3.0999999999999996</v>
      </c>
      <c r="I37" s="264"/>
      <c r="J37" s="264"/>
      <c r="K37" s="264"/>
      <c r="L37" s="264"/>
      <c r="M37" s="264"/>
      <c r="N37" s="264"/>
      <c r="O37" s="264"/>
      <c r="P37" s="264"/>
      <c r="Q37" s="264"/>
      <c r="R37" s="264"/>
      <c r="S37" s="264"/>
      <c r="T37" s="264"/>
      <c r="U37" s="264"/>
      <c r="V37" s="264"/>
      <c r="W37" s="264"/>
      <c r="X37" s="264"/>
      <c r="Y37" s="264"/>
      <c r="Z37" s="523"/>
      <c r="AA37" s="531">
        <v>-3.3</v>
      </c>
      <c r="AB37" s="264"/>
      <c r="AC37" s="524" t="s">
        <v>103</v>
      </c>
      <c r="AD37" s="531">
        <v>-3.9</v>
      </c>
      <c r="AE37" s="268"/>
      <c r="AF37" s="406"/>
      <c r="AG37" s="1747">
        <f>-ROUND(SUM(AA37-AD37),1)</f>
        <v>-0.6</v>
      </c>
      <c r="AH37" s="1553"/>
      <c r="AI37" s="1020">
        <f>ROUND(IF(AG37=0,0,AG37/ABS(AD37)),3)</f>
        <v>-0.154</v>
      </c>
      <c r="AJ37" s="1486"/>
      <c r="AK37" s="1486"/>
    </row>
    <row r="38" spans="1:37">
      <c r="A38" s="291"/>
      <c r="B38" s="615"/>
      <c r="C38" s="264"/>
      <c r="D38" s="615"/>
      <c r="E38" s="264"/>
      <c r="F38" s="615"/>
      <c r="G38" s="264"/>
      <c r="H38" s="615"/>
      <c r="I38" s="264"/>
      <c r="J38" s="615"/>
      <c r="K38" s="264"/>
      <c r="L38" s="615"/>
      <c r="M38" s="264"/>
      <c r="N38" s="615"/>
      <c r="O38" s="264"/>
      <c r="P38" s="615"/>
      <c r="Q38" s="264"/>
      <c r="R38" s="615"/>
      <c r="S38" s="264"/>
      <c r="T38" s="615"/>
      <c r="U38" s="264"/>
      <c r="V38" s="615"/>
      <c r="W38" s="264"/>
      <c r="X38" s="615"/>
      <c r="Y38" s="264"/>
      <c r="Z38" s="523"/>
      <c r="AA38" s="1738"/>
      <c r="AB38" s="1227"/>
      <c r="AC38" s="264"/>
      <c r="AD38" s="1738"/>
      <c r="AE38" s="268"/>
      <c r="AF38" s="406"/>
      <c r="AJ38" s="1486"/>
      <c r="AK38" s="1486"/>
    </row>
    <row r="39" spans="1:37">
      <c r="A39" s="3" t="s">
        <v>586</v>
      </c>
      <c r="B39" s="13">
        <f>ROUND(SUM(B36:B38),1)</f>
        <v>1.6</v>
      </c>
      <c r="C39" s="13"/>
      <c r="D39" s="13">
        <f>ROUND(SUM(D36:D38),1)</f>
        <v>3</v>
      </c>
      <c r="E39" s="13"/>
      <c r="F39" s="13">
        <f>ROUND(SUM(F36:F38),1)</f>
        <v>36.799999999999997</v>
      </c>
      <c r="G39" s="13"/>
      <c r="H39" s="13">
        <f>ROUND(SUM(H36:H38),1)</f>
        <v>-2.4</v>
      </c>
      <c r="I39" s="13"/>
      <c r="J39" s="13">
        <f>ROUND(SUM(J36:J38),1)</f>
        <v>0</v>
      </c>
      <c r="K39" s="13"/>
      <c r="L39" s="13">
        <f>ROUND(SUM(L36:L38),1)</f>
        <v>0</v>
      </c>
      <c r="M39" s="13"/>
      <c r="N39" s="13">
        <f>ROUND(SUM(N36:N38),1)</f>
        <v>0</v>
      </c>
      <c r="O39" s="13"/>
      <c r="P39" s="13">
        <f>ROUND(SUM(P36:P38),1)</f>
        <v>0</v>
      </c>
      <c r="Q39" s="13"/>
      <c r="R39" s="13">
        <f t="shared" ref="R39" si="1">ROUND(SUM(R36:R38),1)</f>
        <v>0</v>
      </c>
      <c r="S39" s="13"/>
      <c r="T39" s="13">
        <f>ROUND(SUM(T36:T38),1)</f>
        <v>0</v>
      </c>
      <c r="U39" s="13"/>
      <c r="V39" s="13">
        <f>ROUND(SUM(V36:V38),1)</f>
        <v>0</v>
      </c>
      <c r="W39" s="13"/>
      <c r="X39" s="13">
        <f>ROUND(SUM(X36:X38),1)</f>
        <v>0</v>
      </c>
      <c r="Y39" s="13"/>
      <c r="Z39" s="14"/>
      <c r="AA39" s="13">
        <f>ROUND(SUM(AA36:AA38),1)</f>
        <v>39</v>
      </c>
      <c r="AB39" s="1229"/>
      <c r="AC39" s="13"/>
      <c r="AD39" s="13">
        <f>ROUND(SUM(AD36:AD38),1)</f>
        <v>36.4</v>
      </c>
      <c r="AF39" s="402"/>
      <c r="AG39" s="357">
        <f>AA39-AD39</f>
        <v>2.6000000000000014</v>
      </c>
      <c r="AH39" s="52"/>
      <c r="AI39" s="521">
        <f>ROUND(IF(AG39=0,0,AG39/ABS(AD39)),3)</f>
        <v>7.0999999999999994E-2</v>
      </c>
      <c r="AJ39" s="1486"/>
      <c r="AK39" s="1486"/>
    </row>
    <row r="40" spans="1:37">
      <c r="A40" s="291"/>
      <c r="B40" s="615"/>
      <c r="C40" s="264"/>
      <c r="D40" s="615"/>
      <c r="E40" s="264"/>
      <c r="F40" s="615"/>
      <c r="G40" s="264"/>
      <c r="H40" s="615"/>
      <c r="I40" s="264"/>
      <c r="J40" s="615"/>
      <c r="K40" s="264"/>
      <c r="L40" s="615"/>
      <c r="M40" s="264"/>
      <c r="N40" s="615"/>
      <c r="O40" s="264"/>
      <c r="P40" s="615"/>
      <c r="Q40" s="264"/>
      <c r="R40" s="615"/>
      <c r="S40" s="264"/>
      <c r="T40" s="615"/>
      <c r="U40" s="264"/>
      <c r="V40" s="615"/>
      <c r="W40" s="264"/>
      <c r="X40" s="615"/>
      <c r="Y40" s="264"/>
      <c r="Z40" s="523"/>
      <c r="AA40" s="615"/>
      <c r="AB40" s="1227"/>
      <c r="AC40" s="264"/>
      <c r="AD40" s="615"/>
      <c r="AE40" s="268"/>
      <c r="AF40" s="406"/>
      <c r="AJ40" s="1486"/>
      <c r="AK40" s="1486"/>
    </row>
    <row r="41" spans="1:37">
      <c r="A41" s="291"/>
      <c r="B41" s="264"/>
      <c r="C41" s="264"/>
      <c r="D41" s="264"/>
      <c r="E41" s="264"/>
      <c r="F41" s="264"/>
      <c r="G41" s="264"/>
      <c r="H41" s="264"/>
      <c r="I41" s="264"/>
      <c r="J41" s="264"/>
      <c r="K41" s="264"/>
      <c r="L41" s="264"/>
      <c r="M41" s="264"/>
      <c r="N41" s="264"/>
      <c r="O41" s="264"/>
      <c r="P41" s="264"/>
      <c r="Q41" s="264"/>
      <c r="R41" s="264"/>
      <c r="S41" s="264"/>
      <c r="T41" s="264"/>
      <c r="U41" s="264"/>
      <c r="V41" s="264"/>
      <c r="W41" s="264"/>
      <c r="X41" s="264"/>
      <c r="Y41" s="264"/>
      <c r="Z41" s="523"/>
      <c r="AA41" s="264"/>
      <c r="AB41" s="1227"/>
      <c r="AC41" s="264"/>
      <c r="AD41" s="264"/>
      <c r="AE41" s="268"/>
      <c r="AF41" s="406"/>
      <c r="AJ41" s="1486"/>
      <c r="AK41" s="1486"/>
    </row>
    <row r="42" spans="1:37">
      <c r="A42" s="3" t="s">
        <v>469</v>
      </c>
      <c r="B42" s="264"/>
      <c r="C42" s="264"/>
      <c r="D42" s="264"/>
      <c r="E42" s="264"/>
      <c r="F42" s="264"/>
      <c r="G42" s="264"/>
      <c r="H42" s="264"/>
      <c r="I42" s="264"/>
      <c r="J42" s="264"/>
      <c r="K42" s="264"/>
      <c r="L42" s="264"/>
      <c r="M42" s="264"/>
      <c r="N42" s="264"/>
      <c r="O42" s="264"/>
      <c r="P42" s="264"/>
      <c r="Q42" s="264"/>
      <c r="R42" s="264"/>
      <c r="S42" s="264"/>
      <c r="T42" s="264"/>
      <c r="U42" s="264"/>
      <c r="V42" s="264"/>
      <c r="W42" s="264"/>
      <c r="X42" s="264"/>
      <c r="Y42" s="264"/>
      <c r="Z42" s="523"/>
      <c r="AA42" s="264"/>
      <c r="AB42" s="1227"/>
      <c r="AC42" s="264"/>
      <c r="AD42" s="264"/>
      <c r="AE42" s="268"/>
      <c r="AF42" s="406"/>
      <c r="AJ42" s="1486"/>
      <c r="AK42" s="1486"/>
    </row>
    <row r="43" spans="1:37">
      <c r="A43" s="3" t="s">
        <v>593</v>
      </c>
      <c r="B43" s="264"/>
      <c r="C43" s="264"/>
      <c r="D43" s="264"/>
      <c r="E43" s="264"/>
      <c r="F43" s="264"/>
      <c r="G43" s="264"/>
      <c r="H43" s="264"/>
      <c r="I43" s="264"/>
      <c r="J43" s="264"/>
      <c r="K43" s="264"/>
      <c r="L43" s="264"/>
      <c r="M43" s="264"/>
      <c r="N43" s="264"/>
      <c r="O43" s="264"/>
      <c r="P43" s="264"/>
      <c r="Q43" s="264"/>
      <c r="R43" s="264"/>
      <c r="S43" s="264"/>
      <c r="T43" s="264"/>
      <c r="U43" s="264"/>
      <c r="V43" s="264"/>
      <c r="W43" s="264"/>
      <c r="X43" s="264"/>
      <c r="Y43" s="264"/>
      <c r="Z43" s="523"/>
      <c r="AA43" s="264"/>
      <c r="AB43" s="1227"/>
      <c r="AC43" s="264"/>
      <c r="AD43" s="264"/>
      <c r="AE43" s="291"/>
      <c r="AF43" s="402"/>
      <c r="AJ43" s="1486"/>
      <c r="AK43" s="1486"/>
    </row>
    <row r="44" spans="1:37" s="15" customFormat="1">
      <c r="A44" s="3" t="s">
        <v>471</v>
      </c>
      <c r="B44" s="13">
        <f>ROUND(SUM(B32,B39),1)</f>
        <v>-42.7</v>
      </c>
      <c r="C44" s="13"/>
      <c r="D44" s="13">
        <f>ROUND(SUM(D32,D39),1)</f>
        <v>-15.6</v>
      </c>
      <c r="E44" s="13"/>
      <c r="F44" s="13">
        <f>ROUND(SUM(F32,F39),1)</f>
        <v>9.9</v>
      </c>
      <c r="G44" s="13"/>
      <c r="H44" s="13">
        <f>ROUND(SUM(H32,H39),1)</f>
        <v>-5</v>
      </c>
      <c r="I44" s="13"/>
      <c r="J44" s="13">
        <f>ROUND(SUM(J32,J39),1)</f>
        <v>0</v>
      </c>
      <c r="K44" s="13"/>
      <c r="L44" s="13">
        <f>ROUND(SUM(L32,L39),1)</f>
        <v>0</v>
      </c>
      <c r="M44" s="13"/>
      <c r="N44" s="13">
        <f>ROUND(SUM(N32,N39),1)</f>
        <v>0</v>
      </c>
      <c r="O44" s="13"/>
      <c r="P44" s="13">
        <f>ROUND(SUM(P32,P39),1)</f>
        <v>0</v>
      </c>
      <c r="Q44" s="13"/>
      <c r="R44" s="13">
        <f>ROUND(SUM(R32,R39),1)</f>
        <v>0</v>
      </c>
      <c r="S44" s="13"/>
      <c r="T44" s="13">
        <f>ROUND(SUM(T32,T39),1)</f>
        <v>0</v>
      </c>
      <c r="U44" s="13"/>
      <c r="V44" s="13">
        <f>ROUND(SUM(V32,V39),1)</f>
        <v>0</v>
      </c>
      <c r="W44" s="13"/>
      <c r="X44" s="13">
        <f>ROUND(SUM(X32,X39),1)</f>
        <v>0</v>
      </c>
      <c r="Y44" s="13"/>
      <c r="Z44" s="14"/>
      <c r="AA44" s="18">
        <f>ROUND(AA32+AA39,1)</f>
        <v>-53.4</v>
      </c>
      <c r="AB44" s="1229"/>
      <c r="AC44" s="13"/>
      <c r="AD44" s="18">
        <f>ROUND(AD32+AD39,1)</f>
        <v>-80.7</v>
      </c>
      <c r="AE44" s="107"/>
      <c r="AF44" s="402"/>
      <c r="AG44" s="357">
        <f>ROUND(SUM(AG32+AG39),1)</f>
        <v>27.3</v>
      </c>
      <c r="AH44" s="3"/>
      <c r="AI44" s="675">
        <f>ROUND(IF(AG44=0,0,AG44/ABS(AD44)),3)</f>
        <v>0.33800000000000002</v>
      </c>
      <c r="AJ44" s="1486"/>
      <c r="AK44" s="1486"/>
    </row>
    <row r="45" spans="1:37">
      <c r="A45" s="291"/>
      <c r="B45" s="983"/>
      <c r="C45" s="291"/>
      <c r="D45" s="983"/>
      <c r="E45" s="291"/>
      <c r="F45" s="983"/>
      <c r="G45" s="291"/>
      <c r="H45" s="983"/>
      <c r="I45" s="291"/>
      <c r="J45" s="983"/>
      <c r="K45" s="291"/>
      <c r="L45" s="983"/>
      <c r="M45" s="291"/>
      <c r="N45" s="983"/>
      <c r="O45" s="291"/>
      <c r="P45" s="983"/>
      <c r="Q45" s="291"/>
      <c r="R45" s="983"/>
      <c r="S45" s="291"/>
      <c r="T45" s="983"/>
      <c r="U45" s="291"/>
      <c r="V45" s="983"/>
      <c r="W45" s="291"/>
      <c r="X45" s="983"/>
      <c r="Y45" s="291"/>
      <c r="Z45" s="853"/>
      <c r="AA45" s="983"/>
      <c r="AB45" s="1746"/>
      <c r="AC45" s="291"/>
      <c r="AD45" s="983"/>
      <c r="AF45" s="402"/>
      <c r="AJ45" s="1486"/>
      <c r="AK45" s="1486"/>
    </row>
    <row r="46" spans="1:37" ht="16" thickBot="1">
      <c r="A46" s="1211" t="s">
        <v>433</v>
      </c>
      <c r="B46" s="20">
        <f>ROUND(SUM(B14,B44),1)</f>
        <v>65.5</v>
      </c>
      <c r="C46" s="20"/>
      <c r="D46" s="20">
        <f>ROUND(SUM(D14,D44),1)</f>
        <v>49.9</v>
      </c>
      <c r="E46" s="20"/>
      <c r="F46" s="20">
        <f>ROUND(SUM(F14,F44),1)</f>
        <v>59.8</v>
      </c>
      <c r="G46" s="20"/>
      <c r="H46" s="20">
        <f>ROUND(SUM(H14,H44),1)</f>
        <v>54.8</v>
      </c>
      <c r="I46" s="20"/>
      <c r="J46" s="20">
        <f>ROUND(SUM(J14,J44),1)</f>
        <v>0</v>
      </c>
      <c r="K46" s="20"/>
      <c r="L46" s="20">
        <f>ROUND(SUM(L14,L44),1)</f>
        <v>0</v>
      </c>
      <c r="M46" s="20"/>
      <c r="N46" s="20">
        <f>ROUND(SUM(N14,N44),1)</f>
        <v>0</v>
      </c>
      <c r="O46" s="20"/>
      <c r="P46" s="20">
        <f>ROUND(SUM(P14,P44),1)</f>
        <v>0</v>
      </c>
      <c r="Q46" s="20"/>
      <c r="R46" s="70">
        <f>ROUND(SUM(R14,R44),1)</f>
        <v>0</v>
      </c>
      <c r="S46" s="20"/>
      <c r="T46" s="20">
        <f>ROUND(SUM(T14,T44),1)</f>
        <v>0</v>
      </c>
      <c r="U46" s="20"/>
      <c r="V46" s="20">
        <f>ROUND(SUM(V14,V44),1)</f>
        <v>0</v>
      </c>
      <c r="W46" s="20"/>
      <c r="X46" s="20">
        <f>ROUND(SUM(X14,X44),1)</f>
        <v>0</v>
      </c>
      <c r="Y46" s="20"/>
      <c r="Z46" s="21"/>
      <c r="AA46" s="20">
        <f>ROUND(SUM(AA14,AA44),1)</f>
        <v>54.8</v>
      </c>
      <c r="AB46" s="1236"/>
      <c r="AC46" s="20"/>
      <c r="AD46" s="20">
        <f>ROUND(SUM(AD14,AD44),1)</f>
        <v>27.3</v>
      </c>
      <c r="AF46" s="402"/>
      <c r="AG46" s="70">
        <f>ROUND(SUM(AA46-AD46),1)</f>
        <v>27.5</v>
      </c>
      <c r="AH46" s="379"/>
      <c r="AI46" s="1566">
        <f>ROUND(IF(AG46=0,0,AG46/ABS(AD46)),3)</f>
        <v>1.0069999999999999</v>
      </c>
      <c r="AJ46" s="1486"/>
      <c r="AK46" s="1486"/>
    </row>
    <row r="47" spans="1:37" ht="16" thickTop="1">
      <c r="A47" s="291"/>
      <c r="B47" s="1748"/>
      <c r="C47" s="291"/>
      <c r="D47" s="1748"/>
      <c r="E47" s="291"/>
      <c r="F47" s="1748"/>
      <c r="G47" s="291"/>
      <c r="H47" s="1748"/>
      <c r="I47" s="291"/>
      <c r="J47" s="1748"/>
      <c r="K47" s="291"/>
      <c r="L47" s="1748"/>
      <c r="M47" s="291"/>
      <c r="N47" s="1748"/>
      <c r="O47" s="291"/>
      <c r="P47" s="1748"/>
      <c r="Q47" s="291"/>
      <c r="R47" s="291"/>
      <c r="S47" s="291"/>
      <c r="T47" s="1748"/>
      <c r="U47" s="291"/>
      <c r="V47" s="1748"/>
      <c r="W47" s="291"/>
      <c r="X47" s="1748"/>
      <c r="Y47" s="291"/>
      <c r="Z47" s="291"/>
      <c r="AA47" s="1748"/>
      <c r="AB47" s="291"/>
      <c r="AC47" s="291"/>
      <c r="AD47" s="1748"/>
    </row>
    <row r="49" spans="1:1">
      <c r="A49" s="1573"/>
    </row>
    <row r="50" spans="1:1">
      <c r="A50" s="364"/>
    </row>
  </sheetData>
  <mergeCells count="1">
    <mergeCell ref="AA9:AI9"/>
  </mergeCells>
  <printOptions horizontalCentered="1"/>
  <pageMargins left="0.25" right="0.25" top="0.5" bottom="0.25" header="0" footer="0.25"/>
  <pageSetup scale="44" firstPageNumber="35" orientation="landscape" useFirstPageNumber="1" r:id="rId1"/>
  <headerFooter scaleWithDoc="0" alignWithMargins="0">
    <oddFooter>&amp;C&amp;8&amp;P</oddFooter>
  </headerFooter>
  <customProperties>
    <customPr name="SheetOptions"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pageSetUpPr autoPageBreaks="0" fitToPage="1"/>
  </sheetPr>
  <dimension ref="A1:AK54"/>
  <sheetViews>
    <sheetView showGridLines="0" topLeftCell="A4" zoomScale="90" workbookViewId="0"/>
  </sheetViews>
  <sheetFormatPr defaultColWidth="8.84375" defaultRowHeight="15.5"/>
  <cols>
    <col min="1" max="1" width="41.07421875" style="291" customWidth="1"/>
    <col min="2" max="2" width="11.84375" style="291" customWidth="1"/>
    <col min="3" max="3" width="1.84375" style="291" customWidth="1"/>
    <col min="4" max="4" width="11.84375" style="291" customWidth="1"/>
    <col min="5" max="5" width="1.84375" style="291" customWidth="1"/>
    <col min="6" max="6" width="11.84375" style="291" customWidth="1"/>
    <col min="7" max="7" width="1.84375" style="291" customWidth="1"/>
    <col min="8" max="8" width="11.84375" style="291" customWidth="1"/>
    <col min="9" max="9" width="1.84375" style="291" customWidth="1"/>
    <col min="10" max="10" width="11.84375" style="291" customWidth="1"/>
    <col min="11" max="11" width="1.84375" style="291" customWidth="1"/>
    <col min="12" max="12" width="12.84375" style="291" customWidth="1"/>
    <col min="13" max="13" width="1.84375" style="291" customWidth="1"/>
    <col min="14" max="14" width="11.84375" style="291" customWidth="1"/>
    <col min="15" max="15" width="1.84375" style="291" customWidth="1"/>
    <col min="16" max="16" width="11.84375" style="291" customWidth="1"/>
    <col min="17" max="17" width="1.84375" style="291" customWidth="1"/>
    <col min="18" max="18" width="11.84375" style="291" customWidth="1"/>
    <col min="19" max="19" width="1.84375" style="291" customWidth="1"/>
    <col min="20" max="20" width="11.84375" style="291" customWidth="1"/>
    <col min="21" max="21" width="1.84375" style="291" customWidth="1"/>
    <col min="22" max="22" width="11.84375" style="291" customWidth="1"/>
    <col min="23" max="23" width="1.84375" style="291" customWidth="1"/>
    <col min="24" max="24" width="11.84375" style="291" customWidth="1"/>
    <col min="25" max="26" width="1.4609375" style="291" customWidth="1"/>
    <col min="27" max="27" width="12.07421875" style="291" customWidth="1"/>
    <col min="28" max="29" width="1.4609375" style="291" customWidth="1"/>
    <col min="30" max="30" width="12.07421875" style="291" customWidth="1"/>
    <col min="31" max="32" width="1.4609375" style="291" customWidth="1"/>
    <col min="33" max="33" width="11.84375" style="291" customWidth="1"/>
    <col min="34" max="34" width="1.84375" style="291" customWidth="1"/>
    <col min="35" max="35" width="11.84375" style="291" customWidth="1"/>
    <col min="36" max="37" width="9.07421875" style="291" bestFit="1" customWidth="1"/>
    <col min="38" max="16384" width="8.84375" style="291"/>
  </cols>
  <sheetData>
    <row r="1" spans="1:37">
      <c r="A1" s="265" t="s">
        <v>97</v>
      </c>
    </row>
    <row r="2" spans="1:37">
      <c r="A2" s="354"/>
    </row>
    <row r="3" spans="1:37">
      <c r="A3" s="3" t="s">
        <v>98</v>
      </c>
      <c r="K3" s="3"/>
      <c r="L3" s="3"/>
      <c r="AI3" s="1210" t="s">
        <v>597</v>
      </c>
    </row>
    <row r="4" spans="1:37">
      <c r="A4" s="1211" t="s">
        <v>219</v>
      </c>
      <c r="H4" s="3" t="s">
        <v>103</v>
      </c>
      <c r="K4" s="3"/>
      <c r="L4" s="3"/>
      <c r="X4" s="291" t="s">
        <v>103</v>
      </c>
    </row>
    <row r="5" spans="1:37">
      <c r="A5" s="6" t="s">
        <v>328</v>
      </c>
      <c r="K5" s="3"/>
      <c r="L5" s="3"/>
      <c r="AB5" s="1210"/>
      <c r="AC5" s="1210"/>
      <c r="AE5" s="1210"/>
    </row>
    <row r="6" spans="1:37">
      <c r="A6" s="6" t="str">
        <f>'Cashflow Governmental'!A6</f>
        <v>FISCAL YEAR 2026-2027</v>
      </c>
      <c r="K6" s="3"/>
      <c r="L6" s="3"/>
    </row>
    <row r="7" spans="1:37">
      <c r="A7" s="3" t="s">
        <v>102</v>
      </c>
      <c r="K7" s="3"/>
    </row>
    <row r="8" spans="1:37">
      <c r="A8" s="3"/>
      <c r="K8" s="3"/>
    </row>
    <row r="9" spans="1:37">
      <c r="A9" s="1211"/>
    </row>
    <row r="10" spans="1:37">
      <c r="B10" s="1486"/>
      <c r="H10" s="3"/>
      <c r="I10" s="3"/>
      <c r="J10" s="3"/>
      <c r="Z10" s="2063" t="str">
        <f>'Cashflow Governmental'!$AB$12</f>
        <v>4 Months Ended July 31</v>
      </c>
      <c r="AA10" s="2063"/>
      <c r="AB10" s="2063"/>
      <c r="AC10" s="2063"/>
      <c r="AD10" s="2063"/>
      <c r="AE10" s="2063"/>
      <c r="AF10" s="2063"/>
      <c r="AG10" s="2063"/>
      <c r="AH10" s="2063"/>
      <c r="AI10" s="2063"/>
    </row>
    <row r="11" spans="1:37">
      <c r="B11" s="314" t="str">
        <f>'Cashflow Governmental'!C13</f>
        <v>2026</v>
      </c>
      <c r="C11" s="3"/>
      <c r="D11" s="3"/>
      <c r="E11" s="3"/>
      <c r="F11" s="3"/>
      <c r="G11" s="3"/>
      <c r="H11" s="3"/>
      <c r="I11" s="3"/>
      <c r="J11" s="3"/>
      <c r="K11" s="3"/>
      <c r="L11" s="3"/>
      <c r="M11" s="3"/>
      <c r="N11" s="3"/>
      <c r="O11" s="3"/>
      <c r="P11" s="3"/>
      <c r="Q11" s="3"/>
      <c r="R11" s="3"/>
      <c r="S11" s="3"/>
      <c r="T11" s="314">
        <f>'Cashflow Governmental'!U13</f>
        <v>2027</v>
      </c>
      <c r="U11" s="3"/>
      <c r="V11" s="52"/>
      <c r="W11" s="3"/>
      <c r="X11" s="3"/>
      <c r="Y11" s="3"/>
      <c r="Z11" s="3"/>
      <c r="AA11" s="3"/>
      <c r="AB11" s="3"/>
      <c r="AC11" s="3"/>
      <c r="AD11" s="6"/>
      <c r="AE11" s="6"/>
      <c r="AF11" s="3"/>
      <c r="AG11" s="320" t="s">
        <v>110</v>
      </c>
      <c r="AH11" s="320"/>
      <c r="AI11" s="318" t="s">
        <v>111</v>
      </c>
    </row>
    <row r="12" spans="1:37">
      <c r="B12" s="1212" t="s">
        <v>329</v>
      </c>
      <c r="C12" s="3"/>
      <c r="D12" s="1212" t="s">
        <v>330</v>
      </c>
      <c r="E12" s="3"/>
      <c r="F12" s="1212" t="s">
        <v>331</v>
      </c>
      <c r="G12" s="3"/>
      <c r="H12" s="1212" t="s">
        <v>332</v>
      </c>
      <c r="I12" s="3"/>
      <c r="J12" s="1215" t="s">
        <v>598</v>
      </c>
      <c r="K12" s="3"/>
      <c r="L12" s="1215" t="s">
        <v>445</v>
      </c>
      <c r="M12" s="3"/>
      <c r="N12" s="1215" t="s">
        <v>446</v>
      </c>
      <c r="O12" s="3"/>
      <c r="P12" s="1212" t="s">
        <v>336</v>
      </c>
      <c r="Q12" s="3"/>
      <c r="R12" s="1212" t="s">
        <v>337</v>
      </c>
      <c r="S12" s="3"/>
      <c r="T12" s="1215" t="s">
        <v>338</v>
      </c>
      <c r="U12" s="3"/>
      <c r="V12" s="1212" t="s">
        <v>339</v>
      </c>
      <c r="W12" s="3"/>
      <c r="X12" s="1215" t="s">
        <v>447</v>
      </c>
      <c r="Y12" s="3"/>
      <c r="Z12" s="3"/>
      <c r="AA12" s="1212" t="str">
        <f>'Cashflow Governmental'!AB14</f>
        <v>2026</v>
      </c>
      <c r="AB12" s="52"/>
      <c r="AC12" s="52"/>
      <c r="AD12" s="1212" t="str">
        <f>'Cashflow Governmental'!AE14</f>
        <v>2025</v>
      </c>
      <c r="AE12" s="52"/>
      <c r="AF12" s="52"/>
      <c r="AG12" s="415" t="s">
        <v>112</v>
      </c>
      <c r="AH12" s="320"/>
      <c r="AI12" s="415" t="s">
        <v>113</v>
      </c>
    </row>
    <row r="13" spans="1:37" ht="7.4" customHeight="1">
      <c r="B13" s="52"/>
      <c r="C13" s="3"/>
      <c r="D13" s="52"/>
      <c r="E13" s="3"/>
      <c r="F13" s="52"/>
      <c r="G13" s="3"/>
      <c r="H13" s="52"/>
      <c r="I13" s="3"/>
      <c r="J13" s="314"/>
      <c r="K13" s="3"/>
      <c r="L13" s="314"/>
      <c r="M13" s="3"/>
      <c r="N13" s="314"/>
      <c r="O13" s="3"/>
      <c r="P13" s="52"/>
      <c r="Q13" s="3"/>
      <c r="R13" s="52"/>
      <c r="S13" s="3"/>
      <c r="T13" s="314"/>
      <c r="U13" s="3"/>
      <c r="V13" s="52"/>
      <c r="W13" s="3"/>
      <c r="X13" s="314"/>
      <c r="Y13" s="3"/>
      <c r="Z13" s="3"/>
      <c r="AA13" s="52"/>
      <c r="AB13" s="52"/>
      <c r="AC13" s="52"/>
      <c r="AD13" s="52"/>
      <c r="AE13" s="52"/>
      <c r="AF13" s="52"/>
      <c r="AG13" s="320"/>
      <c r="AH13" s="320"/>
      <c r="AI13" s="320"/>
    </row>
    <row r="14" spans="1:37">
      <c r="A14" s="3" t="s">
        <v>341</v>
      </c>
      <c r="B14" s="82">
        <v>2222.5</v>
      </c>
      <c r="C14" s="20"/>
      <c r="D14" s="93">
        <f>B46</f>
        <v>2229.3000000000002</v>
      </c>
      <c r="E14" s="93"/>
      <c r="F14" s="93">
        <f>D46</f>
        <v>2236.3000000000002</v>
      </c>
      <c r="G14" s="44"/>
      <c r="H14" s="93">
        <f>F46</f>
        <v>2240.6999999999998</v>
      </c>
      <c r="I14" s="44"/>
      <c r="J14" s="93"/>
      <c r="K14" s="44"/>
      <c r="L14" s="93"/>
      <c r="M14" s="44"/>
      <c r="N14" s="93"/>
      <c r="O14" s="44"/>
      <c r="P14" s="93"/>
      <c r="Q14" s="93"/>
      <c r="R14" s="93"/>
      <c r="S14" s="93"/>
      <c r="T14" s="93"/>
      <c r="U14" s="93"/>
      <c r="V14" s="93"/>
      <c r="W14" s="93"/>
      <c r="X14" s="93"/>
      <c r="Y14" s="1712"/>
      <c r="Z14" s="1713"/>
      <c r="AA14" s="93">
        <f>B14</f>
        <v>2222.5</v>
      </c>
      <c r="AB14" s="1712"/>
      <c r="AC14" s="1711"/>
      <c r="AD14" s="1936">
        <v>1892.3</v>
      </c>
      <c r="AE14" s="1546"/>
      <c r="AF14" s="1714"/>
      <c r="AG14" s="20">
        <f>ROUND(SUM(AA14-AD14),1)</f>
        <v>330.2</v>
      </c>
      <c r="AI14" s="281">
        <f>ROUND(IF(AD14=0,1,AG14/ABS(AD14)),3)</f>
        <v>0.17399999999999999</v>
      </c>
      <c r="AJ14" s="1486"/>
      <c r="AK14" s="1486"/>
    </row>
    <row r="15" spans="1:37">
      <c r="F15" s="274"/>
      <c r="G15" s="274"/>
      <c r="H15" s="274"/>
      <c r="I15" s="424"/>
      <c r="J15" s="424"/>
      <c r="K15" s="274"/>
      <c r="L15" s="424"/>
      <c r="M15" s="424"/>
      <c r="N15" s="424"/>
      <c r="O15" s="424"/>
      <c r="P15" s="424"/>
      <c r="Q15" s="424"/>
      <c r="R15" s="424"/>
      <c r="S15" s="424"/>
      <c r="T15" s="424"/>
      <c r="U15" s="424"/>
      <c r="V15" s="424"/>
      <c r="W15" s="424"/>
      <c r="X15" s="424"/>
      <c r="Y15" s="1715"/>
      <c r="Z15" s="1716"/>
      <c r="AB15" s="1715"/>
      <c r="AC15" s="1548"/>
      <c r="AF15" s="1717"/>
      <c r="AJ15" s="1486"/>
      <c r="AK15" s="1486"/>
    </row>
    <row r="16" spans="1:37">
      <c r="A16" s="3" t="s">
        <v>114</v>
      </c>
      <c r="F16" s="274"/>
      <c r="G16" s="274"/>
      <c r="H16" s="274"/>
      <c r="I16" s="424"/>
      <c r="J16" s="424"/>
      <c r="K16" s="274"/>
      <c r="L16" s="424"/>
      <c r="M16" s="424"/>
      <c r="N16" s="424"/>
      <c r="O16" s="424"/>
      <c r="P16" s="424"/>
      <c r="Q16" s="424"/>
      <c r="R16" s="424"/>
      <c r="S16" s="424"/>
      <c r="T16" s="424"/>
      <c r="U16" s="424"/>
      <c r="V16" s="424"/>
      <c r="W16" s="424"/>
      <c r="X16" s="424"/>
      <c r="Y16" s="1715"/>
      <c r="Z16" s="1716"/>
      <c r="AB16" s="1715"/>
      <c r="AC16" s="1548"/>
      <c r="AF16" s="1717"/>
      <c r="AJ16" s="1486"/>
      <c r="AK16" s="1486"/>
    </row>
    <row r="17" spans="1:37" s="10" customFormat="1">
      <c r="A17" s="291" t="s">
        <v>589</v>
      </c>
      <c r="B17" s="264">
        <v>16.3</v>
      </c>
      <c r="C17" s="264"/>
      <c r="D17" s="264">
        <v>17.900000000000002</v>
      </c>
      <c r="E17" s="264"/>
      <c r="F17" s="264">
        <v>32.799999999999997</v>
      </c>
      <c r="G17" s="264"/>
      <c r="H17" s="264">
        <f>$AA17-F17-D17-B17</f>
        <v>26.2</v>
      </c>
      <c r="I17" s="264"/>
      <c r="J17" s="264"/>
      <c r="K17" s="264"/>
      <c r="L17" s="264"/>
      <c r="M17" s="264"/>
      <c r="N17" s="264"/>
      <c r="O17" s="264"/>
      <c r="P17" s="264"/>
      <c r="Q17" s="264"/>
      <c r="R17" s="264"/>
      <c r="S17" s="264"/>
      <c r="T17" s="264"/>
      <c r="U17" s="264"/>
      <c r="V17" s="264"/>
      <c r="W17" s="264"/>
      <c r="X17" s="264"/>
      <c r="Y17" s="264"/>
      <c r="Z17" s="523"/>
      <c r="AA17" s="981">
        <v>93.2</v>
      </c>
      <c r="AB17" s="264"/>
      <c r="AC17" s="524" t="s">
        <v>103</v>
      </c>
      <c r="AD17" s="981">
        <v>87.3</v>
      </c>
      <c r="AE17" s="26"/>
      <c r="AF17" s="1722"/>
      <c r="AG17" s="382">
        <f>ROUND(SUM(AA17-AD17),1)</f>
        <v>5.9</v>
      </c>
      <c r="AH17" s="291"/>
      <c r="AI17" s="1572">
        <f>ROUND(IF(AG17=0,0,AG17/ABS(AD17)),3)</f>
        <v>6.8000000000000005E-2</v>
      </c>
      <c r="AJ17" s="1621"/>
      <c r="AK17" s="1622"/>
    </row>
    <row r="18" spans="1:37" s="10" customFormat="1">
      <c r="A18" s="291"/>
      <c r="B18" s="615"/>
      <c r="C18" s="264"/>
      <c r="D18" s="615"/>
      <c r="E18" s="264"/>
      <c r="F18" s="615"/>
      <c r="G18" s="264"/>
      <c r="H18" s="615"/>
      <c r="I18" s="264"/>
      <c r="J18" s="615"/>
      <c r="K18" s="264"/>
      <c r="L18" s="615"/>
      <c r="M18" s="264"/>
      <c r="N18" s="615"/>
      <c r="O18" s="264"/>
      <c r="P18" s="615"/>
      <c r="Q18" s="264"/>
      <c r="R18" s="615"/>
      <c r="S18" s="264"/>
      <c r="T18" s="615"/>
      <c r="U18" s="264"/>
      <c r="V18" s="615"/>
      <c r="W18" s="264"/>
      <c r="X18" s="615"/>
      <c r="Y18" s="264"/>
      <c r="Z18" s="523"/>
      <c r="AA18" s="264"/>
      <c r="AB18" s="1227"/>
      <c r="AC18" s="264"/>
      <c r="AD18" s="264"/>
      <c r="AE18" s="264"/>
      <c r="AF18" s="1722"/>
      <c r="AG18" s="264"/>
      <c r="AH18" s="291"/>
      <c r="AI18" s="291"/>
      <c r="AJ18" s="1621"/>
      <c r="AK18" s="1622"/>
    </row>
    <row r="19" spans="1:37" s="10" customFormat="1">
      <c r="A19" s="3" t="s">
        <v>427</v>
      </c>
      <c r="B19" s="13">
        <f>ROUND(SUM(B17),1)</f>
        <v>16.3</v>
      </c>
      <c r="C19" s="13"/>
      <c r="D19" s="13">
        <f>ROUND(SUM(D17),1)</f>
        <v>17.899999999999999</v>
      </c>
      <c r="E19" s="13"/>
      <c r="F19" s="13">
        <f>ROUND(SUM(F17),1)</f>
        <v>32.799999999999997</v>
      </c>
      <c r="G19" s="13"/>
      <c r="H19" s="13">
        <f>ROUND(SUM(H17),1)</f>
        <v>26.2</v>
      </c>
      <c r="I19" s="13"/>
      <c r="J19" s="13">
        <f>ROUND(SUM(J17),1)</f>
        <v>0</v>
      </c>
      <c r="K19" s="13"/>
      <c r="L19" s="13">
        <f>ROUND(SUM(L17),1)</f>
        <v>0</v>
      </c>
      <c r="M19" s="13"/>
      <c r="N19" s="13">
        <f>ROUND(SUM(N17),1)</f>
        <v>0</v>
      </c>
      <c r="O19" s="13"/>
      <c r="P19" s="13">
        <f>ROUND(SUM(P17),1)</f>
        <v>0</v>
      </c>
      <c r="Q19" s="13"/>
      <c r="R19" s="13">
        <f>ROUND(SUM(R17),1)</f>
        <v>0</v>
      </c>
      <c r="S19" s="13"/>
      <c r="T19" s="13">
        <f>ROUND(SUM(T17),1)</f>
        <v>0</v>
      </c>
      <c r="U19" s="13"/>
      <c r="V19" s="13">
        <f>ROUND(SUM(V17),1)</f>
        <v>0</v>
      </c>
      <c r="W19" s="13"/>
      <c r="X19" s="13">
        <f>ROUND(SUM(X17),1)</f>
        <v>0</v>
      </c>
      <c r="Y19" s="13"/>
      <c r="Z19" s="14"/>
      <c r="AA19" s="13">
        <f>ROUND(SUM(AA17),1)</f>
        <v>93.2</v>
      </c>
      <c r="AB19" s="1229"/>
      <c r="AC19" s="13"/>
      <c r="AD19" s="13">
        <f>ROUND(SUM(AD17),1)</f>
        <v>87.3</v>
      </c>
      <c r="AE19" s="264"/>
      <c r="AF19" s="1722"/>
      <c r="AG19" s="357">
        <f>ROUND(SUM(AG17),1)</f>
        <v>5.9</v>
      </c>
      <c r="AH19" s="40"/>
      <c r="AI19" s="1559">
        <f>ROUND(IF(AG19=0,0,AG19/ABS(AD19)),3)</f>
        <v>6.8000000000000005E-2</v>
      </c>
      <c r="AJ19" s="1621"/>
      <c r="AK19" s="1622"/>
    </row>
    <row r="20" spans="1:37" s="10" customFormat="1">
      <c r="A20" s="291"/>
      <c r="B20" s="615"/>
      <c r="C20" s="264"/>
      <c r="D20" s="615"/>
      <c r="E20" s="264"/>
      <c r="F20" s="615"/>
      <c r="G20" s="264"/>
      <c r="H20" s="615"/>
      <c r="I20" s="264"/>
      <c r="J20" s="615"/>
      <c r="K20" s="264"/>
      <c r="L20" s="615"/>
      <c r="M20" s="264"/>
      <c r="N20" s="615"/>
      <c r="O20" s="264"/>
      <c r="P20" s="615"/>
      <c r="Q20" s="264"/>
      <c r="R20" s="615"/>
      <c r="S20" s="264"/>
      <c r="T20" s="615"/>
      <c r="U20" s="264"/>
      <c r="V20" s="615"/>
      <c r="W20" s="264"/>
      <c r="X20" s="615"/>
      <c r="Y20" s="264"/>
      <c r="Z20" s="523"/>
      <c r="AA20" s="615"/>
      <c r="AB20" s="1227"/>
      <c r="AC20" s="264"/>
      <c r="AD20" s="615"/>
      <c r="AE20" s="264"/>
      <c r="AF20" s="1722"/>
      <c r="AG20" s="264"/>
      <c r="AH20" s="291"/>
      <c r="AI20" s="291"/>
      <c r="AJ20" s="1621"/>
      <c r="AK20" s="1622"/>
    </row>
    <row r="21" spans="1:37">
      <c r="B21" s="264"/>
      <c r="C21" s="264"/>
      <c r="D21" s="264"/>
      <c r="E21" s="264"/>
      <c r="F21" s="264"/>
      <c r="G21" s="264"/>
      <c r="H21" s="411"/>
      <c r="I21" s="411"/>
      <c r="J21" s="411"/>
      <c r="K21" s="264"/>
      <c r="L21" s="411"/>
      <c r="M21" s="411"/>
      <c r="N21" s="411"/>
      <c r="O21" s="411"/>
      <c r="P21" s="411"/>
      <c r="Q21" s="411"/>
      <c r="R21" s="411"/>
      <c r="S21" s="411"/>
      <c r="T21" s="411"/>
      <c r="U21" s="411"/>
      <c r="V21" s="411"/>
      <c r="W21" s="411"/>
      <c r="X21" s="411"/>
      <c r="Y21" s="1720"/>
      <c r="Z21" s="1721"/>
      <c r="AA21" s="264"/>
      <c r="AB21" s="1720"/>
      <c r="AC21" s="411"/>
      <c r="AD21" s="264"/>
      <c r="AE21" s="264"/>
      <c r="AF21" s="1722"/>
      <c r="AG21" s="264"/>
      <c r="AJ21" s="1486"/>
      <c r="AK21" s="1486"/>
    </row>
    <row r="22" spans="1:37">
      <c r="A22" s="3" t="s">
        <v>122</v>
      </c>
      <c r="B22" s="264"/>
      <c r="C22" s="264"/>
      <c r="D22" s="264"/>
      <c r="E22" s="264"/>
      <c r="F22" s="264"/>
      <c r="G22" s="264"/>
      <c r="H22" s="411"/>
      <c r="I22" s="411"/>
      <c r="J22" s="411"/>
      <c r="K22" s="264"/>
      <c r="L22" s="411"/>
      <c r="M22" s="411"/>
      <c r="N22" s="411"/>
      <c r="O22" s="411"/>
      <c r="P22" s="411"/>
      <c r="Q22" s="411"/>
      <c r="R22" s="411"/>
      <c r="S22" s="411"/>
      <c r="T22" s="411"/>
      <c r="U22" s="411"/>
      <c r="V22" s="411"/>
      <c r="W22" s="411"/>
      <c r="X22" s="411"/>
      <c r="Y22" s="1720"/>
      <c r="Z22" s="1721"/>
      <c r="AA22" s="264"/>
      <c r="AB22" s="1720"/>
      <c r="AC22" s="411"/>
      <c r="AD22" s="264"/>
      <c r="AE22" s="264"/>
      <c r="AF22" s="1722"/>
      <c r="AG22" s="264"/>
      <c r="AJ22" s="1486"/>
      <c r="AK22" s="1486"/>
    </row>
    <row r="23" spans="1:37">
      <c r="A23" s="291" t="s">
        <v>453</v>
      </c>
      <c r="B23" s="275"/>
      <c r="C23" s="264"/>
      <c r="D23" s="264"/>
      <c r="E23" s="264"/>
      <c r="F23" s="264"/>
      <c r="G23" s="264"/>
      <c r="H23" s="411"/>
      <c r="I23" s="411"/>
      <c r="J23" s="411"/>
      <c r="K23" s="264"/>
      <c r="L23" s="411"/>
      <c r="M23" s="411"/>
      <c r="N23" s="411"/>
      <c r="O23" s="411"/>
      <c r="P23" s="411"/>
      <c r="Q23" s="411"/>
      <c r="R23" s="411"/>
      <c r="S23" s="411"/>
      <c r="T23" s="411"/>
      <c r="U23" s="411"/>
      <c r="V23" s="411"/>
      <c r="W23" s="411"/>
      <c r="X23" s="411"/>
      <c r="Y23" s="1720"/>
      <c r="Z23" s="1721"/>
      <c r="AA23" s="275"/>
      <c r="AB23" s="1729"/>
      <c r="AC23" s="1730"/>
      <c r="AD23" s="275"/>
      <c r="AE23" s="275"/>
      <c r="AF23" s="402"/>
      <c r="AG23" s="264"/>
      <c r="AJ23" s="1486"/>
      <c r="AK23" s="1486"/>
    </row>
    <row r="24" spans="1:37">
      <c r="A24" s="291" t="s">
        <v>591</v>
      </c>
      <c r="B24" s="287">
        <v>8</v>
      </c>
      <c r="C24" s="264"/>
      <c r="D24" s="287">
        <v>9.8999999999999986</v>
      </c>
      <c r="E24" s="264"/>
      <c r="F24" s="287">
        <v>8.1999999999999993</v>
      </c>
      <c r="G24" s="264"/>
      <c r="H24" s="287">
        <f>$AA24-F24-D24-B24</f>
        <v>10.600000000000005</v>
      </c>
      <c r="I24" s="411"/>
      <c r="J24" s="264"/>
      <c r="K24" s="264"/>
      <c r="L24" s="264"/>
      <c r="M24" s="411"/>
      <c r="N24" s="264"/>
      <c r="O24" s="411"/>
      <c r="P24" s="288"/>
      <c r="Q24" s="288"/>
      <c r="R24" s="288"/>
      <c r="S24" s="288"/>
      <c r="T24" s="288"/>
      <c r="U24" s="288"/>
      <c r="V24" s="288"/>
      <c r="W24" s="288"/>
      <c r="X24" s="288"/>
      <c r="Y24" s="1720"/>
      <c r="Z24" s="1721"/>
      <c r="AA24" s="531">
        <v>36.700000000000003</v>
      </c>
      <c r="AB24" s="264"/>
      <c r="AC24" s="524" t="s">
        <v>103</v>
      </c>
      <c r="AD24" s="531">
        <v>35.1</v>
      </c>
      <c r="AE24" s="289"/>
      <c r="AF24" s="402"/>
      <c r="AG24" s="264">
        <f>ROUND(SUM(AA24-AD24),1)</f>
        <v>1.6</v>
      </c>
      <c r="AI24" s="1574">
        <f>ROUND(IF(AG24=0,0,AG24/ABS(AD24)),3)</f>
        <v>4.5999999999999999E-2</v>
      </c>
      <c r="AJ24" s="1486"/>
      <c r="AK24" s="1486"/>
    </row>
    <row r="25" spans="1:37">
      <c r="A25" s="412" t="s">
        <v>510</v>
      </c>
      <c r="B25" s="287">
        <v>1.5</v>
      </c>
      <c r="C25" s="264"/>
      <c r="D25" s="287">
        <v>1</v>
      </c>
      <c r="E25" s="264"/>
      <c r="F25" s="287">
        <v>2.5999999999999996</v>
      </c>
      <c r="G25" s="264"/>
      <c r="H25" s="287">
        <f t="shared" ref="H25:H26" si="0">$AA25-F25-D25-B25</f>
        <v>2.5</v>
      </c>
      <c r="I25" s="411"/>
      <c r="J25" s="264"/>
      <c r="K25" s="264"/>
      <c r="L25" s="264"/>
      <c r="M25" s="411"/>
      <c r="N25" s="264"/>
      <c r="O25" s="411"/>
      <c r="P25" s="288"/>
      <c r="Q25" s="411"/>
      <c r="R25" s="288"/>
      <c r="S25" s="411"/>
      <c r="T25" s="288"/>
      <c r="U25" s="411"/>
      <c r="V25" s="288"/>
      <c r="W25" s="411"/>
      <c r="X25" s="288"/>
      <c r="Y25" s="1720"/>
      <c r="Z25" s="1721"/>
      <c r="AA25" s="531">
        <v>7.6</v>
      </c>
      <c r="AB25" s="264"/>
      <c r="AC25" s="524" t="s">
        <v>103</v>
      </c>
      <c r="AD25" s="531">
        <v>7.2</v>
      </c>
      <c r="AE25" s="275"/>
      <c r="AF25" s="402"/>
      <c r="AG25" s="264">
        <f>ROUND(SUM(AA25-AD25),1)</f>
        <v>0.4</v>
      </c>
      <c r="AH25" s="1553"/>
      <c r="AI25" s="1574">
        <f>ROUND(IF(AG25=0,0,AG25/ABS(AD25)),3)</f>
        <v>5.6000000000000001E-2</v>
      </c>
      <c r="AJ25" s="1486"/>
      <c r="AK25" s="1486"/>
    </row>
    <row r="26" spans="1:37" s="10" customFormat="1">
      <c r="A26" s="291" t="s">
        <v>456</v>
      </c>
      <c r="B26" s="287">
        <v>0</v>
      </c>
      <c r="C26" s="264"/>
      <c r="D26" s="287">
        <v>0</v>
      </c>
      <c r="E26" s="264"/>
      <c r="F26" s="287">
        <v>17.600000000000001</v>
      </c>
      <c r="G26" s="264"/>
      <c r="H26" s="287">
        <f t="shared" si="0"/>
        <v>4.0999999999999979</v>
      </c>
      <c r="I26" s="264"/>
      <c r="J26" s="264"/>
      <c r="K26" s="264"/>
      <c r="L26" s="264"/>
      <c r="M26" s="264"/>
      <c r="N26" s="264"/>
      <c r="O26" s="264"/>
      <c r="P26" s="288"/>
      <c r="Q26" s="264"/>
      <c r="R26" s="288"/>
      <c r="S26" s="264"/>
      <c r="T26" s="288"/>
      <c r="U26" s="264"/>
      <c r="V26" s="288"/>
      <c r="W26" s="264"/>
      <c r="X26" s="288"/>
      <c r="Y26" s="264"/>
      <c r="Z26" s="523"/>
      <c r="AA26" s="531">
        <v>21.7</v>
      </c>
      <c r="AB26" s="264"/>
      <c r="AC26" s="524" t="s">
        <v>103</v>
      </c>
      <c r="AD26" s="531">
        <v>21</v>
      </c>
      <c r="AE26" s="264"/>
      <c r="AF26" s="1722"/>
      <c r="AG26" s="382">
        <f>ROUND(SUM(AA26-AD26),1)</f>
        <v>0.7</v>
      </c>
      <c r="AH26" s="291"/>
      <c r="AI26" s="1572">
        <f>ROUND(IF(AG26=0,0,AG26/ABS(AD26)),3)</f>
        <v>3.3000000000000002E-2</v>
      </c>
      <c r="AJ26" s="1486"/>
      <c r="AK26" s="1480"/>
    </row>
    <row r="27" spans="1:37" s="10" customFormat="1">
      <c r="A27" s="291"/>
      <c r="B27" s="615"/>
      <c r="C27" s="264"/>
      <c r="D27" s="615"/>
      <c r="E27" s="264"/>
      <c r="F27" s="615"/>
      <c r="G27" s="264"/>
      <c r="H27" s="615"/>
      <c r="I27" s="264"/>
      <c r="J27" s="615"/>
      <c r="K27" s="264"/>
      <c r="L27" s="615"/>
      <c r="M27" s="264"/>
      <c r="N27" s="615"/>
      <c r="O27" s="264"/>
      <c r="P27" s="615"/>
      <c r="Q27" s="264"/>
      <c r="R27" s="615"/>
      <c r="S27" s="264"/>
      <c r="T27" s="615"/>
      <c r="U27" s="264"/>
      <c r="V27" s="615"/>
      <c r="W27" s="264"/>
      <c r="X27" s="615"/>
      <c r="Y27" s="264"/>
      <c r="Z27" s="523"/>
      <c r="AA27" s="615"/>
      <c r="AB27" s="1227"/>
      <c r="AC27" s="264"/>
      <c r="AD27" s="615"/>
      <c r="AE27" s="26"/>
      <c r="AF27" s="402"/>
      <c r="AG27" s="264"/>
      <c r="AH27" s="268"/>
      <c r="AI27" s="1556"/>
      <c r="AJ27" s="1486"/>
      <c r="AK27" s="1480"/>
    </row>
    <row r="28" spans="1:37" s="10" customFormat="1">
      <c r="A28" s="3" t="s">
        <v>457</v>
      </c>
      <c r="B28" s="13">
        <f>ROUND(SUM(B24)+SUM(B25)+SUM(B26),1)</f>
        <v>9.5</v>
      </c>
      <c r="C28" s="13"/>
      <c r="D28" s="13">
        <f>ROUND(SUM(D24)+SUM(D25)+SUM(D26),1)</f>
        <v>10.9</v>
      </c>
      <c r="E28" s="13"/>
      <c r="F28" s="13">
        <f>ROUND(SUM(F24)+SUM(F25)+SUM(F26),1)</f>
        <v>28.4</v>
      </c>
      <c r="G28" s="13"/>
      <c r="H28" s="13">
        <f>ROUND(SUM(H24)+SUM(H25)+SUM(H26),1)</f>
        <v>17.2</v>
      </c>
      <c r="I28" s="13"/>
      <c r="J28" s="13">
        <f>ROUND(SUM(J24)+SUM(J25)+SUM(J26),1)</f>
        <v>0</v>
      </c>
      <c r="K28" s="13"/>
      <c r="L28" s="13">
        <f>ROUND(SUM(L24)+SUM(L25)+SUM(L26),1)</f>
        <v>0</v>
      </c>
      <c r="M28" s="13"/>
      <c r="N28" s="13">
        <f>ROUND(SUM(N24)+SUM(N25)+SUM(N26),1)</f>
        <v>0</v>
      </c>
      <c r="O28" s="13"/>
      <c r="P28" s="13">
        <f>ROUND(SUM(P24)+SUM(P25)+SUM(P26),1)</f>
        <v>0</v>
      </c>
      <c r="Q28" s="13"/>
      <c r="R28" s="13">
        <f>ROUND(SUM(R24)+SUM(R25)+SUM(R26),1)</f>
        <v>0</v>
      </c>
      <c r="S28" s="13"/>
      <c r="T28" s="13">
        <f>ROUND(SUM(T24)+SUM(T25)+SUM(T26),1)</f>
        <v>0</v>
      </c>
      <c r="U28" s="13"/>
      <c r="V28" s="13">
        <f>ROUND(SUM(V24)+SUM(V25)+SUM(V26),1)</f>
        <v>0</v>
      </c>
      <c r="W28" s="13"/>
      <c r="X28" s="13">
        <f>ROUND(SUM(X24)+SUM(X25)+SUM(X26),1)</f>
        <v>0</v>
      </c>
      <c r="Y28" s="13"/>
      <c r="Z28" s="14"/>
      <c r="AA28" s="13">
        <f>ROUND(SUM(AA24)+SUM(AA25)+SUM(AA26),1)</f>
        <v>66</v>
      </c>
      <c r="AB28" s="1229"/>
      <c r="AC28" s="13"/>
      <c r="AD28" s="13">
        <f>ROUND(SUM(AD24)+SUM(AD25)+SUM(AD26),1)</f>
        <v>63.3</v>
      </c>
      <c r="AE28" s="264"/>
      <c r="AF28" s="1731"/>
      <c r="AG28" s="357">
        <f>ROUND(SUM(AG24:AG26),1)</f>
        <v>2.7</v>
      </c>
      <c r="AH28" s="40"/>
      <c r="AI28" s="1559">
        <f>ROUND(IF(AG28=0,0,AG28/ABS(AD28)),3)</f>
        <v>4.2999999999999997E-2</v>
      </c>
      <c r="AJ28" s="1486"/>
      <c r="AK28" s="1480"/>
    </row>
    <row r="29" spans="1:37" s="10" customFormat="1">
      <c r="A29" s="291"/>
      <c r="B29" s="615"/>
      <c r="C29" s="264"/>
      <c r="D29" s="615"/>
      <c r="E29" s="264"/>
      <c r="F29" s="615"/>
      <c r="G29" s="264"/>
      <c r="H29" s="615"/>
      <c r="I29" s="264"/>
      <c r="J29" s="615"/>
      <c r="K29" s="264"/>
      <c r="L29" s="615"/>
      <c r="M29" s="264"/>
      <c r="N29" s="615"/>
      <c r="O29" s="264"/>
      <c r="P29" s="615"/>
      <c r="Q29" s="264"/>
      <c r="R29" s="615"/>
      <c r="S29" s="264"/>
      <c r="T29" s="615"/>
      <c r="U29" s="264"/>
      <c r="V29" s="615"/>
      <c r="W29" s="264"/>
      <c r="X29" s="615"/>
      <c r="Y29" s="264"/>
      <c r="Z29" s="523"/>
      <c r="AA29" s="615"/>
      <c r="AB29" s="1227"/>
      <c r="AC29" s="264"/>
      <c r="AD29" s="615"/>
      <c r="AE29" s="264"/>
      <c r="AF29" s="1731"/>
      <c r="AG29" s="264"/>
      <c r="AH29" s="291"/>
      <c r="AI29" s="291"/>
      <c r="AJ29" s="1486"/>
      <c r="AK29" s="1480"/>
    </row>
    <row r="30" spans="1:37">
      <c r="B30" s="264"/>
      <c r="C30" s="264"/>
      <c r="D30" s="264"/>
      <c r="E30" s="264"/>
      <c r="F30" s="264"/>
      <c r="G30" s="264"/>
      <c r="H30" s="411"/>
      <c r="I30" s="411"/>
      <c r="J30" s="411"/>
      <c r="K30" s="264"/>
      <c r="L30" s="411"/>
      <c r="M30" s="411"/>
      <c r="N30" s="411"/>
      <c r="O30" s="411"/>
      <c r="P30" s="411"/>
      <c r="Q30" s="411"/>
      <c r="R30" s="411"/>
      <c r="S30" s="411"/>
      <c r="T30" s="411"/>
      <c r="U30" s="411"/>
      <c r="V30" s="411"/>
      <c r="W30" s="411"/>
      <c r="X30" s="411"/>
      <c r="Y30" s="1720"/>
      <c r="Z30" s="1721"/>
      <c r="AA30" s="264"/>
      <c r="AB30" s="1720"/>
      <c r="AC30" s="411"/>
      <c r="AD30" s="264"/>
      <c r="AE30" s="264"/>
      <c r="AF30" s="1722"/>
      <c r="AG30" s="264"/>
      <c r="AJ30" s="1623"/>
      <c r="AK30" s="1623"/>
    </row>
    <row r="31" spans="1:37">
      <c r="A31" s="3" t="s">
        <v>458</v>
      </c>
      <c r="B31" s="264"/>
      <c r="C31" s="264"/>
      <c r="D31" s="264"/>
      <c r="E31" s="264"/>
      <c r="F31" s="264"/>
      <c r="G31" s="264"/>
      <c r="H31" s="411"/>
      <c r="I31" s="411"/>
      <c r="J31" s="411"/>
      <c r="K31" s="264"/>
      <c r="L31" s="411"/>
      <c r="M31" s="411"/>
      <c r="N31" s="411"/>
      <c r="O31" s="411"/>
      <c r="P31" s="411"/>
      <c r="Q31" s="411"/>
      <c r="R31" s="411"/>
      <c r="S31" s="411"/>
      <c r="T31" s="411"/>
      <c r="U31" s="411"/>
      <c r="V31" s="411"/>
      <c r="W31" s="411"/>
      <c r="X31" s="411"/>
      <c r="Y31" s="1720"/>
      <c r="Z31" s="1721"/>
      <c r="AA31" s="264"/>
      <c r="AB31" s="1720"/>
      <c r="AC31" s="411"/>
      <c r="AD31" s="264"/>
      <c r="AE31" s="264"/>
      <c r="AF31" s="1722"/>
      <c r="AG31" s="264"/>
      <c r="AJ31" s="1486"/>
      <c r="AK31" s="1486"/>
    </row>
    <row r="32" spans="1:37">
      <c r="A32" s="3" t="s">
        <v>144</v>
      </c>
      <c r="B32" s="1745">
        <f>ROUND(B19-B28,1)</f>
        <v>6.8</v>
      </c>
      <c r="C32" s="13"/>
      <c r="D32" s="1745">
        <f>ROUND(D19-D28,1)</f>
        <v>7</v>
      </c>
      <c r="E32" s="13"/>
      <c r="F32" s="1745">
        <f>ROUND(F19-F28,1)</f>
        <v>4.4000000000000004</v>
      </c>
      <c r="G32" s="13"/>
      <c r="H32" s="1745">
        <f>ROUND(H19-H28,1)</f>
        <v>9</v>
      </c>
      <c r="I32" s="13"/>
      <c r="J32" s="1745">
        <f>ROUND(J19-J28,1)</f>
        <v>0</v>
      </c>
      <c r="K32" s="13"/>
      <c r="L32" s="1745">
        <f>ROUND(L19-L28,1)</f>
        <v>0</v>
      </c>
      <c r="M32" s="1724"/>
      <c r="N32" s="1745">
        <f>ROUND(N19-N28,1)</f>
        <v>0</v>
      </c>
      <c r="O32" s="1724"/>
      <c r="P32" s="1745">
        <f>ROUND(P19-P28,1)</f>
        <v>0</v>
      </c>
      <c r="Q32" s="393"/>
      <c r="R32" s="1745">
        <f>ROUND(R19-R28,1)</f>
        <v>0</v>
      </c>
      <c r="S32" s="1724"/>
      <c r="T32" s="1745">
        <f>ROUND(T19-T28,1)</f>
        <v>0</v>
      </c>
      <c r="U32" s="1724"/>
      <c r="V32" s="1745">
        <f>ROUND(V19-V28,1)</f>
        <v>0</v>
      </c>
      <c r="W32" s="1724"/>
      <c r="X32" s="1745">
        <f>ROUND(X19-X28,1)</f>
        <v>0</v>
      </c>
      <c r="Y32" s="1725"/>
      <c r="Z32" s="1726"/>
      <c r="AA32" s="1732">
        <f>ROUND(AA19-AA28,1)</f>
        <v>27.2</v>
      </c>
      <c r="AB32" s="1725"/>
      <c r="AC32" s="1724"/>
      <c r="AD32" s="1732">
        <f>ROUND(AD19-AD28,1)</f>
        <v>24</v>
      </c>
      <c r="AE32" s="26"/>
      <c r="AF32" s="402"/>
      <c r="AG32" s="1734">
        <f>ROUND(SUM(AA32-AD32),1)</f>
        <v>3.2</v>
      </c>
      <c r="AI32" s="1740">
        <f>ROUND(IF(AD32=0,1,AG32/ABS(AD32)),3)</f>
        <v>0.13300000000000001</v>
      </c>
      <c r="AJ32" s="1486"/>
      <c r="AK32" s="1486"/>
    </row>
    <row r="33" spans="1:37">
      <c r="A33" s="3"/>
      <c r="B33" s="393"/>
      <c r="C33" s="13"/>
      <c r="D33" s="393"/>
      <c r="E33" s="13"/>
      <c r="F33" s="393"/>
      <c r="G33" s="13"/>
      <c r="H33" s="393"/>
      <c r="I33" s="13"/>
      <c r="J33" s="393"/>
      <c r="K33" s="13"/>
      <c r="L33" s="393"/>
      <c r="M33" s="1724"/>
      <c r="N33" s="393"/>
      <c r="O33" s="1724"/>
      <c r="P33" s="393"/>
      <c r="Q33" s="393"/>
      <c r="R33" s="393"/>
      <c r="S33" s="1724"/>
      <c r="T33" s="393"/>
      <c r="U33" s="1724"/>
      <c r="V33" s="393"/>
      <c r="W33" s="1724"/>
      <c r="X33" s="393"/>
      <c r="Y33" s="1725"/>
      <c r="Z33" s="1726"/>
      <c r="AA33" s="26"/>
      <c r="AB33" s="1725"/>
      <c r="AC33" s="1724"/>
      <c r="AD33" s="26"/>
      <c r="AE33" s="26"/>
      <c r="AF33" s="402"/>
      <c r="AG33" s="13"/>
      <c r="AI33" s="543"/>
      <c r="AJ33" s="1486"/>
      <c r="AK33" s="1486"/>
    </row>
    <row r="34" spans="1:37">
      <c r="B34" s="264"/>
      <c r="C34" s="264"/>
      <c r="D34" s="264"/>
      <c r="E34" s="264"/>
      <c r="F34" s="264"/>
      <c r="G34" s="264"/>
      <c r="H34" s="411"/>
      <c r="I34" s="411"/>
      <c r="J34" s="411"/>
      <c r="K34" s="264"/>
      <c r="L34" s="411"/>
      <c r="M34" s="411"/>
      <c r="N34" s="411"/>
      <c r="O34" s="411"/>
      <c r="P34" s="411"/>
      <c r="Q34" s="411"/>
      <c r="R34" s="411"/>
      <c r="S34" s="411"/>
      <c r="T34" s="411"/>
      <c r="U34" s="411"/>
      <c r="V34" s="411"/>
      <c r="W34" s="411"/>
      <c r="X34" s="411"/>
      <c r="Y34" s="1720"/>
      <c r="Z34" s="1721"/>
      <c r="AA34" s="264"/>
      <c r="AB34" s="1720"/>
      <c r="AC34" s="411"/>
      <c r="AD34" s="264"/>
      <c r="AE34" s="264"/>
      <c r="AF34" s="1731"/>
      <c r="AG34" s="264"/>
      <c r="AJ34" s="1486"/>
      <c r="AK34" s="1486"/>
    </row>
    <row r="35" spans="1:37">
      <c r="A35" s="3" t="s">
        <v>145</v>
      </c>
      <c r="B35" s="264"/>
      <c r="C35" s="264"/>
      <c r="D35" s="264"/>
      <c r="E35" s="264"/>
      <c r="F35" s="264"/>
      <c r="G35" s="264"/>
      <c r="H35" s="411"/>
      <c r="I35" s="411"/>
      <c r="J35" s="411"/>
      <c r="K35" s="264"/>
      <c r="L35" s="411"/>
      <c r="M35" s="411"/>
      <c r="N35" s="411"/>
      <c r="O35" s="411"/>
      <c r="P35" s="411"/>
      <c r="Q35" s="411"/>
      <c r="R35" s="411"/>
      <c r="S35" s="411"/>
      <c r="T35" s="411"/>
      <c r="U35" s="411"/>
      <c r="V35" s="411"/>
      <c r="W35" s="411"/>
      <c r="X35" s="411"/>
      <c r="Y35" s="1720"/>
      <c r="Z35" s="1721"/>
      <c r="AA35" s="264"/>
      <c r="AB35" s="1720"/>
      <c r="AC35" s="411"/>
      <c r="AD35" s="264"/>
      <c r="AE35" s="264"/>
      <c r="AF35" s="1731"/>
      <c r="AG35" s="264"/>
      <c r="AJ35" s="1486"/>
      <c r="AK35" s="1486"/>
    </row>
    <row r="36" spans="1:37">
      <c r="A36" s="291" t="s">
        <v>537</v>
      </c>
      <c r="B36" s="287">
        <v>0</v>
      </c>
      <c r="C36" s="264"/>
      <c r="D36" s="287">
        <v>0</v>
      </c>
      <c r="E36" s="264"/>
      <c r="F36" s="287">
        <v>0</v>
      </c>
      <c r="G36" s="264"/>
      <c r="H36" s="287">
        <f>$AA36-F36-D36-B36</f>
        <v>0</v>
      </c>
      <c r="I36" s="411"/>
      <c r="J36" s="264"/>
      <c r="K36" s="264"/>
      <c r="L36" s="264"/>
      <c r="M36" s="411"/>
      <c r="N36" s="264"/>
      <c r="O36" s="411"/>
      <c r="P36" s="288"/>
      <c r="Q36" s="411"/>
      <c r="R36" s="288"/>
      <c r="S36" s="411"/>
      <c r="T36" s="288"/>
      <c r="U36" s="411"/>
      <c r="V36" s="288"/>
      <c r="W36" s="411"/>
      <c r="X36" s="288"/>
      <c r="Y36" s="1720"/>
      <c r="Z36" s="1721"/>
      <c r="AA36" s="531">
        <v>0</v>
      </c>
      <c r="AB36" s="264"/>
      <c r="AC36" s="524" t="s">
        <v>103</v>
      </c>
      <c r="AD36" s="531">
        <v>0</v>
      </c>
      <c r="AE36" s="275"/>
      <c r="AF36" s="1736"/>
      <c r="AG36" s="264">
        <f>ROUND(SUM(AA36-AD36),1)</f>
        <v>0</v>
      </c>
      <c r="AH36" s="1553"/>
      <c r="AI36" s="1574">
        <f>ROUND(IF(AG36=0,0,AG36/ABS(AD36)),3)</f>
        <v>0</v>
      </c>
      <c r="AJ36" s="1486"/>
      <c r="AK36" s="1486"/>
    </row>
    <row r="37" spans="1:37" s="10" customFormat="1">
      <c r="A37" s="291" t="s">
        <v>538</v>
      </c>
      <c r="B37" s="287">
        <v>0</v>
      </c>
      <c r="C37" s="264"/>
      <c r="D37" s="287">
        <v>0</v>
      </c>
      <c r="E37" s="264"/>
      <c r="F37" s="287">
        <v>0</v>
      </c>
      <c r="G37" s="264"/>
      <c r="H37" s="287">
        <f>$AA37-F37-D37-B37</f>
        <v>0</v>
      </c>
      <c r="I37" s="264"/>
      <c r="J37" s="264"/>
      <c r="K37" s="264"/>
      <c r="L37" s="264"/>
      <c r="M37" s="264"/>
      <c r="N37" s="264"/>
      <c r="O37" s="264"/>
      <c r="P37" s="288"/>
      <c r="Q37" s="264"/>
      <c r="R37" s="288"/>
      <c r="S37" s="264"/>
      <c r="T37" s="288"/>
      <c r="U37" s="264"/>
      <c r="V37" s="288"/>
      <c r="W37" s="264"/>
      <c r="X37" s="288"/>
      <c r="Y37" s="264"/>
      <c r="Z37" s="523"/>
      <c r="AA37" s="531">
        <v>0</v>
      </c>
      <c r="AB37" s="264"/>
      <c r="AC37" s="524" t="s">
        <v>103</v>
      </c>
      <c r="AD37" s="531">
        <v>0</v>
      </c>
      <c r="AE37" s="268"/>
      <c r="AF37" s="406"/>
      <c r="AG37" s="1737">
        <f>ROUND(SUM(AA37-AD37),1)</f>
        <v>0</v>
      </c>
      <c r="AH37" s="1553"/>
      <c r="AI37" s="1020">
        <f>ROUND(IF(AG37=0,0,AG37/ABS(AD37)),3)</f>
        <v>0</v>
      </c>
      <c r="AJ37" s="1486"/>
      <c r="AK37" s="1480"/>
    </row>
    <row r="38" spans="1:37" s="10" customFormat="1">
      <c r="A38" s="291"/>
      <c r="B38" s="615"/>
      <c r="C38" s="264"/>
      <c r="D38" s="615"/>
      <c r="E38" s="264"/>
      <c r="F38" s="615"/>
      <c r="G38" s="264"/>
      <c r="H38" s="615"/>
      <c r="I38" s="264"/>
      <c r="J38" s="615"/>
      <c r="K38" s="264"/>
      <c r="L38" s="615"/>
      <c r="M38" s="264"/>
      <c r="N38" s="615"/>
      <c r="O38" s="264"/>
      <c r="P38" s="615"/>
      <c r="Q38" s="264"/>
      <c r="R38" s="615"/>
      <c r="S38" s="264"/>
      <c r="T38" s="615"/>
      <c r="U38" s="264"/>
      <c r="V38" s="615"/>
      <c r="W38" s="264"/>
      <c r="X38" s="615"/>
      <c r="Y38" s="264"/>
      <c r="Z38" s="523"/>
      <c r="AA38" s="1738"/>
      <c r="AB38" s="1227"/>
      <c r="AC38" s="264"/>
      <c r="AD38" s="1738"/>
      <c r="AE38" s="268"/>
      <c r="AF38" s="406"/>
      <c r="AG38" s="291"/>
      <c r="AH38" s="291"/>
      <c r="AI38" s="291"/>
      <c r="AJ38" s="1486"/>
      <c r="AK38" s="1480"/>
    </row>
    <row r="39" spans="1:37" s="10" customFormat="1">
      <c r="A39" s="3" t="s">
        <v>586</v>
      </c>
      <c r="B39" s="13">
        <f>ROUND(SUM(B36:B37),1)</f>
        <v>0</v>
      </c>
      <c r="C39" s="13"/>
      <c r="D39" s="13">
        <f>ROUND(SUM(D36:D37),1)</f>
        <v>0</v>
      </c>
      <c r="E39" s="13"/>
      <c r="F39" s="13">
        <f>ROUND(SUM(F36:F37),1)</f>
        <v>0</v>
      </c>
      <c r="G39" s="13"/>
      <c r="H39" s="13">
        <f>ROUND(SUM(H36:H37),1)</f>
        <v>0</v>
      </c>
      <c r="I39" s="13"/>
      <c r="J39" s="13">
        <f>ROUND(SUM(J36:J37),1)</f>
        <v>0</v>
      </c>
      <c r="K39" s="13"/>
      <c r="L39" s="13">
        <f>ROUND(SUM(L36:L37),1)</f>
        <v>0</v>
      </c>
      <c r="M39" s="13"/>
      <c r="N39" s="13">
        <f>ROUND(SUM(N36:N37),1)</f>
        <v>0</v>
      </c>
      <c r="O39" s="13"/>
      <c r="P39" s="13">
        <f>ROUND(SUM(P36:P37),1)</f>
        <v>0</v>
      </c>
      <c r="Q39" s="13"/>
      <c r="R39" s="13">
        <f>ROUND(SUM(R36:R37),1)</f>
        <v>0</v>
      </c>
      <c r="S39" s="13"/>
      <c r="T39" s="13">
        <f>ROUND(SUM(T36:T37),1)</f>
        <v>0</v>
      </c>
      <c r="U39" s="13"/>
      <c r="V39" s="13">
        <f>ROUND(SUM(V36:V37),1)</f>
        <v>0</v>
      </c>
      <c r="W39" s="13"/>
      <c r="X39" s="13">
        <f>ROUND(SUM(X36:X37),1)</f>
        <v>0</v>
      </c>
      <c r="Y39" s="13"/>
      <c r="Z39" s="14"/>
      <c r="AA39" s="13">
        <f>ROUND(SUM(AA36:AA37),1)</f>
        <v>0</v>
      </c>
      <c r="AB39" s="1229"/>
      <c r="AC39" s="13"/>
      <c r="AD39" s="13">
        <f>ROUND(SUM(AD36:AD37),1)</f>
        <v>0</v>
      </c>
      <c r="AE39" s="107"/>
      <c r="AF39" s="402"/>
      <c r="AG39" s="357">
        <f>ROUND(SUM(AG36-AG37),1)</f>
        <v>0</v>
      </c>
      <c r="AH39" s="52"/>
      <c r="AI39" s="1559">
        <f>ROUND(IF(AG39=0,0,AG39/ABS(AD39)),3)</f>
        <v>0</v>
      </c>
      <c r="AJ39" s="1486"/>
      <c r="AK39" s="1480"/>
    </row>
    <row r="40" spans="1:37" s="10" customFormat="1">
      <c r="A40" s="291"/>
      <c r="B40" s="615"/>
      <c r="C40" s="264"/>
      <c r="D40" s="615"/>
      <c r="E40" s="264"/>
      <c r="F40" s="615"/>
      <c r="G40" s="264"/>
      <c r="H40" s="615"/>
      <c r="I40" s="264"/>
      <c r="J40" s="615"/>
      <c r="K40" s="264"/>
      <c r="L40" s="615"/>
      <c r="M40" s="264"/>
      <c r="N40" s="615"/>
      <c r="O40" s="264"/>
      <c r="P40" s="615"/>
      <c r="Q40" s="264"/>
      <c r="R40" s="615"/>
      <c r="S40" s="264"/>
      <c r="T40" s="615"/>
      <c r="U40" s="264"/>
      <c r="V40" s="615"/>
      <c r="W40" s="264"/>
      <c r="X40" s="615"/>
      <c r="Y40" s="264"/>
      <c r="Z40" s="523"/>
      <c r="AA40" s="615"/>
      <c r="AB40" s="1227"/>
      <c r="AC40" s="264"/>
      <c r="AD40" s="615"/>
      <c r="AE40" s="268"/>
      <c r="AF40" s="406"/>
      <c r="AG40" s="291"/>
      <c r="AH40" s="291"/>
      <c r="AI40" s="291"/>
      <c r="AJ40" s="1486"/>
      <c r="AK40" s="1480"/>
    </row>
    <row r="41" spans="1:37" s="10" customFormat="1">
      <c r="A41" s="291"/>
      <c r="B41" s="264"/>
      <c r="C41" s="264"/>
      <c r="D41" s="264" t="s">
        <v>103</v>
      </c>
      <c r="E41" s="264"/>
      <c r="F41" s="264"/>
      <c r="G41" s="264"/>
      <c r="H41" s="264"/>
      <c r="I41" s="264"/>
      <c r="J41" s="264"/>
      <c r="K41" s="264"/>
      <c r="L41" s="264"/>
      <c r="M41" s="264"/>
      <c r="N41" s="264"/>
      <c r="O41" s="264"/>
      <c r="P41" s="264"/>
      <c r="Q41" s="264"/>
      <c r="R41" s="264"/>
      <c r="S41" s="264"/>
      <c r="T41" s="264"/>
      <c r="U41" s="264"/>
      <c r="V41" s="264"/>
      <c r="W41" s="264"/>
      <c r="X41" s="264"/>
      <c r="Y41" s="264"/>
      <c r="Z41" s="523"/>
      <c r="AA41" s="264"/>
      <c r="AB41" s="1227"/>
      <c r="AC41" s="264"/>
      <c r="AD41" s="264"/>
      <c r="AE41" s="268"/>
      <c r="AF41" s="406"/>
      <c r="AG41" s="291"/>
      <c r="AH41" s="291"/>
      <c r="AI41" s="291"/>
      <c r="AJ41" s="1486"/>
      <c r="AK41" s="1480"/>
    </row>
    <row r="42" spans="1:37">
      <c r="A42" s="3" t="s">
        <v>469</v>
      </c>
      <c r="B42" s="264"/>
      <c r="C42" s="264"/>
      <c r="D42" s="264" t="s">
        <v>103</v>
      </c>
      <c r="E42" s="264"/>
      <c r="F42" s="264"/>
      <c r="G42" s="264"/>
      <c r="H42" s="411"/>
      <c r="I42" s="411"/>
      <c r="J42" s="411"/>
      <c r="K42" s="264"/>
      <c r="L42" s="411"/>
      <c r="M42" s="411"/>
      <c r="N42" s="411"/>
      <c r="O42" s="411"/>
      <c r="P42" s="411"/>
      <c r="Q42" s="411"/>
      <c r="R42" s="411"/>
      <c r="S42" s="411"/>
      <c r="T42" s="411"/>
      <c r="U42" s="411"/>
      <c r="V42" s="411"/>
      <c r="W42" s="411"/>
      <c r="X42" s="411"/>
      <c r="Y42" s="1720"/>
      <c r="Z42" s="1721"/>
      <c r="AA42" s="264"/>
      <c r="AB42" s="1720"/>
      <c r="AC42" s="411"/>
      <c r="AD42" s="264"/>
      <c r="AE42" s="264"/>
      <c r="AF42" s="1722"/>
      <c r="AG42" s="264"/>
      <c r="AJ42" s="1486"/>
      <c r="AK42" s="1486"/>
    </row>
    <row r="43" spans="1:37">
      <c r="A43" s="3" t="s">
        <v>593</v>
      </c>
      <c r="B43" s="264"/>
      <c r="C43" s="264"/>
      <c r="D43" s="264"/>
      <c r="E43" s="264"/>
      <c r="F43" s="264"/>
      <c r="G43" s="264"/>
      <c r="H43" s="411"/>
      <c r="I43" s="411"/>
      <c r="J43" s="411"/>
      <c r="K43" s="264"/>
      <c r="L43" s="411"/>
      <c r="M43" s="411"/>
      <c r="N43" s="411"/>
      <c r="O43" s="411"/>
      <c r="P43" s="411"/>
      <c r="Q43" s="411"/>
      <c r="R43" s="411"/>
      <c r="S43" s="411"/>
      <c r="T43" s="18"/>
      <c r="U43" s="411"/>
      <c r="V43" s="18"/>
      <c r="W43" s="411"/>
      <c r="X43" s="411"/>
      <c r="Y43" s="1720"/>
      <c r="Z43" s="1721"/>
      <c r="AA43" s="264"/>
      <c r="AB43" s="1720"/>
      <c r="AC43" s="411"/>
      <c r="AD43" s="18"/>
      <c r="AE43" s="18"/>
      <c r="AF43" s="406"/>
      <c r="AG43" s="264"/>
      <c r="AJ43" s="1486"/>
      <c r="AK43" s="1486"/>
    </row>
    <row r="44" spans="1:37" s="3" customFormat="1">
      <c r="A44" s="3" t="s">
        <v>599</v>
      </c>
      <c r="B44" s="1732">
        <f>ROUND(+B32+B39,1)</f>
        <v>6.8</v>
      </c>
      <c r="C44" s="13"/>
      <c r="D44" s="1732">
        <f>ROUND(+D32+D39,1)</f>
        <v>7</v>
      </c>
      <c r="E44" s="18"/>
      <c r="F44" s="1732">
        <f>ROUND(+F32+F39,1)</f>
        <v>4.4000000000000004</v>
      </c>
      <c r="G44" s="18"/>
      <c r="H44" s="1732">
        <f>ROUND(+H32+H39,1)</f>
        <v>9</v>
      </c>
      <c r="I44" s="1739"/>
      <c r="J44" s="1732">
        <f>ROUND(+J32+J39,1)</f>
        <v>0</v>
      </c>
      <c r="K44" s="18"/>
      <c r="L44" s="1732">
        <f>ROUND(+L32+L39,1)</f>
        <v>0</v>
      </c>
      <c r="M44" s="26"/>
      <c r="N44" s="1732">
        <f>ROUND(+N32+N39,1)</f>
        <v>0</v>
      </c>
      <c r="O44" s="26"/>
      <c r="P44" s="1732">
        <f>ROUND(+P32+P39,1)</f>
        <v>0</v>
      </c>
      <c r="Q44" s="26"/>
      <c r="R44" s="1732">
        <f>ROUND(+R32+R39,1)</f>
        <v>0</v>
      </c>
      <c r="S44" s="1739"/>
      <c r="T44" s="1732">
        <f>ROUND(+T32+T39,1)</f>
        <v>0</v>
      </c>
      <c r="U44" s="1739"/>
      <c r="V44" s="1732">
        <f>ROUND(+V32+V39,1)</f>
        <v>0</v>
      </c>
      <c r="W44" s="1739"/>
      <c r="X44" s="1732">
        <f>ROUND(+X32+X39,1)</f>
        <v>0</v>
      </c>
      <c r="Y44" s="1725"/>
      <c r="Z44" s="1726"/>
      <c r="AA44" s="1732">
        <f>ROUND(AA32+AA39,1)</f>
        <v>27.2</v>
      </c>
      <c r="AB44" s="13"/>
      <c r="AC44" s="668"/>
      <c r="AD44" s="1732">
        <f>ROUND(AD32+AD39,1)</f>
        <v>24</v>
      </c>
      <c r="AE44" s="26"/>
      <c r="AF44" s="92"/>
      <c r="AG44" s="1734">
        <f>ROUND(SUM(AA44-AD44),1)</f>
        <v>3.2</v>
      </c>
      <c r="AH44" s="291"/>
      <c r="AI44" s="1740">
        <f>ROUND(IF(AD44=0,1,AG44/ABS(AD44)),3)</f>
        <v>0.13300000000000001</v>
      </c>
      <c r="AJ44" s="1486"/>
      <c r="AK44" s="1486"/>
    </row>
    <row r="45" spans="1:37" s="3" customFormat="1">
      <c r="B45" s="26"/>
      <c r="C45" s="13"/>
      <c r="D45" s="26"/>
      <c r="E45" s="18"/>
      <c r="F45" s="26"/>
      <c r="G45" s="18"/>
      <c r="H45" s="26"/>
      <c r="I45" s="1739"/>
      <c r="J45" s="26"/>
      <c r="K45" s="18"/>
      <c r="L45" s="26"/>
      <c r="M45" s="26"/>
      <c r="N45" s="26"/>
      <c r="O45" s="26"/>
      <c r="P45" s="26"/>
      <c r="Q45" s="26"/>
      <c r="R45" s="26"/>
      <c r="S45" s="1739"/>
      <c r="T45" s="26"/>
      <c r="U45" s="1739"/>
      <c r="V45" s="26"/>
      <c r="W45" s="1739"/>
      <c r="X45" s="26"/>
      <c r="Y45" s="1725"/>
      <c r="Z45" s="1726"/>
      <c r="AA45" s="26"/>
      <c r="AB45" s="13"/>
      <c r="AC45" s="668"/>
      <c r="AD45" s="26"/>
      <c r="AE45" s="26"/>
      <c r="AF45" s="92"/>
      <c r="AG45" s="13"/>
      <c r="AH45" s="291"/>
      <c r="AI45" s="543"/>
      <c r="AJ45" s="1486"/>
      <c r="AK45" s="1486"/>
    </row>
    <row r="46" spans="1:37">
      <c r="A46" s="3" t="s">
        <v>433</v>
      </c>
      <c r="B46" s="1741">
        <f>ROUND(B14+B44,1)</f>
        <v>2229.3000000000002</v>
      </c>
      <c r="C46" s="20"/>
      <c r="D46" s="1741">
        <f>ROUND(D14+D44,1)</f>
        <v>2236.3000000000002</v>
      </c>
      <c r="E46" s="20"/>
      <c r="F46" s="1741">
        <f>ROUND(F14+F44,1)</f>
        <v>2240.6999999999998</v>
      </c>
      <c r="G46" s="20"/>
      <c r="H46" s="20">
        <f>ROUND(H14+H44,1)</f>
        <v>2249.6999999999998</v>
      </c>
      <c r="I46" s="1711"/>
      <c r="J46" s="20">
        <f>ROUND(J14+J44,1)</f>
        <v>0</v>
      </c>
      <c r="K46" s="20"/>
      <c r="L46" s="20">
        <f>ROUND(L14+L44,1)</f>
        <v>0</v>
      </c>
      <c r="M46" s="20"/>
      <c r="N46" s="20">
        <f>ROUND(N14+N44,1)</f>
        <v>0</v>
      </c>
      <c r="O46" s="20"/>
      <c r="P46" s="20">
        <f>ROUND(P14+P44,1)</f>
        <v>0</v>
      </c>
      <c r="Q46" s="20"/>
      <c r="R46" s="20">
        <f>ROUND(R14+R44,1)</f>
        <v>0</v>
      </c>
      <c r="S46" s="1711"/>
      <c r="T46" s="20">
        <f>ROUND(T14+T44,1)</f>
        <v>0</v>
      </c>
      <c r="U46" s="1711"/>
      <c r="V46" s="20">
        <f>ROUND(V14+V44,1)</f>
        <v>0</v>
      </c>
      <c r="W46" s="1711"/>
      <c r="X46" s="20">
        <f>ROUND(X14+X44,1)</f>
        <v>0</v>
      </c>
      <c r="Y46" s="1712"/>
      <c r="Z46" s="1713"/>
      <c r="AA46" s="20">
        <f>ROUND(SUM(AA14,AA44),1)</f>
        <v>2249.6999999999998</v>
      </c>
      <c r="AB46" s="20"/>
      <c r="AC46" s="1104"/>
      <c r="AD46" s="1525">
        <f>ROUND(SUM(AD14,AD44),1)</f>
        <v>1916.3</v>
      </c>
      <c r="AE46" s="20"/>
      <c r="AF46" s="403"/>
      <c r="AG46" s="1525">
        <f>ROUND(SUM(AA46-AD46),1)</f>
        <v>333.4</v>
      </c>
      <c r="AH46" s="379"/>
      <c r="AI46" s="1742">
        <f>ROUND(IF(AD46=0,1,AG46/ABS(AD46)),3)</f>
        <v>0.17399999999999999</v>
      </c>
      <c r="AJ46" s="1486"/>
      <c r="AK46" s="1486"/>
    </row>
    <row r="47" spans="1:37">
      <c r="A47" s="291" t="s">
        <v>103</v>
      </c>
      <c r="B47" s="1743"/>
      <c r="C47" s="268"/>
      <c r="D47" s="1743"/>
      <c r="E47" s="268"/>
      <c r="F47" s="1743"/>
      <c r="G47" s="268"/>
      <c r="H47" s="1743"/>
      <c r="I47" s="268"/>
      <c r="J47" s="1743"/>
      <c r="K47" s="268"/>
      <c r="L47" s="1743"/>
      <c r="M47" s="268"/>
      <c r="N47" s="1743"/>
      <c r="O47" s="268"/>
      <c r="P47" s="1743"/>
      <c r="Q47" s="268"/>
      <c r="R47" s="1743"/>
      <c r="S47" s="268"/>
      <c r="T47" s="1743"/>
      <c r="U47" s="268"/>
      <c r="V47" s="1743"/>
      <c r="W47" s="268"/>
      <c r="X47" s="1743"/>
      <c r="Y47" s="268"/>
      <c r="Z47" s="268"/>
      <c r="AA47" s="1743"/>
      <c r="AB47" s="268"/>
      <c r="AC47" s="268"/>
      <c r="AD47" s="268"/>
      <c r="AE47" s="268"/>
      <c r="AF47" s="268"/>
    </row>
    <row r="48" spans="1:37">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row>
    <row r="49" spans="1:32">
      <c r="A49" s="350"/>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row>
    <row r="51" spans="1:32">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row>
    <row r="52" spans="1:32">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row>
    <row r="53" spans="1:32">
      <c r="B53" s="268"/>
      <c r="C53" s="268"/>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row>
    <row r="54" spans="1:32">
      <c r="B54" s="268"/>
      <c r="C54" s="268"/>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row>
  </sheetData>
  <mergeCells count="1">
    <mergeCell ref="Z10:AI10"/>
  </mergeCells>
  <printOptions horizontalCentered="1"/>
  <pageMargins left="0.25" right="0.25" top="0.5" bottom="0.25" header="0" footer="0.25"/>
  <pageSetup firstPageNumber="36" fitToHeight="0" orientation="landscape" useFirstPageNumber="1" r:id="rId1"/>
  <headerFooter scaleWithDoc="0" alignWithMargins="0">
    <oddFooter>&amp;C&amp;8&amp;P</oddFooter>
  </headerFooter>
  <customProperties>
    <customPr name="SheetOptions"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7">
    <pageSetUpPr autoPageBreaks="0" fitToPage="1"/>
  </sheetPr>
  <dimension ref="A1:AK54"/>
  <sheetViews>
    <sheetView showGridLines="0" zoomScale="92" zoomScaleNormal="92" workbookViewId="0"/>
  </sheetViews>
  <sheetFormatPr defaultColWidth="8.84375" defaultRowHeight="15.5"/>
  <cols>
    <col min="1" max="1" width="41.07421875" style="291" customWidth="1"/>
    <col min="2" max="2" width="11.84375" style="291" customWidth="1"/>
    <col min="3" max="3" width="1.07421875" style="291" customWidth="1"/>
    <col min="4" max="4" width="11.84375" style="291" customWidth="1"/>
    <col min="5" max="5" width="1.07421875" style="291" customWidth="1"/>
    <col min="6" max="6" width="11.84375" style="291" customWidth="1"/>
    <col min="7" max="7" width="1.07421875" style="291" customWidth="1"/>
    <col min="8" max="8" width="11.84375" style="291" customWidth="1"/>
    <col min="9" max="9" width="1.07421875" style="291" customWidth="1"/>
    <col min="10" max="10" width="11.84375" style="291" customWidth="1"/>
    <col min="11" max="11" width="1.07421875" style="291" customWidth="1"/>
    <col min="12" max="12" width="12.84375" style="291" customWidth="1"/>
    <col min="13" max="13" width="1.07421875" style="291" customWidth="1"/>
    <col min="14" max="14" width="11.84375" style="291" customWidth="1"/>
    <col min="15" max="15" width="1.07421875" style="291" customWidth="1"/>
    <col min="16" max="16" width="11.84375" style="291" customWidth="1"/>
    <col min="17" max="17" width="1.07421875" style="291" customWidth="1"/>
    <col min="18" max="18" width="11.84375" style="291" customWidth="1"/>
    <col min="19" max="19" width="1.07421875" style="291" customWidth="1"/>
    <col min="20" max="20" width="11.84375" style="291" customWidth="1"/>
    <col min="21" max="21" width="1.07421875" style="291" customWidth="1"/>
    <col min="22" max="22" width="11.84375" style="291" customWidth="1"/>
    <col min="23" max="23" width="1.07421875" style="291" customWidth="1"/>
    <col min="24" max="24" width="11.84375" style="291" customWidth="1"/>
    <col min="25" max="26" width="1.07421875" style="291" customWidth="1"/>
    <col min="27" max="27" width="10.84375" style="291" customWidth="1"/>
    <col min="28" max="29" width="1.07421875" style="291" customWidth="1"/>
    <col min="30" max="30" width="10.84375" style="291" customWidth="1"/>
    <col min="31" max="32" width="1.07421875" style="291" customWidth="1"/>
    <col min="33" max="33" width="10.84375" style="291" customWidth="1"/>
    <col min="34" max="34" width="1.84375" style="291" customWidth="1"/>
    <col min="35" max="35" width="10.84375" style="291" customWidth="1"/>
    <col min="36" max="37" width="8.84375" style="291"/>
    <col min="38" max="38" width="4.84375" style="291" customWidth="1"/>
    <col min="39" max="39" width="4.53515625" style="291" bestFit="1" customWidth="1"/>
    <col min="40" max="16384" width="8.84375" style="291"/>
  </cols>
  <sheetData>
    <row r="1" spans="1:37">
      <c r="A1" s="265" t="s">
        <v>97</v>
      </c>
    </row>
    <row r="2" spans="1:37">
      <c r="A2" s="354"/>
    </row>
    <row r="3" spans="1:37">
      <c r="A3" s="3" t="s">
        <v>98</v>
      </c>
      <c r="K3" s="3"/>
      <c r="L3" s="3"/>
      <c r="AI3" s="1210" t="s">
        <v>600</v>
      </c>
    </row>
    <row r="4" spans="1:37">
      <c r="A4" s="6" t="s">
        <v>601</v>
      </c>
      <c r="H4" s="3" t="s">
        <v>103</v>
      </c>
      <c r="K4" s="3"/>
      <c r="L4" s="3"/>
      <c r="X4" s="291" t="s">
        <v>103</v>
      </c>
    </row>
    <row r="5" spans="1:37">
      <c r="A5" s="6" t="s">
        <v>328</v>
      </c>
      <c r="K5" s="3"/>
      <c r="L5" s="3"/>
      <c r="AB5" s="1210"/>
      <c r="AC5" s="1210"/>
      <c r="AE5" s="1210"/>
    </row>
    <row r="6" spans="1:37">
      <c r="A6" s="6" t="str">
        <f>'Cashflow Governmental'!A6</f>
        <v>FISCAL YEAR 2026-2027</v>
      </c>
      <c r="K6" s="3"/>
      <c r="L6" s="3"/>
    </row>
    <row r="7" spans="1:37">
      <c r="A7" s="3" t="s">
        <v>102</v>
      </c>
      <c r="K7" s="3"/>
    </row>
    <row r="8" spans="1:37">
      <c r="A8" s="3"/>
      <c r="K8" s="3"/>
    </row>
    <row r="9" spans="1:37">
      <c r="A9" s="1211"/>
    </row>
    <row r="10" spans="1:37">
      <c r="B10" s="1486"/>
      <c r="H10" s="3"/>
      <c r="I10" s="3"/>
      <c r="J10" s="3"/>
      <c r="Z10" s="2063" t="str">
        <f>'Cashflow Governmental'!$AB$12</f>
        <v>4 Months Ended July 31</v>
      </c>
      <c r="AA10" s="2063"/>
      <c r="AB10" s="2063"/>
      <c r="AC10" s="2063"/>
      <c r="AD10" s="2063"/>
      <c r="AE10" s="2063"/>
      <c r="AF10" s="2063"/>
      <c r="AG10" s="2063"/>
      <c r="AH10" s="2063"/>
      <c r="AI10" s="2063"/>
    </row>
    <row r="11" spans="1:37">
      <c r="B11" s="314" t="str">
        <f>'Cashflow Governmental'!C13</f>
        <v>2026</v>
      </c>
      <c r="C11" s="3"/>
      <c r="D11" s="3"/>
      <c r="E11" s="3"/>
      <c r="F11" s="3"/>
      <c r="G11" s="3"/>
      <c r="H11" s="3"/>
      <c r="I11" s="3"/>
      <c r="J11" s="3"/>
      <c r="K11" s="3"/>
      <c r="L11" s="3"/>
      <c r="M11" s="3"/>
      <c r="N11" s="3"/>
      <c r="O11" s="3"/>
      <c r="P11" s="3"/>
      <c r="Q11" s="3"/>
      <c r="R11" s="3"/>
      <c r="S11" s="3"/>
      <c r="T11" s="314">
        <f>'Cashflow Governmental'!U13</f>
        <v>2027</v>
      </c>
      <c r="U11" s="3"/>
      <c r="V11" s="52"/>
      <c r="W11" s="3"/>
      <c r="X11" s="3"/>
      <c r="Y11" s="3"/>
      <c r="Z11" s="3"/>
      <c r="AA11" s="3"/>
      <c r="AB11" s="3"/>
      <c r="AC11" s="3"/>
      <c r="AD11" s="6"/>
      <c r="AE11" s="6"/>
      <c r="AF11" s="3"/>
      <c r="AG11" s="320" t="s">
        <v>110</v>
      </c>
      <c r="AH11" s="320"/>
      <c r="AI11" s="318" t="s">
        <v>111</v>
      </c>
    </row>
    <row r="12" spans="1:37">
      <c r="B12" s="1212" t="s">
        <v>329</v>
      </c>
      <c r="C12" s="3"/>
      <c r="D12" s="1575" t="s">
        <v>330</v>
      </c>
      <c r="E12" s="3"/>
      <c r="F12" s="1575" t="s">
        <v>331</v>
      </c>
      <c r="G12" s="3"/>
      <c r="H12" s="1575" t="s">
        <v>332</v>
      </c>
      <c r="I12" s="3"/>
      <c r="J12" s="1576" t="s">
        <v>598</v>
      </c>
      <c r="K12" s="3"/>
      <c r="L12" s="1576" t="s">
        <v>445</v>
      </c>
      <c r="M12" s="3"/>
      <c r="N12" s="1576" t="s">
        <v>446</v>
      </c>
      <c r="O12" s="3"/>
      <c r="P12" s="1575" t="s">
        <v>336</v>
      </c>
      <c r="Q12" s="3"/>
      <c r="R12" s="1575" t="s">
        <v>337</v>
      </c>
      <c r="S12" s="3"/>
      <c r="T12" s="1576" t="s">
        <v>338</v>
      </c>
      <c r="U12" s="3"/>
      <c r="V12" s="1575" t="s">
        <v>339</v>
      </c>
      <c r="W12" s="3"/>
      <c r="X12" s="1576" t="s">
        <v>447</v>
      </c>
      <c r="Y12" s="3"/>
      <c r="Z12" s="3"/>
      <c r="AA12" s="1212" t="str">
        <f>'Cashflow Governmental'!AB14</f>
        <v>2026</v>
      </c>
      <c r="AB12" s="52"/>
      <c r="AC12" s="52"/>
      <c r="AD12" s="1575" t="str">
        <f>'Cashflow Governmental'!AE14</f>
        <v>2025</v>
      </c>
      <c r="AE12" s="52"/>
      <c r="AF12" s="52"/>
      <c r="AG12" s="1577" t="s">
        <v>112</v>
      </c>
      <c r="AH12" s="320"/>
      <c r="AI12" s="1577" t="s">
        <v>113</v>
      </c>
    </row>
    <row r="13" spans="1:37" ht="6" customHeight="1">
      <c r="B13" s="52"/>
      <c r="C13" s="3"/>
      <c r="D13" s="52"/>
      <c r="E13" s="3"/>
      <c r="F13" s="52"/>
      <c r="G13" s="3"/>
      <c r="H13" s="52"/>
      <c r="I13" s="3"/>
      <c r="J13" s="314"/>
      <c r="K13" s="3"/>
      <c r="L13" s="314"/>
      <c r="M13" s="3"/>
      <c r="N13" s="314"/>
      <c r="O13" s="3"/>
      <c r="P13" s="52"/>
      <c r="Q13" s="3"/>
      <c r="R13" s="52"/>
      <c r="S13" s="3"/>
      <c r="T13" s="314"/>
      <c r="U13" s="3"/>
      <c r="V13" s="52"/>
      <c r="W13" s="3"/>
      <c r="X13" s="314"/>
      <c r="Y13" s="3"/>
      <c r="Z13" s="3"/>
      <c r="AA13" s="52"/>
      <c r="AB13" s="52"/>
      <c r="AC13" s="52"/>
      <c r="AD13" s="52"/>
      <c r="AE13" s="52"/>
      <c r="AF13" s="52"/>
      <c r="AG13" s="320"/>
      <c r="AH13" s="320"/>
      <c r="AI13" s="320"/>
    </row>
    <row r="14" spans="1:37">
      <c r="A14" s="3" t="s">
        <v>341</v>
      </c>
      <c r="B14" s="82">
        <v>46.6</v>
      </c>
      <c r="C14" s="20"/>
      <c r="D14" s="1546">
        <f>B46</f>
        <v>46.8</v>
      </c>
      <c r="E14" s="1546"/>
      <c r="F14" s="1546">
        <f>D46</f>
        <v>46.8</v>
      </c>
      <c r="G14" s="20"/>
      <c r="H14" s="1546">
        <f>F46</f>
        <v>46.9</v>
      </c>
      <c r="I14" s="1711"/>
      <c r="J14" s="1546"/>
      <c r="K14" s="20"/>
      <c r="L14" s="1546"/>
      <c r="M14" s="1711"/>
      <c r="N14" s="1546"/>
      <c r="O14" s="1711"/>
      <c r="P14" s="1546"/>
      <c r="Q14" s="1546"/>
      <c r="R14" s="1546"/>
      <c r="S14" s="1546"/>
      <c r="T14" s="1546"/>
      <c r="U14" s="1546"/>
      <c r="V14" s="1546"/>
      <c r="W14" s="1546"/>
      <c r="X14" s="1546"/>
      <c r="Y14" s="1712"/>
      <c r="Z14" s="1713"/>
      <c r="AA14" s="1546">
        <f>+B14</f>
        <v>46.6</v>
      </c>
      <c r="AB14" s="1712"/>
      <c r="AC14" s="1711"/>
      <c r="AD14" s="1936">
        <v>44.7</v>
      </c>
      <c r="AE14" s="1546"/>
      <c r="AF14" s="1714"/>
      <c r="AG14" s="20">
        <f>ROUND(SUM(AA14-AD14),1)</f>
        <v>1.9</v>
      </c>
      <c r="AI14" s="1578">
        <f>ROUND(IF(AG14=0,0,AG14/(AD14)),3)</f>
        <v>4.2999999999999997E-2</v>
      </c>
      <c r="AJ14" s="1621"/>
      <c r="AK14" s="1621"/>
    </row>
    <row r="15" spans="1:37">
      <c r="I15" s="1548"/>
      <c r="J15" s="1548"/>
      <c r="L15" s="1548"/>
      <c r="M15" s="1548"/>
      <c r="N15" s="1548"/>
      <c r="O15" s="1548"/>
      <c r="P15" s="1548"/>
      <c r="Q15" s="1548"/>
      <c r="R15" s="1548"/>
      <c r="S15" s="1548"/>
      <c r="T15" s="1548"/>
      <c r="U15" s="1548"/>
      <c r="V15" s="1548"/>
      <c r="W15" s="1548"/>
      <c r="X15" s="1548"/>
      <c r="Y15" s="1715"/>
      <c r="Z15" s="1716"/>
      <c r="AB15" s="1715"/>
      <c r="AC15" s="1548"/>
      <c r="AF15" s="1717"/>
      <c r="AJ15" s="1621"/>
      <c r="AK15" s="1621"/>
    </row>
    <row r="16" spans="1:37">
      <c r="A16" s="3" t="s">
        <v>114</v>
      </c>
      <c r="I16" s="1548"/>
      <c r="J16" s="1548"/>
      <c r="L16" s="1548"/>
      <c r="M16" s="1548"/>
      <c r="N16" s="1548"/>
      <c r="O16" s="1548"/>
      <c r="P16" s="1548"/>
      <c r="Q16" s="1548"/>
      <c r="R16" s="1548"/>
      <c r="S16" s="1548"/>
      <c r="T16" s="1548"/>
      <c r="U16" s="1548"/>
      <c r="V16" s="1548"/>
      <c r="W16" s="1548"/>
      <c r="X16" s="1548"/>
      <c r="Y16" s="1715"/>
      <c r="Z16" s="1716"/>
      <c r="AB16" s="1715"/>
      <c r="AC16" s="1548"/>
      <c r="AF16" s="1717"/>
      <c r="AJ16" s="1621"/>
      <c r="AK16" s="1621"/>
    </row>
    <row r="17" spans="1:37">
      <c r="A17" s="412" t="s">
        <v>589</v>
      </c>
      <c r="B17" s="1718">
        <v>0.3</v>
      </c>
      <c r="C17" s="264"/>
      <c r="D17" s="1718">
        <v>0</v>
      </c>
      <c r="E17" s="264"/>
      <c r="F17" s="1718">
        <v>0.3</v>
      </c>
      <c r="G17" s="288"/>
      <c r="H17" s="1718">
        <f>$AA17-F17-D17-B17</f>
        <v>0.2</v>
      </c>
      <c r="I17" s="411"/>
      <c r="J17" s="1718"/>
      <c r="K17" s="264"/>
      <c r="L17" s="1718"/>
      <c r="M17" s="411"/>
      <c r="N17" s="1718"/>
      <c r="O17" s="411"/>
      <c r="P17" s="1719"/>
      <c r="Q17" s="288"/>
      <c r="R17" s="1719"/>
      <c r="S17" s="288"/>
      <c r="T17" s="1719"/>
      <c r="U17" s="288"/>
      <c r="V17" s="1719"/>
      <c r="W17" s="288"/>
      <c r="X17" s="1719"/>
      <c r="Y17" s="1720"/>
      <c r="Z17" s="1721"/>
      <c r="AA17" s="981">
        <v>0.8</v>
      </c>
      <c r="AB17" s="264"/>
      <c r="AC17" s="524" t="s">
        <v>103</v>
      </c>
      <c r="AD17" s="981">
        <v>1</v>
      </c>
      <c r="AE17" s="288"/>
      <c r="AF17" s="1722"/>
      <c r="AG17" s="264">
        <f>ROUND(SUM(AA17-AD17),1)</f>
        <v>-0.2</v>
      </c>
      <c r="AI17" s="1579">
        <f>ROUND(IF(AD17=0,1,AG17/ABS(AD17)),3)</f>
        <v>-0.2</v>
      </c>
      <c r="AJ17" s="1621"/>
      <c r="AK17" s="1621"/>
    </row>
    <row r="18" spans="1:37">
      <c r="A18" s="412"/>
      <c r="B18" s="287"/>
      <c r="C18" s="264"/>
      <c r="D18" s="287"/>
      <c r="E18" s="264"/>
      <c r="F18" s="287"/>
      <c r="G18" s="288"/>
      <c r="H18" s="287"/>
      <c r="I18" s="411"/>
      <c r="J18" s="287"/>
      <c r="K18" s="264"/>
      <c r="L18" s="288"/>
      <c r="M18" s="411"/>
      <c r="N18" s="288"/>
      <c r="O18" s="411"/>
      <c r="P18" s="288"/>
      <c r="Q18" s="288"/>
      <c r="R18" s="288"/>
      <c r="S18" s="288"/>
      <c r="T18" s="288"/>
      <c r="U18" s="288"/>
      <c r="V18" s="288"/>
      <c r="W18" s="288"/>
      <c r="X18" s="288"/>
      <c r="Y18" s="1720"/>
      <c r="Z18" s="1721"/>
      <c r="AA18" s="287"/>
      <c r="AB18" s="1720"/>
      <c r="AC18" s="411"/>
      <c r="AD18" s="287"/>
      <c r="AE18" s="288"/>
      <c r="AF18" s="1722"/>
      <c r="AG18" s="1032"/>
      <c r="AI18" s="1620"/>
      <c r="AJ18" s="1621"/>
      <c r="AK18" s="1621"/>
    </row>
    <row r="19" spans="1:37">
      <c r="A19" s="3" t="s">
        <v>427</v>
      </c>
      <c r="B19" s="26">
        <f>ROUND(SUM(B17),1)</f>
        <v>0.3</v>
      </c>
      <c r="C19" s="13"/>
      <c r="D19" s="26">
        <f>ROUND(SUM(D17),1)</f>
        <v>0</v>
      </c>
      <c r="E19" s="13"/>
      <c r="F19" s="26">
        <f>ROUND(SUM(F17),1)</f>
        <v>0.3</v>
      </c>
      <c r="G19" s="13"/>
      <c r="H19" s="26">
        <f>ROUND(SUM(H17),1)</f>
        <v>0.2</v>
      </c>
      <c r="I19" s="18"/>
      <c r="J19" s="26">
        <f>ROUND(SUM(J17),1)</f>
        <v>0</v>
      </c>
      <c r="K19" s="13"/>
      <c r="L19" s="26">
        <f>ROUND(SUM(L17),1)</f>
        <v>0</v>
      </c>
      <c r="M19" s="1724"/>
      <c r="N19" s="26">
        <f>ROUND(SUM(N17),1)</f>
        <v>0</v>
      </c>
      <c r="O19" s="1724"/>
      <c r="P19" s="26">
        <f>ROUND(SUM(P17),1)</f>
        <v>0</v>
      </c>
      <c r="Q19" s="26">
        <f t="shared" ref="Q19" si="0">ROUND(SUM(Q17),1)</f>
        <v>0</v>
      </c>
      <c r="R19" s="26">
        <f>ROUND(SUM(R17),1)</f>
        <v>0</v>
      </c>
      <c r="S19" s="1724"/>
      <c r="T19" s="26">
        <f>ROUND(SUM(T17),1)</f>
        <v>0</v>
      </c>
      <c r="U19" s="1724"/>
      <c r="V19" s="1723">
        <f>ROUND(SUM(V17),1)</f>
        <v>0</v>
      </c>
      <c r="W19" s="1724"/>
      <c r="X19" s="1723">
        <f>ROUND(SUM(X17),1)</f>
        <v>0</v>
      </c>
      <c r="Y19" s="1725"/>
      <c r="Z19" s="1726"/>
      <c r="AA19" s="26">
        <f>ROUND(SUM(AA17),1)</f>
        <v>0.8</v>
      </c>
      <c r="AB19" s="1725"/>
      <c r="AC19" s="1726"/>
      <c r="AD19" s="26">
        <f>ROUND(SUM(AD17),1)</f>
        <v>1</v>
      </c>
      <c r="AE19" s="26"/>
      <c r="AF19" s="1722"/>
      <c r="AG19" s="357">
        <f>ROUND(SUM(AG17),1)</f>
        <v>-0.2</v>
      </c>
      <c r="AH19" s="76"/>
      <c r="AI19" s="1727">
        <f>ROUND(IF(AD19=0,1,AG19/ABS(AD19)),3)</f>
        <v>-0.2</v>
      </c>
      <c r="AJ19" s="1621"/>
      <c r="AK19" s="1621"/>
    </row>
    <row r="20" spans="1:37">
      <c r="B20" s="615"/>
      <c r="C20" s="264"/>
      <c r="D20" s="615"/>
      <c r="E20" s="264"/>
      <c r="F20" s="615"/>
      <c r="G20" s="264"/>
      <c r="H20" s="1728"/>
      <c r="I20" s="411"/>
      <c r="J20" s="1728"/>
      <c r="K20" s="264"/>
      <c r="L20" s="1728"/>
      <c r="M20" s="411"/>
      <c r="N20" s="1728"/>
      <c r="O20" s="411"/>
      <c r="P20" s="1728"/>
      <c r="Q20" s="411"/>
      <c r="R20" s="1728"/>
      <c r="S20" s="411"/>
      <c r="T20" s="1728"/>
      <c r="U20" s="411"/>
      <c r="V20" s="1728"/>
      <c r="W20" s="411"/>
      <c r="X20" s="1728"/>
      <c r="Y20" s="1720"/>
      <c r="Z20" s="1721"/>
      <c r="AA20" s="615"/>
      <c r="AB20" s="1720"/>
      <c r="AC20" s="411"/>
      <c r="AD20" s="1728"/>
      <c r="AE20" s="264"/>
      <c r="AF20" s="1722"/>
      <c r="AG20" s="264"/>
      <c r="AJ20" s="1621"/>
      <c r="AK20" s="1621"/>
    </row>
    <row r="21" spans="1:37">
      <c r="B21" s="264"/>
      <c r="C21" s="264"/>
      <c r="D21" s="264"/>
      <c r="E21" s="264"/>
      <c r="F21" s="264"/>
      <c r="G21" s="264"/>
      <c r="H21" s="411"/>
      <c r="I21" s="411"/>
      <c r="J21" s="411"/>
      <c r="K21" s="264"/>
      <c r="L21" s="411"/>
      <c r="M21" s="411"/>
      <c r="N21" s="411"/>
      <c r="O21" s="411"/>
      <c r="P21" s="411"/>
      <c r="Q21" s="411"/>
      <c r="R21" s="411"/>
      <c r="S21" s="411"/>
      <c r="T21" s="411"/>
      <c r="U21" s="411"/>
      <c r="V21" s="411"/>
      <c r="W21" s="411"/>
      <c r="X21" s="411"/>
      <c r="Y21" s="1720"/>
      <c r="Z21" s="1721"/>
      <c r="AA21" s="264"/>
      <c r="AB21" s="1720"/>
      <c r="AC21" s="411"/>
      <c r="AD21" s="411"/>
      <c r="AE21" s="264"/>
      <c r="AF21" s="1722"/>
      <c r="AG21" s="264"/>
      <c r="AJ21" s="1621"/>
      <c r="AK21" s="1621"/>
    </row>
    <row r="22" spans="1:37">
      <c r="A22" s="3" t="s">
        <v>122</v>
      </c>
      <c r="B22" s="264"/>
      <c r="C22" s="264"/>
      <c r="D22" s="264"/>
      <c r="E22" s="264"/>
      <c r="F22" s="264"/>
      <c r="G22" s="264"/>
      <c r="H22" s="411"/>
      <c r="I22" s="411"/>
      <c r="J22" s="411"/>
      <c r="K22" s="264"/>
      <c r="L22" s="411"/>
      <c r="M22" s="411"/>
      <c r="N22" s="411"/>
      <c r="O22" s="411"/>
      <c r="P22" s="411"/>
      <c r="Q22" s="411"/>
      <c r="R22" s="411"/>
      <c r="S22" s="411"/>
      <c r="T22" s="411"/>
      <c r="U22" s="411"/>
      <c r="V22" s="411"/>
      <c r="W22" s="411"/>
      <c r="X22" s="411"/>
      <c r="Y22" s="1720"/>
      <c r="Z22" s="1721"/>
      <c r="AA22" s="264"/>
      <c r="AB22" s="1720"/>
      <c r="AC22" s="411"/>
      <c r="AD22" s="411"/>
      <c r="AE22" s="264"/>
      <c r="AF22" s="1722"/>
      <c r="AG22" s="264"/>
      <c r="AJ22" s="1621"/>
      <c r="AK22" s="1621"/>
    </row>
    <row r="23" spans="1:37">
      <c r="A23" s="291" t="s">
        <v>453</v>
      </c>
      <c r="B23" s="275"/>
      <c r="C23" s="264"/>
      <c r="D23" s="264"/>
      <c r="E23" s="264"/>
      <c r="F23" s="264"/>
      <c r="G23" s="264"/>
      <c r="H23" s="411"/>
      <c r="I23" s="411"/>
      <c r="J23" s="411"/>
      <c r="K23" s="264"/>
      <c r="L23" s="411"/>
      <c r="M23" s="411"/>
      <c r="N23" s="411"/>
      <c r="O23" s="411"/>
      <c r="P23" s="411"/>
      <c r="Q23" s="411"/>
      <c r="R23" s="411"/>
      <c r="S23" s="411"/>
      <c r="T23" s="411"/>
      <c r="U23" s="411"/>
      <c r="V23" s="411"/>
      <c r="W23" s="411"/>
      <c r="X23" s="411"/>
      <c r="Y23" s="1720"/>
      <c r="Z23" s="1721"/>
      <c r="AA23" s="275"/>
      <c r="AB23" s="1729"/>
      <c r="AC23" s="1730"/>
      <c r="AD23" s="411"/>
      <c r="AE23" s="275"/>
      <c r="AF23" s="402"/>
      <c r="AG23" s="264"/>
      <c r="AJ23" s="1621"/>
      <c r="AK23" s="1621"/>
    </row>
    <row r="24" spans="1:37">
      <c r="A24" s="291" t="s">
        <v>591</v>
      </c>
      <c r="B24" s="287">
        <v>0.1</v>
      </c>
      <c r="C24" s="264"/>
      <c r="D24" s="287">
        <v>0</v>
      </c>
      <c r="E24" s="264"/>
      <c r="F24" s="287">
        <v>0.1</v>
      </c>
      <c r="G24" s="264"/>
      <c r="H24" s="287">
        <f>$AA24-F24-D24-B24</f>
        <v>0</v>
      </c>
      <c r="I24" s="411"/>
      <c r="J24" s="287"/>
      <c r="K24" s="264"/>
      <c r="L24" s="287"/>
      <c r="M24" s="411"/>
      <c r="N24" s="287"/>
      <c r="O24" s="411"/>
      <c r="P24" s="288"/>
      <c r="Q24" s="288"/>
      <c r="R24" s="288"/>
      <c r="S24" s="288"/>
      <c r="T24" s="288"/>
      <c r="U24" s="288"/>
      <c r="V24" s="288"/>
      <c r="W24" s="288"/>
      <c r="X24" s="288"/>
      <c r="Y24" s="1720"/>
      <c r="Z24" s="1721"/>
      <c r="AA24" s="531">
        <v>0.2</v>
      </c>
      <c r="AB24" s="264"/>
      <c r="AC24" s="524" t="s">
        <v>103</v>
      </c>
      <c r="AD24" s="531">
        <v>0.1</v>
      </c>
      <c r="AE24" s="289"/>
      <c r="AF24" s="402"/>
      <c r="AG24" s="264">
        <f>ROUND(SUM(AA24-AD24),1)</f>
        <v>0.1</v>
      </c>
      <c r="AI24" s="1574">
        <f>ROUND(IF(AD24=0,1,AG24/ABS(AD24)),3)</f>
        <v>1</v>
      </c>
      <c r="AJ24" s="1621"/>
      <c r="AK24" s="1621"/>
    </row>
    <row r="25" spans="1:37">
      <c r="A25" s="412" t="s">
        <v>510</v>
      </c>
      <c r="B25" s="287">
        <v>0</v>
      </c>
      <c r="C25" s="264"/>
      <c r="D25" s="287">
        <v>0</v>
      </c>
      <c r="E25" s="264"/>
      <c r="F25" s="287">
        <v>0</v>
      </c>
      <c r="G25" s="264"/>
      <c r="H25" s="287">
        <f t="shared" ref="H25:H26" si="1">$AA25-F25-D25-B25</f>
        <v>0.1</v>
      </c>
      <c r="I25" s="411"/>
      <c r="J25" s="287"/>
      <c r="K25" s="264"/>
      <c r="L25" s="287"/>
      <c r="M25" s="411"/>
      <c r="N25" s="287"/>
      <c r="O25" s="411"/>
      <c r="P25" s="288"/>
      <c r="Q25" s="411"/>
      <c r="R25" s="288"/>
      <c r="S25" s="411"/>
      <c r="T25" s="288"/>
      <c r="U25" s="411"/>
      <c r="V25" s="288"/>
      <c r="W25" s="411"/>
      <c r="X25" s="288"/>
      <c r="Y25" s="1720"/>
      <c r="Z25" s="1721"/>
      <c r="AA25" s="531">
        <v>0.1</v>
      </c>
      <c r="AB25" s="264"/>
      <c r="AC25" s="524" t="s">
        <v>103</v>
      </c>
      <c r="AD25" s="531">
        <v>0</v>
      </c>
      <c r="AE25" s="275"/>
      <c r="AF25" s="402"/>
      <c r="AG25" s="264">
        <f>ROUND(SUM(AA25-AD25),1)</f>
        <v>0.1</v>
      </c>
      <c r="AH25" s="1553"/>
      <c r="AI25" s="1574">
        <f>ROUND(IF(AD25=0,1,AG25/ABS(AD25)),3)</f>
        <v>1</v>
      </c>
      <c r="AJ25" s="1621"/>
      <c r="AK25" s="1621"/>
    </row>
    <row r="26" spans="1:37" s="10" customFormat="1">
      <c r="A26" s="291" t="s">
        <v>456</v>
      </c>
      <c r="B26" s="287">
        <v>0</v>
      </c>
      <c r="C26" s="264"/>
      <c r="D26" s="287">
        <v>0</v>
      </c>
      <c r="E26" s="264"/>
      <c r="F26" s="287">
        <v>0.1</v>
      </c>
      <c r="G26" s="264"/>
      <c r="H26" s="287">
        <f t="shared" si="1"/>
        <v>0</v>
      </c>
      <c r="I26" s="264"/>
      <c r="J26" s="287"/>
      <c r="K26" s="264"/>
      <c r="L26" s="287"/>
      <c r="M26" s="264"/>
      <c r="N26" s="287"/>
      <c r="O26" s="264"/>
      <c r="P26" s="288"/>
      <c r="Q26" s="264"/>
      <c r="R26" s="288"/>
      <c r="S26" s="264"/>
      <c r="T26" s="288"/>
      <c r="U26" s="264"/>
      <c r="V26" s="288"/>
      <c r="W26" s="264"/>
      <c r="X26" s="288"/>
      <c r="Y26" s="264"/>
      <c r="Z26" s="523"/>
      <c r="AA26" s="531">
        <v>0.1</v>
      </c>
      <c r="AB26" s="264"/>
      <c r="AC26" s="524" t="s">
        <v>103</v>
      </c>
      <c r="AD26" s="531">
        <v>0.1</v>
      </c>
      <c r="AE26" s="264"/>
      <c r="AF26" s="1722"/>
      <c r="AG26" s="382">
        <f>ROUND(SUM(AA26-AD26),1)</f>
        <v>0</v>
      </c>
      <c r="AH26" s="291"/>
      <c r="AI26" s="1572">
        <f>ROUND(IF(AD26=0,0,AG26/ABS(AD26)),3)</f>
        <v>0</v>
      </c>
      <c r="AJ26" s="1621"/>
      <c r="AK26" s="1622"/>
    </row>
    <row r="27" spans="1:37" s="10" customFormat="1">
      <c r="A27" s="291"/>
      <c r="B27" s="615"/>
      <c r="C27" s="264"/>
      <c r="D27" s="615"/>
      <c r="E27" s="264"/>
      <c r="F27" s="615"/>
      <c r="G27" s="264"/>
      <c r="H27" s="615"/>
      <c r="I27" s="264"/>
      <c r="J27" s="615"/>
      <c r="K27" s="264"/>
      <c r="L27" s="615"/>
      <c r="M27" s="264"/>
      <c r="N27" s="615"/>
      <c r="O27" s="264"/>
      <c r="P27" s="615"/>
      <c r="Q27" s="264"/>
      <c r="R27" s="615"/>
      <c r="S27" s="264"/>
      <c r="T27" s="615"/>
      <c r="U27" s="264"/>
      <c r="V27" s="615"/>
      <c r="W27" s="264"/>
      <c r="X27" s="615"/>
      <c r="Y27" s="264"/>
      <c r="Z27" s="523"/>
      <c r="AA27" s="615"/>
      <c r="AB27" s="1227"/>
      <c r="AC27" s="264"/>
      <c r="AD27" s="615"/>
      <c r="AE27" s="26"/>
      <c r="AF27" s="402"/>
      <c r="AG27" s="264"/>
      <c r="AH27" s="268"/>
      <c r="AI27" s="1556"/>
      <c r="AJ27" s="1621"/>
      <c r="AK27" s="1622"/>
    </row>
    <row r="28" spans="1:37" s="10" customFormat="1">
      <c r="A28" s="3" t="s">
        <v>457</v>
      </c>
      <c r="B28" s="13">
        <f>ROUND(SUM(B24:B26),1)</f>
        <v>0.1</v>
      </c>
      <c r="C28" s="13"/>
      <c r="D28" s="13">
        <f>ROUND(SUM(D24:D26),1)</f>
        <v>0</v>
      </c>
      <c r="E28" s="13"/>
      <c r="F28" s="13">
        <f>ROUND(SUM(F24:F26),1)</f>
        <v>0.2</v>
      </c>
      <c r="G28" s="13"/>
      <c r="H28" s="13">
        <f>ROUND(SUM(H24:H26),1)</f>
        <v>0.1</v>
      </c>
      <c r="I28" s="13"/>
      <c r="J28" s="13">
        <f>ROUND(SUM(J24:J26),1)</f>
        <v>0</v>
      </c>
      <c r="K28" s="13"/>
      <c r="L28" s="13">
        <f>ROUND(SUM(L24:L26),1)</f>
        <v>0</v>
      </c>
      <c r="M28" s="13"/>
      <c r="N28" s="13">
        <f>ROUND(SUM(N24:N26),1)</f>
        <v>0</v>
      </c>
      <c r="O28" s="13"/>
      <c r="P28" s="13">
        <f>ROUND(SUM(P24:P26),1)</f>
        <v>0</v>
      </c>
      <c r="Q28" s="13"/>
      <c r="R28" s="13">
        <f>ROUND(SUM(R24:R26),1)</f>
        <v>0</v>
      </c>
      <c r="S28" s="13"/>
      <c r="T28" s="13">
        <f>ROUND(SUM(T24:T26),1)</f>
        <v>0</v>
      </c>
      <c r="U28" s="13"/>
      <c r="V28" s="13">
        <f>ROUND(SUM(V24:V26),1)</f>
        <v>0</v>
      </c>
      <c r="W28" s="13"/>
      <c r="X28" s="13">
        <f>ROUND(SUM(X24:X26),1)</f>
        <v>0</v>
      </c>
      <c r="Y28" s="13"/>
      <c r="Z28" s="14"/>
      <c r="AA28" s="13">
        <f>ROUND(SUM(AA24:AA26),1)</f>
        <v>0.4</v>
      </c>
      <c r="AB28" s="1229"/>
      <c r="AC28" s="13"/>
      <c r="AD28" s="13">
        <f>ROUND(SUM(AD24:AD26),1)</f>
        <v>0.2</v>
      </c>
      <c r="AE28" s="264"/>
      <c r="AF28" s="1731"/>
      <c r="AG28" s="357">
        <f>ROUND(SUM(AG24:AG26),1)</f>
        <v>0.2</v>
      </c>
      <c r="AH28" s="40"/>
      <c r="AI28" s="1559">
        <f>ROUND(IF(AD28=0,1,AG28/ABS(AD28)),3)</f>
        <v>1</v>
      </c>
      <c r="AJ28" s="1621"/>
      <c r="AK28" s="1622"/>
    </row>
    <row r="29" spans="1:37" s="10" customFormat="1">
      <c r="A29" s="291"/>
      <c r="B29" s="615"/>
      <c r="C29" s="264"/>
      <c r="D29" s="615"/>
      <c r="E29" s="264"/>
      <c r="F29" s="615"/>
      <c r="G29" s="264"/>
      <c r="H29" s="615"/>
      <c r="I29" s="264"/>
      <c r="J29" s="615"/>
      <c r="K29" s="264"/>
      <c r="L29" s="615"/>
      <c r="M29" s="264"/>
      <c r="N29" s="615"/>
      <c r="O29" s="264"/>
      <c r="P29" s="615"/>
      <c r="Q29" s="264"/>
      <c r="R29" s="615"/>
      <c r="S29" s="264"/>
      <c r="T29" s="615"/>
      <c r="U29" s="264"/>
      <c r="V29" s="615"/>
      <c r="W29" s="264"/>
      <c r="X29" s="615"/>
      <c r="Y29" s="264"/>
      <c r="Z29" s="523"/>
      <c r="AA29" s="615"/>
      <c r="AB29" s="1227"/>
      <c r="AC29" s="264"/>
      <c r="AD29" s="615"/>
      <c r="AE29" s="264"/>
      <c r="AF29" s="1731"/>
      <c r="AG29" s="264"/>
      <c r="AH29" s="291"/>
      <c r="AI29" s="291"/>
      <c r="AJ29" s="1621"/>
      <c r="AK29" s="1622"/>
    </row>
    <row r="30" spans="1:37">
      <c r="B30" s="264"/>
      <c r="C30" s="264"/>
      <c r="D30" s="264"/>
      <c r="E30" s="264"/>
      <c r="F30" s="264"/>
      <c r="G30" s="264"/>
      <c r="H30" s="411"/>
      <c r="I30" s="411"/>
      <c r="J30" s="411"/>
      <c r="K30" s="264"/>
      <c r="L30" s="411"/>
      <c r="M30" s="411"/>
      <c r="N30" s="411"/>
      <c r="O30" s="411"/>
      <c r="P30" s="411"/>
      <c r="Q30" s="411"/>
      <c r="R30" s="411"/>
      <c r="S30" s="411"/>
      <c r="T30" s="411"/>
      <c r="U30" s="411"/>
      <c r="V30" s="411"/>
      <c r="W30" s="411"/>
      <c r="X30" s="411"/>
      <c r="Y30" s="1720"/>
      <c r="Z30" s="1721"/>
      <c r="AA30" s="264"/>
      <c r="AB30" s="1720"/>
      <c r="AC30" s="411"/>
      <c r="AD30" s="264"/>
      <c r="AE30" s="264"/>
      <c r="AF30" s="1722"/>
      <c r="AG30" s="264"/>
      <c r="AJ30" s="1709"/>
      <c r="AK30" s="1709"/>
    </row>
    <row r="31" spans="1:37">
      <c r="A31" s="3" t="s">
        <v>458</v>
      </c>
      <c r="B31" s="264"/>
      <c r="C31" s="264"/>
      <c r="D31" s="264"/>
      <c r="E31" s="264"/>
      <c r="F31" s="264"/>
      <c r="G31" s="264"/>
      <c r="H31" s="411"/>
      <c r="I31" s="411"/>
      <c r="J31" s="411"/>
      <c r="K31" s="264"/>
      <c r="L31" s="411"/>
      <c r="M31" s="411"/>
      <c r="N31" s="411"/>
      <c r="O31" s="411"/>
      <c r="P31" s="411"/>
      <c r="Q31" s="411"/>
      <c r="R31" s="411"/>
      <c r="S31" s="411"/>
      <c r="T31" s="411"/>
      <c r="U31" s="411"/>
      <c r="V31" s="411"/>
      <c r="W31" s="411"/>
      <c r="X31" s="411"/>
      <c r="Y31" s="1720"/>
      <c r="Z31" s="1721"/>
      <c r="AA31" s="264"/>
      <c r="AB31" s="1720"/>
      <c r="AC31" s="411"/>
      <c r="AD31" s="411"/>
      <c r="AE31" s="264"/>
      <c r="AF31" s="1722"/>
      <c r="AG31" s="264"/>
      <c r="AJ31" s="1621"/>
      <c r="AK31" s="1621"/>
    </row>
    <row r="32" spans="1:37">
      <c r="A32" s="3" t="s">
        <v>144</v>
      </c>
      <c r="B32" s="1732">
        <f>ROUND(B19-B28,1)</f>
        <v>0.2</v>
      </c>
      <c r="C32" s="13"/>
      <c r="D32" s="1732">
        <f>ROUND(D19-D28,1)</f>
        <v>0</v>
      </c>
      <c r="E32" s="17"/>
      <c r="F32" s="1732">
        <f>ROUND(F19-F28,1)</f>
        <v>0.1</v>
      </c>
      <c r="G32" s="17"/>
      <c r="H32" s="1732">
        <f>ROUND(H19-H28,1)</f>
        <v>0.1</v>
      </c>
      <c r="I32" s="17"/>
      <c r="J32" s="1732">
        <f>ROUND(J19-J28,1)</f>
        <v>0</v>
      </c>
      <c r="K32" s="17"/>
      <c r="L32" s="1732">
        <f>ROUND(L19-L28,1)</f>
        <v>0</v>
      </c>
      <c r="M32" s="1733"/>
      <c r="N32" s="1732">
        <f>ROUND(N19-N28,1)</f>
        <v>0</v>
      </c>
      <c r="O32" s="1733"/>
      <c r="P32" s="1732">
        <f>ROUND(P19-P28,1)</f>
        <v>0</v>
      </c>
      <c r="Q32" s="26"/>
      <c r="R32" s="1732">
        <f>ROUND(R19-R28,1)</f>
        <v>0</v>
      </c>
      <c r="S32" s="1733"/>
      <c r="T32" s="1732">
        <f>ROUND(T19-T28,1)</f>
        <v>0</v>
      </c>
      <c r="U32" s="1733"/>
      <c r="V32" s="1732">
        <f>ROUND(V19-V28,1)</f>
        <v>0</v>
      </c>
      <c r="W32" s="1733"/>
      <c r="X32" s="1732">
        <f>ROUND(X19-X28,1)</f>
        <v>0</v>
      </c>
      <c r="Y32" s="1725"/>
      <c r="Z32" s="1726"/>
      <c r="AA32" s="1732">
        <f>ROUND(AA19-AA28,1)</f>
        <v>0.4</v>
      </c>
      <c r="AB32" s="1725"/>
      <c r="AC32" s="1724"/>
      <c r="AD32" s="1732">
        <f>ROUND(AD19-AD28,1)</f>
        <v>0.8</v>
      </c>
      <c r="AE32" s="26"/>
      <c r="AF32" s="402"/>
      <c r="AG32" s="1734">
        <f>ROUND(SUM(AG19-AG28),1)</f>
        <v>-0.4</v>
      </c>
      <c r="AH32" s="40"/>
      <c r="AI32" s="1735">
        <f>ROUND(IF(AD32=0,1,AG32/ABS(AD32)),3)</f>
        <v>-0.5</v>
      </c>
      <c r="AJ32" s="1621"/>
      <c r="AK32" s="1621"/>
    </row>
    <row r="33" spans="1:37">
      <c r="B33" s="264"/>
      <c r="C33" s="264"/>
      <c r="D33" s="264"/>
      <c r="E33" s="264"/>
      <c r="F33" s="264"/>
      <c r="G33" s="264"/>
      <c r="H33" s="411"/>
      <c r="I33" s="411"/>
      <c r="J33" s="411"/>
      <c r="K33" s="264"/>
      <c r="L33" s="411"/>
      <c r="M33" s="411"/>
      <c r="N33" s="411"/>
      <c r="O33" s="411"/>
      <c r="P33" s="411"/>
      <c r="Q33" s="411"/>
      <c r="R33" s="411"/>
      <c r="S33" s="411"/>
      <c r="T33" s="411"/>
      <c r="U33" s="411"/>
      <c r="V33" s="411"/>
      <c r="W33" s="411"/>
      <c r="X33" s="1728"/>
      <c r="Y33" s="1720"/>
      <c r="Z33" s="1721"/>
      <c r="AA33" s="264"/>
      <c r="AB33" s="1720"/>
      <c r="AC33" s="411"/>
      <c r="AD33" s="411"/>
      <c r="AE33" s="264"/>
      <c r="AF33" s="1731"/>
      <c r="AG33" s="264"/>
      <c r="AJ33" s="1621"/>
      <c r="AK33" s="1621"/>
    </row>
    <row r="34" spans="1:37">
      <c r="B34" s="264"/>
      <c r="C34" s="264"/>
      <c r="D34" s="264"/>
      <c r="E34" s="264"/>
      <c r="F34" s="264"/>
      <c r="G34" s="264"/>
      <c r="H34" s="411"/>
      <c r="I34" s="411"/>
      <c r="J34" s="411"/>
      <c r="K34" s="264"/>
      <c r="L34" s="411"/>
      <c r="M34" s="411"/>
      <c r="N34" s="411"/>
      <c r="O34" s="411"/>
      <c r="P34" s="411"/>
      <c r="Q34" s="411"/>
      <c r="R34" s="411"/>
      <c r="S34" s="411"/>
      <c r="T34" s="411"/>
      <c r="U34" s="411"/>
      <c r="V34" s="411"/>
      <c r="W34" s="411"/>
      <c r="X34" s="411"/>
      <c r="Y34" s="1720"/>
      <c r="Z34" s="1721"/>
      <c r="AA34" s="264"/>
      <c r="AB34" s="1720"/>
      <c r="AC34" s="411"/>
      <c r="AD34" s="411"/>
      <c r="AE34" s="264"/>
      <c r="AF34" s="1731"/>
      <c r="AG34" s="264"/>
      <c r="AJ34" s="1621"/>
      <c r="AK34" s="1621"/>
    </row>
    <row r="35" spans="1:37">
      <c r="A35" s="3" t="s">
        <v>145</v>
      </c>
      <c r="B35" s="264"/>
      <c r="C35" s="264"/>
      <c r="D35" s="264"/>
      <c r="E35" s="264"/>
      <c r="F35" s="264"/>
      <c r="G35" s="264"/>
      <c r="H35" s="411"/>
      <c r="I35" s="411"/>
      <c r="J35" s="411"/>
      <c r="K35" s="264"/>
      <c r="L35" s="411"/>
      <c r="M35" s="411"/>
      <c r="N35" s="411"/>
      <c r="O35" s="411"/>
      <c r="P35" s="411"/>
      <c r="Q35" s="411"/>
      <c r="R35" s="411"/>
      <c r="S35" s="411"/>
      <c r="T35" s="411"/>
      <c r="U35" s="411"/>
      <c r="V35" s="411"/>
      <c r="W35" s="411"/>
      <c r="X35" s="411"/>
      <c r="Y35" s="1720"/>
      <c r="Z35" s="1721"/>
      <c r="AA35" s="264"/>
      <c r="AB35" s="1720"/>
      <c r="AC35" s="411"/>
      <c r="AD35" s="411"/>
      <c r="AE35" s="264"/>
      <c r="AF35" s="1731"/>
      <c r="AG35" s="264"/>
      <c r="AJ35" s="1621"/>
      <c r="AK35" s="1621"/>
    </row>
    <row r="36" spans="1:37">
      <c r="A36" s="291" t="s">
        <v>537</v>
      </c>
      <c r="B36" s="287">
        <v>0</v>
      </c>
      <c r="C36" s="264"/>
      <c r="D36" s="287">
        <v>0</v>
      </c>
      <c r="E36" s="264"/>
      <c r="F36" s="287">
        <v>0</v>
      </c>
      <c r="G36" s="264"/>
      <c r="H36" s="287">
        <f>$AA36-F36-D36-B36</f>
        <v>0</v>
      </c>
      <c r="I36" s="411"/>
      <c r="J36" s="287"/>
      <c r="K36" s="264"/>
      <c r="L36" s="287"/>
      <c r="M36" s="411"/>
      <c r="N36" s="287"/>
      <c r="O36" s="411"/>
      <c r="P36" s="288"/>
      <c r="Q36" s="411"/>
      <c r="R36" s="288"/>
      <c r="S36" s="411"/>
      <c r="T36" s="288"/>
      <c r="U36" s="411"/>
      <c r="V36" s="288"/>
      <c r="W36" s="411"/>
      <c r="X36" s="288"/>
      <c r="Y36" s="1720"/>
      <c r="Z36" s="1721"/>
      <c r="AA36" s="531">
        <v>0</v>
      </c>
      <c r="AB36" s="264"/>
      <c r="AC36" s="524" t="s">
        <v>103</v>
      </c>
      <c r="AD36" s="531">
        <v>0</v>
      </c>
      <c r="AE36" s="275"/>
      <c r="AF36" s="1736"/>
      <c r="AG36" s="264">
        <f>ROUND(SUM(AA36-AD36),1)</f>
        <v>0</v>
      </c>
      <c r="AH36" s="1553"/>
      <c r="AI36" s="1574">
        <f>ROUND(IF(AG36=0,0,AG36/ABS(AD36)),3)</f>
        <v>0</v>
      </c>
      <c r="AJ36" s="1621"/>
      <c r="AK36" s="1621"/>
    </row>
    <row r="37" spans="1:37" s="10" customFormat="1">
      <c r="A37" s="291" t="s">
        <v>538</v>
      </c>
      <c r="B37" s="287">
        <v>0</v>
      </c>
      <c r="C37" s="264"/>
      <c r="D37" s="287">
        <v>0</v>
      </c>
      <c r="E37" s="264"/>
      <c r="F37" s="287">
        <v>0</v>
      </c>
      <c r="G37" s="264"/>
      <c r="H37" s="287">
        <f>$AA37-F37-D37-B37</f>
        <v>0</v>
      </c>
      <c r="I37" s="264"/>
      <c r="J37" s="287"/>
      <c r="K37" s="264"/>
      <c r="L37" s="287"/>
      <c r="M37" s="264"/>
      <c r="N37" s="287"/>
      <c r="O37" s="264"/>
      <c r="P37" s="288"/>
      <c r="Q37" s="264"/>
      <c r="R37" s="288"/>
      <c r="S37" s="264"/>
      <c r="T37" s="288"/>
      <c r="U37" s="264"/>
      <c r="V37" s="288"/>
      <c r="W37" s="264"/>
      <c r="X37" s="288"/>
      <c r="Y37" s="264"/>
      <c r="Z37" s="523"/>
      <c r="AA37" s="531">
        <v>0</v>
      </c>
      <c r="AB37" s="264"/>
      <c r="AC37" s="524" t="s">
        <v>103</v>
      </c>
      <c r="AD37" s="531">
        <v>0</v>
      </c>
      <c r="AE37" s="268"/>
      <c r="AF37" s="406"/>
      <c r="AG37" s="1737">
        <f>ROUND(SUM(AA37-AD37),1)</f>
        <v>0</v>
      </c>
      <c r="AH37" s="1553"/>
      <c r="AI37" s="1020">
        <f>ROUND(IF(AG37=0,0,AG37/ABS(AD37)),3)</f>
        <v>0</v>
      </c>
      <c r="AJ37" s="1621"/>
      <c r="AK37" s="1622"/>
    </row>
    <row r="38" spans="1:37" s="10" customFormat="1">
      <c r="A38" s="291"/>
      <c r="B38" s="615"/>
      <c r="C38" s="264"/>
      <c r="D38" s="615"/>
      <c r="E38" s="264"/>
      <c r="F38" s="615"/>
      <c r="G38" s="264"/>
      <c r="H38" s="615"/>
      <c r="I38" s="264"/>
      <c r="J38" s="615"/>
      <c r="K38" s="264"/>
      <c r="L38" s="615"/>
      <c r="M38" s="264"/>
      <c r="N38" s="615"/>
      <c r="O38" s="264"/>
      <c r="P38" s="615"/>
      <c r="Q38" s="264"/>
      <c r="R38" s="615"/>
      <c r="S38" s="264"/>
      <c r="T38" s="615"/>
      <c r="U38" s="264"/>
      <c r="V38" s="615"/>
      <c r="W38" s="264"/>
      <c r="X38" s="615"/>
      <c r="Y38" s="264"/>
      <c r="Z38" s="523"/>
      <c r="AA38" s="1738"/>
      <c r="AB38" s="1227"/>
      <c r="AC38" s="264"/>
      <c r="AD38" s="1738"/>
      <c r="AE38" s="268"/>
      <c r="AF38" s="406"/>
      <c r="AG38" s="291"/>
      <c r="AH38" s="291"/>
      <c r="AI38" s="291"/>
      <c r="AJ38" s="1621"/>
      <c r="AK38" s="1622"/>
    </row>
    <row r="39" spans="1:37" s="10" customFormat="1">
      <c r="A39" s="3" t="s">
        <v>586</v>
      </c>
      <c r="B39" s="13">
        <f>ROUND(SUM(B36:B37),1)</f>
        <v>0</v>
      </c>
      <c r="C39" s="13"/>
      <c r="D39" s="13">
        <f>ROUND(SUM(D36:D37),1)</f>
        <v>0</v>
      </c>
      <c r="E39" s="13"/>
      <c r="F39" s="13">
        <f>ROUND(SUM(F36:F37),1)</f>
        <v>0</v>
      </c>
      <c r="G39" s="13"/>
      <c r="H39" s="13">
        <f>ROUND(SUM(H36:H37),1)</f>
        <v>0</v>
      </c>
      <c r="I39" s="13"/>
      <c r="J39" s="13">
        <f>ROUND(SUM(J36:J37),1)</f>
        <v>0</v>
      </c>
      <c r="K39" s="13"/>
      <c r="L39" s="13">
        <f>ROUND(SUM(L36:L37),1)</f>
        <v>0</v>
      </c>
      <c r="M39" s="13"/>
      <c r="N39" s="13">
        <f>ROUND(SUM(N36:N37),1)</f>
        <v>0</v>
      </c>
      <c r="O39" s="13"/>
      <c r="P39" s="13">
        <f>ROUND(SUM(P36:P37),1)</f>
        <v>0</v>
      </c>
      <c r="Q39" s="13"/>
      <c r="R39" s="13">
        <f>ROUND(SUM(R36:R37),1)</f>
        <v>0</v>
      </c>
      <c r="S39" s="13"/>
      <c r="T39" s="13">
        <f>ROUND(SUM(T36:T37),1)</f>
        <v>0</v>
      </c>
      <c r="U39" s="13"/>
      <c r="V39" s="13">
        <f>ROUND(SUM(V36:V37),1)</f>
        <v>0</v>
      </c>
      <c r="W39" s="13"/>
      <c r="X39" s="13">
        <f>ROUND(SUM(X36:X37),1)</f>
        <v>0</v>
      </c>
      <c r="Y39" s="13"/>
      <c r="Z39" s="14"/>
      <c r="AA39" s="13">
        <f>ROUND(SUM(AA36:AA37),1)</f>
        <v>0</v>
      </c>
      <c r="AB39" s="1229"/>
      <c r="AC39" s="13"/>
      <c r="AD39" s="13">
        <f>ROUND(SUM(AD36:AD37),1)</f>
        <v>0</v>
      </c>
      <c r="AE39" s="107"/>
      <c r="AF39" s="402"/>
      <c r="AG39" s="357">
        <f>ROUND(SUM(AG36-AG37),1)</f>
        <v>0</v>
      </c>
      <c r="AH39" s="52"/>
      <c r="AI39" s="1559">
        <f>ROUND(IF(AG39=0,0,AG39/ABS(AD39)),3)</f>
        <v>0</v>
      </c>
      <c r="AJ39" s="1621"/>
      <c r="AK39" s="1622"/>
    </row>
    <row r="40" spans="1:37" s="10" customFormat="1">
      <c r="A40" s="291"/>
      <c r="B40" s="615"/>
      <c r="C40" s="264"/>
      <c r="D40" s="615" t="s">
        <v>103</v>
      </c>
      <c r="E40" s="264"/>
      <c r="F40" s="615"/>
      <c r="G40" s="264"/>
      <c r="H40" s="615"/>
      <c r="I40" s="264"/>
      <c r="J40" s="615"/>
      <c r="K40" s="264"/>
      <c r="L40" s="615"/>
      <c r="M40" s="264"/>
      <c r="N40" s="615"/>
      <c r="O40" s="264"/>
      <c r="P40" s="615"/>
      <c r="Q40" s="264"/>
      <c r="R40" s="615"/>
      <c r="S40" s="264"/>
      <c r="T40" s="615"/>
      <c r="U40" s="264"/>
      <c r="V40" s="615"/>
      <c r="W40" s="264"/>
      <c r="X40" s="615"/>
      <c r="Y40" s="264"/>
      <c r="Z40" s="523"/>
      <c r="AA40" s="615"/>
      <c r="AB40" s="1227"/>
      <c r="AC40" s="264"/>
      <c r="AD40" s="615"/>
      <c r="AE40" s="268"/>
      <c r="AF40" s="406"/>
      <c r="AG40" s="291"/>
      <c r="AH40" s="291"/>
      <c r="AI40" s="291"/>
      <c r="AJ40" s="1621"/>
      <c r="AK40" s="1622"/>
    </row>
    <row r="41" spans="1:37" s="10" customFormat="1">
      <c r="A41" s="291"/>
      <c r="B41" s="264"/>
      <c r="C41" s="264"/>
      <c r="D41" s="264"/>
      <c r="E41" s="264"/>
      <c r="F41" s="264"/>
      <c r="G41" s="264"/>
      <c r="H41" s="264"/>
      <c r="I41" s="264"/>
      <c r="J41" s="264"/>
      <c r="K41" s="264"/>
      <c r="L41" s="264"/>
      <c r="M41" s="264"/>
      <c r="N41" s="264"/>
      <c r="O41" s="264"/>
      <c r="P41" s="264"/>
      <c r="Q41" s="264"/>
      <c r="R41" s="264"/>
      <c r="S41" s="264"/>
      <c r="T41" s="264"/>
      <c r="U41" s="264"/>
      <c r="V41" s="264"/>
      <c r="W41" s="264"/>
      <c r="X41" s="264"/>
      <c r="Y41" s="264"/>
      <c r="Z41" s="523"/>
      <c r="AA41" s="264"/>
      <c r="AB41" s="1227"/>
      <c r="AC41" s="264"/>
      <c r="AD41" s="264"/>
      <c r="AE41" s="268"/>
      <c r="AF41" s="406"/>
      <c r="AG41" s="291"/>
      <c r="AH41" s="291"/>
      <c r="AI41" s="291"/>
      <c r="AJ41" s="1621"/>
      <c r="AK41" s="1622"/>
    </row>
    <row r="42" spans="1:37">
      <c r="A42" s="3" t="s">
        <v>469</v>
      </c>
      <c r="B42" s="264"/>
      <c r="C42" s="264"/>
      <c r="D42" s="264" t="s">
        <v>103</v>
      </c>
      <c r="E42" s="264"/>
      <c r="F42" s="264"/>
      <c r="G42" s="264"/>
      <c r="H42" s="411"/>
      <c r="I42" s="411"/>
      <c r="J42" s="411"/>
      <c r="K42" s="264"/>
      <c r="L42" s="411"/>
      <c r="M42" s="411"/>
      <c r="N42" s="411"/>
      <c r="O42" s="411"/>
      <c r="P42" s="411"/>
      <c r="Q42" s="411"/>
      <c r="R42" s="411"/>
      <c r="S42" s="411"/>
      <c r="T42" s="411"/>
      <c r="U42" s="411"/>
      <c r="V42" s="411"/>
      <c r="W42" s="411"/>
      <c r="X42" s="411"/>
      <c r="Y42" s="1720"/>
      <c r="Z42" s="1721"/>
      <c r="AA42" s="264"/>
      <c r="AB42" s="1720"/>
      <c r="AC42" s="411"/>
      <c r="AD42" s="264"/>
      <c r="AE42" s="264"/>
      <c r="AF42" s="1722"/>
      <c r="AG42" s="264"/>
      <c r="AJ42" s="1621"/>
      <c r="AK42" s="1621"/>
    </row>
    <row r="43" spans="1:37">
      <c r="A43" s="3" t="s">
        <v>593</v>
      </c>
      <c r="B43" s="264"/>
      <c r="C43" s="264"/>
      <c r="D43" s="264"/>
      <c r="E43" s="264"/>
      <c r="F43" s="264"/>
      <c r="G43" s="264"/>
      <c r="H43" s="411"/>
      <c r="I43" s="411"/>
      <c r="J43" s="411"/>
      <c r="K43" s="264"/>
      <c r="L43" s="411"/>
      <c r="M43" s="411"/>
      <c r="N43" s="411"/>
      <c r="O43" s="411"/>
      <c r="P43" s="411"/>
      <c r="Q43" s="411"/>
      <c r="R43" s="411"/>
      <c r="S43" s="411"/>
      <c r="T43" s="18"/>
      <c r="U43" s="411"/>
      <c r="V43" s="18"/>
      <c r="W43" s="411"/>
      <c r="X43" s="411"/>
      <c r="Y43" s="1720"/>
      <c r="Z43" s="1721"/>
      <c r="AA43" s="264"/>
      <c r="AB43" s="1720"/>
      <c r="AC43" s="411"/>
      <c r="AD43" s="18"/>
      <c r="AE43" s="18"/>
      <c r="AF43" s="406"/>
      <c r="AG43" s="264"/>
      <c r="AJ43" s="1621"/>
      <c r="AK43" s="1621"/>
    </row>
    <row r="44" spans="1:37" s="3" customFormat="1">
      <c r="A44" s="3" t="s">
        <v>471</v>
      </c>
      <c r="B44" s="1732">
        <f>ROUND(B32+B39,1)</f>
        <v>0.2</v>
      </c>
      <c r="C44" s="13"/>
      <c r="D44" s="1732">
        <f>ROUND(D32+D39,1)</f>
        <v>0</v>
      </c>
      <c r="E44" s="18"/>
      <c r="F44" s="1732">
        <f>ROUND(F32+F39,1)</f>
        <v>0.1</v>
      </c>
      <c r="G44" s="18"/>
      <c r="H44" s="1732">
        <f>ROUND(H32+H39,1)</f>
        <v>0.1</v>
      </c>
      <c r="I44" s="1739"/>
      <c r="J44" s="1732">
        <f>ROUND(J32+J39,1)</f>
        <v>0</v>
      </c>
      <c r="K44" s="18"/>
      <c r="L44" s="1732">
        <f>ROUND(L32+L39,1)</f>
        <v>0</v>
      </c>
      <c r="M44" s="26"/>
      <c r="N44" s="1732">
        <f>ROUND(N32+N39,1)</f>
        <v>0</v>
      </c>
      <c r="O44" s="26"/>
      <c r="P44" s="1732">
        <f>ROUND(P32+P39,1)</f>
        <v>0</v>
      </c>
      <c r="Q44" s="26"/>
      <c r="R44" s="1732">
        <f>ROUND(R32+R39,1)</f>
        <v>0</v>
      </c>
      <c r="S44" s="1739"/>
      <c r="T44" s="1732">
        <f>ROUND(T32+T39,1)</f>
        <v>0</v>
      </c>
      <c r="U44" s="1739"/>
      <c r="V44" s="1732">
        <f>ROUND(V32+V39,1)</f>
        <v>0</v>
      </c>
      <c r="W44" s="1739"/>
      <c r="X44" s="1732">
        <f>ROUND(X32+X39,1)</f>
        <v>0</v>
      </c>
      <c r="Y44" s="1725"/>
      <c r="Z44" s="1726"/>
      <c r="AA44" s="1732">
        <f>ROUND(AA32+AA39,1)</f>
        <v>0.4</v>
      </c>
      <c r="AB44" s="13"/>
      <c r="AC44" s="668"/>
      <c r="AD44" s="1732">
        <f>ROUND(AD32+AD39,1)</f>
        <v>0.8</v>
      </c>
      <c r="AE44" s="26"/>
      <c r="AF44" s="92"/>
      <c r="AG44" s="1734">
        <f>ROUND(SUM(AG32+AG39),1)</f>
        <v>-0.4</v>
      </c>
      <c r="AH44" s="291"/>
      <c r="AI44" s="1740">
        <f>ROUND(IF(AD44=0,1,AG44/ABS(AD44)),3)</f>
        <v>-0.5</v>
      </c>
      <c r="AJ44" s="1710"/>
      <c r="AK44" s="1710"/>
    </row>
    <row r="45" spans="1:37" s="3" customFormat="1">
      <c r="B45" s="26"/>
      <c r="C45" s="13"/>
      <c r="D45" s="26"/>
      <c r="E45" s="18"/>
      <c r="F45" s="26"/>
      <c r="G45" s="18"/>
      <c r="H45" s="26"/>
      <c r="I45" s="1739"/>
      <c r="J45" s="26"/>
      <c r="K45" s="18"/>
      <c r="L45" s="26"/>
      <c r="M45" s="26"/>
      <c r="N45" s="26"/>
      <c r="O45" s="26"/>
      <c r="P45" s="26"/>
      <c r="Q45" s="26"/>
      <c r="R45" s="26"/>
      <c r="S45" s="1739"/>
      <c r="T45" s="26"/>
      <c r="U45" s="1739"/>
      <c r="V45" s="26"/>
      <c r="W45" s="1739"/>
      <c r="X45" s="26"/>
      <c r="Y45" s="1725"/>
      <c r="Z45" s="1726"/>
      <c r="AA45" s="26"/>
      <c r="AB45" s="13"/>
      <c r="AC45" s="668"/>
      <c r="AD45" s="26"/>
      <c r="AE45" s="26"/>
      <c r="AF45" s="92"/>
      <c r="AG45" s="13"/>
      <c r="AH45" s="291"/>
      <c r="AI45" s="543"/>
      <c r="AJ45" s="1710"/>
      <c r="AK45" s="1710"/>
    </row>
    <row r="46" spans="1:37" ht="16" thickBot="1">
      <c r="A46" s="3" t="s">
        <v>433</v>
      </c>
      <c r="B46" s="1741">
        <f>ROUND(SUM(B14,B44),1)</f>
        <v>46.8</v>
      </c>
      <c r="C46" s="20"/>
      <c r="D46" s="1741">
        <f>ROUND(SUM(D14,D44),1)</f>
        <v>46.8</v>
      </c>
      <c r="E46" s="20"/>
      <c r="F46" s="1741">
        <f>ROUND(SUM(F14,F44),1)</f>
        <v>46.9</v>
      </c>
      <c r="G46" s="20"/>
      <c r="H46" s="20">
        <f>ROUND(SUM(H14,H44),1)</f>
        <v>47</v>
      </c>
      <c r="I46" s="1711"/>
      <c r="J46" s="20">
        <f>ROUND(SUM(J14,J44),1)</f>
        <v>0</v>
      </c>
      <c r="K46" s="20"/>
      <c r="L46" s="20">
        <f>ROUND(SUM(L14,L44),1)</f>
        <v>0</v>
      </c>
      <c r="M46" s="20"/>
      <c r="N46" s="20">
        <f>ROUND(SUM(N14,N44),1)</f>
        <v>0</v>
      </c>
      <c r="O46" s="20"/>
      <c r="P46" s="20">
        <f>ROUND(SUM(P14,P44),1)</f>
        <v>0</v>
      </c>
      <c r="Q46" s="20"/>
      <c r="R46" s="20">
        <f>ROUND(SUM(R14,R44),1)</f>
        <v>0</v>
      </c>
      <c r="S46" s="1711"/>
      <c r="T46" s="20">
        <f>ROUND(SUM(T14,T44),1)</f>
        <v>0</v>
      </c>
      <c r="U46" s="1711"/>
      <c r="V46" s="20">
        <f>ROUND(SUM(V14,V44),1)</f>
        <v>0</v>
      </c>
      <c r="W46" s="1711"/>
      <c r="X46" s="20">
        <f>ROUND(SUM(X14,X44),1)</f>
        <v>0</v>
      </c>
      <c r="Y46" s="1712"/>
      <c r="Z46" s="1713"/>
      <c r="AA46" s="20">
        <f>ROUND(SUM(AA14,AA44),1)</f>
        <v>47</v>
      </c>
      <c r="AB46" s="20"/>
      <c r="AC46" s="1104"/>
      <c r="AD46" s="1525">
        <f>ROUND(SUM(AD14,AD44),1)</f>
        <v>45.5</v>
      </c>
      <c r="AE46" s="20"/>
      <c r="AF46" s="403"/>
      <c r="AG46" s="1525">
        <f>ROUND(SUM(AA46-AD46),1)</f>
        <v>1.5</v>
      </c>
      <c r="AH46" s="379"/>
      <c r="AI46" s="1742">
        <f>ROUND(IF(AG46=0,0,AG46/ABS(AD46)),3)</f>
        <v>3.3000000000000002E-2</v>
      </c>
      <c r="AJ46" s="1621"/>
      <c r="AK46" s="1621"/>
    </row>
    <row r="47" spans="1:37" ht="16" thickTop="1">
      <c r="A47" s="291" t="s">
        <v>103</v>
      </c>
      <c r="B47" s="1743"/>
      <c r="C47" s="268"/>
      <c r="D47" s="1743"/>
      <c r="E47" s="268"/>
      <c r="F47" s="1743"/>
      <c r="G47" s="268"/>
      <c r="H47" s="1743"/>
      <c r="I47" s="268"/>
      <c r="J47" s="1743"/>
      <c r="K47" s="268"/>
      <c r="L47" s="1743"/>
      <c r="M47" s="268"/>
      <c r="N47" s="1743"/>
      <c r="O47" s="268"/>
      <c r="P47" s="1743"/>
      <c r="Q47" s="268"/>
      <c r="R47" s="1743"/>
      <c r="S47" s="268"/>
      <c r="T47" s="1743"/>
      <c r="U47" s="268"/>
      <c r="V47" s="1743"/>
      <c r="W47" s="268"/>
      <c r="X47" s="1743"/>
      <c r="Y47" s="268"/>
      <c r="Z47" s="268"/>
      <c r="AA47" s="1744"/>
      <c r="AB47" s="268"/>
      <c r="AC47" s="268"/>
      <c r="AD47" s="268"/>
      <c r="AE47" s="268"/>
      <c r="AF47" s="268"/>
    </row>
    <row r="48" spans="1:37">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4"/>
      <c r="AB48" s="268"/>
      <c r="AC48" s="268"/>
      <c r="AD48" s="268"/>
      <c r="AE48" s="268"/>
      <c r="AF48" s="268"/>
    </row>
    <row r="49" spans="1:32">
      <c r="A49" s="350"/>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4"/>
      <c r="AB49" s="268"/>
      <c r="AC49" s="268"/>
      <c r="AD49" s="268"/>
      <c r="AE49" s="268"/>
      <c r="AF49" s="268"/>
    </row>
    <row r="51" spans="1:32">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row>
    <row r="52" spans="1:32">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row>
    <row r="53" spans="1:32">
      <c r="B53" s="268"/>
      <c r="C53" s="268"/>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row>
    <row r="54" spans="1:32">
      <c r="B54" s="268"/>
      <c r="C54" s="268"/>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row>
  </sheetData>
  <mergeCells count="1">
    <mergeCell ref="Z10:AI10"/>
  </mergeCells>
  <printOptions horizontalCentered="1"/>
  <pageMargins left="0.25" right="0.25" top="0.5" bottom="0.25" header="0" footer="0.25"/>
  <pageSetup firstPageNumber="37" fitToHeight="0" orientation="landscape" useFirstPageNumber="1" r:id="rId1"/>
  <headerFooter scaleWithDoc="0" alignWithMargins="0">
    <oddFooter>&amp;C&amp;8&amp;P</oddFooter>
  </headerFooter>
  <customProperties>
    <customPr name="SheetOptions"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autoPageBreaks="0" fitToPage="1"/>
  </sheetPr>
  <dimension ref="A1:AH73"/>
  <sheetViews>
    <sheetView showGridLines="0" zoomScale="80" zoomScaleNormal="80" workbookViewId="0"/>
  </sheetViews>
  <sheetFormatPr defaultColWidth="8.84375" defaultRowHeight="12.5"/>
  <cols>
    <col min="1" max="1" width="38.4609375" style="1337" customWidth="1"/>
    <col min="2" max="2" width="6.84375" style="1337" customWidth="1"/>
    <col min="3" max="3" width="4.07421875" style="1337" customWidth="1"/>
    <col min="4" max="4" width="13.4609375" style="1337" customWidth="1"/>
    <col min="5" max="5" width="1.07421875" style="1337" customWidth="1"/>
    <col min="6" max="6" width="13.4609375" style="1337" customWidth="1"/>
    <col min="7" max="7" width="1.07421875" style="1337" customWidth="1"/>
    <col min="8" max="8" width="13.4609375" style="1418" customWidth="1"/>
    <col min="9" max="9" width="1.07421875" style="1337" customWidth="1"/>
    <col min="10" max="10" width="13.4609375" style="1337" customWidth="1"/>
    <col min="11" max="11" width="1.07421875" style="1337" customWidth="1"/>
    <col min="12" max="12" width="13.4609375" style="1337" customWidth="1"/>
    <col min="13" max="13" width="1.07421875" style="1337" customWidth="1"/>
    <col min="14" max="14" width="13.4609375" style="1337" customWidth="1"/>
    <col min="15" max="17" width="1.07421875" style="1337" customWidth="1"/>
    <col min="18" max="18" width="13.4609375" style="1337" customWidth="1"/>
    <col min="19" max="19" width="1.07421875" style="1337" customWidth="1"/>
    <col min="20" max="20" width="13.4609375" style="1337" customWidth="1"/>
    <col min="21" max="21" width="1.07421875" style="1337" customWidth="1"/>
    <col min="22" max="22" width="0.84375" style="1337" customWidth="1"/>
    <col min="23" max="24" width="1.07421875" style="1337" customWidth="1"/>
    <col min="25" max="25" width="13.4609375" style="1337" customWidth="1"/>
    <col min="26" max="26" width="1.07421875" style="1337" customWidth="1"/>
    <col min="27" max="27" width="13.4609375" style="1337" customWidth="1"/>
    <col min="28" max="28" width="1.84375" style="1337" customWidth="1"/>
    <col min="29" max="29" width="1.07421875" style="1337" customWidth="1"/>
    <col min="30" max="30" width="13.4609375" style="1337" customWidth="1"/>
    <col min="31" max="31" width="1.07421875" style="1337" customWidth="1"/>
    <col min="32" max="32" width="13.4609375" style="1337" customWidth="1"/>
    <col min="33" max="33" width="8.84375" style="1337"/>
    <col min="34" max="34" width="8.84375" style="1477"/>
    <col min="35" max="16384" width="8.84375" style="1337"/>
  </cols>
  <sheetData>
    <row r="1" spans="1:33" ht="15.5">
      <c r="A1" s="284" t="s">
        <v>97</v>
      </c>
    </row>
    <row r="2" spans="1:33" ht="15" customHeight="1">
      <c r="A2" s="284"/>
    </row>
    <row r="3" spans="1:33" ht="21" customHeight="1">
      <c r="A3" s="2054" t="s">
        <v>98</v>
      </c>
      <c r="B3" s="2055"/>
      <c r="C3" s="2055"/>
      <c r="D3" s="2055"/>
      <c r="E3" s="2055"/>
      <c r="F3" s="2055"/>
      <c r="G3" s="2055"/>
      <c r="H3" s="2055"/>
      <c r="I3" s="2055"/>
      <c r="J3" s="2055"/>
      <c r="K3" s="2055"/>
      <c r="L3" s="2055"/>
      <c r="M3" s="2055"/>
      <c r="N3" s="2055"/>
      <c r="O3" s="2055"/>
      <c r="P3" s="2055"/>
      <c r="Q3" s="2055"/>
      <c r="R3" s="2055"/>
      <c r="S3" s="2055"/>
      <c r="T3" s="2055"/>
      <c r="U3" s="2055"/>
      <c r="V3" s="2055"/>
      <c r="W3" s="2055"/>
      <c r="X3" s="2055"/>
      <c r="Y3" s="2055"/>
      <c r="Z3" s="2055"/>
      <c r="AA3" s="2055"/>
      <c r="AB3" s="2055"/>
      <c r="AC3" s="266"/>
      <c r="AF3" s="1420" t="s">
        <v>155</v>
      </c>
    </row>
    <row r="4" spans="1:33" ht="20">
      <c r="A4" s="2056" t="s">
        <v>156</v>
      </c>
      <c r="B4" s="2055"/>
      <c r="C4" s="2055"/>
      <c r="D4" s="2055"/>
      <c r="E4" s="2055"/>
      <c r="F4" s="2055"/>
      <c r="G4" s="2055"/>
      <c r="H4" s="2055"/>
      <c r="I4" s="2055"/>
      <c r="J4" s="2055"/>
      <c r="K4" s="2055"/>
      <c r="L4" s="2055"/>
      <c r="M4" s="2055"/>
      <c r="N4" s="2055"/>
      <c r="O4" s="2055"/>
      <c r="P4" s="2055"/>
      <c r="Q4" s="2055"/>
      <c r="R4" s="2055"/>
      <c r="S4" s="2055"/>
      <c r="T4" s="2055"/>
      <c r="U4" s="2055"/>
      <c r="V4" s="2055"/>
      <c r="W4" s="2055"/>
      <c r="X4" s="2055"/>
      <c r="Y4" s="2055"/>
      <c r="Z4" s="2055"/>
      <c r="AA4" s="2055"/>
      <c r="AB4" s="2055"/>
      <c r="AC4" s="266"/>
      <c r="AF4" s="1420" t="s">
        <v>157</v>
      </c>
    </row>
    <row r="5" spans="1:33" ht="21" customHeight="1">
      <c r="A5" s="2056" t="s">
        <v>158</v>
      </c>
      <c r="B5" s="2055"/>
      <c r="C5" s="2055"/>
      <c r="D5" s="2055"/>
      <c r="E5" s="2055"/>
      <c r="F5" s="2055"/>
      <c r="G5" s="2055"/>
      <c r="H5" s="2055"/>
      <c r="I5" s="2055"/>
      <c r="J5" s="2055"/>
      <c r="K5" s="2055"/>
      <c r="L5" s="2055"/>
      <c r="M5" s="2055"/>
      <c r="N5" s="2055"/>
      <c r="O5" s="2055"/>
      <c r="P5" s="2055"/>
      <c r="Q5" s="2055"/>
      <c r="R5" s="2055"/>
      <c r="S5" s="2055"/>
      <c r="T5" s="2055"/>
      <c r="U5" s="2055"/>
      <c r="V5" s="2055"/>
      <c r="W5" s="2055"/>
      <c r="X5" s="2055"/>
      <c r="Y5" s="2055"/>
      <c r="Z5" s="2055"/>
      <c r="AA5" s="2055"/>
      <c r="AB5" s="2055"/>
      <c r="AC5" s="266"/>
    </row>
    <row r="6" spans="1:33" ht="21" customHeight="1">
      <c r="A6" s="1421" t="s">
        <v>102</v>
      </c>
      <c r="B6" s="1419"/>
      <c r="C6" s="1419"/>
      <c r="D6" s="1419"/>
      <c r="E6" s="1419"/>
      <c r="F6" s="1419"/>
      <c r="G6" s="1419"/>
      <c r="H6" s="1419"/>
      <c r="I6" s="1419"/>
      <c r="J6" s="1419"/>
      <c r="K6" s="1419"/>
      <c r="L6" s="1419"/>
      <c r="M6" s="1419"/>
      <c r="N6" s="1419"/>
      <c r="O6" s="1419"/>
      <c r="P6" s="1419"/>
      <c r="Q6" s="1419"/>
      <c r="R6" s="1419"/>
      <c r="S6" s="1419"/>
      <c r="T6" s="1419"/>
      <c r="U6" s="1419"/>
      <c r="V6" s="1419"/>
      <c r="W6" s="1419"/>
      <c r="X6" s="1419"/>
      <c r="Y6" s="1419"/>
      <c r="Z6" s="1419"/>
      <c r="AA6" s="1419"/>
      <c r="AB6" s="1419"/>
      <c r="AC6" s="266"/>
    </row>
    <row r="7" spans="1:33" ht="15.75" customHeight="1">
      <c r="A7" s="1987"/>
      <c r="B7" s="1988"/>
      <c r="C7" s="1988"/>
      <c r="D7" s="1988"/>
      <c r="E7" s="1988"/>
      <c r="F7" s="1988"/>
      <c r="G7" s="1988"/>
      <c r="H7" s="1988"/>
      <c r="I7" s="1988"/>
      <c r="J7" s="1988"/>
      <c r="K7" s="1988"/>
      <c r="L7" s="1988"/>
      <c r="M7" s="1988"/>
      <c r="N7" s="1988"/>
      <c r="O7" s="1988"/>
      <c r="P7" s="1988"/>
      <c r="Q7" s="1988"/>
      <c r="R7" s="1988"/>
      <c r="S7" s="1988"/>
      <c r="T7" s="1988"/>
      <c r="U7" s="1988"/>
      <c r="V7" s="1988"/>
      <c r="W7" s="1988"/>
      <c r="X7" s="1988"/>
      <c r="Y7" s="1988"/>
      <c r="Z7" s="1988"/>
      <c r="AA7" s="1988"/>
      <c r="AB7" s="1988"/>
      <c r="AC7" s="266"/>
    </row>
    <row r="8" spans="1:33" ht="15.75" customHeight="1">
      <c r="A8" s="1422"/>
      <c r="B8" s="1422"/>
      <c r="C8" s="1422"/>
      <c r="D8" s="1422"/>
      <c r="E8" s="1422"/>
      <c r="F8" s="1422"/>
      <c r="G8" s="1422"/>
      <c r="H8" s="1423"/>
      <c r="I8" s="1424"/>
      <c r="J8" s="1424"/>
      <c r="K8" s="1424"/>
      <c r="L8" s="1424"/>
      <c r="M8" s="1422"/>
      <c r="N8" s="1424"/>
      <c r="O8" s="1424"/>
      <c r="P8" s="1424"/>
      <c r="Q8" s="1424"/>
      <c r="R8" s="1424"/>
      <c r="S8" s="1424"/>
      <c r="T8" s="1424"/>
      <c r="U8" s="1424"/>
      <c r="V8" s="1424"/>
      <c r="W8" s="1424"/>
      <c r="X8" s="1424"/>
      <c r="Y8" s="1425"/>
      <c r="Z8" s="1425"/>
      <c r="AA8" s="1420"/>
      <c r="AB8" s="1425"/>
      <c r="AC8" s="1426"/>
    </row>
    <row r="9" spans="1:33" ht="15.75" customHeight="1">
      <c r="A9" s="1422"/>
      <c r="B9" s="1422"/>
      <c r="C9" s="1422"/>
      <c r="D9" s="1422"/>
      <c r="E9" s="1422"/>
      <c r="F9" s="1422"/>
      <c r="G9" s="1422"/>
      <c r="H9" s="1423"/>
      <c r="I9" s="1424"/>
      <c r="J9" s="1424"/>
      <c r="K9" s="1424"/>
      <c r="L9" s="1424"/>
      <c r="M9" s="1422"/>
      <c r="N9" s="1424"/>
      <c r="O9" s="1424"/>
      <c r="P9" s="1424"/>
      <c r="Q9" s="1424"/>
      <c r="R9" s="1424"/>
      <c r="X9" s="1424"/>
      <c r="Y9" s="1425"/>
      <c r="Z9" s="1425"/>
      <c r="AA9" s="1420"/>
      <c r="AB9" s="1425"/>
      <c r="AC9" s="1426"/>
    </row>
    <row r="10" spans="1:33" ht="16.399999999999999" customHeight="1">
      <c r="A10" s="1422"/>
      <c r="B10" s="1422"/>
      <c r="C10" s="1422"/>
      <c r="D10" s="2051"/>
      <c r="E10" s="2052"/>
      <c r="F10" s="2052"/>
      <c r="G10" s="2052"/>
      <c r="H10" s="2052"/>
      <c r="I10" s="2052"/>
      <c r="J10" s="2052"/>
      <c r="K10" s="2052"/>
      <c r="L10" s="2052"/>
      <c r="M10" s="2052"/>
      <c r="N10" s="2052"/>
      <c r="O10" s="1424"/>
      <c r="P10" s="1428"/>
      <c r="Q10" s="1424"/>
      <c r="R10" s="2051"/>
      <c r="S10" s="2051"/>
      <c r="T10" s="2051"/>
      <c r="U10" s="2051"/>
      <c r="V10" s="2051"/>
      <c r="W10" s="2051"/>
      <c r="X10" s="2051"/>
      <c r="Y10" s="2051"/>
      <c r="Z10" s="2051"/>
      <c r="AA10" s="2051"/>
      <c r="AB10" s="2051"/>
      <c r="AC10" s="1429"/>
    </row>
    <row r="11" spans="1:33" ht="16.399999999999999" customHeight="1">
      <c r="A11" s="1299"/>
      <c r="B11" s="1299"/>
      <c r="C11" s="1299"/>
      <c r="D11" s="1430" t="s">
        <v>104</v>
      </c>
      <c r="E11" s="1430"/>
      <c r="F11" s="1430"/>
      <c r="G11" s="1300"/>
      <c r="H11" s="1431" t="s">
        <v>159</v>
      </c>
      <c r="I11" s="1430"/>
      <c r="J11" s="1430"/>
      <c r="L11" s="2053" t="s">
        <v>106</v>
      </c>
      <c r="M11" s="2053"/>
      <c r="N11" s="2053"/>
      <c r="O11" s="1427"/>
      <c r="P11" s="1427"/>
      <c r="Q11" s="1427"/>
      <c r="R11" s="1432" t="s">
        <v>160</v>
      </c>
      <c r="S11" s="1432"/>
      <c r="T11" s="1432"/>
      <c r="U11" s="1432"/>
      <c r="V11" s="1432"/>
      <c r="W11" s="1432"/>
      <c r="X11" s="1432"/>
      <c r="Y11" s="1432"/>
      <c r="Z11" s="1432"/>
      <c r="AA11" s="1432"/>
      <c r="AB11" s="1432"/>
      <c r="AC11" s="1433"/>
      <c r="AD11" s="1434"/>
      <c r="AE11" s="1434"/>
      <c r="AF11" s="1434"/>
    </row>
    <row r="12" spans="1:33" ht="15.75" customHeight="1">
      <c r="A12" s="1299"/>
      <c r="B12" s="1299"/>
      <c r="C12" s="1299"/>
      <c r="D12" s="1427" t="s">
        <v>109</v>
      </c>
      <c r="E12" s="1427"/>
      <c r="F12" s="1303" t="str">
        <f>'Exhibit A'!F11</f>
        <v>4 MOS. ENDED</v>
      </c>
      <c r="G12" s="1427"/>
      <c r="H12" s="1427" t="s">
        <v>109</v>
      </c>
      <c r="I12" s="1427"/>
      <c r="J12" s="1427" t="str">
        <f>F12</f>
        <v>4 MOS. ENDED</v>
      </c>
      <c r="K12" s="1427"/>
      <c r="L12" s="1427" t="s">
        <v>109</v>
      </c>
      <c r="M12" s="1427"/>
      <c r="N12" s="1427" t="str">
        <f>F12</f>
        <v>4 MOS. ENDED</v>
      </c>
      <c r="O12" s="1427"/>
      <c r="P12" s="1435"/>
      <c r="Q12" s="1427"/>
      <c r="R12" s="1427" t="s">
        <v>109</v>
      </c>
      <c r="S12" s="1427"/>
      <c r="T12" s="1427" t="str">
        <f>F12</f>
        <v>4 MOS. ENDED</v>
      </c>
      <c r="U12" s="1427"/>
      <c r="V12" s="1427"/>
      <c r="W12" s="1427"/>
      <c r="X12" s="1427"/>
      <c r="Y12" s="1427" t="s">
        <v>109</v>
      </c>
      <c r="Z12" s="1427"/>
      <c r="AA12" s="1427" t="str">
        <f>'Exhibit A'!AD11</f>
        <v>4 MOS. ENDED</v>
      </c>
      <c r="AB12" s="1427"/>
      <c r="AC12" s="1436"/>
      <c r="AD12" s="1427" t="s">
        <v>110</v>
      </c>
      <c r="AE12" s="284"/>
      <c r="AF12" s="1427" t="s">
        <v>111</v>
      </c>
    </row>
    <row r="13" spans="1:33" ht="16.399999999999999" customHeight="1">
      <c r="A13" s="1299"/>
      <c r="B13" s="1299"/>
      <c r="C13" s="1299"/>
      <c r="D13" s="1437" t="str">
        <f>'Exhibit A'!D12</f>
        <v>JULY 2026</v>
      </c>
      <c r="E13" s="1427"/>
      <c r="F13" s="1437" t="str">
        <f>'Exhibit A'!F12</f>
        <v>JULY 31, 2026</v>
      </c>
      <c r="G13" s="1427"/>
      <c r="H13" s="1432" t="str">
        <f>D13</f>
        <v>JULY 2026</v>
      </c>
      <c r="I13" s="1427"/>
      <c r="J13" s="1432" t="str">
        <f>F13</f>
        <v>JULY 31, 2026</v>
      </c>
      <c r="K13" s="1427"/>
      <c r="L13" s="1432" t="str">
        <f>D13</f>
        <v>JULY 2026</v>
      </c>
      <c r="M13" s="1427"/>
      <c r="N13" s="1432" t="str">
        <f>F13</f>
        <v>JULY 31, 2026</v>
      </c>
      <c r="O13" s="1427"/>
      <c r="P13" s="1435"/>
      <c r="Q13" s="1427"/>
      <c r="R13" s="1432" t="str">
        <f>D13</f>
        <v>JULY 2026</v>
      </c>
      <c r="S13" s="1427"/>
      <c r="T13" s="1432" t="str">
        <f>F13</f>
        <v>JULY 31, 2026</v>
      </c>
      <c r="U13" s="1427"/>
      <c r="V13" s="1427"/>
      <c r="W13" s="1427"/>
      <c r="X13" s="1427"/>
      <c r="Y13" s="1437" t="str">
        <f>'Exhibit A'!AB12</f>
        <v>JULY 2025</v>
      </c>
      <c r="Z13" s="1427"/>
      <c r="AA13" s="1437" t="str">
        <f>'Exhibit A'!AD12</f>
        <v>JULY 31, 2025</v>
      </c>
      <c r="AB13" s="1427"/>
      <c r="AC13" s="1436"/>
      <c r="AD13" s="1432" t="s">
        <v>112</v>
      </c>
      <c r="AE13" s="284"/>
      <c r="AF13" s="1437" t="s">
        <v>113</v>
      </c>
    </row>
    <row r="14" spans="1:33" ht="16.399999999999999" customHeight="1">
      <c r="A14" s="1300" t="s">
        <v>114</v>
      </c>
      <c r="B14" s="1299"/>
      <c r="C14" s="1299"/>
      <c r="D14" s="1438" t="s">
        <v>103</v>
      </c>
      <c r="E14" s="1299"/>
      <c r="F14" s="1299"/>
      <c r="G14" s="1299"/>
      <c r="H14" s="1299" t="s">
        <v>103</v>
      </c>
      <c r="I14" s="1299"/>
      <c r="J14" s="1299"/>
      <c r="K14" s="1299"/>
      <c r="L14" s="1299" t="s">
        <v>103</v>
      </c>
      <c r="M14" s="1299"/>
      <c r="N14" s="1299"/>
      <c r="O14" s="1299"/>
      <c r="P14" s="1488"/>
      <c r="Q14" s="1439"/>
      <c r="R14" s="1299"/>
      <c r="S14" s="1299"/>
      <c r="T14" s="1299"/>
      <c r="U14" s="1299"/>
      <c r="V14" s="1299"/>
      <c r="W14" s="1440"/>
      <c r="X14" s="1299"/>
      <c r="Y14" s="1299"/>
      <c r="Z14" s="1299"/>
      <c r="AA14" s="1299"/>
      <c r="AB14" s="1299"/>
      <c r="AC14" s="1441"/>
      <c r="AD14" s="1299"/>
      <c r="AF14" s="284"/>
    </row>
    <row r="15" spans="1:33" ht="18" customHeight="1">
      <c r="A15" s="1299" t="s">
        <v>161</v>
      </c>
      <c r="B15" s="1442"/>
      <c r="C15" s="1299"/>
      <c r="D15" s="1331">
        <f>+'Exhibit A'!D14</f>
        <v>2391.4</v>
      </c>
      <c r="E15" s="1331" t="s">
        <v>103</v>
      </c>
      <c r="F15" s="1331">
        <f>+'Exhibit A'!F14</f>
        <v>12834.5</v>
      </c>
      <c r="G15" s="1331"/>
      <c r="H15" s="1916">
        <f>+'Exhibit G State'!J17</f>
        <v>0</v>
      </c>
      <c r="I15" s="1331"/>
      <c r="J15" s="2001">
        <f>'Exhibit G State'!AC17</f>
        <v>0</v>
      </c>
      <c r="K15" s="1331"/>
      <c r="L15" s="2002">
        <f>+'Exhibit A'!L14</f>
        <v>2391.3999999999987</v>
      </c>
      <c r="M15" s="1331"/>
      <c r="N15" s="1331">
        <f>+'Exhibit A'!N14</f>
        <v>12834.5</v>
      </c>
      <c r="O15" s="1331"/>
      <c r="P15" s="2003"/>
      <c r="Q15" s="2004"/>
      <c r="R15" s="1331">
        <f t="shared" ref="R15:R20" si="0">ROUND(SUM(D15+H15+L15),1)</f>
        <v>4782.8</v>
      </c>
      <c r="S15" s="1331"/>
      <c r="T15" s="2002">
        <f t="shared" ref="T15:T20" si="1">ROUND(SUM(F15+J15+N15),1)</f>
        <v>25669</v>
      </c>
      <c r="U15" s="1331"/>
      <c r="V15" s="1331"/>
      <c r="W15" s="1443"/>
      <c r="X15" s="1331"/>
      <c r="Y15" s="1331">
        <v>4496.5</v>
      </c>
      <c r="Z15" s="1331" t="s">
        <v>103</v>
      </c>
      <c r="AA15" s="1331">
        <f>'Exhibit F'!AF27+'Exhibit G State'!AF17+'Exhibit H'!AD17</f>
        <v>23705.8</v>
      </c>
      <c r="AB15" s="1444"/>
      <c r="AC15" s="1445"/>
      <c r="AD15" s="1331">
        <f t="shared" ref="AD15:AD20" si="2">ROUND(SUM(T15-AA15),1)</f>
        <v>1963.2</v>
      </c>
      <c r="AE15" s="1446"/>
      <c r="AF15" s="266">
        <f>ROUND(+AD15/AA15,3)</f>
        <v>8.3000000000000004E-2</v>
      </c>
      <c r="AG15" s="1476"/>
    </row>
    <row r="16" spans="1:33" ht="18" customHeight="1">
      <c r="A16" s="1299" t="s">
        <v>116</v>
      </c>
      <c r="B16" s="1447" t="s">
        <v>103</v>
      </c>
      <c r="C16" s="1299"/>
      <c r="D16" s="253">
        <f>+'Exhibit A'!D15</f>
        <v>950.4</v>
      </c>
      <c r="E16" s="253"/>
      <c r="F16" s="253">
        <f>+'Exhibit A'!F15</f>
        <v>3717.5</v>
      </c>
      <c r="G16" s="253"/>
      <c r="H16" s="715">
        <f>+'Exhibit G State'!J29</f>
        <v>179</v>
      </c>
      <c r="I16" s="253"/>
      <c r="J16" s="2005">
        <f>'Exhibit G State'!AC29</f>
        <v>829.4</v>
      </c>
      <c r="K16" s="253"/>
      <c r="L16" s="253">
        <f>+'Exhibit A'!L15</f>
        <v>895.8</v>
      </c>
      <c r="M16" s="253"/>
      <c r="N16" s="253">
        <f>+'Exhibit A'!N15</f>
        <v>3527.9</v>
      </c>
      <c r="O16" s="253"/>
      <c r="P16" s="1959"/>
      <c r="Q16" s="1960"/>
      <c r="R16" s="253">
        <f t="shared" si="0"/>
        <v>2025.2</v>
      </c>
      <c r="S16" s="253"/>
      <c r="T16" s="531">
        <f t="shared" si="1"/>
        <v>8074.8</v>
      </c>
      <c r="U16" s="253"/>
      <c r="V16" s="253"/>
      <c r="W16" s="1448"/>
      <c r="X16" s="253"/>
      <c r="Y16" s="253">
        <v>1810.4</v>
      </c>
      <c r="Z16" s="253" t="s">
        <v>103</v>
      </c>
      <c r="AA16" s="253">
        <f>'Exhibit F'!AF38+'Exhibit G State'!AF29+'Exhibit H'!AD21</f>
        <v>7420.4</v>
      </c>
      <c r="AB16" s="1299"/>
      <c r="AC16" s="1441"/>
      <c r="AD16" s="253">
        <f t="shared" si="2"/>
        <v>654.4</v>
      </c>
      <c r="AF16" s="266">
        <f t="shared" ref="AF16:AF21" si="3">ROUND(+AD16/AA16,3)</f>
        <v>8.7999999999999995E-2</v>
      </c>
      <c r="AG16" s="1476"/>
    </row>
    <row r="17" spans="1:33" ht="18" customHeight="1">
      <c r="A17" s="1299" t="s">
        <v>117</v>
      </c>
      <c r="B17" s="1449"/>
      <c r="C17" s="1299"/>
      <c r="D17" s="253">
        <f>+'Exhibit A'!D16</f>
        <v>129.69999999999999</v>
      </c>
      <c r="E17" s="253"/>
      <c r="F17" s="253">
        <f>+'Exhibit A'!F16</f>
        <v>5921</v>
      </c>
      <c r="G17" s="253"/>
      <c r="H17" s="715">
        <f>+'Exhibit G State'!J36</f>
        <v>101</v>
      </c>
      <c r="I17" s="253"/>
      <c r="J17" s="2005">
        <f>'Exhibit G State'!AC36</f>
        <v>1154.2</v>
      </c>
      <c r="K17" s="253"/>
      <c r="L17" s="253">
        <f>+'Exhibit A'!L16</f>
        <v>10.8</v>
      </c>
      <c r="M17" s="253"/>
      <c r="N17" s="253">
        <f>+'Exhibit A'!N16</f>
        <v>2446.1999999999998</v>
      </c>
      <c r="O17" s="1450"/>
      <c r="P17" s="1961"/>
      <c r="Q17" s="1962"/>
      <c r="R17" s="253">
        <f t="shared" si="0"/>
        <v>241.5</v>
      </c>
      <c r="S17" s="253"/>
      <c r="T17" s="531">
        <f t="shared" si="1"/>
        <v>9521.4</v>
      </c>
      <c r="U17" s="253"/>
      <c r="V17" s="253"/>
      <c r="W17" s="1451"/>
      <c r="X17" s="1450"/>
      <c r="Y17" s="253">
        <v>189.1</v>
      </c>
      <c r="Z17" s="253" t="s">
        <v>103</v>
      </c>
      <c r="AA17" s="253">
        <f>'Exhibit F'!AF46+'Exhibit G State'!AF36+'Exhibit H'!AD23</f>
        <v>7555.2</v>
      </c>
      <c r="AB17" s="1299"/>
      <c r="AC17" s="1441"/>
      <c r="AD17" s="253">
        <f t="shared" si="2"/>
        <v>1966.2</v>
      </c>
      <c r="AF17" s="266">
        <f t="shared" si="3"/>
        <v>0.26</v>
      </c>
      <c r="AG17" s="1476"/>
    </row>
    <row r="18" spans="1:33" ht="18" customHeight="1">
      <c r="A18" s="1299" t="s">
        <v>118</v>
      </c>
      <c r="B18" s="1447" t="s">
        <v>103</v>
      </c>
      <c r="C18" s="1299"/>
      <c r="D18" s="253">
        <f>+'Exhibit A'!D17</f>
        <v>272.7</v>
      </c>
      <c r="E18" s="253"/>
      <c r="F18" s="253">
        <f>+'Exhibit A'!F17</f>
        <v>649.6</v>
      </c>
      <c r="G18" s="253"/>
      <c r="H18" s="715">
        <v>0</v>
      </c>
      <c r="I18" s="253"/>
      <c r="J18" s="2005">
        <v>0</v>
      </c>
      <c r="K18" s="253"/>
      <c r="L18" s="253">
        <f>+'Exhibit A'!L17</f>
        <v>114.4</v>
      </c>
      <c r="M18" s="253"/>
      <c r="N18" s="253">
        <f>+'Exhibit A'!N17</f>
        <v>436.2</v>
      </c>
      <c r="O18" s="253"/>
      <c r="P18" s="1959"/>
      <c r="Q18" s="1960"/>
      <c r="R18" s="253">
        <f t="shared" si="0"/>
        <v>387.1</v>
      </c>
      <c r="S18" s="253"/>
      <c r="T18" s="531">
        <f t="shared" si="1"/>
        <v>1085.8</v>
      </c>
      <c r="U18" s="253"/>
      <c r="V18" s="253"/>
      <c r="W18" s="1448"/>
      <c r="X18" s="253"/>
      <c r="Y18" s="253">
        <v>199.5</v>
      </c>
      <c r="Z18" s="253" t="s">
        <v>103</v>
      </c>
      <c r="AA18" s="253">
        <f>'Exhibit F'!AF54+'Exhibit H'!AD28</f>
        <v>890.30000000000007</v>
      </c>
      <c r="AB18" s="1299"/>
      <c r="AC18" s="1441"/>
      <c r="AD18" s="253">
        <f t="shared" si="2"/>
        <v>195.5</v>
      </c>
      <c r="AF18" s="266">
        <f t="shared" si="3"/>
        <v>0.22</v>
      </c>
      <c r="AG18" s="1476"/>
    </row>
    <row r="19" spans="1:33" ht="18" customHeight="1">
      <c r="A19" s="1299" t="s">
        <v>119</v>
      </c>
      <c r="B19" s="1447" t="s">
        <v>103</v>
      </c>
      <c r="C19" s="1299"/>
      <c r="D19" s="253">
        <f>+'Exhibit A'!D18</f>
        <v>182.7</v>
      </c>
      <c r="E19" s="253"/>
      <c r="F19" s="253">
        <f>+'Exhibit A'!F18</f>
        <v>1320.3</v>
      </c>
      <c r="G19" s="253"/>
      <c r="H19" s="715">
        <f>+'Exhibit G State'!J81</f>
        <v>2747.2</v>
      </c>
      <c r="I19" s="253"/>
      <c r="J19" s="2005">
        <f>'Exhibit G State'!AC81</f>
        <v>9686.4</v>
      </c>
      <c r="K19" s="253"/>
      <c r="L19" s="253">
        <f>+'Exhibit A'!L18</f>
        <v>69.2</v>
      </c>
      <c r="M19" s="253"/>
      <c r="N19" s="253">
        <f>+'Exhibit A'!N18</f>
        <v>258.10000000000002</v>
      </c>
      <c r="O19" s="253"/>
      <c r="P19" s="1959"/>
      <c r="Q19" s="1960"/>
      <c r="R19" s="253">
        <f t="shared" si="0"/>
        <v>2999.1</v>
      </c>
      <c r="S19" s="253"/>
      <c r="T19" s="531">
        <f t="shared" si="1"/>
        <v>11264.8</v>
      </c>
      <c r="U19" s="253"/>
      <c r="V19" s="253"/>
      <c r="W19" s="1448"/>
      <c r="X19" s="253"/>
      <c r="Y19" s="253">
        <v>2314.2000000000003</v>
      </c>
      <c r="Z19" s="253" t="s">
        <v>103</v>
      </c>
      <c r="AA19" s="253">
        <f>+'Exhibit F'!AF97+'Exhibit G State'!AF81+'Exhibit H'!AD51</f>
        <v>9180</v>
      </c>
      <c r="AB19" s="1299"/>
      <c r="AC19" s="1441"/>
      <c r="AD19" s="253">
        <f t="shared" si="2"/>
        <v>2084.8000000000002</v>
      </c>
      <c r="AF19" s="266">
        <f t="shared" si="3"/>
        <v>0.22700000000000001</v>
      </c>
      <c r="AG19" s="1476"/>
    </row>
    <row r="20" spans="1:33" ht="18" customHeight="1">
      <c r="A20" s="1299" t="s">
        <v>120</v>
      </c>
      <c r="B20" s="1442" t="s">
        <v>103</v>
      </c>
      <c r="C20" s="1299"/>
      <c r="D20" s="253">
        <f>+'Exhibit A'!D19</f>
        <v>0.29999999999999982</v>
      </c>
      <c r="E20" s="253"/>
      <c r="F20" s="253">
        <f>+'Exhibit A'!F19</f>
        <v>1.4</v>
      </c>
      <c r="G20" s="253"/>
      <c r="H20" s="715">
        <f>+'Exhibit G State'!J83</f>
        <v>0</v>
      </c>
      <c r="I20" s="253"/>
      <c r="J20" s="2005">
        <f>'Exhibit G State'!AC83</f>
        <v>0.2</v>
      </c>
      <c r="K20" s="253"/>
      <c r="L20" s="253">
        <f>+'Exhibit A'!L19</f>
        <v>0.59999999999999787</v>
      </c>
      <c r="M20" s="1450"/>
      <c r="N20" s="253">
        <f>+'Exhibit A'!N19</f>
        <v>27.7</v>
      </c>
      <c r="O20" s="1450"/>
      <c r="P20" s="1961"/>
      <c r="Q20" s="1962"/>
      <c r="R20" s="1450">
        <f t="shared" si="0"/>
        <v>0.9</v>
      </c>
      <c r="S20" s="1450"/>
      <c r="T20" s="531">
        <f t="shared" si="1"/>
        <v>29.3</v>
      </c>
      <c r="U20" s="253"/>
      <c r="V20" s="253"/>
      <c r="W20" s="1451"/>
      <c r="X20" s="1450"/>
      <c r="Y20" s="253">
        <v>0.8</v>
      </c>
      <c r="Z20" s="253" t="s">
        <v>103</v>
      </c>
      <c r="AA20" s="253">
        <f>+'Exhibit F'!AF99+'Exhibit G State'!AF83+'Exhibit H'!AD53</f>
        <v>30.2</v>
      </c>
      <c r="AB20" s="1299"/>
      <c r="AC20" s="1441"/>
      <c r="AD20" s="253">
        <f t="shared" si="2"/>
        <v>-0.9</v>
      </c>
      <c r="AF20" s="542">
        <f>ROUND(IF(AA20=0,1,AD20/ABS(AA20)),3)</f>
        <v>-0.03</v>
      </c>
      <c r="AG20" s="1476"/>
    </row>
    <row r="21" spans="1:33" ht="18" customHeight="1">
      <c r="A21" s="1300" t="s">
        <v>121</v>
      </c>
      <c r="B21" s="1299"/>
      <c r="C21" s="1299"/>
      <c r="D21" s="1452">
        <f>ROUND(SUM(D15:D20),1)</f>
        <v>3927.2</v>
      </c>
      <c r="E21" s="1"/>
      <c r="F21" s="1963">
        <f>ROUND(SUM(F15:F20),1)</f>
        <v>24444.3</v>
      </c>
      <c r="G21" s="1"/>
      <c r="H21" s="1452">
        <f>ROUND(SUM(H15:H20),1)</f>
        <v>3027.2</v>
      </c>
      <c r="I21" s="1"/>
      <c r="J21" s="1452">
        <f>ROUND(SUM(J15:J20),1)</f>
        <v>11670.2</v>
      </c>
      <c r="K21" s="1"/>
      <c r="L21" s="1452">
        <f>ROUND(SUM(L15:L20),1)</f>
        <v>3482.2</v>
      </c>
      <c r="M21" s="1"/>
      <c r="N21" s="1452">
        <f>ROUND(SUM(N15:N20),1)</f>
        <v>19530.599999999999</v>
      </c>
      <c r="O21" s="1"/>
      <c r="P21" s="1463"/>
      <c r="Q21" s="1964"/>
      <c r="R21" s="1452">
        <f>ROUND(SUM(R15:R20),1)</f>
        <v>10436.6</v>
      </c>
      <c r="S21" s="1"/>
      <c r="T21" s="1452">
        <f>ROUND(SUM(T15:T20),1)</f>
        <v>55645.1</v>
      </c>
      <c r="U21" s="1"/>
      <c r="V21" s="1"/>
      <c r="W21" s="1454"/>
      <c r="X21" s="1"/>
      <c r="Y21" s="1452">
        <f>ROUND(SUM(Y15:Y20),1)</f>
        <v>9010.5</v>
      </c>
      <c r="Z21" s="1"/>
      <c r="AA21" s="1452">
        <f>ROUND(SUM(AA15:AA20),1)</f>
        <v>48781.9</v>
      </c>
      <c r="AB21" s="1300"/>
      <c r="AC21" s="1455"/>
      <c r="AD21" s="1452">
        <f>ROUND(SUM(AD15:AD20),1)</f>
        <v>6863.2</v>
      </c>
      <c r="AE21" s="1409"/>
      <c r="AF21" s="1456">
        <f t="shared" si="3"/>
        <v>0.14099999999999999</v>
      </c>
      <c r="AG21" s="1476"/>
    </row>
    <row r="22" spans="1:33" ht="16.399999999999999" customHeight="1">
      <c r="A22" s="1300"/>
      <c r="B22" s="1299"/>
      <c r="C22" s="1299"/>
      <c r="D22" s="253"/>
      <c r="E22" s="253"/>
      <c r="F22" s="253"/>
      <c r="G22" s="253"/>
      <c r="H22" s="253"/>
      <c r="I22" s="253"/>
      <c r="J22" s="253"/>
      <c r="K22" s="253"/>
      <c r="L22" s="253"/>
      <c r="M22" s="253"/>
      <c r="N22" s="253"/>
      <c r="O22" s="253"/>
      <c r="P22" s="1959"/>
      <c r="Q22" s="1960"/>
      <c r="R22" s="253"/>
      <c r="S22" s="253"/>
      <c r="T22" s="253"/>
      <c r="U22" s="253"/>
      <c r="V22" s="253"/>
      <c r="W22" s="1448"/>
      <c r="X22" s="253"/>
      <c r="Y22" s="253"/>
      <c r="Z22" s="253"/>
      <c r="AA22" s="253"/>
      <c r="AB22" s="1299"/>
      <c r="AC22" s="1441"/>
      <c r="AD22" s="253"/>
      <c r="AF22" s="284"/>
      <c r="AG22" s="1476"/>
    </row>
    <row r="23" spans="1:33" ht="16.399999999999999" customHeight="1">
      <c r="A23" s="1300" t="s">
        <v>122</v>
      </c>
      <c r="B23" s="1299"/>
      <c r="C23" s="1299"/>
      <c r="D23" s="253"/>
      <c r="E23" s="253"/>
      <c r="F23" s="253"/>
      <c r="G23" s="253"/>
      <c r="H23" s="253"/>
      <c r="I23" s="253"/>
      <c r="J23" s="253"/>
      <c r="K23" s="253"/>
      <c r="L23" s="253"/>
      <c r="M23" s="253"/>
      <c r="N23" s="253"/>
      <c r="O23" s="253"/>
      <c r="P23" s="1959"/>
      <c r="Q23" s="1960"/>
      <c r="R23" s="253"/>
      <c r="S23" s="253"/>
      <c r="T23" s="253"/>
      <c r="U23" s="253"/>
      <c r="V23" s="253"/>
      <c r="W23" s="1448"/>
      <c r="X23" s="253"/>
      <c r="Y23" s="253"/>
      <c r="Z23" s="253"/>
      <c r="AA23" s="253"/>
      <c r="AB23" s="1299"/>
      <c r="AC23" s="1441"/>
      <c r="AD23" s="253"/>
      <c r="AF23" s="284"/>
      <c r="AG23" s="1476"/>
    </row>
    <row r="24" spans="1:33" ht="16.399999999999999" customHeight="1">
      <c r="A24" s="1299" t="s">
        <v>123</v>
      </c>
      <c r="B24" s="1438" t="s">
        <v>103</v>
      </c>
      <c r="C24" s="1299"/>
      <c r="D24" s="255"/>
      <c r="E24" s="1450"/>
      <c r="F24" s="255"/>
      <c r="G24" s="253"/>
      <c r="H24" s="255"/>
      <c r="I24" s="1450"/>
      <c r="J24" s="255"/>
      <c r="K24" s="253"/>
      <c r="L24" s="255"/>
      <c r="M24" s="253"/>
      <c r="N24" s="1450"/>
      <c r="O24" s="253"/>
      <c r="P24" s="1959"/>
      <c r="Q24" s="1960"/>
      <c r="R24" s="1450"/>
      <c r="S24" s="1450"/>
      <c r="T24" s="1450"/>
      <c r="U24" s="253"/>
      <c r="V24" s="253"/>
      <c r="W24" s="1448"/>
      <c r="X24" s="1450"/>
      <c r="Y24" s="253"/>
      <c r="Z24" s="253"/>
      <c r="AA24" s="253"/>
      <c r="AB24" s="1299"/>
      <c r="AC24" s="1441"/>
      <c r="AD24" s="255"/>
      <c r="AF24" s="1304"/>
      <c r="AG24" s="1476"/>
    </row>
    <row r="25" spans="1:33" ht="18" customHeight="1">
      <c r="A25" s="1457" t="s">
        <v>124</v>
      </c>
      <c r="B25" s="1299"/>
      <c r="C25" s="1299"/>
      <c r="D25" s="512">
        <f>+'Exhibit A'!D24</f>
        <v>516.90000000000146</v>
      </c>
      <c r="E25" s="253"/>
      <c r="F25" s="512">
        <f>+'Exhibit A'!F24</f>
        <v>11661.7</v>
      </c>
      <c r="G25" s="253"/>
      <c r="H25" s="512">
        <f>+'Exhibit G State'!J89</f>
        <v>0.19999999999997686</v>
      </c>
      <c r="I25" s="253"/>
      <c r="J25" s="512">
        <f>+'Exhibit G State'!AC89</f>
        <v>283.8</v>
      </c>
      <c r="K25" s="253"/>
      <c r="L25" s="255">
        <f>+'Exhibit A'!L24</f>
        <v>0</v>
      </c>
      <c r="M25" s="253"/>
      <c r="N25" s="1450">
        <f>+'Exhibit A'!N24</f>
        <v>0</v>
      </c>
      <c r="O25" s="1450"/>
      <c r="P25" s="1961"/>
      <c r="Q25" s="1962"/>
      <c r="R25" s="531">
        <f>ROUND(SUM(D25+H25+L25),1)</f>
        <v>517.1</v>
      </c>
      <c r="S25" s="531"/>
      <c r="T25" s="531">
        <f>ROUND(SUM(F25+J25+N25),1)</f>
        <v>11945.5</v>
      </c>
      <c r="U25" s="253"/>
      <c r="V25" s="253"/>
      <c r="W25" s="1451"/>
      <c r="X25" s="1450"/>
      <c r="Y25" s="253">
        <v>1200.2</v>
      </c>
      <c r="Z25" s="253" t="s">
        <v>103</v>
      </c>
      <c r="AA25" s="253">
        <f>+'Exhibit F'!AF105+'Exhibit G State'!AF89</f>
        <v>11884.7</v>
      </c>
      <c r="AB25" s="1299"/>
      <c r="AC25" s="1441"/>
      <c r="AD25" s="253">
        <f>ROUND(SUM(T25-AA25),1)</f>
        <v>60.8</v>
      </c>
      <c r="AF25" s="266">
        <f>ROUND(+AD25/AA25,3)</f>
        <v>5.0000000000000001E-3</v>
      </c>
      <c r="AG25" s="1476"/>
    </row>
    <row r="26" spans="1:33" ht="18" customHeight="1">
      <c r="A26" s="1457" t="s">
        <v>125</v>
      </c>
      <c r="B26" s="1438"/>
      <c r="C26" s="1299"/>
      <c r="D26" s="512">
        <f>+'Exhibit A'!D25</f>
        <v>0.79999999999999938</v>
      </c>
      <c r="E26" s="253"/>
      <c r="F26" s="512">
        <f>+'Exhibit A'!F25</f>
        <v>3.8</v>
      </c>
      <c r="G26" s="253"/>
      <c r="H26" s="512">
        <f>+'Exhibit G State'!J90</f>
        <v>1.8</v>
      </c>
      <c r="I26" s="531"/>
      <c r="J26" s="512">
        <f>+'Exhibit G State'!AC90</f>
        <v>2.1</v>
      </c>
      <c r="K26" s="253"/>
      <c r="L26" s="255">
        <f>+'Exhibit A'!L25</f>
        <v>0</v>
      </c>
      <c r="M26" s="253"/>
      <c r="N26" s="1450">
        <f>+'Exhibit A'!N25</f>
        <v>0</v>
      </c>
      <c r="O26" s="1450"/>
      <c r="P26" s="1961"/>
      <c r="Q26" s="1962"/>
      <c r="R26" s="531">
        <f t="shared" ref="R26:R33" si="4">ROUND(SUM(D26+H26+L26),1)</f>
        <v>2.6</v>
      </c>
      <c r="S26" s="531"/>
      <c r="T26" s="531">
        <f t="shared" ref="T26:T33" si="5">ROUND(SUM(F26+J26+N26),1)</f>
        <v>5.9</v>
      </c>
      <c r="U26" s="253"/>
      <c r="V26" s="253"/>
      <c r="W26" s="1451"/>
      <c r="X26" s="1450"/>
      <c r="Y26" s="253">
        <v>2.4</v>
      </c>
      <c r="Z26" s="253" t="s">
        <v>103</v>
      </c>
      <c r="AA26" s="253">
        <f>+'Exhibit F'!AF106+'Exhibit G State'!AF90</f>
        <v>2.8</v>
      </c>
      <c r="AB26" s="1299"/>
      <c r="AC26" s="1441"/>
      <c r="AD26" s="253">
        <f>ROUND(SUM(T26-AA26),1)</f>
        <v>3.1</v>
      </c>
      <c r="AF26" s="542">
        <f>ROUND(IF(AA26=0,1,AD26/ABS(AA26)),3)</f>
        <v>1.107</v>
      </c>
      <c r="AG26" s="1476"/>
    </row>
    <row r="27" spans="1:33" ht="18" customHeight="1">
      <c r="A27" s="1457" t="s">
        <v>126</v>
      </c>
      <c r="B27" s="1305"/>
      <c r="C27" s="1299"/>
      <c r="D27" s="512">
        <f>+'Exhibit A'!D26</f>
        <v>57.099999999999952</v>
      </c>
      <c r="E27" s="253"/>
      <c r="F27" s="512">
        <f>+'Exhibit A'!F26</f>
        <v>893.19999999999993</v>
      </c>
      <c r="G27" s="253"/>
      <c r="H27" s="512">
        <f>+'Exhibit G State'!J91</f>
        <v>31.900000000000002</v>
      </c>
      <c r="I27" s="253"/>
      <c r="J27" s="512">
        <f>+'Exhibit G State'!AC91</f>
        <v>130.9</v>
      </c>
      <c r="K27" s="253"/>
      <c r="L27" s="255">
        <f>+'Exhibit A'!L26</f>
        <v>0</v>
      </c>
      <c r="M27" s="253"/>
      <c r="N27" s="1450">
        <f>+'Exhibit A'!N26</f>
        <v>0</v>
      </c>
      <c r="O27" s="1450"/>
      <c r="P27" s="1961"/>
      <c r="Q27" s="1962"/>
      <c r="R27" s="531">
        <f t="shared" si="4"/>
        <v>89</v>
      </c>
      <c r="S27" s="531"/>
      <c r="T27" s="531">
        <f t="shared" si="5"/>
        <v>1024.0999999999999</v>
      </c>
      <c r="U27" s="253"/>
      <c r="V27" s="253"/>
      <c r="W27" s="1451"/>
      <c r="X27" s="1450"/>
      <c r="Y27" s="253">
        <v>67.599999999999994</v>
      </c>
      <c r="Z27" s="253" t="s">
        <v>103</v>
      </c>
      <c r="AA27" s="253">
        <f>+'Exhibit F'!AF107+'Exhibit G State'!AF91</f>
        <v>638.29999999999995</v>
      </c>
      <c r="AB27" s="1299"/>
      <c r="AC27" s="1441"/>
      <c r="AD27" s="253">
        <f>ROUND(SUM(T27-AA27),1)</f>
        <v>385.8</v>
      </c>
      <c r="AF27" s="266">
        <f>ROUND(+AD27/AA27,3)</f>
        <v>0.60399999999999998</v>
      </c>
      <c r="AG27" s="1476"/>
    </row>
    <row r="28" spans="1:33" ht="18" customHeight="1">
      <c r="A28" s="1457" t="s">
        <v>127</v>
      </c>
      <c r="B28" s="1305"/>
      <c r="C28" s="1299"/>
      <c r="D28" s="512"/>
      <c r="E28" s="253"/>
      <c r="F28" s="512"/>
      <c r="G28" s="253"/>
      <c r="H28" s="512"/>
      <c r="I28" s="253"/>
      <c r="J28" s="512"/>
      <c r="K28" s="253"/>
      <c r="L28" s="255"/>
      <c r="M28" s="253"/>
      <c r="N28" s="1450"/>
      <c r="O28" s="1450"/>
      <c r="P28" s="1961"/>
      <c r="Q28" s="1962"/>
      <c r="R28" s="531" t="s">
        <v>103</v>
      </c>
      <c r="S28" s="531"/>
      <c r="T28" s="531" t="s">
        <v>103</v>
      </c>
      <c r="U28" s="253"/>
      <c r="V28" s="253"/>
      <c r="W28" s="1451"/>
      <c r="X28" s="1450"/>
      <c r="Y28" s="253"/>
      <c r="Z28" s="253" t="s">
        <v>103</v>
      </c>
      <c r="AA28" s="253" t="s">
        <v>103</v>
      </c>
      <c r="AB28" s="1299"/>
      <c r="AC28" s="1441"/>
      <c r="AD28" s="253"/>
      <c r="AF28" s="266"/>
      <c r="AG28" s="1476"/>
    </row>
    <row r="29" spans="1:33" ht="18" customHeight="1">
      <c r="A29" s="1458" t="s">
        <v>128</v>
      </c>
      <c r="B29" s="1442"/>
      <c r="C29" s="1299"/>
      <c r="D29" s="512">
        <f>+'Exhibit A'!D28</f>
        <v>3777.199999999998</v>
      </c>
      <c r="E29" s="253"/>
      <c r="F29" s="512">
        <f>+'Exhibit A'!F28</f>
        <v>13593.4</v>
      </c>
      <c r="G29" s="253"/>
      <c r="H29" s="512">
        <f>+'Exhibit G State'!J93</f>
        <v>440.00000000000006</v>
      </c>
      <c r="I29" s="253"/>
      <c r="J29" s="512">
        <f>+'Exhibit G State'!AC93</f>
        <v>1763.3</v>
      </c>
      <c r="K29" s="253"/>
      <c r="L29" s="255">
        <f>+'Exhibit A'!L28</f>
        <v>0</v>
      </c>
      <c r="M29" s="253"/>
      <c r="N29" s="1450">
        <f>+'Exhibit A'!N28</f>
        <v>0</v>
      </c>
      <c r="O29" s="1450"/>
      <c r="P29" s="1961"/>
      <c r="Q29" s="1962"/>
      <c r="R29" s="531">
        <f t="shared" si="4"/>
        <v>4217.2</v>
      </c>
      <c r="S29" s="531"/>
      <c r="T29" s="531">
        <f t="shared" si="5"/>
        <v>15356.7</v>
      </c>
      <c r="U29" s="253"/>
      <c r="V29" s="253"/>
      <c r="W29" s="1451"/>
      <c r="X29" s="1450"/>
      <c r="Y29" s="253">
        <v>3484.8</v>
      </c>
      <c r="Z29" s="253" t="s">
        <v>103</v>
      </c>
      <c r="AA29" s="253">
        <f>+'Exhibit F'!AF109+'Exhibit G State'!AF93</f>
        <v>14046.599999999999</v>
      </c>
      <c r="AB29" s="1299"/>
      <c r="AC29" s="1441"/>
      <c r="AD29" s="253">
        <f t="shared" ref="AD29:AD34" si="6">ROUND(SUM(T29-AA29),1)</f>
        <v>1310.0999999999999</v>
      </c>
      <c r="AF29" s="266">
        <f t="shared" ref="AF29:AF34" si="7">ROUND(+AD29/AA29,3)</f>
        <v>9.2999999999999999E-2</v>
      </c>
      <c r="AG29" s="1476"/>
    </row>
    <row r="30" spans="1:33" ht="18" customHeight="1">
      <c r="A30" s="1457" t="s">
        <v>129</v>
      </c>
      <c r="B30" s="1305"/>
      <c r="C30" s="1299"/>
      <c r="D30" s="512">
        <f>+'Exhibit A'!D29</f>
        <v>325.99999999999994</v>
      </c>
      <c r="E30" s="253"/>
      <c r="F30" s="512">
        <f>+'Exhibit A'!F29</f>
        <v>1082</v>
      </c>
      <c r="G30" s="253"/>
      <c r="H30" s="512">
        <f>+'Exhibit G State'!J94</f>
        <v>93.299999999999898</v>
      </c>
      <c r="I30" s="253"/>
      <c r="J30" s="512">
        <f>+'Exhibit G State'!AC94</f>
        <v>613.29999999999995</v>
      </c>
      <c r="K30" s="253"/>
      <c r="L30" s="255">
        <f>+'Exhibit A'!L29</f>
        <v>0</v>
      </c>
      <c r="M30" s="253"/>
      <c r="N30" s="1450">
        <f>+'Exhibit A'!N29</f>
        <v>0</v>
      </c>
      <c r="O30" s="1450"/>
      <c r="P30" s="1961"/>
      <c r="Q30" s="1962"/>
      <c r="R30" s="531">
        <f t="shared" si="4"/>
        <v>419.3</v>
      </c>
      <c r="S30" s="531"/>
      <c r="T30" s="531">
        <f t="shared" si="5"/>
        <v>1695.3</v>
      </c>
      <c r="U30" s="253"/>
      <c r="V30" s="253"/>
      <c r="W30" s="1451"/>
      <c r="X30" s="1450"/>
      <c r="Y30" s="253">
        <v>541</v>
      </c>
      <c r="Z30" s="253" t="s">
        <v>103</v>
      </c>
      <c r="AA30" s="253">
        <f>+'Exhibit F'!AF110+'Exhibit G State'!AF94</f>
        <v>1954.4</v>
      </c>
      <c r="AB30" s="1299"/>
      <c r="AC30" s="1441"/>
      <c r="AD30" s="253">
        <f t="shared" si="6"/>
        <v>-259.10000000000002</v>
      </c>
      <c r="AF30" s="266">
        <f t="shared" si="7"/>
        <v>-0.13300000000000001</v>
      </c>
      <c r="AG30" s="1476"/>
    </row>
    <row r="31" spans="1:33" ht="18" customHeight="1">
      <c r="A31" s="1457" t="s">
        <v>130</v>
      </c>
      <c r="B31" s="1299"/>
      <c r="C31" s="1299"/>
      <c r="D31" s="512">
        <f>+'Exhibit A'!D30</f>
        <v>39.5</v>
      </c>
      <c r="E31" s="253"/>
      <c r="F31" s="512">
        <f>+'Exhibit A'!F30</f>
        <v>190.3</v>
      </c>
      <c r="G31" s="253"/>
      <c r="H31" s="512">
        <f>+'Exhibit G State'!J95</f>
        <v>48.100000000000009</v>
      </c>
      <c r="I31" s="253"/>
      <c r="J31" s="512">
        <f>+'Exhibit G State'!AC95</f>
        <v>159.4</v>
      </c>
      <c r="K31" s="253"/>
      <c r="L31" s="255">
        <f>+'Exhibit A'!L30</f>
        <v>0</v>
      </c>
      <c r="M31" s="253"/>
      <c r="N31" s="1450">
        <f>+'Exhibit A'!N30</f>
        <v>0</v>
      </c>
      <c r="O31" s="1450"/>
      <c r="P31" s="1961"/>
      <c r="Q31" s="1962"/>
      <c r="R31" s="531">
        <f t="shared" si="4"/>
        <v>87.6</v>
      </c>
      <c r="S31" s="531"/>
      <c r="T31" s="531">
        <f t="shared" si="5"/>
        <v>349.7</v>
      </c>
      <c r="U31" s="253"/>
      <c r="V31" s="253"/>
      <c r="W31" s="1451"/>
      <c r="X31" s="1450"/>
      <c r="Y31" s="253">
        <v>71.899999999999991</v>
      </c>
      <c r="Z31" s="253" t="s">
        <v>103</v>
      </c>
      <c r="AA31" s="253">
        <f>+'Exhibit F'!AF111+'Exhibit G State'!AF95</f>
        <v>258.70000000000005</v>
      </c>
      <c r="AB31" s="1299"/>
      <c r="AC31" s="1441"/>
      <c r="AD31" s="253">
        <f t="shared" si="6"/>
        <v>91</v>
      </c>
      <c r="AF31" s="266">
        <f t="shared" si="7"/>
        <v>0.35199999999999998</v>
      </c>
      <c r="AG31" s="1476"/>
    </row>
    <row r="32" spans="1:33" ht="18" customHeight="1">
      <c r="A32" s="1457" t="s">
        <v>131</v>
      </c>
      <c r="B32" s="1299"/>
      <c r="C32" s="1299"/>
      <c r="D32" s="512">
        <f>+'Exhibit A'!D31</f>
        <v>208.79999999999998</v>
      </c>
      <c r="E32" s="253"/>
      <c r="F32" s="512">
        <f>+'Exhibit A'!F31</f>
        <v>1135.5999999999999</v>
      </c>
      <c r="G32" s="253"/>
      <c r="H32" s="512">
        <f>+'Exhibit G State'!J96</f>
        <v>1.6999999999999997</v>
      </c>
      <c r="I32" s="253"/>
      <c r="J32" s="512">
        <f>+'Exhibit G State'!AC96</f>
        <v>6.5</v>
      </c>
      <c r="K32" s="253"/>
      <c r="L32" s="255">
        <f>+'Exhibit A'!L31</f>
        <v>0</v>
      </c>
      <c r="M32" s="253"/>
      <c r="N32" s="1450">
        <f>+'Exhibit A'!N31</f>
        <v>0</v>
      </c>
      <c r="O32" s="1450"/>
      <c r="P32" s="1961"/>
      <c r="Q32" s="1962"/>
      <c r="R32" s="531">
        <f t="shared" si="4"/>
        <v>210.5</v>
      </c>
      <c r="S32" s="531"/>
      <c r="T32" s="531">
        <f t="shared" si="5"/>
        <v>1142.0999999999999</v>
      </c>
      <c r="U32" s="253"/>
      <c r="V32" s="253"/>
      <c r="W32" s="1451"/>
      <c r="X32" s="1450"/>
      <c r="Y32" s="253">
        <v>179.6</v>
      </c>
      <c r="Z32" s="253" t="s">
        <v>103</v>
      </c>
      <c r="AA32" s="253">
        <f>+'Exhibit F'!AF112+'Exhibit G State'!AF96</f>
        <v>937.1</v>
      </c>
      <c r="AB32" s="1299"/>
      <c r="AC32" s="1441"/>
      <c r="AD32" s="253">
        <f t="shared" si="6"/>
        <v>205</v>
      </c>
      <c r="AF32" s="266">
        <f t="shared" si="7"/>
        <v>0.219</v>
      </c>
      <c r="AG32" s="1476"/>
    </row>
    <row r="33" spans="1:33" ht="18" customHeight="1">
      <c r="A33" s="1457" t="s">
        <v>132</v>
      </c>
      <c r="B33" s="1299"/>
      <c r="C33" s="1299"/>
      <c r="D33" s="512">
        <f>+'Exhibit A'!D32</f>
        <v>22.399999999999984</v>
      </c>
      <c r="E33" s="253"/>
      <c r="F33" s="512">
        <f>+'Exhibit A'!F32</f>
        <v>92.6</v>
      </c>
      <c r="G33" s="253"/>
      <c r="H33" s="512">
        <f>+'Exhibit G State'!J97</f>
        <v>2.1999999999999993</v>
      </c>
      <c r="I33" s="253"/>
      <c r="J33" s="512">
        <f>+'Exhibit G State'!AC97</f>
        <v>5.8</v>
      </c>
      <c r="K33" s="253"/>
      <c r="L33" s="255">
        <f>+'Exhibit A'!L32</f>
        <v>0</v>
      </c>
      <c r="M33" s="253"/>
      <c r="N33" s="1450">
        <f>+'Exhibit A'!N32</f>
        <v>0</v>
      </c>
      <c r="O33" s="1450"/>
      <c r="P33" s="1961"/>
      <c r="Q33" s="1962"/>
      <c r="R33" s="531">
        <f t="shared" si="4"/>
        <v>24.6</v>
      </c>
      <c r="S33" s="531"/>
      <c r="T33" s="531">
        <f t="shared" si="5"/>
        <v>98.4</v>
      </c>
      <c r="U33" s="253"/>
      <c r="V33" s="253"/>
      <c r="W33" s="1451"/>
      <c r="X33" s="1450"/>
      <c r="Y33" s="253">
        <v>23.299999999999997</v>
      </c>
      <c r="Z33" s="253" t="s">
        <v>103</v>
      </c>
      <c r="AA33" s="253">
        <f>+'Exhibit F'!AF113+'Exhibit G State'!AF97</f>
        <v>90.7</v>
      </c>
      <c r="AB33" s="1299"/>
      <c r="AC33" s="1441"/>
      <c r="AD33" s="253">
        <f t="shared" si="6"/>
        <v>7.7</v>
      </c>
      <c r="AF33" s="266">
        <f t="shared" si="7"/>
        <v>8.5000000000000006E-2</v>
      </c>
      <c r="AG33" s="1476"/>
    </row>
    <row r="34" spans="1:33" ht="18" customHeight="1">
      <c r="A34" s="1457" t="s">
        <v>133</v>
      </c>
      <c r="B34" s="1299"/>
      <c r="C34" s="1299"/>
      <c r="D34" s="512">
        <f>+'Exhibit A'!D33</f>
        <v>0.20000000000000567</v>
      </c>
      <c r="E34" s="253"/>
      <c r="F34" s="512">
        <f>+'Exhibit A'!F33</f>
        <v>73</v>
      </c>
      <c r="G34" s="253"/>
      <c r="H34" s="512">
        <f>+'Exhibit G State'!J98</f>
        <v>410.90000000000015</v>
      </c>
      <c r="I34" s="253"/>
      <c r="J34" s="512">
        <f>+'Exhibit G State'!AC98</f>
        <v>1543.2</v>
      </c>
      <c r="K34" s="253"/>
      <c r="L34" s="255">
        <f>+'Exhibit A'!L33</f>
        <v>0</v>
      </c>
      <c r="M34" s="253"/>
      <c r="N34" s="1450">
        <f>+'Exhibit A'!N33</f>
        <v>0</v>
      </c>
      <c r="O34" s="1450"/>
      <c r="P34" s="1961"/>
      <c r="Q34" s="1962"/>
      <c r="R34" s="981">
        <f>ROUND(SUM(D34+H34+L34),1)</f>
        <v>411.1</v>
      </c>
      <c r="S34" s="531"/>
      <c r="T34" s="981">
        <f>ROUND(SUM(F34+J34+N34),1)</f>
        <v>1616.2</v>
      </c>
      <c r="U34" s="253"/>
      <c r="V34" s="253"/>
      <c r="W34" s="1451"/>
      <c r="X34" s="1450"/>
      <c r="Y34" s="253">
        <v>642.70000000000005</v>
      </c>
      <c r="Z34" s="253" t="s">
        <v>103</v>
      </c>
      <c r="AA34" s="253">
        <f>+'Exhibit F'!AF114+'Exhibit G State'!AF98</f>
        <v>1821.2</v>
      </c>
      <c r="AB34" s="1299"/>
      <c r="AC34" s="1441"/>
      <c r="AD34" s="253">
        <f t="shared" si="6"/>
        <v>-205</v>
      </c>
      <c r="AF34" s="266">
        <f t="shared" si="7"/>
        <v>-0.113</v>
      </c>
      <c r="AG34" s="1476"/>
    </row>
    <row r="35" spans="1:33" ht="18" customHeight="1">
      <c r="A35" s="1300" t="s">
        <v>134</v>
      </c>
      <c r="B35" s="1299"/>
      <c r="C35" s="1299"/>
      <c r="D35" s="1452">
        <f>ROUND(SUM(D25:D34),1)</f>
        <v>4948.8999999999996</v>
      </c>
      <c r="E35" s="1"/>
      <c r="F35" s="1452">
        <f>ROUND(SUM(F25:F34),1)</f>
        <v>28725.599999999999</v>
      </c>
      <c r="G35" s="1"/>
      <c r="H35" s="1452">
        <f>ROUND(SUM(H25:H34),1)</f>
        <v>1030.0999999999999</v>
      </c>
      <c r="I35" s="1"/>
      <c r="J35" s="1452">
        <f>ROUND(SUM(J25:J34),1)</f>
        <v>4508.3</v>
      </c>
      <c r="K35" s="1"/>
      <c r="L35" s="1459">
        <f>ROUND(SUM(L25:L34),1)</f>
        <v>0</v>
      </c>
      <c r="M35" s="1"/>
      <c r="N35" s="2032">
        <f>ROUND(SUM(N25:N34),1)</f>
        <v>0</v>
      </c>
      <c r="O35" s="1460"/>
      <c r="P35" s="2033"/>
      <c r="Q35" s="2034"/>
      <c r="R35" s="1452">
        <f>ROUND(SUM(R25:R34),1)</f>
        <v>5979</v>
      </c>
      <c r="S35" s="1460"/>
      <c r="T35" s="1452">
        <f>ROUND(SUM(T25:T34),1)</f>
        <v>33233.9</v>
      </c>
      <c r="U35" s="1"/>
      <c r="V35" s="1"/>
      <c r="W35" s="1461"/>
      <c r="X35" s="1460"/>
      <c r="Y35" s="1452">
        <f>ROUND(SUM(Y25:Y34),1)</f>
        <v>6213.5</v>
      </c>
      <c r="Z35" s="1"/>
      <c r="AA35" s="1452">
        <f>ROUND(SUM(AA25:AA34),1)</f>
        <v>31634.5</v>
      </c>
      <c r="AB35" s="1300"/>
      <c r="AC35" s="1455"/>
      <c r="AD35" s="1452">
        <f>ROUND(SUM(AD25:AD34),1)</f>
        <v>1599.4</v>
      </c>
      <c r="AE35" s="1409"/>
      <c r="AF35" s="1456">
        <f>ROUND(+AD35/AA35,3)</f>
        <v>5.0999999999999997E-2</v>
      </c>
      <c r="AG35" s="1476"/>
    </row>
    <row r="36" spans="1:33" ht="18" customHeight="1">
      <c r="A36" s="1299" t="s">
        <v>135</v>
      </c>
      <c r="B36" s="1305"/>
      <c r="C36" s="1299"/>
      <c r="D36" s="253"/>
      <c r="E36" s="253"/>
      <c r="F36" s="253"/>
      <c r="G36" s="253"/>
      <c r="H36" s="253"/>
      <c r="I36" s="253"/>
      <c r="J36" s="253"/>
      <c r="K36" s="253"/>
      <c r="L36" s="253"/>
      <c r="M36" s="253"/>
      <c r="N36" s="253"/>
      <c r="O36" s="253"/>
      <c r="P36" s="1959"/>
      <c r="Q36" s="1960"/>
      <c r="R36" s="253"/>
      <c r="S36" s="253"/>
      <c r="T36" s="253"/>
      <c r="U36" s="253"/>
      <c r="V36" s="253"/>
      <c r="W36" s="1448"/>
      <c r="X36" s="253"/>
      <c r="Y36" s="253"/>
      <c r="Z36" s="253"/>
      <c r="AA36" s="253"/>
      <c r="AB36" s="1299"/>
      <c r="AC36" s="1441"/>
      <c r="AD36" s="253"/>
      <c r="AF36" s="284"/>
      <c r="AG36" s="1476"/>
    </row>
    <row r="37" spans="1:33" ht="18" customHeight="1">
      <c r="A37" s="1299" t="s">
        <v>136</v>
      </c>
      <c r="B37" s="1438"/>
      <c r="C37" s="1299"/>
      <c r="D37" s="253">
        <f>+'Exhibit A'!D36</f>
        <v>1153.3000000000004</v>
      </c>
      <c r="E37" s="253"/>
      <c r="F37" s="512">
        <f>+'Exhibit A'!F36</f>
        <v>4190.1000000000004</v>
      </c>
      <c r="G37" s="253"/>
      <c r="H37" s="253">
        <f>+'Exhibit G State'!J101</f>
        <v>745.80000000000018</v>
      </c>
      <c r="I37" s="253"/>
      <c r="J37" s="512">
        <f>+'Exhibit G State'!AC101</f>
        <v>2294.9</v>
      </c>
      <c r="K37" s="253"/>
      <c r="L37" s="1450">
        <f>+'Exhibit A'!L36</f>
        <v>0</v>
      </c>
      <c r="M37" s="531"/>
      <c r="N37" s="1450">
        <f>+'Exhibit A'!N36</f>
        <v>0</v>
      </c>
      <c r="O37" s="1450"/>
      <c r="P37" s="1961"/>
      <c r="Q37" s="1962"/>
      <c r="R37" s="531">
        <f>ROUND(SUM(D37+H37+L37),1)</f>
        <v>1899.1</v>
      </c>
      <c r="S37" s="1450"/>
      <c r="T37" s="253">
        <f>ROUND(SUM(F37+J37+N37),1)</f>
        <v>6485</v>
      </c>
      <c r="U37" s="253"/>
      <c r="V37" s="253"/>
      <c r="W37" s="1451"/>
      <c r="X37" s="1450"/>
      <c r="Y37" s="253">
        <v>1959.7</v>
      </c>
      <c r="Z37" s="253" t="s">
        <v>103</v>
      </c>
      <c r="AA37" s="253">
        <f>+'Exhibit F'!AF117+'Exhibit G State'!AF101</f>
        <v>6422.7000000000007</v>
      </c>
      <c r="AB37" s="1299"/>
      <c r="AC37" s="1441"/>
      <c r="AD37" s="253">
        <f t="shared" ref="AD37:AD41" si="8">ROUND(SUM(T37-AA37),1)</f>
        <v>62.3</v>
      </c>
      <c r="AF37" s="266">
        <f>ROUND(+AD37/AA37,3)</f>
        <v>0.01</v>
      </c>
      <c r="AG37" s="1476"/>
    </row>
    <row r="38" spans="1:33" ht="18" customHeight="1">
      <c r="A38" s="1299" t="s">
        <v>137</v>
      </c>
      <c r="B38" s="1305"/>
      <c r="C38" s="1299"/>
      <c r="D38" s="253">
        <f>+'Exhibit A'!D37</f>
        <v>354.29999999999995</v>
      </c>
      <c r="E38" s="253"/>
      <c r="F38" s="512">
        <f>+'Exhibit A'!F37</f>
        <v>1099.8</v>
      </c>
      <c r="G38" s="253"/>
      <c r="H38" s="253">
        <f>+'Exhibit G State'!J102</f>
        <v>328</v>
      </c>
      <c r="I38" s="253"/>
      <c r="J38" s="512">
        <f>+'Exhibit G State'!AC102</f>
        <v>1351.3</v>
      </c>
      <c r="K38" s="253"/>
      <c r="L38" s="1450">
        <f>+'Exhibit A'!L37</f>
        <v>7.7</v>
      </c>
      <c r="M38" s="531"/>
      <c r="N38" s="1450">
        <f>+'Exhibit A'!N37</f>
        <v>9.1</v>
      </c>
      <c r="O38" s="253"/>
      <c r="P38" s="1959"/>
      <c r="Q38" s="1960"/>
      <c r="R38" s="531">
        <f>ROUND(SUM(D38+H38+L38),1)</f>
        <v>690</v>
      </c>
      <c r="S38" s="1450"/>
      <c r="T38" s="253">
        <f>ROUND(SUM(F38+J38+N38),1)</f>
        <v>2460.1999999999998</v>
      </c>
      <c r="U38" s="253"/>
      <c r="V38" s="253"/>
      <c r="W38" s="1448"/>
      <c r="X38" s="253"/>
      <c r="Y38" s="253">
        <v>638.79999999999995</v>
      </c>
      <c r="Z38" s="253" t="s">
        <v>103</v>
      </c>
      <c r="AA38" s="253">
        <f>+'Exhibit F'!AF118+'Exhibit G State'!AF102+'Exhibit H'!AD59</f>
        <v>2262.4999999999995</v>
      </c>
      <c r="AB38" s="1299"/>
      <c r="AC38" s="1441"/>
      <c r="AD38" s="253">
        <f t="shared" si="8"/>
        <v>197.7</v>
      </c>
      <c r="AF38" s="266">
        <f>ROUND(+AD38/AA38,3)</f>
        <v>8.6999999999999994E-2</v>
      </c>
      <c r="AG38" s="1476"/>
    </row>
    <row r="39" spans="1:33" ht="18" customHeight="1">
      <c r="A39" s="1299" t="s">
        <v>138</v>
      </c>
      <c r="B39" s="1447"/>
      <c r="C39" s="1299"/>
      <c r="D39" s="253">
        <f>+'Exhibit A'!D38</f>
        <v>734.8</v>
      </c>
      <c r="E39" s="253"/>
      <c r="F39" s="512">
        <f>+'Exhibit A'!F38</f>
        <v>3081.7</v>
      </c>
      <c r="G39" s="253"/>
      <c r="H39" s="253">
        <f>+'Exhibit G State'!J103</f>
        <v>192.10000000000005</v>
      </c>
      <c r="I39" s="253"/>
      <c r="J39" s="512">
        <f>+'Exhibit G State'!AC103</f>
        <v>513.20000000000005</v>
      </c>
      <c r="K39" s="253"/>
      <c r="L39" s="1450">
        <f>+'Exhibit A'!L38</f>
        <v>0</v>
      </c>
      <c r="M39" s="253"/>
      <c r="N39" s="1450">
        <f>+'Exhibit A'!N38</f>
        <v>0</v>
      </c>
      <c r="O39" s="1450"/>
      <c r="P39" s="1961"/>
      <c r="Q39" s="1962"/>
      <c r="R39" s="531">
        <f>ROUND(SUM(D39+H39+L39),1)</f>
        <v>926.9</v>
      </c>
      <c r="S39" s="1450"/>
      <c r="T39" s="253">
        <f>ROUND(SUM(F39+J39+N39),1)</f>
        <v>3594.9</v>
      </c>
      <c r="U39" s="253"/>
      <c r="V39" s="253"/>
      <c r="W39" s="1451"/>
      <c r="X39" s="1450"/>
      <c r="Y39" s="253">
        <v>769.4</v>
      </c>
      <c r="Z39" s="253" t="s">
        <v>103</v>
      </c>
      <c r="AA39" s="253">
        <f>+'Exhibit F'!AF119+'Exhibit G State'!AF103</f>
        <v>3142.7999999999997</v>
      </c>
      <c r="AB39" s="1299"/>
      <c r="AC39" s="1441"/>
      <c r="AD39" s="253">
        <f t="shared" si="8"/>
        <v>452.1</v>
      </c>
      <c r="AF39" s="266">
        <f>ROUND(+AD39/AA39,3)</f>
        <v>0.14399999999999999</v>
      </c>
      <c r="AG39" s="1476"/>
    </row>
    <row r="40" spans="1:33" ht="18" customHeight="1">
      <c r="A40" s="1299" t="s">
        <v>139</v>
      </c>
      <c r="B40" s="1299"/>
      <c r="C40" s="1299"/>
      <c r="D40" s="253"/>
      <c r="E40" s="253"/>
      <c r="F40" s="253"/>
      <c r="G40" s="253"/>
      <c r="H40" s="253"/>
      <c r="I40" s="253"/>
      <c r="J40" s="253"/>
      <c r="K40" s="253"/>
      <c r="L40" s="253"/>
      <c r="M40" s="253"/>
      <c r="N40" s="253"/>
      <c r="O40" s="253"/>
      <c r="P40" s="1959"/>
      <c r="Q40" s="1960"/>
      <c r="R40" s="531" t="s">
        <v>103</v>
      </c>
      <c r="S40" s="253"/>
      <c r="T40" s="253" t="s">
        <v>103</v>
      </c>
      <c r="U40" s="253"/>
      <c r="V40" s="253"/>
      <c r="W40" s="1448"/>
      <c r="X40" s="253"/>
      <c r="Y40" s="253" t="s">
        <v>103</v>
      </c>
      <c r="Z40" s="253"/>
      <c r="AA40" s="253" t="s">
        <v>103</v>
      </c>
      <c r="AB40" s="1299"/>
      <c r="AC40" s="1441"/>
      <c r="AD40" s="253"/>
      <c r="AF40" s="266"/>
      <c r="AG40" s="1476"/>
    </row>
    <row r="41" spans="1:33" ht="18" customHeight="1">
      <c r="A41" s="1299" t="s">
        <v>1424</v>
      </c>
      <c r="B41" s="1438"/>
      <c r="C41" s="1299"/>
      <c r="D41" s="1450">
        <v>0</v>
      </c>
      <c r="E41" s="253"/>
      <c r="F41" s="1450">
        <v>0</v>
      </c>
      <c r="G41" s="253"/>
      <c r="H41" s="1450">
        <v>0</v>
      </c>
      <c r="I41" s="253"/>
      <c r="J41" s="1450">
        <v>0</v>
      </c>
      <c r="K41" s="253"/>
      <c r="L41" s="1450">
        <f>+'Exhibit A'!L40</f>
        <v>0</v>
      </c>
      <c r="M41" s="531"/>
      <c r="N41" s="1450">
        <f>+'Exhibit A'!N40</f>
        <v>15</v>
      </c>
      <c r="O41" s="253"/>
      <c r="P41" s="1959"/>
      <c r="Q41" s="1960"/>
      <c r="R41" s="531">
        <f>ROUND(SUM(D41+H41+L41),1)</f>
        <v>0</v>
      </c>
      <c r="S41" s="253"/>
      <c r="T41" s="253">
        <f>ROUND(SUM(F41+J41+N41),1)</f>
        <v>15</v>
      </c>
      <c r="U41" s="253"/>
      <c r="V41" s="253"/>
      <c r="W41" s="1448"/>
      <c r="X41" s="253"/>
      <c r="Y41" s="253">
        <v>0</v>
      </c>
      <c r="Z41" s="253" t="s">
        <v>103</v>
      </c>
      <c r="AA41" s="253">
        <f>+'Exhibit H'!AD61</f>
        <v>27.7</v>
      </c>
      <c r="AB41" s="1299"/>
      <c r="AC41" s="1441"/>
      <c r="AD41" s="253">
        <f t="shared" si="8"/>
        <v>-12.7</v>
      </c>
      <c r="AF41" s="266">
        <f>ROUND(+AD41/AA41,3)</f>
        <v>-0.45800000000000002</v>
      </c>
      <c r="AG41" s="1476"/>
    </row>
    <row r="42" spans="1:33" ht="18" customHeight="1">
      <c r="A42" s="1299" t="s">
        <v>140</v>
      </c>
      <c r="B42" s="1438"/>
      <c r="C42" s="1299"/>
      <c r="D42" s="1450">
        <v>0</v>
      </c>
      <c r="E42" s="253"/>
      <c r="F42" s="1450">
        <v>0</v>
      </c>
      <c r="G42" s="253"/>
      <c r="H42" s="1450">
        <f>'Exhibit G State'!J104</f>
        <v>0</v>
      </c>
      <c r="I42" s="253"/>
      <c r="J42" s="1450">
        <f>'Exhibit G State'!AC104</f>
        <v>0</v>
      </c>
      <c r="K42" s="253"/>
      <c r="L42" s="1450">
        <v>0</v>
      </c>
      <c r="M42" s="531"/>
      <c r="N42" s="1450">
        <v>0</v>
      </c>
      <c r="O42" s="253"/>
      <c r="P42" s="1959"/>
      <c r="Q42" s="1960"/>
      <c r="R42" s="531">
        <f>ROUND(SUM(D42+H42+L42),1)</f>
        <v>0</v>
      </c>
      <c r="S42" s="253"/>
      <c r="T42" s="253">
        <f>ROUND(SUM(F42+J42+N42),1)</f>
        <v>0</v>
      </c>
      <c r="U42" s="253"/>
      <c r="V42" s="253"/>
      <c r="W42" s="1448"/>
      <c r="X42" s="253"/>
      <c r="Y42" s="253">
        <v>0</v>
      </c>
      <c r="Z42" s="253"/>
      <c r="AA42" s="253">
        <f>'Exhibit G State'!AF104</f>
        <v>0</v>
      </c>
      <c r="AB42" s="1299"/>
      <c r="AC42" s="1441"/>
      <c r="AD42" s="253">
        <f>ROUND(SUM(T42-AA42),1)</f>
        <v>0</v>
      </c>
      <c r="AF42" s="266">
        <f>IF(AA42=0,0,AD42/AA42)</f>
        <v>0</v>
      </c>
      <c r="AG42" s="1476"/>
    </row>
    <row r="43" spans="1:33" ht="18" customHeight="1">
      <c r="A43" s="1300" t="s">
        <v>162</v>
      </c>
      <c r="B43" s="1299"/>
      <c r="C43" s="1299"/>
      <c r="D43" s="1452">
        <f>SUM(D35:D42)</f>
        <v>7191.3</v>
      </c>
      <c r="E43" s="1"/>
      <c r="F43" s="1452">
        <f>SUM(F35:F42)</f>
        <v>37097.199999999997</v>
      </c>
      <c r="G43" s="1"/>
      <c r="H43" s="1452">
        <f>SUM(H35:H42)</f>
        <v>2296</v>
      </c>
      <c r="I43" s="1"/>
      <c r="J43" s="1452">
        <f>SUM(J35:J42)</f>
        <v>8667.7000000000007</v>
      </c>
      <c r="K43" s="1"/>
      <c r="L43" s="1452">
        <f>SUM(L35:L42)</f>
        <v>7.7</v>
      </c>
      <c r="M43" s="1"/>
      <c r="N43" s="1452">
        <f>SUM(N35:N42)</f>
        <v>24.1</v>
      </c>
      <c r="O43" s="1"/>
      <c r="P43" s="1463"/>
      <c r="Q43" s="1964"/>
      <c r="R43" s="1452">
        <f>ROUND(SUM(R35:R42),1)</f>
        <v>9495</v>
      </c>
      <c r="S43" s="1"/>
      <c r="T43" s="1452">
        <f>ROUND(SUM(T35:T42),1)</f>
        <v>45789</v>
      </c>
      <c r="U43" s="1"/>
      <c r="V43" s="1"/>
      <c r="W43" s="1454"/>
      <c r="X43" s="1"/>
      <c r="Y43" s="1452">
        <f>ROUND(SUM(Y35:Y42),1)</f>
        <v>9581.4</v>
      </c>
      <c r="Z43" s="1"/>
      <c r="AA43" s="1452">
        <f>ROUND(SUM(AA35:AA42),1)</f>
        <v>43490.2</v>
      </c>
      <c r="AB43" s="1300"/>
      <c r="AC43" s="1455"/>
      <c r="AD43" s="1452">
        <f>ROUND(SUM(AD35:AD42),1)</f>
        <v>2298.8000000000002</v>
      </c>
      <c r="AE43" s="1409"/>
      <c r="AF43" s="1456">
        <f>ROUND(+AD43/AA43,3)</f>
        <v>5.2999999999999999E-2</v>
      </c>
      <c r="AG43" s="1476"/>
    </row>
    <row r="44" spans="1:33" ht="16.399999999999999" customHeight="1">
      <c r="A44" s="1300"/>
      <c r="B44" s="1299"/>
      <c r="C44" s="1299"/>
      <c r="D44" s="253"/>
      <c r="E44" s="253"/>
      <c r="F44" s="253"/>
      <c r="G44" s="253"/>
      <c r="H44" s="253"/>
      <c r="I44" s="253"/>
      <c r="J44" s="253"/>
      <c r="K44" s="253"/>
      <c r="L44" s="253"/>
      <c r="M44" s="253"/>
      <c r="N44" s="253"/>
      <c r="O44" s="253"/>
      <c r="P44" s="1959"/>
      <c r="Q44" s="1960"/>
      <c r="R44" s="253"/>
      <c r="S44" s="253"/>
      <c r="T44" s="253"/>
      <c r="U44" s="253"/>
      <c r="V44" s="253"/>
      <c r="W44" s="1448"/>
      <c r="X44" s="253"/>
      <c r="Y44" s="253"/>
      <c r="Z44" s="253"/>
      <c r="AA44" s="253"/>
      <c r="AB44" s="1299"/>
      <c r="AC44" s="1441"/>
      <c r="AD44" s="253"/>
      <c r="AF44" s="284"/>
      <c r="AG44" s="1476"/>
    </row>
    <row r="45" spans="1:33" ht="16.399999999999999" customHeight="1">
      <c r="A45" s="1300" t="s">
        <v>143</v>
      </c>
      <c r="B45" s="1300"/>
      <c r="C45" s="1299"/>
      <c r="D45" s="253"/>
      <c r="E45" s="253"/>
      <c r="F45" s="253"/>
      <c r="G45" s="253"/>
      <c r="H45" s="253"/>
      <c r="I45" s="253"/>
      <c r="J45" s="253"/>
      <c r="K45" s="253"/>
      <c r="L45" s="253"/>
      <c r="M45" s="253"/>
      <c r="N45" s="253"/>
      <c r="O45" s="253"/>
      <c r="P45" s="1959"/>
      <c r="Q45" s="1960"/>
      <c r="R45" s="253"/>
      <c r="S45" s="253"/>
      <c r="T45" s="253"/>
      <c r="U45" s="253"/>
      <c r="V45" s="253"/>
      <c r="W45" s="1448"/>
      <c r="X45" s="253"/>
      <c r="Y45" s="253"/>
      <c r="Z45" s="253"/>
      <c r="AA45" s="253"/>
      <c r="AB45" s="1299"/>
      <c r="AC45" s="1441"/>
      <c r="AD45" s="253"/>
      <c r="AF45" s="284"/>
      <c r="AG45" s="1476"/>
    </row>
    <row r="46" spans="1:33" ht="16.399999999999999" customHeight="1">
      <c r="A46" s="1300" t="s">
        <v>144</v>
      </c>
      <c r="B46" s="1300"/>
      <c r="C46" s="1299"/>
      <c r="D46" s="979">
        <f>ROUND(SUM(D21-D43),1)</f>
        <v>-3264.1</v>
      </c>
      <c r="E46" s="1"/>
      <c r="F46" s="979">
        <f>ROUND(SUM(F21-F43),1)</f>
        <v>-12652.9</v>
      </c>
      <c r="G46" s="1"/>
      <c r="H46" s="979">
        <f>ROUND(SUM(H21-H43),1)</f>
        <v>731.2</v>
      </c>
      <c r="I46" s="1"/>
      <c r="J46" s="979">
        <f>ROUND(SUM(J21-J43),1)</f>
        <v>3002.5</v>
      </c>
      <c r="K46" s="1"/>
      <c r="L46" s="979">
        <f>ROUND(SUM(L21-L43),1)</f>
        <v>3474.5</v>
      </c>
      <c r="M46" s="1" t="s">
        <v>103</v>
      </c>
      <c r="N46" s="979">
        <f>ROUND(SUM(N21-N43),1)</f>
        <v>19506.5</v>
      </c>
      <c r="O46" s="1"/>
      <c r="P46" s="1463"/>
      <c r="Q46" s="1964"/>
      <c r="R46" s="979">
        <f>ROUND(SUM(+R21-R43),1)</f>
        <v>941.6</v>
      </c>
      <c r="S46" s="1"/>
      <c r="T46" s="979">
        <f>ROUND(SUM(+T21-T43),1)</f>
        <v>9856.1</v>
      </c>
      <c r="U46" s="1"/>
      <c r="V46" s="1"/>
      <c r="W46" s="1454"/>
      <c r="X46" s="1"/>
      <c r="Y46" s="979">
        <f>ROUND(SUM(Y21-Y43),1)</f>
        <v>-570.9</v>
      </c>
      <c r="Z46" s="1" t="s">
        <v>103</v>
      </c>
      <c r="AA46" s="979">
        <f>ROUND(SUM(AA21-AA43),1)</f>
        <v>5291.7</v>
      </c>
      <c r="AB46" s="1300"/>
      <c r="AC46" s="1455"/>
      <c r="AD46" s="979">
        <f>ROUND(SUM(AD21-AD43),1)</f>
        <v>4564.3999999999996</v>
      </c>
      <c r="AE46" s="1409"/>
      <c r="AF46" s="539">
        <f>ROUND(AD46/ABS(AA46),3)</f>
        <v>0.86299999999999999</v>
      </c>
      <c r="AG46" s="1476"/>
    </row>
    <row r="47" spans="1:33" ht="16.399999999999999" customHeight="1">
      <c r="A47" s="1299"/>
      <c r="B47" s="1299"/>
      <c r="C47" s="1299"/>
      <c r="D47" s="253"/>
      <c r="E47" s="253"/>
      <c r="F47" s="253"/>
      <c r="G47" s="253"/>
      <c r="H47" s="253"/>
      <c r="I47" s="253"/>
      <c r="J47" s="253"/>
      <c r="K47" s="253"/>
      <c r="L47" s="253"/>
      <c r="M47" s="253"/>
      <c r="N47" s="253"/>
      <c r="O47" s="253"/>
      <c r="P47" s="1959"/>
      <c r="Q47" s="1960"/>
      <c r="R47" s="253"/>
      <c r="S47" s="253"/>
      <c r="T47" s="253"/>
      <c r="U47" s="253"/>
      <c r="V47" s="253"/>
      <c r="W47" s="1448"/>
      <c r="X47" s="253"/>
      <c r="Y47" s="253"/>
      <c r="Z47" s="253"/>
      <c r="AA47" s="253"/>
      <c r="AB47" s="1299"/>
      <c r="AC47" s="1441"/>
      <c r="AD47" s="253"/>
      <c r="AF47" s="284"/>
      <c r="AG47" s="1476"/>
    </row>
    <row r="48" spans="1:33" ht="16.399999999999999" customHeight="1">
      <c r="A48" s="1300" t="s">
        <v>145</v>
      </c>
      <c r="B48" s="1300"/>
      <c r="C48" s="1299"/>
      <c r="D48" s="253"/>
      <c r="E48" s="253"/>
      <c r="F48" s="253"/>
      <c r="G48" s="253"/>
      <c r="H48" s="253"/>
      <c r="I48" s="253"/>
      <c r="J48" s="253"/>
      <c r="K48" s="253"/>
      <c r="L48" s="253"/>
      <c r="M48" s="253"/>
      <c r="N48" s="253"/>
      <c r="O48" s="253"/>
      <c r="P48" s="1959"/>
      <c r="Q48" s="1960"/>
      <c r="R48" s="253"/>
      <c r="S48" s="253"/>
      <c r="T48" s="253"/>
      <c r="U48" s="253"/>
      <c r="V48" s="253"/>
      <c r="W48" s="1448"/>
      <c r="X48" s="253"/>
      <c r="Y48" s="253"/>
      <c r="Z48" s="253"/>
      <c r="AA48" s="253"/>
      <c r="AB48" s="1299"/>
      <c r="AC48" s="1441"/>
      <c r="AD48" s="253"/>
      <c r="AF48" s="284"/>
      <c r="AG48" s="1476"/>
    </row>
    <row r="49" spans="1:33" ht="18" customHeight="1">
      <c r="A49" s="1299" t="s">
        <v>147</v>
      </c>
      <c r="B49" s="1438" t="s">
        <v>148</v>
      </c>
      <c r="C49" s="1299"/>
      <c r="D49" s="253">
        <f>+'Exhibit A'!D49</f>
        <v>4061.7000000000021</v>
      </c>
      <c r="E49" s="253"/>
      <c r="F49" s="253">
        <f>+'Exhibit A'!F49</f>
        <v>20415</v>
      </c>
      <c r="G49" s="253"/>
      <c r="H49" s="253">
        <f>+'Exhibit G State'!J112</f>
        <v>857.80000000000007</v>
      </c>
      <c r="I49" s="253"/>
      <c r="J49" s="253">
        <f>+'Exhibit G State'!AC112</f>
        <v>2282.6</v>
      </c>
      <c r="K49" s="253"/>
      <c r="L49" s="253">
        <f>+'Exhibit A'!L49</f>
        <v>271.00000000000006</v>
      </c>
      <c r="M49" s="253"/>
      <c r="N49" s="1450">
        <f>+'Exhibit A'!N49</f>
        <v>754.9</v>
      </c>
      <c r="O49" s="253"/>
      <c r="P49" s="1959"/>
      <c r="Q49" s="1960"/>
      <c r="R49" s="1450">
        <f>ROUND(SUM(L49+H49+D49),1)</f>
        <v>5190.5</v>
      </c>
      <c r="S49" s="253"/>
      <c r="T49" s="1450">
        <f>ROUND(SUM(F49+J49+N49),1)</f>
        <v>23452.5</v>
      </c>
      <c r="U49" s="253"/>
      <c r="V49" s="253"/>
      <c r="W49" s="1448"/>
      <c r="X49" s="253"/>
      <c r="Y49" s="253">
        <v>4217.7000000000007</v>
      </c>
      <c r="Z49" s="253" t="s">
        <v>103</v>
      </c>
      <c r="AA49" s="253">
        <f>'Exhibit F'!AF128+'Exhibit F'!AF129+'Exhibit F'!AF130+'Exhibit F'!AF131+'Exhibit G State'!AF112+'Exhibit H'!AD69</f>
        <v>21096.499999999996</v>
      </c>
      <c r="AB49" s="1299"/>
      <c r="AC49" s="1441"/>
      <c r="AD49" s="253">
        <f>ROUND(SUM(T49-AA49),1)</f>
        <v>2356</v>
      </c>
      <c r="AF49" s="266">
        <f>ROUND(SUM(+AD49/AA49),3)</f>
        <v>0.112</v>
      </c>
      <c r="AG49" s="1476"/>
    </row>
    <row r="50" spans="1:33" ht="18" customHeight="1">
      <c r="A50" s="1299" t="s">
        <v>149</v>
      </c>
      <c r="B50" s="1438" t="s">
        <v>148</v>
      </c>
      <c r="C50" s="1299"/>
      <c r="D50" s="253">
        <f>+'Exhibit A'!D50</f>
        <v>-1797.5</v>
      </c>
      <c r="E50" s="253"/>
      <c r="F50" s="253">
        <f>+'Exhibit A'!F50</f>
        <v>-2795.9999999999995</v>
      </c>
      <c r="G50" s="253"/>
      <c r="H50" s="253">
        <f>+'Exhibit G State'!J113</f>
        <v>-28.599999999999987</v>
      </c>
      <c r="I50" s="253"/>
      <c r="J50" s="531">
        <f>'Exhibit G State'!AC113</f>
        <v>-91.699999999999989</v>
      </c>
      <c r="K50" s="253"/>
      <c r="L50" s="253">
        <f>+'Exhibit A'!L50</f>
        <v>-3530.2999999999984</v>
      </c>
      <c r="M50" s="253"/>
      <c r="N50" s="1450">
        <f>+'Exhibit A'!N50</f>
        <v>-19892.7</v>
      </c>
      <c r="O50" s="253"/>
      <c r="P50" s="1959"/>
      <c r="Q50" s="1960"/>
      <c r="R50" s="531">
        <f>ROUND(SUM(D50+H50+L50),1)</f>
        <v>-5356.4</v>
      </c>
      <c r="S50" s="253"/>
      <c r="T50" s="253">
        <f>ROUND(SUM(F50+J50+N50),1)</f>
        <v>-22780.400000000001</v>
      </c>
      <c r="U50" s="253"/>
      <c r="V50" s="253"/>
      <c r="W50" s="1448"/>
      <c r="X50" s="253"/>
      <c r="Y50" s="253">
        <v>-3509.9</v>
      </c>
      <c r="Z50" s="253" t="s">
        <v>103</v>
      </c>
      <c r="AA50" s="253">
        <f>'Exhibit F'!AF132+'Exhibit F'!AF133+'Exhibit F'!AF134+'Exhibit F'!AF135+'Exhibit G State'!AF113+'Exhibit H'!AD70</f>
        <v>-27417.599999999999</v>
      </c>
      <c r="AB50" s="1299"/>
      <c r="AC50" s="1441"/>
      <c r="AD50" s="253">
        <f>-ROUND(SUM(T50-AA50),1)</f>
        <v>-4637.2</v>
      </c>
      <c r="AF50" s="533">
        <f>ROUND(SUM(-AD50/AA50),3)</f>
        <v>-0.16900000000000001</v>
      </c>
      <c r="AG50" s="1476"/>
    </row>
    <row r="51" spans="1:33" ht="18" customHeight="1">
      <c r="A51" s="1300" t="s">
        <v>150</v>
      </c>
      <c r="B51" s="1300"/>
      <c r="C51" s="1299"/>
      <c r="D51" s="1452">
        <f>ROUND(SUM(D49:D50),1)</f>
        <v>2264.1999999999998</v>
      </c>
      <c r="E51" s="1"/>
      <c r="F51" s="1452">
        <f>ROUND(SUM(F49:F50),1)</f>
        <v>17619</v>
      </c>
      <c r="G51" s="1"/>
      <c r="H51" s="1452">
        <f>ROUND(SUM(H49:H50),1)</f>
        <v>829.2</v>
      </c>
      <c r="I51" s="1"/>
      <c r="J51" s="1452">
        <f>ROUND(SUM(J49:J50),1)</f>
        <v>2190.9</v>
      </c>
      <c r="K51" s="1"/>
      <c r="L51" s="1452">
        <f>ROUND(SUM(L49:L50),1)</f>
        <v>-3259.3</v>
      </c>
      <c r="M51" s="1"/>
      <c r="N51" s="1452">
        <f>ROUND(SUM(N49:N50),1)</f>
        <v>-19137.8</v>
      </c>
      <c r="O51" s="1"/>
      <c r="P51" s="1463"/>
      <c r="Q51" s="1964"/>
      <c r="R51" s="1452">
        <f>ROUND(SUM(R49:R50),1)</f>
        <v>-165.9</v>
      </c>
      <c r="S51" s="1"/>
      <c r="T51" s="1452">
        <f>ROUND(SUM(T49:T50),1)</f>
        <v>672.1</v>
      </c>
      <c r="U51" s="1"/>
      <c r="V51" s="1"/>
      <c r="W51" s="1454"/>
      <c r="X51" s="1"/>
      <c r="Y51" s="1459">
        <f>ROUND(SUM(+Y49+Y50),1)</f>
        <v>707.8</v>
      </c>
      <c r="Z51" s="1"/>
      <c r="AA51" s="1462">
        <f>ROUND(SUM(+AA49+AA50),1)</f>
        <v>-6321.1</v>
      </c>
      <c r="AB51" s="1300"/>
      <c r="AC51" s="1455"/>
      <c r="AD51" s="1462">
        <f>ROUND(SUM(AD49-AD50),1)</f>
        <v>6993.2</v>
      </c>
      <c r="AE51" s="1409"/>
      <c r="AF51" s="539">
        <f>ROUND(SUM(AD51/ABS(AA51)),3)</f>
        <v>1.1060000000000001</v>
      </c>
      <c r="AG51" s="1476"/>
    </row>
    <row r="52" spans="1:33" ht="16.399999999999999" customHeight="1">
      <c r="A52" s="1299"/>
      <c r="B52" s="1299"/>
      <c r="C52" s="1299"/>
      <c r="D52" s="253"/>
      <c r="E52" s="253"/>
      <c r="F52" s="253"/>
      <c r="G52" s="253"/>
      <c r="H52" s="253"/>
      <c r="I52" s="253"/>
      <c r="J52" s="253"/>
      <c r="K52" s="253"/>
      <c r="L52" s="253"/>
      <c r="M52" s="253"/>
      <c r="N52" s="253"/>
      <c r="O52" s="253"/>
      <c r="P52" s="1959"/>
      <c r="Q52" s="1960"/>
      <c r="R52" s="253"/>
      <c r="S52" s="253"/>
      <c r="T52" s="253"/>
      <c r="U52" s="253"/>
      <c r="V52" s="253"/>
      <c r="W52" s="1448"/>
      <c r="X52" s="253"/>
      <c r="Y52" s="253"/>
      <c r="Z52" s="253"/>
      <c r="AA52" s="253"/>
      <c r="AB52" s="1299"/>
      <c r="AC52" s="1441"/>
      <c r="AD52" s="253"/>
      <c r="AF52" s="284"/>
      <c r="AG52" s="1476"/>
    </row>
    <row r="53" spans="1:33" ht="18" customHeight="1">
      <c r="A53" s="1300" t="s">
        <v>143</v>
      </c>
      <c r="B53" s="1300"/>
      <c r="C53" s="1299"/>
      <c r="D53" s="253"/>
      <c r="E53" s="253"/>
      <c r="F53" s="253"/>
      <c r="G53" s="253"/>
      <c r="H53" s="253" t="s">
        <v>103</v>
      </c>
      <c r="I53" s="253"/>
      <c r="J53" s="253"/>
      <c r="K53" s="253"/>
      <c r="L53" s="253"/>
      <c r="M53" s="253"/>
      <c r="N53" s="253"/>
      <c r="O53" s="253"/>
      <c r="P53" s="1959"/>
      <c r="Q53" s="1960"/>
      <c r="R53" s="253"/>
      <c r="S53" s="253"/>
      <c r="T53" s="253"/>
      <c r="U53" s="253"/>
      <c r="V53" s="253"/>
      <c r="W53" s="1448"/>
      <c r="X53" s="253"/>
      <c r="Y53" s="253"/>
      <c r="Z53" s="253"/>
      <c r="AA53" s="253"/>
      <c r="AB53" s="1299"/>
      <c r="AC53" s="1441"/>
      <c r="AD53" s="253"/>
      <c r="AF53" s="1384"/>
      <c r="AG53" s="1476"/>
    </row>
    <row r="54" spans="1:33" ht="18" customHeight="1">
      <c r="A54" s="1300" t="s">
        <v>163</v>
      </c>
      <c r="B54" s="1300"/>
      <c r="C54" s="1299"/>
      <c r="D54" s="253"/>
      <c r="E54" s="253"/>
      <c r="F54" s="253"/>
      <c r="G54" s="253"/>
      <c r="H54" s="253"/>
      <c r="I54" s="253"/>
      <c r="J54" s="253"/>
      <c r="K54" s="253"/>
      <c r="L54" s="253"/>
      <c r="M54" s="253"/>
      <c r="N54" s="253"/>
      <c r="O54" s="253"/>
      <c r="P54" s="1959"/>
      <c r="Q54" s="1960"/>
      <c r="R54" s="253"/>
      <c r="S54" s="253"/>
      <c r="T54" s="253"/>
      <c r="U54" s="253"/>
      <c r="V54" s="253"/>
      <c r="W54" s="1448"/>
      <c r="X54" s="253"/>
      <c r="Y54" s="253" t="s">
        <v>103</v>
      </c>
      <c r="Z54" s="253"/>
      <c r="AA54" s="253"/>
      <c r="AB54" s="1299"/>
      <c r="AC54" s="1441"/>
      <c r="AD54" s="253"/>
      <c r="AF54" s="284"/>
      <c r="AG54" s="1476"/>
    </row>
    <row r="55" spans="1:33" ht="18" customHeight="1">
      <c r="A55" s="1300" t="s">
        <v>164</v>
      </c>
      <c r="B55" s="1300"/>
      <c r="C55" s="1299"/>
      <c r="D55" s="1">
        <f>ROUND(SUM(D46+D51),1)</f>
        <v>-999.9</v>
      </c>
      <c r="E55" s="1"/>
      <c r="F55" s="1">
        <f>ROUND(SUM(F46)+SUM(F51),1)</f>
        <v>4966.1000000000004</v>
      </c>
      <c r="G55" s="1"/>
      <c r="H55" s="1">
        <f>ROUND(SUM(H46+H51),1)</f>
        <v>1560.4</v>
      </c>
      <c r="I55" s="1"/>
      <c r="J55" s="1">
        <f>ROUND(SUM(J46)+SUM(J51),1)</f>
        <v>5193.3999999999996</v>
      </c>
      <c r="K55" s="1"/>
      <c r="L55" s="1">
        <f>ROUND(SUM(L46+L51),1)</f>
        <v>215.2</v>
      </c>
      <c r="M55" s="1453"/>
      <c r="N55" s="1453">
        <f>ROUND(SUM(N46+N51),1)</f>
        <v>368.7</v>
      </c>
      <c r="O55" s="1453"/>
      <c r="P55" s="1463"/>
      <c r="Q55" s="1965"/>
      <c r="R55" s="1453">
        <f>ROUND(SUM(+R46+R51),1)</f>
        <v>775.7</v>
      </c>
      <c r="S55" s="1453"/>
      <c r="T55" s="1453">
        <f>ROUND(SUM(T46+T51),1)</f>
        <v>10528.2</v>
      </c>
      <c r="U55" s="1453"/>
      <c r="V55" s="1453"/>
      <c r="W55" s="1463"/>
      <c r="X55" s="1453"/>
      <c r="Y55" s="1">
        <f>ROUND(SUM(Y46)+SUM(Y51),1)</f>
        <v>136.9</v>
      </c>
      <c r="Z55" s="1"/>
      <c r="AA55" s="1">
        <f>ROUND(SUM(AA46)+SUM(AA51),1)</f>
        <v>-1029.4000000000001</v>
      </c>
      <c r="AB55" s="1300"/>
      <c r="AC55" s="1455"/>
      <c r="AD55" s="1">
        <f>ROUND(SUM(+AD46+AD51),1)</f>
        <v>11557.6</v>
      </c>
      <c r="AE55" s="1409"/>
      <c r="AF55" s="543">
        <f>ROUND(SUM(AD55/ABS(AA55)),3)</f>
        <v>11.228</v>
      </c>
      <c r="AG55" s="1476"/>
    </row>
    <row r="56" spans="1:33" ht="16.399999999999999" customHeight="1">
      <c r="A56" s="1300"/>
      <c r="B56" s="1300"/>
      <c r="C56" s="1299"/>
      <c r="D56" s="253"/>
      <c r="E56" s="253"/>
      <c r="F56" s="253"/>
      <c r="G56" s="253"/>
      <c r="H56" s="253"/>
      <c r="I56" s="253"/>
      <c r="J56" s="253"/>
      <c r="K56" s="253"/>
      <c r="L56" s="253"/>
      <c r="M56" s="253"/>
      <c r="N56" s="253"/>
      <c r="O56" s="253"/>
      <c r="P56" s="1959"/>
      <c r="Q56" s="1960"/>
      <c r="R56" s="253"/>
      <c r="S56" s="253"/>
      <c r="T56" s="253"/>
      <c r="U56" s="253"/>
      <c r="V56" s="253"/>
      <c r="W56" s="1448"/>
      <c r="X56" s="253"/>
      <c r="Y56" s="253"/>
      <c r="Z56" s="253"/>
      <c r="AA56" s="253"/>
      <c r="AB56" s="1299"/>
      <c r="AC56" s="1441"/>
      <c r="AD56" s="253"/>
      <c r="AF56" s="284"/>
      <c r="AG56" s="1476"/>
    </row>
    <row r="57" spans="1:33" ht="18" customHeight="1">
      <c r="A57" s="1464" t="s">
        <v>153</v>
      </c>
      <c r="B57" s="1438"/>
      <c r="C57" s="1299"/>
      <c r="D57" s="979">
        <f>+'Exhibit A'!D57</f>
        <v>62143.6</v>
      </c>
      <c r="E57" s="1"/>
      <c r="F57" s="979">
        <f>'Exhibit A'!F57</f>
        <v>56177.599999999999</v>
      </c>
      <c r="G57" s="1"/>
      <c r="H57" s="979">
        <f>+'Exhibit G State'!J13</f>
        <v>16364.9</v>
      </c>
      <c r="I57" s="1"/>
      <c r="J57" s="979">
        <f>'Exhibit G State'!D13</f>
        <v>12731.9</v>
      </c>
      <c r="K57" s="1"/>
      <c r="L57" s="979">
        <f>+'Exhibit A'!L57</f>
        <v>258.2</v>
      </c>
      <c r="M57" s="1"/>
      <c r="N57" s="1966">
        <f>+'Exhibit A'!N57</f>
        <v>104.7</v>
      </c>
      <c r="O57" s="1"/>
      <c r="P57" s="1463"/>
      <c r="Q57" s="1964"/>
      <c r="R57" s="979">
        <f>ROUND(SUM(D57+H57+L57),1)</f>
        <v>78766.7</v>
      </c>
      <c r="S57" s="1"/>
      <c r="T57" s="979">
        <f>ROUND(SUM(F57+J57+N57),1)</f>
        <v>69014.2</v>
      </c>
      <c r="U57" s="1"/>
      <c r="V57" s="1"/>
      <c r="W57" s="1454"/>
      <c r="X57" s="1"/>
      <c r="Y57" s="979">
        <v>66155.600000000006</v>
      </c>
      <c r="Z57" s="1" t="s">
        <v>103</v>
      </c>
      <c r="AA57" s="979">
        <f>'Exhibit F'!AF13+'Exhibit G State'!AF13+'Exhibit H'!AD13</f>
        <v>67321.899999999994</v>
      </c>
      <c r="AB57" s="1300"/>
      <c r="AC57" s="1455"/>
      <c r="AD57" s="979">
        <f>ROUND(SUM(T57-AA57),1)</f>
        <v>1692.3</v>
      </c>
      <c r="AE57" s="1409"/>
      <c r="AF57" s="538">
        <f>ROUND(+AD57/AA57,3)</f>
        <v>2.5000000000000001E-2</v>
      </c>
      <c r="AG57" s="1476"/>
    </row>
    <row r="58" spans="1:33" ht="16.399999999999999" customHeight="1">
      <c r="A58" s="1299"/>
      <c r="B58" s="1299"/>
      <c r="C58" s="1299"/>
      <c r="D58" s="1299"/>
      <c r="E58" s="1299"/>
      <c r="F58" s="1299"/>
      <c r="G58" s="1299"/>
      <c r="H58" s="1299"/>
      <c r="I58" s="1299"/>
      <c r="J58" s="1299"/>
      <c r="K58" s="1299"/>
      <c r="L58" s="1299"/>
      <c r="M58" s="1299"/>
      <c r="N58" s="1299"/>
      <c r="O58" s="1299"/>
      <c r="P58" s="1488"/>
      <c r="Q58" s="1439"/>
      <c r="R58" s="1299"/>
      <c r="S58" s="1299"/>
      <c r="T58" s="1299"/>
      <c r="U58" s="1299"/>
      <c r="V58" s="1299"/>
      <c r="W58" s="1440"/>
      <c r="X58" s="1299"/>
      <c r="Y58" s="1299"/>
      <c r="Z58" s="1299"/>
      <c r="AA58" s="1299"/>
      <c r="AB58" s="1299"/>
      <c r="AC58" s="1441"/>
      <c r="AD58" s="253"/>
      <c r="AF58" s="284"/>
      <c r="AG58" s="1476"/>
    </row>
    <row r="59" spans="1:33" ht="18" customHeight="1" thickBot="1">
      <c r="A59" s="1464" t="s">
        <v>165</v>
      </c>
      <c r="B59" s="1447" t="s">
        <v>103</v>
      </c>
      <c r="C59" s="1299"/>
      <c r="D59" s="1302">
        <f>ROUND(SUM(D55+D57),1)</f>
        <v>61143.7</v>
      </c>
      <c r="E59" s="1306"/>
      <c r="F59" s="1302">
        <f>ROUND(SUM(F55+F57),1)</f>
        <v>61143.7</v>
      </c>
      <c r="G59" s="1306"/>
      <c r="H59" s="1302">
        <f>ROUND(SUM(H55+H57),1)</f>
        <v>17925.3</v>
      </c>
      <c r="I59" s="1306"/>
      <c r="J59" s="1302">
        <f>ROUND(SUM(J55)+SUM(J57),1)</f>
        <v>17925.3</v>
      </c>
      <c r="K59" s="1306"/>
      <c r="L59" s="1302">
        <f>ROUND(SUM(L55+L57),1)</f>
        <v>473.4</v>
      </c>
      <c r="M59" s="1465"/>
      <c r="N59" s="1967">
        <f>ROUND(SUM(N55+N57),1)</f>
        <v>473.4</v>
      </c>
      <c r="O59" s="1465"/>
      <c r="P59" s="1466"/>
      <c r="Q59" s="1968"/>
      <c r="R59" s="1967">
        <f>ROUND(SUM(R55+R57),1)</f>
        <v>79542.399999999994</v>
      </c>
      <c r="S59" s="1465"/>
      <c r="T59" s="1967">
        <f>ROUND(SUM(T55+T57),1)</f>
        <v>79542.399999999994</v>
      </c>
      <c r="U59" s="1465"/>
      <c r="V59" s="1465"/>
      <c r="W59" s="1466"/>
      <c r="X59" s="1465"/>
      <c r="Y59" s="1302">
        <f>ROUND(SUM(Y55+Y57),1)</f>
        <v>66292.5</v>
      </c>
      <c r="Z59" s="1306"/>
      <c r="AA59" s="1302">
        <f>ROUND(SUM(AA55+AA57),1)</f>
        <v>66292.5</v>
      </c>
      <c r="AB59" s="1408"/>
      <c r="AC59" s="1467"/>
      <c r="AD59" s="1302">
        <f>ROUND(SUM(AD55+AD57),1)</f>
        <v>13249.9</v>
      </c>
      <c r="AE59" s="1409"/>
      <c r="AF59" s="1468">
        <f>ROUND(+AD59/AA59,3)</f>
        <v>0.2</v>
      </c>
      <c r="AG59" s="1476"/>
    </row>
    <row r="60" spans="1:33" ht="16" thickTop="1">
      <c r="A60" s="1469"/>
      <c r="B60" s="1469"/>
      <c r="C60" s="1469"/>
      <c r="D60" s="1470"/>
      <c r="E60" s="1470"/>
      <c r="F60" s="1470"/>
      <c r="G60" s="1470"/>
      <c r="H60" s="1969"/>
      <c r="I60" s="1470"/>
      <c r="J60" s="1470"/>
      <c r="K60" s="1470"/>
      <c r="L60" s="1470"/>
      <c r="M60" s="1470"/>
      <c r="N60" s="1470"/>
      <c r="O60" s="1470"/>
      <c r="P60" s="1970"/>
      <c r="Q60" s="1470"/>
      <c r="R60" s="1470"/>
      <c r="S60" s="1470"/>
      <c r="T60" s="1470" t="s">
        <v>103</v>
      </c>
      <c r="U60" s="1470"/>
      <c r="V60" s="1470"/>
      <c r="W60" s="1470"/>
      <c r="X60" s="1470"/>
      <c r="Y60" s="1470"/>
      <c r="Z60" s="1470"/>
      <c r="AA60" s="1470"/>
      <c r="AB60" s="1470"/>
      <c r="AC60" s="1470"/>
      <c r="AD60" s="1470"/>
      <c r="AF60" s="1471"/>
    </row>
    <row r="61" spans="1:33">
      <c r="H61" s="1418" t="s">
        <v>103</v>
      </c>
      <c r="Q61" s="1337" t="s">
        <v>103</v>
      </c>
      <c r="R61" s="1337" t="s">
        <v>103</v>
      </c>
    </row>
    <row r="62" spans="1:33" ht="18" customHeight="1">
      <c r="A62" s="284" t="s">
        <v>166</v>
      </c>
      <c r="AA62" s="1337" t="s">
        <v>103</v>
      </c>
    </row>
    <row r="63" spans="1:33" ht="18" customHeight="1">
      <c r="A63" s="696" t="s">
        <v>167</v>
      </c>
    </row>
    <row r="64" spans="1:33" ht="15.5">
      <c r="A64" s="1438"/>
      <c r="Y64" s="253" t="s">
        <v>103</v>
      </c>
      <c r="AA64" s="1337" t="s">
        <v>103</v>
      </c>
    </row>
    <row r="65" spans="1:25" ht="15.5">
      <c r="A65" s="1472"/>
      <c r="B65" s="1473"/>
      <c r="C65" s="285"/>
      <c r="D65" s="1474"/>
      <c r="E65" s="1474"/>
      <c r="F65" s="1474"/>
      <c r="G65" s="1474"/>
      <c r="H65" s="1971"/>
      <c r="I65" s="1474"/>
      <c r="J65" s="1474"/>
      <c r="K65" s="1474"/>
      <c r="L65" s="1474"/>
      <c r="Y65" s="253" t="s">
        <v>103</v>
      </c>
    </row>
    <row r="66" spans="1:25" ht="15.5">
      <c r="A66" s="284"/>
      <c r="B66" s="284"/>
      <c r="C66" s="284"/>
      <c r="D66" s="284"/>
      <c r="E66" s="284"/>
      <c r="F66" s="284"/>
      <c r="G66" s="284"/>
      <c r="H66" s="1475"/>
      <c r="I66" s="284"/>
      <c r="J66" s="284"/>
      <c r="K66" s="284"/>
      <c r="L66" s="284"/>
    </row>
    <row r="67" spans="1:25" ht="15.5">
      <c r="A67" s="284"/>
      <c r="B67" s="284"/>
      <c r="C67" s="284"/>
      <c r="D67" s="284"/>
      <c r="E67" s="284"/>
      <c r="F67" s="284"/>
      <c r="G67" s="284"/>
      <c r="H67" s="1475"/>
      <c r="I67" s="284"/>
      <c r="J67" s="284"/>
      <c r="K67" s="284"/>
      <c r="L67" s="284"/>
    </row>
    <row r="68" spans="1:25" ht="15.5">
      <c r="A68" s="284"/>
      <c r="B68" s="284"/>
      <c r="C68" s="284"/>
      <c r="D68" s="284"/>
      <c r="E68" s="284"/>
      <c r="F68" s="284"/>
      <c r="G68" s="284"/>
      <c r="H68" s="1475"/>
      <c r="I68" s="284"/>
      <c r="J68" s="284"/>
      <c r="K68" s="284"/>
      <c r="L68" s="284"/>
    </row>
    <row r="69" spans="1:25" ht="19.5" customHeight="1">
      <c r="A69" s="284"/>
      <c r="I69" s="284"/>
    </row>
    <row r="73" spans="1:25">
      <c r="F73" s="1337" t="s">
        <v>103</v>
      </c>
    </row>
  </sheetData>
  <mergeCells count="6">
    <mergeCell ref="R10:AB10"/>
    <mergeCell ref="D10:N10"/>
    <mergeCell ref="L11:N11"/>
    <mergeCell ref="A3:AB3"/>
    <mergeCell ref="A4:AB4"/>
    <mergeCell ref="A5:AB5"/>
  </mergeCells>
  <printOptions horizontalCentered="1"/>
  <pageMargins left="0.25" right="0.25" top="0.5" bottom="0.25" header="0" footer="0.25"/>
  <pageSetup scale="49" firstPageNumber="3" orientation="landscape" useFirstPageNumber="1" r:id="rId1"/>
  <headerFooter scaleWithDoc="0" alignWithMargins="0">
    <oddFooter>&amp;C&amp;8&amp;P</oddFooter>
  </headerFooter>
  <customProperties>
    <customPr name="SheetOptions" r:id="rId2"/>
  </customProperties>
  <ignoredErrors>
    <ignoredError sqref="AE15:AF15 AD52:AF54 AE16:AE17 AD36:AF36 AE32:AE34 AD15:AD17 AD32:AD34 AD44:AF45 AE37:AE41 AD37:AD41 AE49:AF50 AD49 AD58:AF58 AD48:AF48 AE46 AF16:AF17 AF32:AF35 AD35:AE35 AF37:AF41 AE43 AD57:AF57 AD59:AF59 AE51 AD56:AF56 AE55 AE47:AF47" unlockedFormula="1"/>
    <ignoredError sqref="B49:B50 B16:B19"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pageSetUpPr autoPageBreaks="0"/>
  </sheetPr>
  <dimension ref="A1:O169"/>
  <sheetViews>
    <sheetView showGridLines="0" zoomScale="85" zoomScaleNormal="85" workbookViewId="0"/>
  </sheetViews>
  <sheetFormatPr defaultColWidth="8.84375" defaultRowHeight="15.5"/>
  <cols>
    <col min="1" max="1" width="58.07421875" style="311" customWidth="1"/>
    <col min="2" max="2" width="2.07421875" style="311" customWidth="1"/>
    <col min="3" max="3" width="17.84375" style="310" customWidth="1"/>
    <col min="4" max="4" width="1.84375" style="311" customWidth="1"/>
    <col min="5" max="5" width="17.84375" style="311" customWidth="1"/>
    <col min="6" max="6" width="1.84375" style="311" customWidth="1"/>
    <col min="7" max="7" width="17.84375" style="311" customWidth="1"/>
    <col min="8" max="8" width="1.84375" style="311" customWidth="1"/>
    <col min="9" max="9" width="17.84375" style="311" customWidth="1"/>
    <col min="10" max="10" width="1.84375" style="311" customWidth="1"/>
    <col min="11" max="11" width="17.84375" style="311" customWidth="1"/>
    <col min="12" max="12" width="6.07421875" style="1254" customWidth="1"/>
    <col min="13" max="13" width="10.84375" style="311" bestFit="1" customWidth="1"/>
    <col min="14" max="14" width="9.84375" style="311" customWidth="1"/>
    <col min="15" max="16384" width="8.84375" style="311"/>
  </cols>
  <sheetData>
    <row r="1" spans="1:13">
      <c r="A1" s="265" t="s">
        <v>97</v>
      </c>
    </row>
    <row r="2" spans="1:13">
      <c r="A2" s="819"/>
    </row>
    <row r="3" spans="1:13" s="1630" customFormat="1" ht="18" customHeight="1">
      <c r="A3" s="1626" t="s">
        <v>98</v>
      </c>
      <c r="B3" s="1627"/>
      <c r="C3" s="1627"/>
      <c r="D3" s="1627"/>
      <c r="E3" s="1627"/>
      <c r="F3" s="1627"/>
      <c r="G3" s="1627"/>
      <c r="H3" s="1627"/>
      <c r="I3" s="1627"/>
      <c r="J3" s="1627"/>
      <c r="K3" s="1628" t="s">
        <v>602</v>
      </c>
      <c r="L3" s="1629"/>
    </row>
    <row r="4" spans="1:13" s="1630" customFormat="1" ht="18" customHeight="1">
      <c r="A4" s="1626" t="s">
        <v>603</v>
      </c>
      <c r="B4" s="1627"/>
      <c r="C4" s="1627" t="s">
        <v>103</v>
      </c>
      <c r="D4" s="1627"/>
      <c r="E4" s="1627"/>
      <c r="F4" s="1627"/>
      <c r="G4" s="1627"/>
      <c r="H4" s="1627"/>
      <c r="I4" s="1627"/>
      <c r="J4" s="1627"/>
      <c r="L4" s="1631"/>
    </row>
    <row r="5" spans="1:13" s="1630" customFormat="1" ht="18" customHeight="1">
      <c r="A5" s="1626" t="s">
        <v>604</v>
      </c>
      <c r="B5" s="1627"/>
      <c r="C5" s="1627"/>
      <c r="D5" s="1627"/>
      <c r="E5" s="1627"/>
      <c r="F5" s="1627"/>
      <c r="G5" s="1627"/>
      <c r="H5" s="1627"/>
      <c r="I5" s="1627"/>
      <c r="J5" s="1627"/>
      <c r="K5" s="1632"/>
      <c r="L5" s="1633"/>
    </row>
    <row r="6" spans="1:13" s="1630" customFormat="1" ht="18" customHeight="1">
      <c r="A6" s="1634" t="s">
        <v>605</v>
      </c>
      <c r="B6" s="1627"/>
      <c r="C6" s="1627"/>
      <c r="D6" s="1627"/>
      <c r="E6" s="1635"/>
      <c r="F6" s="1627"/>
      <c r="G6" s="1627"/>
      <c r="H6" s="1627"/>
      <c r="I6" s="1627"/>
      <c r="J6" s="1627"/>
      <c r="K6" s="1636"/>
      <c r="L6" s="1629"/>
    </row>
    <row r="7" spans="1:13" s="1630" customFormat="1" ht="18" customHeight="1">
      <c r="A7" s="1634" t="str">
        <f>'Cashflow Governmental'!$A$6</f>
        <v>FISCAL YEAR 2026-2027</v>
      </c>
      <c r="B7" s="1627"/>
      <c r="C7" s="1627"/>
      <c r="D7" s="1627"/>
      <c r="E7" s="1627"/>
      <c r="F7" s="1627"/>
      <c r="G7" s="1627"/>
      <c r="H7" s="1627"/>
      <c r="I7" s="1627"/>
      <c r="J7" s="1627"/>
      <c r="K7" s="1636"/>
      <c r="L7" s="1629"/>
    </row>
    <row r="8" spans="1:13" s="1630" customFormat="1" ht="18" customHeight="1">
      <c r="A8" s="1634" t="str">
        <f>"FOR THE MONTH OF "&amp;Footnotes!$O$3</f>
        <v>FOR THE MONTH OF JULY 2026</v>
      </c>
      <c r="B8" s="1627"/>
      <c r="C8" s="1808"/>
      <c r="D8" s="1627"/>
      <c r="E8" s="1627" t="s">
        <v>103</v>
      </c>
      <c r="F8" s="1627"/>
      <c r="G8" s="1627"/>
      <c r="H8" s="1627"/>
      <c r="I8" s="1627"/>
      <c r="J8" s="1627"/>
      <c r="K8" s="1627"/>
      <c r="L8" s="1629"/>
    </row>
    <row r="9" spans="1:13" s="1630" customFormat="1" ht="18" customHeight="1">
      <c r="A9" s="1626" t="s">
        <v>555</v>
      </c>
      <c r="B9" s="1637" t="s">
        <v>606</v>
      </c>
      <c r="C9" s="1638"/>
      <c r="D9" s="1638"/>
      <c r="E9" s="1638"/>
      <c r="F9" s="1638"/>
      <c r="G9" s="1638"/>
      <c r="H9" s="1638"/>
      <c r="I9" s="1638"/>
      <c r="J9" s="1638"/>
      <c r="K9" s="1638"/>
      <c r="L9" s="1639"/>
    </row>
    <row r="10" spans="1:13">
      <c r="A10" s="308"/>
      <c r="B10" s="308"/>
      <c r="C10" s="131" t="s">
        <v>607</v>
      </c>
      <c r="D10" s="135"/>
      <c r="E10" s="135"/>
      <c r="F10" s="135"/>
      <c r="G10" s="135"/>
      <c r="H10" s="135"/>
      <c r="I10" s="131" t="s">
        <v>608</v>
      </c>
      <c r="J10" s="135"/>
      <c r="K10" s="131" t="s">
        <v>607</v>
      </c>
      <c r="L10" s="1255"/>
    </row>
    <row r="11" spans="1:13">
      <c r="A11" s="308"/>
      <c r="B11" s="308"/>
      <c r="C11" s="1624" t="str">
        <f>UPPER(TEXT(K11-DAY(K11)+1,"MMMM D, YYYY"))</f>
        <v>JULY 1, 2026</v>
      </c>
      <c r="D11" s="135"/>
      <c r="E11" s="1132" t="s">
        <v>609</v>
      </c>
      <c r="F11" s="135"/>
      <c r="G11" s="1133" t="s">
        <v>610</v>
      </c>
      <c r="H11" s="135"/>
      <c r="I11" s="1133" t="s">
        <v>611</v>
      </c>
      <c r="J11" s="135"/>
      <c r="K11" s="821" t="str">
        <f>_xlfn.TEXTAFTER('Exh D Governmental  '!A6," ",4)</f>
        <v>JULY 31, 2026</v>
      </c>
      <c r="L11" s="1625"/>
    </row>
    <row r="12" spans="1:13">
      <c r="A12" s="308"/>
      <c r="B12" s="308"/>
      <c r="C12" s="688"/>
      <c r="D12" s="135"/>
      <c r="E12" s="131"/>
      <c r="F12" s="135"/>
      <c r="G12" s="131"/>
      <c r="H12" s="135"/>
      <c r="I12" s="131"/>
      <c r="J12" s="135"/>
      <c r="K12" s="822"/>
      <c r="L12" s="1256"/>
    </row>
    <row r="13" spans="1:13">
      <c r="A13" s="132" t="s">
        <v>443</v>
      </c>
      <c r="B13" s="308"/>
      <c r="C13" s="308"/>
      <c r="D13" s="308"/>
      <c r="E13" s="307"/>
      <c r="F13" s="308"/>
      <c r="G13" s="307"/>
      <c r="H13" s="308"/>
      <c r="I13" s="307"/>
      <c r="J13" s="308"/>
      <c r="K13" s="308"/>
    </row>
    <row r="14" spans="1:13">
      <c r="A14" s="308" t="s">
        <v>612</v>
      </c>
      <c r="B14" s="307"/>
      <c r="C14" s="1696">
        <v>0</v>
      </c>
      <c r="D14" s="307"/>
      <c r="E14" s="1696">
        <v>0.03</v>
      </c>
      <c r="F14" s="307"/>
      <c r="G14" s="1696">
        <v>4949.0029999999997</v>
      </c>
      <c r="H14" s="307"/>
      <c r="I14" s="1696">
        <v>4948.973</v>
      </c>
      <c r="J14" s="307"/>
      <c r="K14" s="1697">
        <f>ROUND(SUM(C14)+SUM(E14)-SUM(G14)+SUM(I14),3)</f>
        <v>0</v>
      </c>
      <c r="L14" s="1257"/>
      <c r="M14" s="1918"/>
    </row>
    <row r="15" spans="1:13">
      <c r="A15" s="308" t="s">
        <v>613</v>
      </c>
      <c r="B15" s="308"/>
      <c r="C15" s="1698">
        <v>61119.040999999997</v>
      </c>
      <c r="D15" s="307"/>
      <c r="E15" s="1698">
        <v>3927.114</v>
      </c>
      <c r="F15" s="307"/>
      <c r="G15" s="1698">
        <v>2242.2570000000001</v>
      </c>
      <c r="H15" s="307"/>
      <c r="I15" s="1698">
        <v>-2684.7190000000001</v>
      </c>
      <c r="J15" s="307"/>
      <c r="K15" s="1699">
        <f t="shared" ref="K15:K22" si="0">ROUND(SUM(C15)+SUM(E15)-SUM(G15)+SUM(I15),3)</f>
        <v>60119.178999999996</v>
      </c>
      <c r="L15" s="1258"/>
      <c r="M15" s="1918"/>
    </row>
    <row r="16" spans="1:13">
      <c r="A16" s="309" t="s">
        <v>614</v>
      </c>
      <c r="B16" s="308"/>
      <c r="C16" s="1698">
        <v>0</v>
      </c>
      <c r="D16" s="307"/>
      <c r="E16" s="1698">
        <v>0</v>
      </c>
      <c r="F16" s="307"/>
      <c r="G16" s="1698">
        <v>0</v>
      </c>
      <c r="H16" s="307"/>
      <c r="I16" s="1698">
        <v>0</v>
      </c>
      <c r="J16" s="307"/>
      <c r="K16" s="1699">
        <f t="shared" si="0"/>
        <v>0</v>
      </c>
      <c r="L16" s="1258"/>
      <c r="M16" s="1918"/>
    </row>
    <row r="17" spans="1:13">
      <c r="A17" s="308" t="s">
        <v>615</v>
      </c>
      <c r="B17" s="308"/>
      <c r="C17" s="1698">
        <v>0</v>
      </c>
      <c r="D17" s="307"/>
      <c r="E17" s="1698">
        <v>0</v>
      </c>
      <c r="F17" s="307"/>
      <c r="G17" s="1698">
        <v>0</v>
      </c>
      <c r="H17" s="307"/>
      <c r="I17" s="1698">
        <v>0</v>
      </c>
      <c r="J17" s="307"/>
      <c r="K17" s="1699">
        <f t="shared" si="0"/>
        <v>0</v>
      </c>
      <c r="L17" s="1258"/>
      <c r="M17" s="1918"/>
    </row>
    <row r="18" spans="1:13">
      <c r="A18" s="308" t="s">
        <v>616</v>
      </c>
      <c r="B18" s="308"/>
      <c r="C18" s="1698">
        <v>0</v>
      </c>
      <c r="D18" s="307"/>
      <c r="E18" s="1698">
        <v>0</v>
      </c>
      <c r="F18" s="307"/>
      <c r="G18" s="1698">
        <v>0</v>
      </c>
      <c r="H18" s="307"/>
      <c r="I18" s="1698">
        <v>0</v>
      </c>
      <c r="J18" s="307"/>
      <c r="K18" s="1699">
        <f t="shared" si="0"/>
        <v>0</v>
      </c>
      <c r="L18" s="1258"/>
      <c r="M18" s="1918"/>
    </row>
    <row r="19" spans="1:13">
      <c r="A19" s="308" t="s">
        <v>617</v>
      </c>
      <c r="B19" s="308"/>
      <c r="C19" s="1698">
        <v>24.585000000000001</v>
      </c>
      <c r="D19" s="307"/>
      <c r="E19" s="1698">
        <v>0</v>
      </c>
      <c r="F19" s="307"/>
      <c r="G19" s="1698">
        <v>2.1000000000000001E-2</v>
      </c>
      <c r="H19" s="307"/>
      <c r="I19" s="1698">
        <v>0</v>
      </c>
      <c r="J19" s="307"/>
      <c r="K19" s="1699">
        <f t="shared" si="0"/>
        <v>24.564</v>
      </c>
      <c r="L19" s="1259"/>
      <c r="M19" s="1918"/>
    </row>
    <row r="20" spans="1:13">
      <c r="A20" s="308" t="s">
        <v>1477</v>
      </c>
      <c r="B20" s="308"/>
      <c r="C20" s="1698">
        <v>1000</v>
      </c>
      <c r="D20" s="307"/>
      <c r="E20" s="1698">
        <v>0</v>
      </c>
      <c r="F20" s="307"/>
      <c r="G20" s="1698">
        <v>0</v>
      </c>
      <c r="H20" s="307"/>
      <c r="I20" s="1698">
        <v>0</v>
      </c>
      <c r="J20" s="307"/>
      <c r="K20" s="1699">
        <f t="shared" si="0"/>
        <v>1000</v>
      </c>
      <c r="L20" s="1258"/>
      <c r="M20" s="1918"/>
    </row>
    <row r="21" spans="1:13">
      <c r="A21" s="309" t="s">
        <v>618</v>
      </c>
      <c r="B21" s="308"/>
      <c r="C21" s="1698">
        <v>0</v>
      </c>
      <c r="D21" s="307"/>
      <c r="E21" s="1698">
        <v>0</v>
      </c>
      <c r="F21" s="307"/>
      <c r="G21" s="1698">
        <v>0</v>
      </c>
      <c r="H21" s="307"/>
      <c r="I21" s="1698">
        <v>0</v>
      </c>
      <c r="J21" s="307"/>
      <c r="K21" s="1699">
        <f t="shared" si="0"/>
        <v>0</v>
      </c>
      <c r="L21" s="1258"/>
      <c r="M21" s="1918"/>
    </row>
    <row r="22" spans="1:13">
      <c r="A22" s="309" t="s">
        <v>619</v>
      </c>
      <c r="B22" s="308"/>
      <c r="C22" s="1698">
        <v>0</v>
      </c>
      <c r="D22" s="307"/>
      <c r="E22" s="1698">
        <v>0</v>
      </c>
      <c r="F22" s="307"/>
      <c r="G22" s="1698">
        <v>0</v>
      </c>
      <c r="H22" s="307"/>
      <c r="I22" s="1698">
        <v>0</v>
      </c>
      <c r="J22" s="307"/>
      <c r="K22" s="1699">
        <f t="shared" si="0"/>
        <v>0</v>
      </c>
      <c r="L22" s="1258"/>
      <c r="M22" s="1918"/>
    </row>
    <row r="23" spans="1:13">
      <c r="A23" s="130" t="s">
        <v>620</v>
      </c>
      <c r="B23" s="308"/>
      <c r="C23" s="1700">
        <f>ROUND(SUM(C14:C22),3)</f>
        <v>62143.625999999997</v>
      </c>
      <c r="D23" s="131"/>
      <c r="E23" s="1700">
        <f>ROUND(SUM(E14:E22),3)</f>
        <v>3927.1439999999998</v>
      </c>
      <c r="F23" s="131"/>
      <c r="G23" s="1700">
        <f>ROUND(SUM(G14:G22),3)</f>
        <v>7191.2809999999999</v>
      </c>
      <c r="H23" s="131"/>
      <c r="I23" s="1700">
        <f>ROUND(SUM(I14:I22),3)</f>
        <v>2264.2539999999999</v>
      </c>
      <c r="J23" s="131"/>
      <c r="K23" s="1700">
        <f>ROUND(SUM(K14:K22),3)</f>
        <v>61143.743000000002</v>
      </c>
      <c r="L23" s="1260"/>
      <c r="M23" s="1918" t="s">
        <v>103</v>
      </c>
    </row>
    <row r="24" spans="1:13" ht="8.25" customHeight="1">
      <c r="A24" s="130"/>
      <c r="B24" s="308"/>
      <c r="C24" s="307"/>
      <c r="D24" s="1699"/>
      <c r="E24" s="307"/>
      <c r="F24" s="1699"/>
      <c r="G24" s="307"/>
      <c r="H24" s="1699"/>
      <c r="I24" s="307"/>
      <c r="J24" s="1699"/>
      <c r="K24" s="307"/>
      <c r="L24" s="1261"/>
      <c r="M24" s="1918"/>
    </row>
    <row r="25" spans="1:13" ht="16">
      <c r="A25" s="309"/>
      <c r="B25" s="308"/>
      <c r="C25" s="308"/>
      <c r="D25" s="308"/>
      <c r="E25" s="308"/>
      <c r="F25" s="1701"/>
      <c r="G25" s="308"/>
      <c r="H25" s="1701"/>
      <c r="I25" s="308"/>
      <c r="J25" s="308"/>
      <c r="K25" s="1699"/>
      <c r="L25" s="1259"/>
      <c r="M25" s="1918"/>
    </row>
    <row r="26" spans="1:13" ht="16">
      <c r="A26" s="132" t="s">
        <v>621</v>
      </c>
      <c r="B26" s="308"/>
      <c r="C26" s="308"/>
      <c r="D26" s="308"/>
      <c r="E26" s="308"/>
      <c r="F26" s="1701"/>
      <c r="G26" s="308"/>
      <c r="H26" s="1701"/>
      <c r="I26" s="308"/>
      <c r="J26" s="308"/>
      <c r="K26" s="308"/>
      <c r="M26" s="1918"/>
    </row>
    <row r="27" spans="1:13">
      <c r="A27" s="309" t="s">
        <v>622</v>
      </c>
      <c r="B27" s="308"/>
      <c r="C27" s="1698">
        <v>1.575</v>
      </c>
      <c r="D27" s="307"/>
      <c r="E27" s="1698">
        <v>5.0000000000000001E-3</v>
      </c>
      <c r="F27" s="307"/>
      <c r="G27" s="1698">
        <v>0</v>
      </c>
      <c r="H27" s="307"/>
      <c r="I27" s="1698">
        <v>0</v>
      </c>
      <c r="J27" s="307"/>
      <c r="K27" s="1699">
        <f t="shared" ref="K27:K32" si="1">ROUND(SUM(C27)+SUM(E27)-SUM(G27)+SUM(I27),3)</f>
        <v>1.58</v>
      </c>
      <c r="L27" s="1262"/>
      <c r="M27" s="1918"/>
    </row>
    <row r="28" spans="1:13">
      <c r="A28" s="309" t="s">
        <v>623</v>
      </c>
      <c r="B28" s="308"/>
      <c r="C28" s="1698">
        <v>70.887</v>
      </c>
      <c r="D28" s="307"/>
      <c r="E28" s="1698">
        <v>0.88200000000000001</v>
      </c>
      <c r="F28" s="307"/>
      <c r="G28" s="1698">
        <v>1.232</v>
      </c>
      <c r="H28" s="307"/>
      <c r="I28" s="1698">
        <v>0.312</v>
      </c>
      <c r="J28" s="307"/>
      <c r="K28" s="1699">
        <f t="shared" si="1"/>
        <v>70.849000000000004</v>
      </c>
      <c r="L28" s="1262"/>
      <c r="M28" s="1918"/>
    </row>
    <row r="29" spans="1:13">
      <c r="A29" s="308" t="s">
        <v>624</v>
      </c>
      <c r="B29" s="820" t="s">
        <v>606</v>
      </c>
      <c r="C29" s="1698">
        <v>769.28099999999995</v>
      </c>
      <c r="D29" s="307"/>
      <c r="E29" s="1698">
        <v>20.405999999999999</v>
      </c>
      <c r="F29" s="307"/>
      <c r="G29" s="1698">
        <v>22.21</v>
      </c>
      <c r="H29" s="307"/>
      <c r="I29" s="1698">
        <v>0</v>
      </c>
      <c r="J29" s="307"/>
      <c r="K29" s="1699">
        <f t="shared" si="1"/>
        <v>767.47699999999998</v>
      </c>
      <c r="L29" s="1262"/>
      <c r="M29" s="1918"/>
    </row>
    <row r="30" spans="1:13">
      <c r="A30" s="309" t="s">
        <v>625</v>
      </c>
      <c r="B30" s="820"/>
      <c r="C30" s="1698">
        <v>0.186</v>
      </c>
      <c r="D30" s="307"/>
      <c r="E30" s="1698">
        <v>0</v>
      </c>
      <c r="F30" s="307"/>
      <c r="G30" s="1698">
        <v>4.2999999999999997E-2</v>
      </c>
      <c r="H30" s="307"/>
      <c r="I30" s="1698">
        <v>-1.0999999999999999E-2</v>
      </c>
      <c r="J30" s="307"/>
      <c r="K30" s="1699">
        <f t="shared" si="1"/>
        <v>0.13200000000000001</v>
      </c>
      <c r="L30" s="1262"/>
      <c r="M30" s="1918"/>
    </row>
    <row r="31" spans="1:13">
      <c r="A31" s="309" t="s">
        <v>626</v>
      </c>
      <c r="B31" s="820"/>
      <c r="C31" s="1698">
        <v>0.16700000000000001</v>
      </c>
      <c r="D31" s="307"/>
      <c r="E31" s="1698">
        <v>1.0999999999999999E-2</v>
      </c>
      <c r="F31" s="307"/>
      <c r="G31" s="1698">
        <v>5.7000000000000002E-2</v>
      </c>
      <c r="H31" s="307"/>
      <c r="I31" s="1698">
        <v>0.5</v>
      </c>
      <c r="J31" s="307"/>
      <c r="K31" s="1699">
        <f t="shared" si="1"/>
        <v>0.621</v>
      </c>
      <c r="L31" s="1262"/>
      <c r="M31" s="1918"/>
    </row>
    <row r="32" spans="1:13">
      <c r="A32" s="308" t="s">
        <v>627</v>
      </c>
      <c r="B32" s="308"/>
      <c r="C32" s="1698">
        <v>11.778</v>
      </c>
      <c r="D32" s="307"/>
      <c r="E32" s="1698">
        <v>0.88500000000000001</v>
      </c>
      <c r="F32" s="307"/>
      <c r="G32" s="1698">
        <v>0.439</v>
      </c>
      <c r="H32" s="307"/>
      <c r="I32" s="1698">
        <v>-8.6999999999999994E-2</v>
      </c>
      <c r="J32" s="307"/>
      <c r="K32" s="1699">
        <f t="shared" si="1"/>
        <v>12.137</v>
      </c>
      <c r="L32" s="1262"/>
      <c r="M32" s="1918"/>
    </row>
    <row r="33" spans="1:13">
      <c r="A33" s="308" t="s">
        <v>628</v>
      </c>
      <c r="B33" s="308"/>
      <c r="C33" s="1921"/>
      <c r="D33"/>
      <c r="E33" s="133"/>
      <c r="F33" s="133"/>
      <c r="G33" s="133"/>
      <c r="H33" s="133"/>
      <c r="I33" s="133"/>
      <c r="J33" s="133"/>
      <c r="K33" s="1702"/>
      <c r="L33" s="1262"/>
      <c r="M33" s="1918"/>
    </row>
    <row r="34" spans="1:13">
      <c r="A34" s="308" t="s">
        <v>629</v>
      </c>
      <c r="B34" s="308"/>
      <c r="C34" s="1698">
        <v>5.2140000000000004</v>
      </c>
      <c r="D34" s="307"/>
      <c r="E34" s="1698">
        <v>0.51900000000000002</v>
      </c>
      <c r="F34" s="307"/>
      <c r="G34" s="1698">
        <v>0.61699999999999999</v>
      </c>
      <c r="H34" s="307"/>
      <c r="I34" s="1698">
        <v>-8.6999999999999994E-2</v>
      </c>
      <c r="J34" s="307"/>
      <c r="K34" s="1699">
        <f t="shared" ref="K34:K59" si="2">ROUND(SUM(C34)+SUM(E34)-SUM(G34)+SUM(I34),3)</f>
        <v>5.0289999999999999</v>
      </c>
      <c r="L34" s="1262"/>
      <c r="M34" s="1918"/>
    </row>
    <row r="35" spans="1:13">
      <c r="A35" s="308" t="s">
        <v>630</v>
      </c>
      <c r="B35" s="308"/>
      <c r="C35" s="1698">
        <v>2E-3</v>
      </c>
      <c r="D35" s="307"/>
      <c r="E35" s="1698">
        <v>0</v>
      </c>
      <c r="F35" s="307"/>
      <c r="G35" s="1698">
        <v>0</v>
      </c>
      <c r="H35" s="307"/>
      <c r="I35" s="1698">
        <v>0</v>
      </c>
      <c r="J35" s="307"/>
      <c r="K35" s="1699">
        <f t="shared" si="2"/>
        <v>2E-3</v>
      </c>
      <c r="L35" s="1262"/>
      <c r="M35" s="1918"/>
    </row>
    <row r="36" spans="1:13">
      <c r="A36" s="308" t="s">
        <v>631</v>
      </c>
      <c r="B36" s="308"/>
      <c r="C36" s="1698">
        <v>6.4429999999999996</v>
      </c>
      <c r="D36" s="307"/>
      <c r="E36" s="1698">
        <v>0.02</v>
      </c>
      <c r="F36" s="307"/>
      <c r="G36" s="1698">
        <v>0</v>
      </c>
      <c r="H36" s="307"/>
      <c r="I36" s="1698">
        <v>0</v>
      </c>
      <c r="J36" s="307"/>
      <c r="K36" s="1699">
        <f t="shared" si="2"/>
        <v>6.4630000000000001</v>
      </c>
      <c r="L36" s="1262"/>
      <c r="M36" s="1918"/>
    </row>
    <row r="37" spans="1:13">
      <c r="A37" s="671" t="s">
        <v>632</v>
      </c>
      <c r="B37" s="823"/>
      <c r="C37" s="1698">
        <v>0</v>
      </c>
      <c r="D37" s="307"/>
      <c r="E37" s="1698">
        <v>0</v>
      </c>
      <c r="F37" s="307"/>
      <c r="G37" s="1698">
        <v>0</v>
      </c>
      <c r="H37" s="307"/>
      <c r="I37" s="1698">
        <v>0</v>
      </c>
      <c r="J37" s="307"/>
      <c r="K37" s="1699">
        <f t="shared" si="2"/>
        <v>0</v>
      </c>
      <c r="L37" s="1262"/>
      <c r="M37" s="1918"/>
    </row>
    <row r="38" spans="1:13">
      <c r="A38" s="309" t="s">
        <v>633</v>
      </c>
      <c r="B38" s="308"/>
      <c r="C38" s="1698">
        <v>1105.405</v>
      </c>
      <c r="D38" s="307"/>
      <c r="E38" s="1698">
        <v>742.32500000000005</v>
      </c>
      <c r="F38" s="307"/>
      <c r="G38" s="1698">
        <v>445.43</v>
      </c>
      <c r="H38" s="307"/>
      <c r="I38" s="1698">
        <v>-3.4</v>
      </c>
      <c r="J38" s="307"/>
      <c r="K38" s="1699">
        <f t="shared" si="2"/>
        <v>1398.9</v>
      </c>
      <c r="L38" s="1262"/>
      <c r="M38" s="1918"/>
    </row>
    <row r="39" spans="1:13">
      <c r="A39" s="308" t="s">
        <v>634</v>
      </c>
      <c r="B39" s="308"/>
      <c r="C39" s="1698">
        <v>222</v>
      </c>
      <c r="D39" s="307"/>
      <c r="E39" s="1698">
        <v>168.30099999999999</v>
      </c>
      <c r="F39" s="307"/>
      <c r="G39" s="1698">
        <v>155.97300000000001</v>
      </c>
      <c r="H39" s="307"/>
      <c r="I39" s="1698">
        <v>6.7000000000000004E-2</v>
      </c>
      <c r="J39" s="307"/>
      <c r="K39" s="1699">
        <f t="shared" si="2"/>
        <v>234.39500000000001</v>
      </c>
      <c r="L39" s="1262"/>
      <c r="M39" s="1918"/>
    </row>
    <row r="40" spans="1:13">
      <c r="A40" s="309" t="s">
        <v>635</v>
      </c>
      <c r="B40" s="308"/>
      <c r="C40" s="1698">
        <v>831.03899999999999</v>
      </c>
      <c r="D40" s="307"/>
      <c r="E40" s="1698">
        <v>278.94400000000002</v>
      </c>
      <c r="F40" s="307"/>
      <c r="G40" s="1698">
        <v>3.2959999999999998</v>
      </c>
      <c r="H40" s="307"/>
      <c r="I40" s="1698">
        <v>-1.476</v>
      </c>
      <c r="J40" s="307"/>
      <c r="K40" s="1699">
        <f t="shared" si="2"/>
        <v>1105.211</v>
      </c>
      <c r="L40" s="1262"/>
      <c r="M40" s="1918"/>
    </row>
    <row r="41" spans="1:13">
      <c r="A41" s="309" t="s">
        <v>636</v>
      </c>
      <c r="B41" s="308"/>
      <c r="C41" s="1698">
        <v>11.525</v>
      </c>
      <c r="D41" s="307"/>
      <c r="E41" s="1698">
        <v>0.99099999999999999</v>
      </c>
      <c r="F41" s="307"/>
      <c r="G41" s="1698">
        <v>0.115</v>
      </c>
      <c r="H41" s="307"/>
      <c r="I41" s="1698">
        <v>0</v>
      </c>
      <c r="J41" s="307"/>
      <c r="K41" s="1699">
        <f t="shared" si="2"/>
        <v>12.401</v>
      </c>
      <c r="L41" s="1262"/>
      <c r="M41" s="1918"/>
    </row>
    <row r="42" spans="1:13">
      <c r="A42" s="308" t="s">
        <v>637</v>
      </c>
      <c r="B42" s="308"/>
      <c r="C42" s="1698">
        <v>0</v>
      </c>
      <c r="D42" s="307"/>
      <c r="E42" s="1698">
        <v>0</v>
      </c>
      <c r="F42" s="307"/>
      <c r="G42" s="1698">
        <v>0</v>
      </c>
      <c r="H42" s="307"/>
      <c r="I42" s="1698">
        <v>0</v>
      </c>
      <c r="J42" s="307"/>
      <c r="K42" s="1699">
        <f t="shared" si="2"/>
        <v>0</v>
      </c>
      <c r="L42" s="1262"/>
      <c r="M42" s="1918"/>
    </row>
    <row r="43" spans="1:13">
      <c r="A43" s="308" t="s">
        <v>638</v>
      </c>
      <c r="B43" s="308"/>
      <c r="C43" s="1698">
        <v>12.936</v>
      </c>
      <c r="D43" s="307"/>
      <c r="E43" s="1698">
        <v>9.5459999999999994</v>
      </c>
      <c r="F43" s="307"/>
      <c r="G43" s="1698">
        <v>9.6140000000000008</v>
      </c>
      <c r="H43" s="307"/>
      <c r="I43" s="1698">
        <v>0</v>
      </c>
      <c r="J43" s="307"/>
      <c r="K43" s="1699">
        <f t="shared" si="2"/>
        <v>12.868</v>
      </c>
      <c r="L43" s="1262"/>
      <c r="M43" s="1918"/>
    </row>
    <row r="44" spans="1:13">
      <c r="A44" s="308" t="s">
        <v>639</v>
      </c>
      <c r="B44" s="308"/>
      <c r="C44" s="1698">
        <v>151.75700000000001</v>
      </c>
      <c r="D44" s="307"/>
      <c r="E44" s="1698">
        <v>5.4189999999999996</v>
      </c>
      <c r="F44" s="307"/>
      <c r="G44" s="1698">
        <v>3.4420000000000002</v>
      </c>
      <c r="H44" s="307"/>
      <c r="I44" s="1698">
        <v>0</v>
      </c>
      <c r="J44" s="307"/>
      <c r="K44" s="1699">
        <f t="shared" si="2"/>
        <v>153.73400000000001</v>
      </c>
      <c r="L44" s="1262"/>
      <c r="M44" s="1918"/>
    </row>
    <row r="45" spans="1:13">
      <c r="A45" s="308" t="s">
        <v>640</v>
      </c>
      <c r="B45" s="308"/>
      <c r="C45" s="1698">
        <v>12.412000000000001</v>
      </c>
      <c r="D45" s="307"/>
      <c r="E45" s="1698">
        <v>7.016</v>
      </c>
      <c r="F45" s="307"/>
      <c r="G45" s="1698">
        <v>1.3480000000000001</v>
      </c>
      <c r="H45" s="307"/>
      <c r="I45" s="1698">
        <v>-2.399</v>
      </c>
      <c r="J45" s="307"/>
      <c r="K45" s="1699">
        <f t="shared" si="2"/>
        <v>15.680999999999999</v>
      </c>
      <c r="L45" s="1262"/>
      <c r="M45" s="1918"/>
    </row>
    <row r="46" spans="1:13">
      <c r="A46" s="308" t="s">
        <v>641</v>
      </c>
      <c r="B46" s="308"/>
      <c r="C46" s="1698">
        <v>5.6539999999999999</v>
      </c>
      <c r="D46" s="307"/>
      <c r="E46" s="1698">
        <v>15.12</v>
      </c>
      <c r="F46" s="307"/>
      <c r="G46" s="1698">
        <v>7.64</v>
      </c>
      <c r="H46" s="307"/>
      <c r="I46" s="1698">
        <v>0</v>
      </c>
      <c r="J46" s="307"/>
      <c r="K46" s="1699">
        <f t="shared" si="2"/>
        <v>13.134</v>
      </c>
      <c r="L46" s="1262"/>
      <c r="M46" s="1918"/>
    </row>
    <row r="47" spans="1:13">
      <c r="A47" s="308" t="s">
        <v>642</v>
      </c>
      <c r="B47" s="308"/>
      <c r="C47" s="1698">
        <v>20.748000000000001</v>
      </c>
      <c r="D47" s="307"/>
      <c r="E47" s="1698">
        <v>0.92800000000000005</v>
      </c>
      <c r="F47" s="307"/>
      <c r="G47" s="1698">
        <v>1.5349999999999999</v>
      </c>
      <c r="H47" s="307"/>
      <c r="I47" s="1698">
        <v>0</v>
      </c>
      <c r="J47" s="307"/>
      <c r="K47" s="1699">
        <f t="shared" si="2"/>
        <v>20.140999999999998</v>
      </c>
      <c r="L47" s="1262"/>
      <c r="M47" s="1918"/>
    </row>
    <row r="48" spans="1:13">
      <c r="A48" s="309" t="s">
        <v>643</v>
      </c>
      <c r="B48" s="308"/>
      <c r="C48" s="1698">
        <v>0.59399999999999997</v>
      </c>
      <c r="D48" s="307"/>
      <c r="E48" s="1698">
        <v>3.0000000000000001E-3</v>
      </c>
      <c r="F48" s="307"/>
      <c r="G48" s="1698">
        <v>0</v>
      </c>
      <c r="H48" s="307"/>
      <c r="I48" s="1698">
        <v>0</v>
      </c>
      <c r="J48" s="307"/>
      <c r="K48" s="1699">
        <f t="shared" si="2"/>
        <v>0.59699999999999998</v>
      </c>
      <c r="L48" s="1262"/>
      <c r="M48" s="1918"/>
    </row>
    <row r="49" spans="1:13">
      <c r="A49" s="308" t="s">
        <v>644</v>
      </c>
      <c r="B49" s="308"/>
      <c r="C49" s="1698">
        <v>1412.4069999999999</v>
      </c>
      <c r="D49" s="307"/>
      <c r="E49" s="1698">
        <v>89.861000000000004</v>
      </c>
      <c r="F49" s="307"/>
      <c r="G49" s="1698">
        <v>193.251</v>
      </c>
      <c r="H49" s="307"/>
      <c r="I49" s="1698">
        <v>-0.03</v>
      </c>
      <c r="J49" s="307"/>
      <c r="K49" s="1699">
        <f t="shared" si="2"/>
        <v>1308.9870000000001</v>
      </c>
      <c r="L49" s="1262"/>
      <c r="M49" s="1918"/>
    </row>
    <row r="50" spans="1:13">
      <c r="A50" s="308" t="s">
        <v>645</v>
      </c>
      <c r="B50" s="308"/>
      <c r="C50" s="1698">
        <v>-35.777999999999999</v>
      </c>
      <c r="D50" s="307"/>
      <c r="E50" s="1698">
        <v>4.516</v>
      </c>
      <c r="F50" s="307"/>
      <c r="G50" s="1698">
        <v>3.3980000000000001</v>
      </c>
      <c r="H50" s="307"/>
      <c r="I50" s="1698">
        <v>0</v>
      </c>
      <c r="J50" s="307"/>
      <c r="K50" s="1699">
        <f t="shared" si="2"/>
        <v>-34.659999999999997</v>
      </c>
      <c r="L50" s="1262"/>
      <c r="M50" s="1918"/>
    </row>
    <row r="51" spans="1:13">
      <c r="A51" s="308" t="s">
        <v>646</v>
      </c>
      <c r="B51" s="308"/>
      <c r="C51" s="1698">
        <v>8.5000000000000006E-2</v>
      </c>
      <c r="D51" s="307"/>
      <c r="E51" s="1698">
        <v>0</v>
      </c>
      <c r="F51" s="307"/>
      <c r="G51" s="1698">
        <v>0</v>
      </c>
      <c r="H51" s="307"/>
      <c r="I51" s="1698">
        <v>0</v>
      </c>
      <c r="J51" s="307"/>
      <c r="K51" s="1699">
        <f t="shared" si="2"/>
        <v>8.5000000000000006E-2</v>
      </c>
      <c r="L51" s="1262"/>
      <c r="M51" s="1918"/>
    </row>
    <row r="52" spans="1:13">
      <c r="A52" s="308" t="s">
        <v>647</v>
      </c>
      <c r="B52" s="308"/>
      <c r="C52" s="1698">
        <v>15.1</v>
      </c>
      <c r="D52" s="307"/>
      <c r="E52" s="1698">
        <v>0.16300000000000001</v>
      </c>
      <c r="F52" s="307"/>
      <c r="G52" s="1698">
        <v>6.9999999999999993E-2</v>
      </c>
      <c r="H52" s="307"/>
      <c r="I52" s="1698">
        <v>0</v>
      </c>
      <c r="J52" s="307"/>
      <c r="K52" s="1699">
        <f t="shared" si="2"/>
        <v>15.193</v>
      </c>
      <c r="L52" s="1262"/>
      <c r="M52" s="1918"/>
    </row>
    <row r="53" spans="1:13">
      <c r="A53" s="308" t="s">
        <v>648</v>
      </c>
      <c r="B53" s="308"/>
      <c r="C53" s="1698">
        <v>0</v>
      </c>
      <c r="D53" s="307"/>
      <c r="E53" s="1698">
        <v>0</v>
      </c>
      <c r="F53" s="307"/>
      <c r="G53" s="1698">
        <v>0</v>
      </c>
      <c r="H53" s="307"/>
      <c r="I53" s="1698">
        <v>0</v>
      </c>
      <c r="J53" s="307"/>
      <c r="K53" s="1699">
        <f t="shared" si="2"/>
        <v>0</v>
      </c>
      <c r="L53" s="1262"/>
      <c r="M53" s="1918"/>
    </row>
    <row r="54" spans="1:13">
      <c r="A54" s="309" t="s">
        <v>649</v>
      </c>
      <c r="B54" s="308"/>
      <c r="C54" s="1698">
        <v>0.53100000000000003</v>
      </c>
      <c r="D54" s="307"/>
      <c r="E54" s="1698">
        <v>1E-3</v>
      </c>
      <c r="F54" s="307"/>
      <c r="G54" s="1698">
        <v>0</v>
      </c>
      <c r="H54" s="307"/>
      <c r="I54" s="1698">
        <v>0</v>
      </c>
      <c r="J54" s="307"/>
      <c r="K54" s="1699">
        <f t="shared" si="2"/>
        <v>0.53200000000000003</v>
      </c>
      <c r="L54" s="1262"/>
      <c r="M54" s="1918"/>
    </row>
    <row r="55" spans="1:13">
      <c r="A55" s="309" t="s">
        <v>650</v>
      </c>
      <c r="B55" s="308"/>
      <c r="C55" s="1698">
        <v>0</v>
      </c>
      <c r="D55" s="307"/>
      <c r="E55" s="1698">
        <v>0</v>
      </c>
      <c r="F55" s="307"/>
      <c r="G55" s="1698">
        <v>0</v>
      </c>
      <c r="H55" s="307"/>
      <c r="I55" s="1698">
        <v>0</v>
      </c>
      <c r="J55" s="307"/>
      <c r="K55" s="1699">
        <f t="shared" si="2"/>
        <v>0</v>
      </c>
      <c r="L55" s="1262"/>
      <c r="M55" s="1918"/>
    </row>
    <row r="56" spans="1:13">
      <c r="A56" s="309" t="s">
        <v>1472</v>
      </c>
      <c r="B56" s="308"/>
      <c r="C56" s="1698">
        <v>0.82699999999999996</v>
      </c>
      <c r="D56" s="307"/>
      <c r="E56" s="1698">
        <v>0</v>
      </c>
      <c r="F56" s="307"/>
      <c r="G56" s="1698">
        <v>0</v>
      </c>
      <c r="H56" s="307"/>
      <c r="I56" s="1698">
        <v>0</v>
      </c>
      <c r="J56" s="307"/>
      <c r="K56" s="1699">
        <f t="shared" si="2"/>
        <v>0.82699999999999996</v>
      </c>
      <c r="L56" s="1262"/>
      <c r="M56" s="1918"/>
    </row>
    <row r="57" spans="1:13">
      <c r="A57" s="309" t="s">
        <v>651</v>
      </c>
      <c r="B57" s="308"/>
      <c r="C57" s="1698">
        <v>0.16400000000000001</v>
      </c>
      <c r="D57" s="307"/>
      <c r="E57" s="1698">
        <v>2E-3</v>
      </c>
      <c r="F57" s="307"/>
      <c r="G57" s="1698">
        <v>0</v>
      </c>
      <c r="H57" s="307"/>
      <c r="I57" s="1698">
        <v>0</v>
      </c>
      <c r="J57" s="307"/>
      <c r="K57" s="1699">
        <f>ROUND(SUM(C57)+SUM(E57)-SUM(G57)+SUM(I57),3)</f>
        <v>0.16600000000000001</v>
      </c>
      <c r="L57" s="1262"/>
      <c r="M57" s="1918"/>
    </row>
    <row r="58" spans="1:13">
      <c r="A58" s="309" t="s">
        <v>652</v>
      </c>
      <c r="B58" s="308"/>
      <c r="C58" s="1698">
        <v>6275.6660000000002</v>
      </c>
      <c r="D58" s="307"/>
      <c r="E58" s="1698">
        <v>943.00900000000001</v>
      </c>
      <c r="F58" s="307"/>
      <c r="G58" s="1698">
        <v>322.036</v>
      </c>
      <c r="H58" s="307"/>
      <c r="I58" s="1698">
        <v>37.029000000000003</v>
      </c>
      <c r="J58" s="307"/>
      <c r="K58" s="1699">
        <f t="shared" si="2"/>
        <v>6933.6679999999997</v>
      </c>
      <c r="L58" s="1262"/>
      <c r="M58" s="1918"/>
    </row>
    <row r="59" spans="1:13">
      <c r="A59" s="308" t="s">
        <v>653</v>
      </c>
      <c r="B59" s="308"/>
      <c r="C59" s="1698">
        <v>64.061000000000007</v>
      </c>
      <c r="D59" s="307"/>
      <c r="E59" s="1698">
        <v>0.22900000000000001</v>
      </c>
      <c r="F59" s="307"/>
      <c r="G59" s="1698">
        <v>4.5389999999999997</v>
      </c>
      <c r="H59" s="307"/>
      <c r="I59" s="1698">
        <v>0</v>
      </c>
      <c r="J59" s="307"/>
      <c r="K59" s="1699">
        <f t="shared" si="2"/>
        <v>59.750999999999998</v>
      </c>
      <c r="L59" s="1262"/>
      <c r="M59" s="1918"/>
    </row>
    <row r="60" spans="1:13">
      <c r="A60" s="308"/>
      <c r="B60" s="308"/>
      <c r="C60" s="1698"/>
      <c r="D60" s="307"/>
      <c r="E60" s="1698"/>
      <c r="F60" s="307"/>
      <c r="G60" s="1698"/>
      <c r="H60" s="307"/>
      <c r="I60" s="1698"/>
      <c r="J60" s="307"/>
      <c r="K60" s="1699"/>
      <c r="L60" s="1262"/>
      <c r="M60" s="1918"/>
    </row>
    <row r="61" spans="1:13">
      <c r="A61" s="308"/>
      <c r="B61" s="308"/>
      <c r="C61" s="1698"/>
      <c r="D61" s="307"/>
      <c r="E61" s="1698"/>
      <c r="F61" s="307"/>
      <c r="G61" s="1698"/>
      <c r="H61" s="307"/>
      <c r="I61" s="1698"/>
      <c r="J61" s="307"/>
      <c r="K61" s="1699"/>
      <c r="L61" s="1262"/>
      <c r="M61" s="1918"/>
    </row>
    <row r="62" spans="1:13">
      <c r="A62" s="132" t="s">
        <v>654</v>
      </c>
      <c r="B62" s="308"/>
      <c r="C62" s="1698"/>
      <c r="D62" s="307"/>
      <c r="E62" s="1698"/>
      <c r="F62" s="307"/>
      <c r="G62" s="1698"/>
      <c r="H62" s="307"/>
      <c r="I62" s="1698"/>
      <c r="J62" s="307"/>
      <c r="K62" s="1699"/>
      <c r="L62" s="1262"/>
      <c r="M62" s="1918"/>
    </row>
    <row r="63" spans="1:13">
      <c r="A63" s="308" t="s">
        <v>655</v>
      </c>
      <c r="B63" s="307"/>
      <c r="C63" s="1698">
        <v>6.3E-2</v>
      </c>
      <c r="D63" s="307"/>
      <c r="E63" s="1698">
        <v>0</v>
      </c>
      <c r="F63" s="307"/>
      <c r="G63" s="1698">
        <v>0</v>
      </c>
      <c r="H63" s="307"/>
      <c r="I63" s="1698">
        <v>0</v>
      </c>
      <c r="J63" s="307"/>
      <c r="K63" s="1699">
        <f>ROUND(SUM(C63)+SUM(E63)-SUM(G63)+SUM(I63),3)</f>
        <v>6.3E-2</v>
      </c>
      <c r="L63" s="1262"/>
      <c r="M63" s="1918"/>
    </row>
    <row r="64" spans="1:13">
      <c r="A64" s="308" t="s">
        <v>656</v>
      </c>
      <c r="B64" s="308"/>
      <c r="C64" s="1698">
        <v>2127.6080000000002</v>
      </c>
      <c r="D64" s="307"/>
      <c r="E64" s="1698">
        <v>487.85</v>
      </c>
      <c r="F64" s="307"/>
      <c r="G64" s="1698">
        <v>999.14400000000001</v>
      </c>
      <c r="H64" s="307"/>
      <c r="I64" s="1698">
        <v>823.33600000000001</v>
      </c>
      <c r="J64" s="307"/>
      <c r="K64" s="1699">
        <f>ROUND(SUM(C64)+SUM(E64)-SUM(G64)+SUM(I64),3)</f>
        <v>2439.65</v>
      </c>
      <c r="L64" s="1262"/>
      <c r="M64" s="1918"/>
    </row>
    <row r="65" spans="1:13">
      <c r="A65" s="309" t="s">
        <v>657</v>
      </c>
      <c r="B65" s="308"/>
      <c r="C65" s="1698">
        <v>8.7029999999999994</v>
      </c>
      <c r="D65" s="307"/>
      <c r="E65" s="1698">
        <v>0.57199999999999995</v>
      </c>
      <c r="F65" s="307"/>
      <c r="G65" s="1698">
        <v>8.9999999999999993E-3</v>
      </c>
      <c r="H65" s="307"/>
      <c r="I65" s="1698">
        <v>0</v>
      </c>
      <c r="J65" s="307"/>
      <c r="K65" s="1699">
        <f>ROUND(SUM(C65)+SUM(E65)-SUM(G65)+SUM(I65),3)</f>
        <v>9.266</v>
      </c>
      <c r="L65" s="1262"/>
      <c r="M65" s="1918"/>
    </row>
    <row r="66" spans="1:13">
      <c r="A66" s="308" t="s">
        <v>658</v>
      </c>
      <c r="B66" s="308"/>
      <c r="C66" s="1698">
        <v>0.85199999999999998</v>
      </c>
      <c r="D66" s="307"/>
      <c r="E66" s="1698">
        <v>2E-3</v>
      </c>
      <c r="F66" s="307"/>
      <c r="G66" s="1698">
        <v>0.19500000000000001</v>
      </c>
      <c r="H66" s="307"/>
      <c r="I66" s="1698">
        <v>0</v>
      </c>
      <c r="J66" s="307"/>
      <c r="K66" s="1699">
        <f>ROUND(SUM(C66)+SUM(E66)-SUM(G66)+SUM(I66),3)</f>
        <v>0.65900000000000003</v>
      </c>
      <c r="L66" s="1262"/>
      <c r="M66" s="1918"/>
    </row>
    <row r="67" spans="1:13">
      <c r="A67" s="308" t="s">
        <v>659</v>
      </c>
      <c r="B67" s="308"/>
      <c r="C67" s="1921"/>
      <c r="D67"/>
      <c r="E67" s="1699"/>
      <c r="F67" s="308"/>
      <c r="G67" s="1699"/>
      <c r="H67" s="308"/>
      <c r="I67" s="1703"/>
      <c r="J67" s="308"/>
      <c r="K67" s="1699" t="s">
        <v>103</v>
      </c>
      <c r="L67" s="1262"/>
      <c r="M67" s="1918"/>
    </row>
    <row r="68" spans="1:13">
      <c r="A68" s="308" t="s">
        <v>660</v>
      </c>
      <c r="B68" s="308"/>
      <c r="C68" s="1698">
        <v>377.23599999999999</v>
      </c>
      <c r="D68" s="307"/>
      <c r="E68" s="1698">
        <v>1.2090000000000001</v>
      </c>
      <c r="F68" s="307"/>
      <c r="G68" s="1698">
        <v>9.9000000000000005E-2</v>
      </c>
      <c r="H68" s="307"/>
      <c r="I68" s="1698">
        <v>0</v>
      </c>
      <c r="J68" s="307"/>
      <c r="K68" s="1699">
        <f t="shared" ref="K68:K73" si="3">ROUND(SUM(C68)+SUM(E68)-SUM(G68)+SUM(I68),3)</f>
        <v>378.346</v>
      </c>
      <c r="L68" s="1262"/>
      <c r="M68" s="1918"/>
    </row>
    <row r="69" spans="1:13">
      <c r="A69" s="308" t="s">
        <v>661</v>
      </c>
      <c r="B69" s="134"/>
      <c r="C69" s="1698">
        <v>0.69199999999999995</v>
      </c>
      <c r="D69" s="307"/>
      <c r="E69" s="1698">
        <v>2E-3</v>
      </c>
      <c r="F69" s="307"/>
      <c r="G69" s="1698">
        <v>2.1000000000000001E-2</v>
      </c>
      <c r="H69" s="307"/>
      <c r="I69" s="1698">
        <v>0</v>
      </c>
      <c r="J69" s="307"/>
      <c r="K69" s="1699">
        <f t="shared" si="3"/>
        <v>0.67300000000000004</v>
      </c>
      <c r="L69" s="1262"/>
      <c r="M69" s="1918"/>
    </row>
    <row r="70" spans="1:13">
      <c r="A70" s="308" t="s">
        <v>662</v>
      </c>
      <c r="B70" s="308"/>
      <c r="C70" s="1698">
        <v>2.9000000000000001E-2</v>
      </c>
      <c r="D70" s="307"/>
      <c r="E70" s="1698">
        <v>0</v>
      </c>
      <c r="F70" s="307"/>
      <c r="G70" s="1698">
        <v>0</v>
      </c>
      <c r="H70" s="307"/>
      <c r="I70" s="1698">
        <v>0</v>
      </c>
      <c r="J70" s="307"/>
      <c r="K70" s="1699">
        <f t="shared" si="3"/>
        <v>2.9000000000000001E-2</v>
      </c>
      <c r="L70" s="1262"/>
      <c r="M70" s="1918"/>
    </row>
    <row r="71" spans="1:13">
      <c r="A71" s="309" t="s">
        <v>663</v>
      </c>
      <c r="B71" s="308"/>
      <c r="C71" s="1698">
        <v>1.04</v>
      </c>
      <c r="D71" s="307"/>
      <c r="E71" s="1698">
        <v>3.0000000000000001E-3</v>
      </c>
      <c r="F71" s="307"/>
      <c r="G71" s="1698">
        <v>0.2</v>
      </c>
      <c r="H71" s="307"/>
      <c r="I71" s="1698">
        <v>0</v>
      </c>
      <c r="J71" s="307"/>
      <c r="K71" s="1699">
        <f t="shared" si="3"/>
        <v>0.84299999999999997</v>
      </c>
      <c r="L71" s="1262"/>
      <c r="M71" s="1918"/>
    </row>
    <row r="72" spans="1:13">
      <c r="A72" s="308" t="s">
        <v>664</v>
      </c>
      <c r="B72" s="308"/>
      <c r="C72" s="1698">
        <v>-27.187999999999999</v>
      </c>
      <c r="D72" s="307"/>
      <c r="E72" s="1698">
        <v>0</v>
      </c>
      <c r="F72" s="307"/>
      <c r="G72" s="1698">
        <v>0.54900000000000004</v>
      </c>
      <c r="H72" s="307"/>
      <c r="I72" s="1698">
        <v>0</v>
      </c>
      <c r="J72" s="307"/>
      <c r="K72" s="1699">
        <f t="shared" si="3"/>
        <v>-27.736999999999998</v>
      </c>
      <c r="L72" s="1262"/>
      <c r="M72" s="1918"/>
    </row>
    <row r="73" spans="1:13">
      <c r="A73" s="308" t="s">
        <v>665</v>
      </c>
      <c r="B73" s="308"/>
      <c r="C73" s="1698">
        <v>0.248</v>
      </c>
      <c r="D73" s="307"/>
      <c r="E73" s="1698">
        <v>3.0000000000000001E-3</v>
      </c>
      <c r="F73" s="307"/>
      <c r="G73" s="1698">
        <v>0</v>
      </c>
      <c r="H73" s="307"/>
      <c r="I73" s="1698">
        <v>0</v>
      </c>
      <c r="J73" s="307"/>
      <c r="K73" s="1699">
        <f t="shared" si="3"/>
        <v>0.251</v>
      </c>
      <c r="L73" s="1262"/>
      <c r="M73" s="1918"/>
    </row>
    <row r="74" spans="1:13">
      <c r="A74" s="308" t="s">
        <v>666</v>
      </c>
      <c r="B74" s="308"/>
      <c r="C74" s="1921"/>
      <c r="D74"/>
      <c r="E74" s="1699"/>
      <c r="F74" s="308"/>
      <c r="G74" s="1699"/>
      <c r="H74" s="308"/>
      <c r="I74" s="1699"/>
      <c r="J74" s="308"/>
      <c r="K74" s="1699"/>
      <c r="L74" s="1262"/>
      <c r="M74" s="1918"/>
    </row>
    <row r="75" spans="1:13">
      <c r="A75" s="308" t="s">
        <v>667</v>
      </c>
      <c r="B75" s="308"/>
      <c r="C75" s="1698">
        <v>1E-3</v>
      </c>
      <c r="D75" s="307"/>
      <c r="E75" s="1698">
        <v>0</v>
      </c>
      <c r="F75" s="307"/>
      <c r="G75" s="1698">
        <v>0</v>
      </c>
      <c r="H75" s="307"/>
      <c r="I75" s="1698">
        <v>0</v>
      </c>
      <c r="J75" s="307"/>
      <c r="K75" s="1699">
        <f t="shared" ref="K75:K90" si="4">ROUND(SUM(C75)+SUM(E75)-SUM(G75)+SUM(I75),3)</f>
        <v>1E-3</v>
      </c>
      <c r="L75" s="1262"/>
      <c r="M75" s="1918"/>
    </row>
    <row r="76" spans="1:13">
      <c r="A76" s="308" t="s">
        <v>668</v>
      </c>
      <c r="B76" s="308"/>
      <c r="C76" s="1698">
        <v>-46.417000000000002</v>
      </c>
      <c r="D76" s="307"/>
      <c r="E76" s="1698">
        <v>1E-3</v>
      </c>
      <c r="F76" s="307"/>
      <c r="G76" s="1698">
        <v>4.5730000000000004</v>
      </c>
      <c r="H76" s="307"/>
      <c r="I76" s="1698">
        <v>0</v>
      </c>
      <c r="J76" s="307"/>
      <c r="K76" s="1699">
        <f t="shared" si="4"/>
        <v>-50.988999999999997</v>
      </c>
      <c r="L76" s="1262"/>
      <c r="M76" s="1918"/>
    </row>
    <row r="77" spans="1:13">
      <c r="A77" s="308" t="s">
        <v>669</v>
      </c>
      <c r="B77" s="308"/>
      <c r="C77" s="1698">
        <v>21.135000000000002</v>
      </c>
      <c r="D77" s="307"/>
      <c r="E77" s="1698">
        <v>7.0940000000000003</v>
      </c>
      <c r="F77" s="307"/>
      <c r="G77" s="1698">
        <v>5.4420000000000002</v>
      </c>
      <c r="H77" s="307"/>
      <c r="I77" s="1698">
        <v>0</v>
      </c>
      <c r="J77" s="307"/>
      <c r="K77" s="1699">
        <f t="shared" si="4"/>
        <v>22.786999999999999</v>
      </c>
      <c r="L77" s="1262"/>
      <c r="M77" s="1918"/>
    </row>
    <row r="78" spans="1:13">
      <c r="A78" s="308" t="s">
        <v>670</v>
      </c>
      <c r="B78" s="308"/>
      <c r="C78" s="1698">
        <v>0.41399999999999998</v>
      </c>
      <c r="D78" s="307"/>
      <c r="E78" s="1698">
        <v>4.0000000000000001E-3</v>
      </c>
      <c r="F78" s="307"/>
      <c r="G78" s="1698">
        <v>0</v>
      </c>
      <c r="H78" s="307"/>
      <c r="I78" s="1698">
        <v>0</v>
      </c>
      <c r="J78" s="307"/>
      <c r="K78" s="1699">
        <f t="shared" si="4"/>
        <v>0.41799999999999998</v>
      </c>
      <c r="L78" s="1262"/>
      <c r="M78" s="1918"/>
    </row>
    <row r="79" spans="1:13">
      <c r="A79" s="309" t="s">
        <v>671</v>
      </c>
      <c r="B79" s="308"/>
      <c r="C79" s="1698">
        <v>711.99300000000005</v>
      </c>
      <c r="D79" s="307"/>
      <c r="E79" s="1698">
        <v>32.881</v>
      </c>
      <c r="F79" s="307"/>
      <c r="G79" s="1698">
        <v>26.606000000000002</v>
      </c>
      <c r="H79" s="307"/>
      <c r="I79" s="1698">
        <v>0</v>
      </c>
      <c r="J79" s="307"/>
      <c r="K79" s="1699">
        <f t="shared" si="4"/>
        <v>718.26800000000003</v>
      </c>
      <c r="L79" s="1262"/>
      <c r="M79" s="1918"/>
    </row>
    <row r="80" spans="1:13">
      <c r="A80" s="308" t="s">
        <v>672</v>
      </c>
      <c r="B80" s="308"/>
      <c r="C80" s="1698">
        <v>58.580000000000005</v>
      </c>
      <c r="D80" s="307"/>
      <c r="E80" s="1698">
        <v>0.85499999999999998</v>
      </c>
      <c r="F80" s="307"/>
      <c r="G80" s="1698">
        <v>0.64500000000000002</v>
      </c>
      <c r="H80" s="307"/>
      <c r="I80" s="1698">
        <v>0</v>
      </c>
      <c r="J80" s="307"/>
      <c r="K80" s="1699">
        <f t="shared" si="4"/>
        <v>58.79</v>
      </c>
      <c r="L80" s="1262"/>
      <c r="M80" s="1918"/>
    </row>
    <row r="81" spans="1:13">
      <c r="A81" s="309" t="s">
        <v>1475</v>
      </c>
      <c r="B81" s="308"/>
      <c r="C81" s="1698">
        <v>187.77099999999999</v>
      </c>
      <c r="D81" s="307"/>
      <c r="E81" s="1698">
        <v>0.45100000000000001</v>
      </c>
      <c r="F81" s="307"/>
      <c r="G81" s="1698">
        <v>62.119</v>
      </c>
      <c r="H81" s="307"/>
      <c r="I81" s="1698">
        <v>13.269</v>
      </c>
      <c r="J81" s="307"/>
      <c r="K81" s="1699">
        <f t="shared" si="4"/>
        <v>139.37200000000001</v>
      </c>
      <c r="L81" s="1262"/>
      <c r="M81" s="1918"/>
    </row>
    <row r="82" spans="1:13">
      <c r="A82" s="309" t="s">
        <v>1476</v>
      </c>
      <c r="B82" s="308"/>
      <c r="C82" s="1698">
        <v>136.16499999999999</v>
      </c>
      <c r="D82" s="307"/>
      <c r="E82" s="1698">
        <v>20.376999999999999</v>
      </c>
      <c r="F82" s="307"/>
      <c r="G82" s="1698">
        <v>9.9499999999999993</v>
      </c>
      <c r="H82" s="307"/>
      <c r="I82" s="1698">
        <v>0</v>
      </c>
      <c r="J82" s="307"/>
      <c r="K82" s="1699">
        <f t="shared" si="4"/>
        <v>146.59200000000001</v>
      </c>
      <c r="L82" s="1262"/>
      <c r="M82" s="1918"/>
    </row>
    <row r="83" spans="1:13">
      <c r="A83" s="309" t="s">
        <v>1479</v>
      </c>
      <c r="B83" s="308"/>
      <c r="C83" s="1698">
        <v>4.3099999999999996</v>
      </c>
      <c r="D83" s="307"/>
      <c r="E83" s="1698">
        <v>0.71599999999999997</v>
      </c>
      <c r="F83" s="307"/>
      <c r="G83" s="1698">
        <v>0.84599999999999997</v>
      </c>
      <c r="H83" s="307"/>
      <c r="I83" s="1698">
        <v>0.72199999999999998</v>
      </c>
      <c r="J83" s="307"/>
      <c r="K83" s="1699">
        <f t="shared" si="4"/>
        <v>4.9020000000000001</v>
      </c>
      <c r="L83" s="1262"/>
      <c r="M83" s="1918"/>
    </row>
    <row r="84" spans="1:13">
      <c r="A84" s="309" t="s">
        <v>673</v>
      </c>
      <c r="B84" s="308"/>
      <c r="C84" s="1698">
        <v>333.02300000000002</v>
      </c>
      <c r="D84" s="307"/>
      <c r="E84" s="1698">
        <v>61.222999999999999</v>
      </c>
      <c r="F84" s="307"/>
      <c r="G84" s="1698">
        <v>3.0350000000000001</v>
      </c>
      <c r="H84" s="307"/>
      <c r="I84" s="1698">
        <v>-2.1000000000000001E-2</v>
      </c>
      <c r="J84" s="307"/>
      <c r="K84" s="1699">
        <f t="shared" si="4"/>
        <v>391.19</v>
      </c>
      <c r="L84" s="1262"/>
      <c r="M84" s="1918"/>
    </row>
    <row r="85" spans="1:13">
      <c r="A85" s="309" t="s">
        <v>674</v>
      </c>
      <c r="B85" s="308"/>
      <c r="C85" s="1698">
        <v>221.946</v>
      </c>
      <c r="D85" s="307"/>
      <c r="E85" s="1698">
        <v>4.9630000000000001</v>
      </c>
      <c r="F85" s="307"/>
      <c r="G85" s="1698">
        <v>6.27</v>
      </c>
      <c r="H85" s="307"/>
      <c r="I85" s="1698">
        <v>-2.3E-2</v>
      </c>
      <c r="J85" s="307"/>
      <c r="K85" s="1699">
        <f>ROUND(SUM(C85)+SUM(E85)-SUM(G85)+SUM(I85),3)</f>
        <v>220.61600000000001</v>
      </c>
      <c r="L85" s="1262"/>
      <c r="M85" s="1918"/>
    </row>
    <row r="86" spans="1:13">
      <c r="A86" s="309" t="s">
        <v>675</v>
      </c>
      <c r="B86" s="308"/>
      <c r="C86" s="1698">
        <v>537.07899999999995</v>
      </c>
      <c r="D86" s="307"/>
      <c r="E86" s="1698">
        <v>1.7209999999999999</v>
      </c>
      <c r="F86" s="307"/>
      <c r="G86" s="1698">
        <v>0</v>
      </c>
      <c r="H86" s="307"/>
      <c r="I86" s="1698">
        <v>0</v>
      </c>
      <c r="J86" s="307"/>
      <c r="K86" s="1699">
        <f t="shared" si="4"/>
        <v>538.79999999999995</v>
      </c>
      <c r="L86" s="1262"/>
      <c r="M86" s="1918"/>
    </row>
    <row r="87" spans="1:13">
      <c r="A87" s="309" t="s">
        <v>1478</v>
      </c>
      <c r="B87" s="308"/>
      <c r="C87" s="1698">
        <v>0.17199999999999999</v>
      </c>
      <c r="D87" s="307"/>
      <c r="E87" s="1698">
        <v>1E-3</v>
      </c>
      <c r="F87" s="307"/>
      <c r="G87" s="1698">
        <v>0</v>
      </c>
      <c r="H87" s="307"/>
      <c r="I87" s="1698">
        <v>0</v>
      </c>
      <c r="J87" s="307"/>
      <c r="K87" s="1699">
        <f t="shared" si="4"/>
        <v>0.17299999999999999</v>
      </c>
      <c r="L87" s="1262"/>
      <c r="M87" s="1918"/>
    </row>
    <row r="88" spans="1:13">
      <c r="A88" s="309" t="s">
        <v>676</v>
      </c>
      <c r="B88" s="308"/>
      <c r="C88" s="1698">
        <v>14.401</v>
      </c>
      <c r="D88" s="307"/>
      <c r="E88" s="1698">
        <v>0.73099999999999998</v>
      </c>
      <c r="F88" s="307"/>
      <c r="G88" s="1698">
        <v>0</v>
      </c>
      <c r="H88" s="307"/>
      <c r="I88" s="1698">
        <v>0</v>
      </c>
      <c r="J88" s="307"/>
      <c r="K88" s="1699">
        <f>ROUND(SUM(C88)+SUM(E88)-SUM(G88)+SUM(I88),3)</f>
        <v>15.132</v>
      </c>
      <c r="L88" s="1262"/>
      <c r="M88" s="1918"/>
    </row>
    <row r="89" spans="1:13">
      <c r="A89" s="309" t="s">
        <v>677</v>
      </c>
      <c r="B89" s="308"/>
      <c r="C89" s="1698">
        <v>382.27800000000002</v>
      </c>
      <c r="D89" s="307"/>
      <c r="E89" s="1698">
        <v>123.79600000000001</v>
      </c>
      <c r="F89" s="307"/>
      <c r="G89" s="1698">
        <v>0</v>
      </c>
      <c r="H89" s="307"/>
      <c r="I89" s="1698">
        <v>0</v>
      </c>
      <c r="J89" s="307"/>
      <c r="K89" s="1699">
        <f>ROUND(SUM(C89)+SUM(E89)-SUM(G89)+SUM(I89),3)</f>
        <v>506.07400000000001</v>
      </c>
      <c r="L89" s="1262"/>
      <c r="M89" s="1918"/>
    </row>
    <row r="90" spans="1:13">
      <c r="A90" s="308" t="s">
        <v>678</v>
      </c>
      <c r="B90" s="308"/>
      <c r="C90" s="1698">
        <v>340.14600000000002</v>
      </c>
      <c r="D90" s="307"/>
      <c r="E90" s="1698">
        <v>-6.42</v>
      </c>
      <c r="F90" s="307"/>
      <c r="G90" s="1698">
        <v>0</v>
      </c>
      <c r="H90" s="307"/>
      <c r="I90" s="1698">
        <v>-38.47</v>
      </c>
      <c r="J90" s="307"/>
      <c r="K90" s="1699">
        <f t="shared" si="4"/>
        <v>295.25599999999997</v>
      </c>
      <c r="L90" s="1262"/>
      <c r="M90" s="1918"/>
    </row>
    <row r="91" spans="1:13">
      <c r="A91" s="131" t="s">
        <v>679</v>
      </c>
      <c r="B91" s="308"/>
      <c r="C91" s="1704">
        <f>ROUND(SUM(C27:C90),3)</f>
        <v>16364.946</v>
      </c>
      <c r="D91" s="135"/>
      <c r="E91" s="1704">
        <f>ROUND(SUM(E27:E90),3)</f>
        <v>3027.1370000000002</v>
      </c>
      <c r="F91" s="135"/>
      <c r="G91" s="1704">
        <f>ROUND(SUM(G27:G90),3)</f>
        <v>2295.9879999999998</v>
      </c>
      <c r="H91" s="135"/>
      <c r="I91" s="1704">
        <f>ROUND(SUM(I27:I90),3)</f>
        <v>829.23099999999999</v>
      </c>
      <c r="J91" s="135"/>
      <c r="K91" s="1704">
        <f>ROUND(SUM(K27:K90),3)</f>
        <v>17925.326000000001</v>
      </c>
      <c r="L91" s="1262"/>
      <c r="M91" s="1918" t="s">
        <v>103</v>
      </c>
    </row>
    <row r="92" spans="1:13" ht="11.25" customHeight="1">
      <c r="A92" s="308"/>
      <c r="B92" s="308"/>
      <c r="C92" s="308"/>
      <c r="D92" s="308"/>
      <c r="E92" s="308"/>
      <c r="F92" s="308"/>
      <c r="G92" s="308"/>
      <c r="H92" s="308"/>
      <c r="I92" s="308"/>
      <c r="J92" s="308"/>
      <c r="K92" s="308"/>
      <c r="L92" s="1262"/>
      <c r="M92" s="1918"/>
    </row>
    <row r="93" spans="1:13">
      <c r="A93" s="132" t="s">
        <v>680</v>
      </c>
      <c r="B93" s="308"/>
      <c r="C93" s="308"/>
      <c r="D93" s="308"/>
      <c r="E93" s="308"/>
      <c r="F93" s="308"/>
      <c r="G93" s="308"/>
      <c r="H93" s="308"/>
      <c r="I93" s="308"/>
      <c r="J93" s="308"/>
      <c r="K93" s="308"/>
      <c r="L93" s="1262"/>
      <c r="M93" s="1918"/>
    </row>
    <row r="94" spans="1:13">
      <c r="A94" s="308" t="s">
        <v>681</v>
      </c>
      <c r="B94" s="308"/>
      <c r="C94" s="1698">
        <v>-76.221000000000004</v>
      </c>
      <c r="D94" s="307"/>
      <c r="E94" s="1698">
        <v>345.13299999999998</v>
      </c>
      <c r="F94" s="307"/>
      <c r="G94" s="1698">
        <v>371.46199999999999</v>
      </c>
      <c r="H94" s="307"/>
      <c r="I94" s="1698">
        <v>-2.4059999999999997</v>
      </c>
      <c r="J94" s="307"/>
      <c r="K94" s="1699">
        <f t="shared" ref="K94:K100" si="5">ROUND(SUM(C94)+SUM(E94)-SUM(G94)+SUM(I94),3)</f>
        <v>-104.956</v>
      </c>
      <c r="L94" s="1262"/>
      <c r="M94" s="1918"/>
    </row>
    <row r="95" spans="1:13">
      <c r="A95" s="308" t="s">
        <v>682</v>
      </c>
      <c r="B95" s="308"/>
      <c r="C95" s="1698">
        <v>12425.18</v>
      </c>
      <c r="D95" s="307"/>
      <c r="E95" s="1698">
        <v>7202.0789999999997</v>
      </c>
      <c r="F95" s="307"/>
      <c r="G95" s="1698">
        <v>7058.26</v>
      </c>
      <c r="H95" s="307"/>
      <c r="I95" s="1698">
        <v>-492.47399999999999</v>
      </c>
      <c r="J95" s="307"/>
      <c r="K95" s="1699">
        <f t="shared" si="5"/>
        <v>12076.525</v>
      </c>
      <c r="L95" s="1262"/>
      <c r="M95" s="1918"/>
    </row>
    <row r="96" spans="1:13">
      <c r="A96" s="308" t="s">
        <v>683</v>
      </c>
      <c r="B96" s="133"/>
      <c r="C96" s="1698">
        <v>-39.11</v>
      </c>
      <c r="D96" s="307"/>
      <c r="E96" s="1698">
        <v>242.39699999999999</v>
      </c>
      <c r="F96" s="307"/>
      <c r="G96" s="1698">
        <v>256.63900000000001</v>
      </c>
      <c r="H96" s="307"/>
      <c r="I96" s="1698">
        <v>-3.3490000000000002</v>
      </c>
      <c r="J96" s="307"/>
      <c r="K96" s="1699">
        <f t="shared" si="5"/>
        <v>-56.701000000000001</v>
      </c>
      <c r="L96" s="1262"/>
      <c r="M96" s="1918"/>
    </row>
    <row r="97" spans="1:15">
      <c r="A97" s="308" t="s">
        <v>684</v>
      </c>
      <c r="B97" s="308"/>
      <c r="C97" s="1698">
        <v>762.495</v>
      </c>
      <c r="D97" s="307"/>
      <c r="E97" s="1698">
        <v>843.86199999999997</v>
      </c>
      <c r="F97" s="307"/>
      <c r="G97" s="1698">
        <v>426.84800000000001</v>
      </c>
      <c r="H97" s="307"/>
      <c r="I97" s="1698">
        <v>-504.99200000000002</v>
      </c>
      <c r="J97" s="307"/>
      <c r="K97" s="1699">
        <f t="shared" si="5"/>
        <v>674.51700000000005</v>
      </c>
      <c r="L97" s="1262"/>
      <c r="M97" s="1918"/>
    </row>
    <row r="98" spans="1:15">
      <c r="A98" s="308" t="s">
        <v>685</v>
      </c>
      <c r="B98" s="308"/>
      <c r="C98" s="1698">
        <v>121.676</v>
      </c>
      <c r="D98" s="307"/>
      <c r="E98" s="1698">
        <v>30.923999999999999</v>
      </c>
      <c r="F98" s="307"/>
      <c r="G98" s="1698">
        <v>43.420999999999999</v>
      </c>
      <c r="H98" s="307"/>
      <c r="I98" s="1698">
        <v>0</v>
      </c>
      <c r="J98" s="307"/>
      <c r="K98" s="1699">
        <f t="shared" si="5"/>
        <v>109.179</v>
      </c>
      <c r="L98" s="1262"/>
      <c r="M98" s="1918"/>
    </row>
    <row r="99" spans="1:15">
      <c r="A99" s="308" t="s">
        <v>686</v>
      </c>
      <c r="B99" s="308"/>
      <c r="C99" s="1698">
        <v>-0.39700000000000002</v>
      </c>
      <c r="D99" s="307"/>
      <c r="E99" s="1698">
        <v>0</v>
      </c>
      <c r="F99" s="307"/>
      <c r="G99" s="1698">
        <v>0</v>
      </c>
      <c r="H99" s="307"/>
      <c r="I99" s="1698">
        <v>0</v>
      </c>
      <c r="J99" s="307"/>
      <c r="K99" s="1699">
        <f t="shared" si="5"/>
        <v>-0.39700000000000002</v>
      </c>
      <c r="L99" s="1262"/>
      <c r="M99" s="1918"/>
    </row>
    <row r="100" spans="1:15">
      <c r="A100" s="309" t="s">
        <v>687</v>
      </c>
      <c r="B100" s="308"/>
      <c r="C100" s="1698">
        <v>-1.9710000000000001</v>
      </c>
      <c r="D100" s="307"/>
      <c r="E100" s="1698">
        <v>26.244</v>
      </c>
      <c r="F100" s="307"/>
      <c r="G100" s="1698">
        <v>26.071999999999999</v>
      </c>
      <c r="H100" s="307"/>
      <c r="I100" s="1698">
        <v>0</v>
      </c>
      <c r="J100" s="307"/>
      <c r="K100" s="1699">
        <f t="shared" si="5"/>
        <v>-1.7989999999999999</v>
      </c>
      <c r="L100" s="1262"/>
      <c r="M100" s="1918"/>
    </row>
    <row r="101" spans="1:15">
      <c r="A101" s="131" t="s">
        <v>688</v>
      </c>
      <c r="B101" s="308"/>
      <c r="C101" s="1704">
        <f>ROUND(SUM(C94:C100),3)</f>
        <v>13191.652</v>
      </c>
      <c r="D101" s="135"/>
      <c r="E101" s="1704">
        <f>ROUND(SUM(E94:E100),3)</f>
        <v>8690.6389999999992</v>
      </c>
      <c r="F101" s="135"/>
      <c r="G101" s="1704">
        <f>ROUND(SUM(G94:G100),3)</f>
        <v>8182.7020000000002</v>
      </c>
      <c r="H101" s="135"/>
      <c r="I101" s="1704">
        <f>ROUND(SUM(I94:I100),3)</f>
        <v>-1003.221</v>
      </c>
      <c r="J101" s="135"/>
      <c r="K101" s="1704">
        <f>ROUND(SUM(K94:K100),3)</f>
        <v>12696.368</v>
      </c>
      <c r="L101" s="1262"/>
      <c r="M101" s="1918"/>
    </row>
    <row r="102" spans="1:15" ht="12" customHeight="1">
      <c r="A102" s="135"/>
      <c r="B102" s="308"/>
      <c r="C102" s="308"/>
      <c r="D102" s="308"/>
      <c r="E102" s="308"/>
      <c r="F102" s="308"/>
      <c r="G102" s="308"/>
      <c r="H102" s="308"/>
      <c r="I102" s="308"/>
      <c r="J102" s="308"/>
      <c r="K102" s="308"/>
      <c r="L102" s="1262"/>
      <c r="M102" s="1918"/>
    </row>
    <row r="103" spans="1:15">
      <c r="A103" s="825" t="s">
        <v>689</v>
      </c>
      <c r="B103" s="308"/>
      <c r="C103" s="1705">
        <f>C101+C91</f>
        <v>29556.597999999998</v>
      </c>
      <c r="D103" s="135"/>
      <c r="E103" s="1705">
        <f>E101+E91</f>
        <v>11717.776</v>
      </c>
      <c r="F103" s="135"/>
      <c r="G103" s="1705">
        <f>G101+G91</f>
        <v>10478.69</v>
      </c>
      <c r="H103" s="135"/>
      <c r="I103" s="1705">
        <f>I101+I91</f>
        <v>-173.99</v>
      </c>
      <c r="J103" s="135"/>
      <c r="K103" s="1705">
        <f>K91+K101</f>
        <v>30621.694000000003</v>
      </c>
      <c r="L103" s="1262"/>
      <c r="M103" s="1918"/>
    </row>
    <row r="104" spans="1:15" ht="10.5" customHeight="1">
      <c r="A104" s="826"/>
      <c r="B104" s="308"/>
      <c r="C104" s="308"/>
      <c r="D104" s="308"/>
      <c r="E104" s="308"/>
      <c r="F104" s="308"/>
      <c r="G104" s="308"/>
      <c r="H104" s="308"/>
      <c r="I104" s="308"/>
      <c r="J104" s="308"/>
      <c r="K104" s="308"/>
      <c r="L104" s="1262"/>
      <c r="M104" s="1918"/>
    </row>
    <row r="105" spans="1:15" ht="16">
      <c r="A105" s="132" t="s">
        <v>540</v>
      </c>
      <c r="B105" s="308"/>
      <c r="C105" s="308"/>
      <c r="D105" s="308"/>
      <c r="E105" s="1701"/>
      <c r="F105" s="1701"/>
      <c r="G105" s="1701"/>
      <c r="H105" s="1701"/>
      <c r="I105" s="1701"/>
      <c r="J105" s="133"/>
      <c r="K105" s="1701"/>
      <c r="L105" s="1262"/>
      <c r="M105" s="1918"/>
    </row>
    <row r="106" spans="1:15">
      <c r="A106" s="308" t="s">
        <v>690</v>
      </c>
      <c r="B106" s="308"/>
      <c r="C106" s="1698">
        <v>0</v>
      </c>
      <c r="D106" s="307"/>
      <c r="E106" s="1698">
        <v>0</v>
      </c>
      <c r="F106" s="307"/>
      <c r="G106" s="1698">
        <v>0</v>
      </c>
      <c r="H106" s="307"/>
      <c r="I106" s="1698">
        <v>0</v>
      </c>
      <c r="J106" s="307"/>
      <c r="K106" s="1699">
        <f t="shared" ref="K106:K111" si="6">ROUND(SUM(C106)+SUM(E106)-SUM(G106)+SUM(I106),3)</f>
        <v>0</v>
      </c>
      <c r="L106" s="1262"/>
      <c r="M106" s="1918"/>
    </row>
    <row r="107" spans="1:15">
      <c r="A107" s="308" t="s">
        <v>691</v>
      </c>
      <c r="B107" s="308"/>
      <c r="C107" s="1698">
        <v>138.66900000000001</v>
      </c>
      <c r="D107" s="307"/>
      <c r="E107" s="1698">
        <v>54.52</v>
      </c>
      <c r="F107" s="307"/>
      <c r="G107" s="1698">
        <v>0</v>
      </c>
      <c r="H107" s="307"/>
      <c r="I107" s="1698">
        <v>-23.321999999999999</v>
      </c>
      <c r="J107" s="307"/>
      <c r="K107" s="1699">
        <f>ROUND(SUM(C107)+SUM(E107)-SUM(G107)+SUM(I107),3)</f>
        <v>169.86699999999999</v>
      </c>
      <c r="L107" s="1262"/>
      <c r="M107" s="1918"/>
    </row>
    <row r="108" spans="1:15">
      <c r="A108" s="308" t="s">
        <v>692</v>
      </c>
      <c r="B108" s="308"/>
      <c r="C108" s="1698">
        <v>112.931</v>
      </c>
      <c r="D108" s="307"/>
      <c r="E108" s="1698">
        <v>3298.777</v>
      </c>
      <c r="F108" s="307"/>
      <c r="G108" s="1698">
        <v>7.68</v>
      </c>
      <c r="H108" s="307"/>
      <c r="I108" s="1698">
        <v>-3109.6759999999999</v>
      </c>
      <c r="J108" s="307"/>
      <c r="K108" s="1699">
        <f t="shared" si="6"/>
        <v>294.35199999999998</v>
      </c>
      <c r="L108" s="1262"/>
      <c r="M108" s="1918"/>
    </row>
    <row r="109" spans="1:15">
      <c r="A109" s="308" t="s">
        <v>693</v>
      </c>
      <c r="B109" s="308"/>
      <c r="C109" s="1698">
        <v>0</v>
      </c>
      <c r="D109" s="307"/>
      <c r="E109" s="1698">
        <v>0</v>
      </c>
      <c r="F109" s="307"/>
      <c r="G109" s="1698">
        <v>0</v>
      </c>
      <c r="H109" s="307"/>
      <c r="I109" s="1698">
        <v>0</v>
      </c>
      <c r="J109" s="307"/>
      <c r="K109" s="1699">
        <f t="shared" si="6"/>
        <v>0</v>
      </c>
      <c r="L109" s="1262"/>
      <c r="M109" s="1918"/>
    </row>
    <row r="110" spans="1:15">
      <c r="A110" s="308" t="s">
        <v>694</v>
      </c>
      <c r="B110" s="308"/>
      <c r="C110" s="1698">
        <v>1.3999999999999999E-2</v>
      </c>
      <c r="D110" s="307"/>
      <c r="E110" s="1698">
        <v>14.744</v>
      </c>
      <c r="F110" s="307"/>
      <c r="G110" s="1698">
        <v>0</v>
      </c>
      <c r="H110" s="307"/>
      <c r="I110" s="1698">
        <v>-14.744999999999999</v>
      </c>
      <c r="J110" s="307"/>
      <c r="K110" s="1699">
        <f t="shared" si="6"/>
        <v>1.2999999999999999E-2</v>
      </c>
      <c r="L110" s="1262"/>
      <c r="M110" s="1918"/>
    </row>
    <row r="111" spans="1:15">
      <c r="A111" s="308" t="s">
        <v>695</v>
      </c>
      <c r="B111" s="308"/>
      <c r="C111" s="1698">
        <v>6.5330000000000004</v>
      </c>
      <c r="D111" s="307"/>
      <c r="E111" s="1698">
        <v>114.274</v>
      </c>
      <c r="F111" s="307"/>
      <c r="G111" s="1698">
        <v>0</v>
      </c>
      <c r="H111" s="307"/>
      <c r="I111" s="1698">
        <v>-111.611</v>
      </c>
      <c r="J111" s="307"/>
      <c r="K111" s="1699">
        <f t="shared" si="6"/>
        <v>9.1959999999999997</v>
      </c>
      <c r="L111" s="1262"/>
      <c r="M111" s="1918" t="s">
        <v>103</v>
      </c>
      <c r="N111" s="311" t="s">
        <v>103</v>
      </c>
    </row>
    <row r="112" spans="1:15">
      <c r="A112" s="135" t="s">
        <v>696</v>
      </c>
      <c r="B112" s="827"/>
      <c r="C112" s="1704">
        <f>ROUND(SUM(C106:C111),3)</f>
        <v>258.14699999999999</v>
      </c>
      <c r="D112" s="136"/>
      <c r="E112" s="1704">
        <f>ROUND(SUM(E106:E111),3)</f>
        <v>3482.3150000000001</v>
      </c>
      <c r="F112" s="136"/>
      <c r="G112" s="1704">
        <f>ROUND(SUM(G106:G111),3)</f>
        <v>7.68</v>
      </c>
      <c r="H112" s="136"/>
      <c r="I112" s="1704">
        <f>ROUND(SUM(I106:I111),3)</f>
        <v>-3259.3539999999998</v>
      </c>
      <c r="J112" s="136"/>
      <c r="K112" s="1704">
        <f>ROUND(SUM(K106:K111),3)</f>
        <v>473.428</v>
      </c>
      <c r="L112" s="1262"/>
      <c r="M112" s="824" t="s">
        <v>103</v>
      </c>
      <c r="N112" s="311" t="s">
        <v>103</v>
      </c>
      <c r="O112" s="1918" t="s">
        <v>103</v>
      </c>
    </row>
    <row r="113" spans="1:14">
      <c r="A113" s="135"/>
      <c r="B113" s="827"/>
      <c r="C113" s="135"/>
      <c r="D113" s="136"/>
      <c r="E113" s="135"/>
      <c r="F113" s="136"/>
      <c r="G113" s="135"/>
      <c r="H113" s="136"/>
      <c r="I113" s="135"/>
      <c r="J113" s="136"/>
      <c r="K113" s="135"/>
      <c r="L113" s="1262"/>
      <c r="M113" s="824" t="s">
        <v>103</v>
      </c>
      <c r="N113" s="311" t="s">
        <v>103</v>
      </c>
    </row>
    <row r="114" spans="1:14">
      <c r="A114" s="308"/>
      <c r="B114" s="308"/>
      <c r="C114" s="308"/>
      <c r="D114" s="308"/>
      <c r="E114" s="308"/>
      <c r="F114" s="308"/>
      <c r="G114" s="308"/>
      <c r="H114" s="308"/>
      <c r="I114" s="308"/>
      <c r="J114" s="308"/>
      <c r="K114" s="308" t="s">
        <v>103</v>
      </c>
      <c r="L114" s="1262"/>
      <c r="M114" s="1918"/>
    </row>
    <row r="115" spans="1:14">
      <c r="A115" s="828" t="s">
        <v>697</v>
      </c>
      <c r="B115" s="308"/>
      <c r="K115" s="310"/>
      <c r="L115" s="1262"/>
      <c r="M115" s="1918"/>
    </row>
    <row r="116" spans="1:14">
      <c r="A116" s="308" t="s">
        <v>698</v>
      </c>
      <c r="B116" s="307"/>
      <c r="C116" s="1698">
        <v>0</v>
      </c>
      <c r="D116" s="307"/>
      <c r="E116" s="1698">
        <v>1.3819999999999999</v>
      </c>
      <c r="F116" s="307"/>
      <c r="G116" s="1698">
        <v>1177.0940000000001</v>
      </c>
      <c r="H116" s="307"/>
      <c r="I116" s="1698">
        <v>1175.712</v>
      </c>
      <c r="J116" s="307"/>
      <c r="K116" s="1699">
        <f>ROUND(SUM(C116)+SUM(E116)-SUM(G116)+SUM(I116),3)</f>
        <v>0</v>
      </c>
      <c r="L116" s="1262"/>
      <c r="M116" s="1918"/>
    </row>
    <row r="117" spans="1:14">
      <c r="A117" s="308" t="s">
        <v>699</v>
      </c>
      <c r="B117" s="309"/>
      <c r="C117" s="1698">
        <v>-444.12900000000002</v>
      </c>
      <c r="D117" s="307"/>
      <c r="E117" s="1698">
        <v>742.745</v>
      </c>
      <c r="F117" s="307"/>
      <c r="G117" s="1698">
        <v>208.66800000000001</v>
      </c>
      <c r="H117" s="307"/>
      <c r="I117" s="1698">
        <v>-16.584</v>
      </c>
      <c r="J117" s="1957"/>
      <c r="K117" s="1706">
        <f t="shared" ref="K117:K131" si="7">ROUND(SUM(C117)+SUM(E117)-SUM(G117)+SUM(I117),3)</f>
        <v>73.364000000000004</v>
      </c>
      <c r="L117" s="1262"/>
      <c r="M117" s="1918"/>
    </row>
    <row r="118" spans="1:14">
      <c r="A118" s="308" t="s">
        <v>700</v>
      </c>
      <c r="B118" s="308"/>
      <c r="C118" s="1698">
        <v>162.048</v>
      </c>
      <c r="D118" s="307"/>
      <c r="E118" s="1698">
        <v>0.499</v>
      </c>
      <c r="F118" s="307"/>
      <c r="G118" s="1698">
        <v>6.8970000000000002</v>
      </c>
      <c r="H118" s="307"/>
      <c r="I118" s="1698">
        <v>8.5500000000000007</v>
      </c>
      <c r="J118" s="307"/>
      <c r="K118" s="1699">
        <f t="shared" si="7"/>
        <v>164.2</v>
      </c>
      <c r="L118" s="1262"/>
      <c r="M118" s="1918"/>
    </row>
    <row r="119" spans="1:14">
      <c r="A119" s="308" t="s">
        <v>701</v>
      </c>
      <c r="B119" s="308"/>
      <c r="C119" s="1698">
        <v>17.62</v>
      </c>
      <c r="D119" s="307"/>
      <c r="E119" s="1698">
        <v>5.6000000000000001E-2</v>
      </c>
      <c r="F119" s="307"/>
      <c r="G119" s="1698">
        <v>0</v>
      </c>
      <c r="H119" s="307"/>
      <c r="I119" s="1698">
        <v>0</v>
      </c>
      <c r="J119" s="307"/>
      <c r="K119" s="1699">
        <f t="shared" si="7"/>
        <v>17.675999999999998</v>
      </c>
      <c r="L119" s="1262"/>
      <c r="M119" s="1918"/>
    </row>
    <row r="120" spans="1:14">
      <c r="A120" s="308" t="s">
        <v>702</v>
      </c>
      <c r="B120" s="308"/>
      <c r="C120" s="1698">
        <v>-226.416</v>
      </c>
      <c r="D120" s="307"/>
      <c r="E120" s="1698">
        <v>4.0220000000000002</v>
      </c>
      <c r="F120" s="307"/>
      <c r="G120" s="1698">
        <v>11.819000000000001</v>
      </c>
      <c r="H120" s="307"/>
      <c r="I120" s="1698">
        <v>0</v>
      </c>
      <c r="J120" s="307"/>
      <c r="K120" s="1699">
        <f t="shared" si="7"/>
        <v>-234.21299999999999</v>
      </c>
      <c r="L120" s="1262"/>
      <c r="M120" s="1918"/>
    </row>
    <row r="121" spans="1:14">
      <c r="A121" s="308" t="s">
        <v>703</v>
      </c>
      <c r="B121" s="308"/>
      <c r="C121" s="1698">
        <v>1.7999999999999999E-2</v>
      </c>
      <c r="D121" s="307"/>
      <c r="E121" s="1698">
        <v>0</v>
      </c>
      <c r="F121" s="307"/>
      <c r="G121" s="1698">
        <v>0</v>
      </c>
      <c r="H121" s="307"/>
      <c r="I121" s="1698">
        <v>0</v>
      </c>
      <c r="J121" s="307"/>
      <c r="K121" s="1699">
        <f t="shared" si="7"/>
        <v>1.7999999999999999E-2</v>
      </c>
      <c r="L121" s="1262"/>
      <c r="M121" s="1918"/>
    </row>
    <row r="122" spans="1:14">
      <c r="A122" s="308" t="s">
        <v>704</v>
      </c>
      <c r="B122" s="308"/>
      <c r="C122" s="1698">
        <v>637.58100000000002</v>
      </c>
      <c r="D122" s="307"/>
      <c r="E122" s="1698">
        <v>29.452999999999999</v>
      </c>
      <c r="F122" s="307"/>
      <c r="G122" s="1698">
        <v>27.189</v>
      </c>
      <c r="H122" s="307"/>
      <c r="I122" s="1698">
        <v>0</v>
      </c>
      <c r="J122" s="307"/>
      <c r="K122" s="1699">
        <f t="shared" si="7"/>
        <v>639.84500000000003</v>
      </c>
      <c r="L122" s="1262"/>
      <c r="M122" s="1918"/>
    </row>
    <row r="123" spans="1:14">
      <c r="A123" s="308" t="s">
        <v>705</v>
      </c>
      <c r="B123" s="308"/>
      <c r="C123" s="1698">
        <v>0</v>
      </c>
      <c r="D123" s="307"/>
      <c r="E123" s="1698">
        <v>0</v>
      </c>
      <c r="F123" s="307"/>
      <c r="G123" s="1698">
        <v>0</v>
      </c>
      <c r="H123" s="307"/>
      <c r="I123" s="1698">
        <v>0</v>
      </c>
      <c r="J123" s="307"/>
      <c r="K123" s="1699">
        <f t="shared" si="7"/>
        <v>0</v>
      </c>
      <c r="L123" s="1262"/>
      <c r="M123" s="1918"/>
    </row>
    <row r="124" spans="1:14">
      <c r="A124" s="308" t="s">
        <v>706</v>
      </c>
      <c r="B124" s="308"/>
      <c r="C124" s="1698">
        <v>0</v>
      </c>
      <c r="D124" s="307"/>
      <c r="E124" s="1698">
        <v>0</v>
      </c>
      <c r="F124" s="307"/>
      <c r="G124" s="1698">
        <v>0</v>
      </c>
      <c r="H124" s="307"/>
      <c r="I124" s="1698">
        <v>0</v>
      </c>
      <c r="J124" s="307"/>
      <c r="K124" s="1699">
        <f t="shared" si="7"/>
        <v>0</v>
      </c>
      <c r="L124" s="1262"/>
      <c r="M124" s="1918"/>
    </row>
    <row r="125" spans="1:14">
      <c r="A125" s="308" t="s">
        <v>707</v>
      </c>
      <c r="B125" s="308"/>
      <c r="C125" s="1698">
        <v>0</v>
      </c>
      <c r="D125" s="307"/>
      <c r="E125" s="1698">
        <v>0</v>
      </c>
      <c r="F125" s="307"/>
      <c r="G125" s="1698">
        <v>0</v>
      </c>
      <c r="H125" s="307"/>
      <c r="I125" s="1698">
        <v>0</v>
      </c>
      <c r="J125" s="307"/>
      <c r="K125" s="1699">
        <f t="shared" si="7"/>
        <v>0</v>
      </c>
      <c r="L125" s="1262"/>
      <c r="M125" s="1918"/>
    </row>
    <row r="126" spans="1:14">
      <c r="A126" s="308" t="s">
        <v>708</v>
      </c>
      <c r="B126" s="308"/>
      <c r="C126" s="1698">
        <v>0</v>
      </c>
      <c r="D126" s="307"/>
      <c r="E126" s="1698">
        <v>0</v>
      </c>
      <c r="F126" s="307"/>
      <c r="G126" s="1698">
        <v>0</v>
      </c>
      <c r="H126" s="307"/>
      <c r="I126" s="1698">
        <v>0</v>
      </c>
      <c r="J126" s="307"/>
      <c r="K126" s="1699">
        <f t="shared" si="7"/>
        <v>0</v>
      </c>
      <c r="L126" s="1262"/>
      <c r="M126" s="1918"/>
    </row>
    <row r="127" spans="1:14">
      <c r="A127" s="308" t="s">
        <v>709</v>
      </c>
      <c r="B127" s="308"/>
      <c r="C127" s="1698">
        <v>0</v>
      </c>
      <c r="D127" s="307"/>
      <c r="E127" s="1698">
        <v>0</v>
      </c>
      <c r="F127" s="307"/>
      <c r="G127" s="1698">
        <v>0</v>
      </c>
      <c r="H127" s="307"/>
      <c r="I127" s="1698">
        <v>0</v>
      </c>
      <c r="J127" s="307"/>
      <c r="K127" s="1699">
        <f t="shared" si="7"/>
        <v>0</v>
      </c>
      <c r="L127" s="1262"/>
      <c r="M127" s="1918"/>
    </row>
    <row r="128" spans="1:14">
      <c r="A128" s="308" t="s">
        <v>710</v>
      </c>
      <c r="B128" s="308"/>
      <c r="C128" s="1698">
        <v>0</v>
      </c>
      <c r="D128" s="307"/>
      <c r="E128" s="1698">
        <v>0</v>
      </c>
      <c r="F128" s="307"/>
      <c r="G128" s="1698">
        <v>0</v>
      </c>
      <c r="H128" s="307"/>
      <c r="I128" s="1698">
        <v>0</v>
      </c>
      <c r="J128" s="307"/>
      <c r="K128" s="1699">
        <f t="shared" si="7"/>
        <v>0</v>
      </c>
      <c r="L128" s="1262"/>
      <c r="M128" s="1918"/>
    </row>
    <row r="129" spans="1:13">
      <c r="A129" s="308" t="s">
        <v>711</v>
      </c>
      <c r="B129" s="308"/>
      <c r="C129" s="1698">
        <v>0</v>
      </c>
      <c r="D129" s="307"/>
      <c r="E129" s="1698">
        <v>0</v>
      </c>
      <c r="F129" s="307"/>
      <c r="G129" s="1698">
        <v>0</v>
      </c>
      <c r="H129" s="307"/>
      <c r="I129" s="1698">
        <v>0</v>
      </c>
      <c r="J129" s="307"/>
      <c r="K129" s="1699">
        <f t="shared" si="7"/>
        <v>0</v>
      </c>
      <c r="L129" s="1262"/>
      <c r="M129" s="1918"/>
    </row>
    <row r="130" spans="1:13">
      <c r="A130" s="308" t="s">
        <v>712</v>
      </c>
      <c r="B130" s="308"/>
      <c r="C130" s="1698">
        <v>0</v>
      </c>
      <c r="D130" s="307"/>
      <c r="E130" s="1698">
        <v>0</v>
      </c>
      <c r="F130" s="307"/>
      <c r="G130" s="1698">
        <v>0</v>
      </c>
      <c r="H130" s="307"/>
      <c r="I130" s="1698">
        <v>0</v>
      </c>
      <c r="J130" s="307"/>
      <c r="K130" s="1699">
        <f t="shared" si="7"/>
        <v>0</v>
      </c>
      <c r="L130" s="1262"/>
      <c r="M130" s="1918"/>
    </row>
    <row r="131" spans="1:13">
      <c r="A131" s="308" t="s">
        <v>713</v>
      </c>
      <c r="B131" s="308"/>
      <c r="C131" s="1698">
        <v>0</v>
      </c>
      <c r="D131" s="307"/>
      <c r="E131" s="1698">
        <v>0</v>
      </c>
      <c r="F131" s="307"/>
      <c r="G131" s="1698">
        <v>0</v>
      </c>
      <c r="H131" s="307"/>
      <c r="I131" s="1698">
        <v>0</v>
      </c>
      <c r="J131" s="307"/>
      <c r="K131" s="1699">
        <f t="shared" si="7"/>
        <v>0</v>
      </c>
      <c r="L131" s="1262"/>
      <c r="M131" s="1918"/>
    </row>
    <row r="132" spans="1:13">
      <c r="A132" s="308" t="s">
        <v>714</v>
      </c>
      <c r="B132" s="308"/>
      <c r="C132" s="1922"/>
      <c r="D132"/>
      <c r="E132" s="1699"/>
      <c r="F132" s="307"/>
      <c r="G132" s="1699"/>
      <c r="H132" s="307"/>
      <c r="I132" s="1699"/>
      <c r="J132" s="308"/>
      <c r="K132" s="1703"/>
      <c r="L132" s="1262"/>
      <c r="M132" s="1918"/>
    </row>
    <row r="133" spans="1:13">
      <c r="A133" s="308" t="s">
        <v>715</v>
      </c>
      <c r="B133" s="308"/>
      <c r="C133" s="1698">
        <v>0</v>
      </c>
      <c r="D133" s="307"/>
      <c r="E133" s="1698">
        <v>0</v>
      </c>
      <c r="F133" s="307"/>
      <c r="G133" s="1698">
        <v>0</v>
      </c>
      <c r="H133" s="307"/>
      <c r="I133" s="1698">
        <v>0</v>
      </c>
      <c r="J133" s="307"/>
      <c r="K133" s="1699">
        <f t="shared" ref="K133:K154" si="8">ROUND(SUM(C133)+SUM(E133)-SUM(G133)+SUM(I133),3)</f>
        <v>0</v>
      </c>
      <c r="L133" s="1262"/>
      <c r="M133" s="1918"/>
    </row>
    <row r="134" spans="1:13">
      <c r="A134" s="308" t="s">
        <v>716</v>
      </c>
      <c r="B134" s="308"/>
      <c r="C134" s="1698">
        <v>0</v>
      </c>
      <c r="D134" s="307"/>
      <c r="E134" s="1698">
        <v>0</v>
      </c>
      <c r="F134" s="307"/>
      <c r="G134" s="1698">
        <v>0</v>
      </c>
      <c r="H134" s="307"/>
      <c r="I134" s="1698">
        <v>0</v>
      </c>
      <c r="J134" s="307"/>
      <c r="K134" s="1699">
        <f t="shared" si="8"/>
        <v>0</v>
      </c>
      <c r="L134" s="1262"/>
      <c r="M134" s="1918"/>
    </row>
    <row r="135" spans="1:13">
      <c r="A135" s="308" t="s">
        <v>717</v>
      </c>
      <c r="B135" s="308"/>
      <c r="C135" s="1698">
        <v>0</v>
      </c>
      <c r="D135" s="307"/>
      <c r="E135" s="1698">
        <v>0</v>
      </c>
      <c r="F135" s="307"/>
      <c r="G135" s="1698">
        <v>0</v>
      </c>
      <c r="H135" s="307"/>
      <c r="I135" s="1698">
        <v>0</v>
      </c>
      <c r="J135" s="307"/>
      <c r="K135" s="1699">
        <f t="shared" si="8"/>
        <v>0</v>
      </c>
      <c r="L135" s="1262"/>
      <c r="M135" s="1918"/>
    </row>
    <row r="136" spans="1:13">
      <c r="A136" s="308" t="s">
        <v>718</v>
      </c>
      <c r="B136" s="308"/>
      <c r="C136" s="1698">
        <v>0</v>
      </c>
      <c r="D136" s="307"/>
      <c r="E136" s="1698">
        <v>0</v>
      </c>
      <c r="F136" s="307"/>
      <c r="G136" s="1698">
        <v>0</v>
      </c>
      <c r="H136" s="307"/>
      <c r="I136" s="1698">
        <v>0</v>
      </c>
      <c r="J136" s="307"/>
      <c r="K136" s="1699">
        <f t="shared" si="8"/>
        <v>0</v>
      </c>
      <c r="L136" s="1262"/>
      <c r="M136" s="1918"/>
    </row>
    <row r="137" spans="1:13">
      <c r="A137" s="308" t="s">
        <v>719</v>
      </c>
      <c r="B137" s="308"/>
      <c r="C137" s="1698">
        <v>0</v>
      </c>
      <c r="D137" s="307"/>
      <c r="E137" s="1698">
        <v>0</v>
      </c>
      <c r="F137" s="307"/>
      <c r="G137" s="1698">
        <v>0</v>
      </c>
      <c r="H137" s="307"/>
      <c r="I137" s="1698">
        <v>0</v>
      </c>
      <c r="J137" s="307"/>
      <c r="K137" s="1699">
        <f>ROUND(SUM(C137)+SUM(E137)-SUM(G137)+SUM(I137),3)</f>
        <v>0</v>
      </c>
      <c r="L137" s="1262"/>
      <c r="M137" s="1918"/>
    </row>
    <row r="138" spans="1:13">
      <c r="A138" s="308" t="s">
        <v>720</v>
      </c>
      <c r="B138" s="308"/>
      <c r="C138" s="1698">
        <v>0</v>
      </c>
      <c r="D138" s="307"/>
      <c r="E138" s="1698">
        <v>0</v>
      </c>
      <c r="F138" s="307"/>
      <c r="G138" s="1698">
        <v>0</v>
      </c>
      <c r="H138" s="307"/>
      <c r="I138" s="1698">
        <v>0</v>
      </c>
      <c r="J138" s="307"/>
      <c r="K138" s="1699">
        <f t="shared" si="8"/>
        <v>0</v>
      </c>
      <c r="L138" s="1262"/>
      <c r="M138" s="1918"/>
    </row>
    <row r="139" spans="1:13">
      <c r="A139" s="308" t="s">
        <v>721</v>
      </c>
      <c r="B139" s="308"/>
      <c r="C139" s="1698">
        <v>0</v>
      </c>
      <c r="D139" s="307"/>
      <c r="E139" s="1698">
        <v>0</v>
      </c>
      <c r="F139" s="307"/>
      <c r="G139" s="1698">
        <v>0</v>
      </c>
      <c r="H139" s="307"/>
      <c r="I139" s="1698">
        <v>0</v>
      </c>
      <c r="J139" s="307"/>
      <c r="K139" s="1699">
        <f t="shared" si="8"/>
        <v>0</v>
      </c>
      <c r="L139" s="1262"/>
      <c r="M139" s="1918"/>
    </row>
    <row r="140" spans="1:13">
      <c r="A140" s="308" t="s">
        <v>722</v>
      </c>
      <c r="B140" s="308"/>
      <c r="C140" s="1698">
        <v>-403.72300000000001</v>
      </c>
      <c r="D140" s="307"/>
      <c r="E140" s="1698">
        <v>301.36600000000004</v>
      </c>
      <c r="F140" s="307"/>
      <c r="G140" s="1698">
        <v>234.14</v>
      </c>
      <c r="H140" s="307"/>
      <c r="I140" s="1698">
        <v>-0.23499999999999999</v>
      </c>
      <c r="J140" s="307"/>
      <c r="K140" s="1706">
        <f t="shared" si="8"/>
        <v>-336.73200000000003</v>
      </c>
      <c r="L140" s="1262"/>
      <c r="M140" s="1918"/>
    </row>
    <row r="141" spans="1:13">
      <c r="A141" s="308" t="s">
        <v>723</v>
      </c>
      <c r="B141" s="308"/>
      <c r="C141" s="1698">
        <v>1.292</v>
      </c>
      <c r="D141" s="307"/>
      <c r="E141" s="1698">
        <v>5.0000000000000001E-3</v>
      </c>
      <c r="F141" s="307"/>
      <c r="G141" s="1698">
        <v>0</v>
      </c>
      <c r="H141" s="307"/>
      <c r="I141" s="1698">
        <v>0</v>
      </c>
      <c r="J141" s="307"/>
      <c r="K141" s="1699">
        <f t="shared" si="8"/>
        <v>1.2969999999999999</v>
      </c>
      <c r="L141" s="1262"/>
      <c r="M141" s="1918"/>
    </row>
    <row r="142" spans="1:13">
      <c r="A142" s="309" t="s">
        <v>724</v>
      </c>
      <c r="B142" s="308"/>
      <c r="C142" s="1698">
        <v>-45.029000000000003</v>
      </c>
      <c r="D142" s="307"/>
      <c r="E142" s="1698">
        <v>1.786</v>
      </c>
      <c r="F142" s="307"/>
      <c r="G142" s="1698">
        <v>7.9119999999999999</v>
      </c>
      <c r="H142" s="307"/>
      <c r="I142" s="1698">
        <v>-1.0509999999999999</v>
      </c>
      <c r="J142" s="307"/>
      <c r="K142" s="1699">
        <f t="shared" si="8"/>
        <v>-52.206000000000003</v>
      </c>
      <c r="L142" s="1262"/>
      <c r="M142" s="1918"/>
    </row>
    <row r="143" spans="1:13">
      <c r="A143" s="308" t="s">
        <v>725</v>
      </c>
      <c r="B143" s="308"/>
      <c r="C143" s="1698">
        <v>0.64400000000000002</v>
      </c>
      <c r="D143" s="307"/>
      <c r="E143" s="1698">
        <v>3.0000000000000001E-3</v>
      </c>
      <c r="F143" s="307"/>
      <c r="G143" s="1698">
        <v>0</v>
      </c>
      <c r="H143" s="307"/>
      <c r="I143" s="1698">
        <v>0</v>
      </c>
      <c r="J143" s="307"/>
      <c r="K143" s="1699">
        <f t="shared" si="8"/>
        <v>0.64700000000000002</v>
      </c>
      <c r="L143" s="1262"/>
      <c r="M143" s="1918"/>
    </row>
    <row r="144" spans="1:13">
      <c r="A144" s="308" t="s">
        <v>726</v>
      </c>
      <c r="B144" s="308"/>
      <c r="C144" s="1698">
        <v>-38.881</v>
      </c>
      <c r="D144" s="307"/>
      <c r="E144" s="1698">
        <v>0</v>
      </c>
      <c r="F144" s="307"/>
      <c r="G144" s="1698">
        <v>2.024</v>
      </c>
      <c r="H144" s="307"/>
      <c r="I144" s="1698">
        <v>0</v>
      </c>
      <c r="J144" s="307"/>
      <c r="K144" s="1699">
        <f t="shared" si="8"/>
        <v>-40.905000000000001</v>
      </c>
      <c r="L144" s="1262"/>
      <c r="M144" s="1918"/>
    </row>
    <row r="145" spans="1:13">
      <c r="A145" s="308" t="s">
        <v>727</v>
      </c>
      <c r="B145" s="308"/>
      <c r="C145" s="1698">
        <v>-12.942</v>
      </c>
      <c r="D145" s="307"/>
      <c r="E145" s="1698">
        <v>0</v>
      </c>
      <c r="F145" s="307"/>
      <c r="G145" s="1698">
        <v>0</v>
      </c>
      <c r="H145" s="307"/>
      <c r="I145" s="1698">
        <v>0</v>
      </c>
      <c r="J145" s="307"/>
      <c r="K145" s="1699">
        <f t="shared" si="8"/>
        <v>-12.942</v>
      </c>
      <c r="L145" s="1262"/>
      <c r="M145" s="1918"/>
    </row>
    <row r="146" spans="1:13">
      <c r="A146" s="308" t="s">
        <v>728</v>
      </c>
      <c r="B146" s="308"/>
      <c r="C146" s="1698">
        <v>-2061.7649999999999</v>
      </c>
      <c r="D146" s="307"/>
      <c r="E146" s="1698">
        <v>0</v>
      </c>
      <c r="F146" s="307"/>
      <c r="G146" s="1698">
        <v>156.17599999999999</v>
      </c>
      <c r="H146" s="307"/>
      <c r="I146" s="1698">
        <v>0</v>
      </c>
      <c r="J146" s="307"/>
      <c r="K146" s="1699">
        <f t="shared" si="8"/>
        <v>-2217.9409999999998</v>
      </c>
      <c r="L146" s="1262"/>
      <c r="M146" s="1918"/>
    </row>
    <row r="147" spans="1:13">
      <c r="A147" s="308" t="s">
        <v>1474</v>
      </c>
      <c r="B147" s="308"/>
      <c r="C147" s="1698">
        <v>51.401000000000003</v>
      </c>
      <c r="D147" s="307"/>
      <c r="E147" s="1698">
        <v>0.18</v>
      </c>
      <c r="F147" s="307"/>
      <c r="G147" s="1698">
        <v>6.0000000000000001E-3</v>
      </c>
      <c r="H147" s="307"/>
      <c r="I147" s="1698">
        <v>0</v>
      </c>
      <c r="J147" s="307"/>
      <c r="K147" s="1699">
        <f t="shared" si="8"/>
        <v>51.575000000000003</v>
      </c>
      <c r="L147" s="1262"/>
      <c r="M147" s="1918"/>
    </row>
    <row r="148" spans="1:13">
      <c r="A148" s="308" t="s">
        <v>729</v>
      </c>
      <c r="B148" s="308"/>
      <c r="C148" s="1698">
        <v>-12.016</v>
      </c>
      <c r="D148" s="307"/>
      <c r="E148" s="1698">
        <v>0</v>
      </c>
      <c r="F148" s="307"/>
      <c r="G148" s="1698">
        <v>0</v>
      </c>
      <c r="H148" s="307"/>
      <c r="I148" s="1698">
        <v>0</v>
      </c>
      <c r="J148" s="307"/>
      <c r="K148" s="1699">
        <f t="shared" si="8"/>
        <v>-12.016</v>
      </c>
      <c r="L148" s="1262"/>
      <c r="M148" s="1918"/>
    </row>
    <row r="149" spans="1:13">
      <c r="A149" s="308" t="s">
        <v>730</v>
      </c>
      <c r="B149" s="308"/>
      <c r="C149" s="1698">
        <v>-135.04599999999999</v>
      </c>
      <c r="D149" s="307"/>
      <c r="E149" s="1698">
        <v>4.1120000000000001</v>
      </c>
      <c r="F149" s="307"/>
      <c r="G149" s="1698">
        <v>119.395</v>
      </c>
      <c r="H149" s="307"/>
      <c r="I149" s="1698">
        <v>5.1130000000000004</v>
      </c>
      <c r="J149" s="307"/>
      <c r="K149" s="1699">
        <f t="shared" si="8"/>
        <v>-245.21600000000001</v>
      </c>
      <c r="L149" s="1262"/>
      <c r="M149" s="1918"/>
    </row>
    <row r="150" spans="1:13">
      <c r="A150" s="308" t="s">
        <v>731</v>
      </c>
      <c r="B150" s="308"/>
      <c r="C150" s="1698">
        <v>0.14000000000000001</v>
      </c>
      <c r="D150" s="307"/>
      <c r="E150" s="1698">
        <v>0</v>
      </c>
      <c r="F150" s="307"/>
      <c r="G150" s="1698">
        <v>0</v>
      </c>
      <c r="H150" s="307"/>
      <c r="I150" s="1698">
        <v>0</v>
      </c>
      <c r="J150" s="307"/>
      <c r="K150" s="1699">
        <f t="shared" si="8"/>
        <v>0.14000000000000001</v>
      </c>
      <c r="L150" s="1262"/>
      <c r="M150" s="1918"/>
    </row>
    <row r="151" spans="1:13">
      <c r="A151" s="308" t="s">
        <v>732</v>
      </c>
      <c r="B151" s="308"/>
      <c r="C151" s="1698">
        <v>-790.803</v>
      </c>
      <c r="D151" s="307"/>
      <c r="E151" s="1698">
        <v>11.974</v>
      </c>
      <c r="F151" s="307"/>
      <c r="G151" s="1698">
        <v>55.782999999999994</v>
      </c>
      <c r="H151" s="307"/>
      <c r="I151" s="1698">
        <v>0</v>
      </c>
      <c r="J151" s="307"/>
      <c r="K151" s="1699">
        <f t="shared" si="8"/>
        <v>-834.61199999999997</v>
      </c>
      <c r="L151" s="1262"/>
      <c r="M151" s="1918"/>
    </row>
    <row r="152" spans="1:13">
      <c r="A152" s="308" t="s">
        <v>733</v>
      </c>
      <c r="B152" s="308"/>
      <c r="C152" s="1698">
        <v>-168.40299999999999</v>
      </c>
      <c r="D152" s="307"/>
      <c r="E152" s="1698">
        <v>0</v>
      </c>
      <c r="F152" s="307"/>
      <c r="G152" s="1698">
        <v>44.298000000000002</v>
      </c>
      <c r="H152" s="307"/>
      <c r="I152" s="1698">
        <v>0</v>
      </c>
      <c r="J152" s="307"/>
      <c r="K152" s="1699">
        <f t="shared" si="8"/>
        <v>-212.70099999999999</v>
      </c>
      <c r="L152" s="1262"/>
      <c r="M152" s="1918"/>
    </row>
    <row r="153" spans="1:13">
      <c r="A153" s="308" t="s">
        <v>734</v>
      </c>
      <c r="B153" s="308"/>
      <c r="C153" s="1698">
        <v>224.72</v>
      </c>
      <c r="D153" s="307"/>
      <c r="E153" s="1698">
        <v>0.75900000000000001</v>
      </c>
      <c r="F153" s="307"/>
      <c r="G153" s="1698">
        <v>5.0640000000000001</v>
      </c>
      <c r="H153" s="307"/>
      <c r="I153" s="1698">
        <v>0</v>
      </c>
      <c r="J153" s="307"/>
      <c r="K153" s="1699">
        <f t="shared" si="8"/>
        <v>220.41499999999999</v>
      </c>
      <c r="L153" s="1262"/>
      <c r="M153" s="1918"/>
    </row>
    <row r="154" spans="1:13">
      <c r="A154" s="308" t="s">
        <v>735</v>
      </c>
      <c r="B154" s="308"/>
      <c r="C154" s="1698">
        <v>84.932000000000002</v>
      </c>
      <c r="D154" s="307"/>
      <c r="E154" s="1698">
        <v>0</v>
      </c>
      <c r="F154" s="307"/>
      <c r="G154" s="1698">
        <v>5.6559999999999997</v>
      </c>
      <c r="H154" s="307"/>
      <c r="I154" s="1698">
        <v>0</v>
      </c>
      <c r="J154" s="307"/>
      <c r="K154" s="1699">
        <f t="shared" si="8"/>
        <v>79.275999999999996</v>
      </c>
      <c r="L154" s="1262"/>
      <c r="M154" s="1918"/>
    </row>
    <row r="155" spans="1:13">
      <c r="A155" s="135" t="s">
        <v>736</v>
      </c>
      <c r="B155" s="308"/>
      <c r="C155" s="1704">
        <f>ROUND(SUM(C116:C154),3)</f>
        <v>-3158.7570000000001</v>
      </c>
      <c r="D155" s="135"/>
      <c r="E155" s="1704">
        <f>ROUND(SUM(E116:E154),3)</f>
        <v>1098.3420000000001</v>
      </c>
      <c r="F155" s="135"/>
      <c r="G155" s="1704">
        <f>ROUND(SUM(G116:G154),3)</f>
        <v>2062.1210000000001</v>
      </c>
      <c r="H155" s="135"/>
      <c r="I155" s="1704">
        <f>ROUND(SUM(I116:I154),3)</f>
        <v>1171.5050000000001</v>
      </c>
      <c r="J155" s="135"/>
      <c r="K155" s="1704">
        <f>ROUND(SUM(K116:K154),3)</f>
        <v>-2951.0309999999999</v>
      </c>
      <c r="L155" s="1262"/>
      <c r="M155" s="824"/>
    </row>
    <row r="156" spans="1:13">
      <c r="A156" s="135"/>
      <c r="B156" s="308"/>
      <c r="C156" s="308"/>
      <c r="D156" s="308"/>
      <c r="E156" s="1134"/>
      <c r="F156" s="1134"/>
      <c r="G156" s="1134"/>
      <c r="H156" s="1134"/>
      <c r="I156" s="1134"/>
      <c r="J156" s="308"/>
      <c r="K156" s="308"/>
      <c r="L156" s="1262"/>
      <c r="M156" s="1918"/>
    </row>
    <row r="157" spans="1:13" ht="16" thickBot="1">
      <c r="A157" s="135" t="s">
        <v>737</v>
      </c>
      <c r="B157" s="136"/>
      <c r="C157" s="1707">
        <f>ROUND(SUM(C23+C103+C112+C155),3)</f>
        <v>88799.614000000001</v>
      </c>
      <c r="D157" s="136"/>
      <c r="E157" s="1707">
        <f>ROUND(SUM(E23+E103+E112+E155),3)</f>
        <v>20225.577000000001</v>
      </c>
      <c r="F157" s="1708"/>
      <c r="G157" s="1707">
        <f>ROUND(SUM(G23+G103+G112+G155),3)</f>
        <v>19739.772000000001</v>
      </c>
      <c r="H157" s="1708"/>
      <c r="I157" s="1707">
        <f>ROUND(SUM(I23+I103+I112+I155),3)</f>
        <v>2.415</v>
      </c>
      <c r="J157" s="136"/>
      <c r="K157" s="1707">
        <f>ROUND(SUM(K23+K103+K112+K155),3)</f>
        <v>89287.834000000003</v>
      </c>
      <c r="L157" s="1981"/>
      <c r="M157" s="1918" t="s">
        <v>103</v>
      </c>
    </row>
    <row r="158" spans="1:13" ht="16" thickTop="1">
      <c r="A158" s="308"/>
      <c r="B158" s="308"/>
      <c r="C158" s="308" t="s">
        <v>103</v>
      </c>
      <c r="D158" s="308"/>
      <c r="E158" s="308"/>
      <c r="F158" s="308"/>
      <c r="G158" s="308"/>
      <c r="H158" s="308"/>
      <c r="I158" s="308"/>
      <c r="J158" s="308"/>
      <c r="K158" s="308" t="s">
        <v>103</v>
      </c>
    </row>
    <row r="159" spans="1:13">
      <c r="A159" s="308"/>
      <c r="B159" s="308"/>
      <c r="C159" s="308" t="s">
        <v>103</v>
      </c>
      <c r="D159" s="308"/>
      <c r="E159" s="308" t="s">
        <v>103</v>
      </c>
      <c r="F159" s="308">
        <f t="shared" ref="F159:H159" si="9">F23+F91+F112</f>
        <v>0</v>
      </c>
      <c r="G159" s="308" t="s">
        <v>103</v>
      </c>
      <c r="H159" s="308">
        <f t="shared" si="9"/>
        <v>0</v>
      </c>
      <c r="I159" s="308" t="s">
        <v>103</v>
      </c>
      <c r="J159" s="308">
        <f>J23+J91+J112</f>
        <v>0</v>
      </c>
      <c r="K159" s="308" t="s">
        <v>103</v>
      </c>
    </row>
    <row r="160" spans="1:13">
      <c r="A160" s="134"/>
      <c r="B160" s="308"/>
      <c r="C160" s="308"/>
      <c r="D160" s="308"/>
      <c r="E160" s="1135" t="s">
        <v>103</v>
      </c>
      <c r="F160" s="308"/>
      <c r="G160" s="308" t="s">
        <v>103</v>
      </c>
      <c r="H160" s="308"/>
      <c r="I160" s="1134"/>
      <c r="J160" s="308"/>
      <c r="K160" s="877"/>
    </row>
    <row r="161" spans="1:11">
      <c r="A161" s="308" t="s">
        <v>103</v>
      </c>
      <c r="B161" s="308"/>
      <c r="C161" s="308"/>
      <c r="D161" s="308"/>
      <c r="E161" s="308"/>
      <c r="F161" s="308"/>
      <c r="G161" s="310" t="s">
        <v>103</v>
      </c>
      <c r="H161" s="308"/>
      <c r="I161" s="308"/>
      <c r="J161" s="308"/>
      <c r="K161" s="308" t="s">
        <v>103</v>
      </c>
    </row>
    <row r="162" spans="1:11">
      <c r="A162" s="308"/>
      <c r="B162" s="308"/>
      <c r="C162" s="308"/>
      <c r="D162" s="308"/>
      <c r="E162" s="308"/>
      <c r="F162" s="308"/>
      <c r="G162" s="308"/>
      <c r="H162" s="308"/>
      <c r="I162" s="308"/>
      <c r="J162" s="308"/>
      <c r="K162" s="308" t="s">
        <v>103</v>
      </c>
    </row>
    <row r="163" spans="1:11">
      <c r="A163" s="312"/>
      <c r="B163" s="308"/>
      <c r="C163" s="308"/>
      <c r="D163" s="308"/>
      <c r="E163" s="308"/>
      <c r="F163" s="308"/>
      <c r="G163" s="308"/>
      <c r="H163" s="308"/>
      <c r="I163" s="313"/>
      <c r="J163" s="308"/>
      <c r="K163" s="308" t="s">
        <v>103</v>
      </c>
    </row>
    <row r="164" spans="1:11">
      <c r="I164" s="1136"/>
      <c r="K164" s="824" t="s">
        <v>103</v>
      </c>
    </row>
    <row r="165" spans="1:11">
      <c r="I165" s="1136"/>
    </row>
    <row r="169" spans="1:11">
      <c r="I169" s="137"/>
    </row>
  </sheetData>
  <printOptions horizontalCentered="1"/>
  <pageMargins left="0.5" right="0.25" top="0.32" bottom="0.25" header="0.27" footer="0.1"/>
  <pageSetup scale="59" firstPageNumber="38" fitToHeight="3" orientation="landscape" useFirstPageNumber="1" r:id="rId1"/>
  <headerFooter scaleWithDoc="0" alignWithMargins="0">
    <oddFooter>&amp;C&amp;8&amp;P</oddFooter>
    <firstFooter>&amp;C28</firstFooter>
  </headerFooter>
  <rowBreaks count="2" manualBreakCount="2">
    <brk id="60" max="11" man="1"/>
    <brk id="113" max="11" man="1"/>
  </rowBreaks>
  <customProperties>
    <customPr name="SheetOptions"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pageSetUpPr autoPageBreaks="0"/>
  </sheetPr>
  <dimension ref="A1:O95"/>
  <sheetViews>
    <sheetView showGridLines="0" zoomScale="70" zoomScaleNormal="70" workbookViewId="0"/>
  </sheetViews>
  <sheetFormatPr defaultColWidth="8.84375" defaultRowHeight="17.5"/>
  <cols>
    <col min="1" max="1" width="55.84375" style="689" customWidth="1"/>
    <col min="2" max="2" width="6.07421875" style="689" customWidth="1"/>
    <col min="3" max="3" width="20.84375" style="689" customWidth="1"/>
    <col min="4" max="4" width="1.84375" style="689" customWidth="1"/>
    <col min="5" max="5" width="20.84375" style="689" customWidth="1"/>
    <col min="6" max="6" width="1.84375" style="689" customWidth="1"/>
    <col min="7" max="7" width="20.84375" style="689" customWidth="1"/>
    <col min="8" max="8" width="1.84375" style="689" customWidth="1"/>
    <col min="9" max="9" width="20.84375" style="689" customWidth="1"/>
    <col min="10" max="10" width="1.84375" style="689" customWidth="1"/>
    <col min="11" max="11" width="20.84375" style="689" customWidth="1"/>
    <col min="12" max="12" width="1.84375" style="689" customWidth="1"/>
    <col min="13" max="13" width="9.84375" style="689" bestFit="1" customWidth="1"/>
    <col min="14" max="16384" width="8.84375" style="689"/>
  </cols>
  <sheetData>
    <row r="1" spans="1:11">
      <c r="A1" s="265" t="s">
        <v>97</v>
      </c>
    </row>
    <row r="2" spans="1:11">
      <c r="A2" s="835"/>
    </row>
    <row r="3" spans="1:11" s="138" customFormat="1" ht="18" customHeight="1">
      <c r="A3" s="142" t="s">
        <v>98</v>
      </c>
      <c r="B3" s="836"/>
      <c r="C3" s="836"/>
      <c r="D3" s="836"/>
      <c r="E3" s="1137"/>
      <c r="F3" s="1137"/>
      <c r="I3" s="142"/>
      <c r="J3" s="142"/>
      <c r="K3" s="145" t="s">
        <v>738</v>
      </c>
    </row>
    <row r="4" spans="1:11" s="138" customFormat="1" ht="18" customHeight="1">
      <c r="A4" s="142" t="s">
        <v>200</v>
      </c>
      <c r="B4" s="836"/>
      <c r="C4" s="836"/>
      <c r="D4" s="836"/>
      <c r="E4" s="1137"/>
      <c r="F4" s="1137"/>
      <c r="I4" s="142"/>
      <c r="J4" s="142"/>
      <c r="K4" s="142"/>
    </row>
    <row r="5" spans="1:11" s="138" customFormat="1" ht="18" customHeight="1">
      <c r="A5" s="148" t="s">
        <v>739</v>
      </c>
      <c r="B5" s="836"/>
      <c r="C5" s="836"/>
      <c r="D5" s="836"/>
      <c r="E5" s="1137"/>
      <c r="F5" s="1137"/>
      <c r="I5" s="142"/>
      <c r="J5" s="142"/>
      <c r="K5" s="142"/>
    </row>
    <row r="6" spans="1:11" s="138" customFormat="1" ht="18" customHeight="1">
      <c r="A6" s="148" t="s">
        <v>740</v>
      </c>
      <c r="B6" s="836"/>
      <c r="C6" s="836"/>
      <c r="D6" s="836"/>
      <c r="E6" s="1137"/>
      <c r="F6" s="1137"/>
      <c r="I6" s="142"/>
      <c r="J6" s="142"/>
      <c r="K6" s="142"/>
    </row>
    <row r="7" spans="1:11" s="138" customFormat="1" ht="18" customHeight="1">
      <c r="A7" s="148" t="str">
        <f>'Sch 1 '!A7</f>
        <v>FISCAL YEAR 2026-2027</v>
      </c>
      <c r="B7" s="836"/>
      <c r="C7" s="836"/>
      <c r="D7" s="836"/>
      <c r="E7" s="1137"/>
      <c r="F7" s="1137"/>
      <c r="I7" s="142"/>
      <c r="J7" s="142"/>
      <c r="K7" s="142"/>
    </row>
    <row r="8" spans="1:11" s="138" customFormat="1" ht="18" customHeight="1">
      <c r="A8" s="148" t="str">
        <f>'Sch 1 '!A8</f>
        <v>FOR THE MONTH OF JULY 2026</v>
      </c>
      <c r="B8" s="836"/>
      <c r="C8" s="836"/>
      <c r="D8" s="836"/>
      <c r="E8" s="1137" t="s">
        <v>103</v>
      </c>
      <c r="G8" s="1137"/>
      <c r="I8" s="142"/>
      <c r="J8" s="142"/>
      <c r="K8" s="142"/>
    </row>
    <row r="9" spans="1:11" s="138" customFormat="1" ht="18" customHeight="1">
      <c r="A9" s="142" t="s">
        <v>102</v>
      </c>
      <c r="B9" s="836"/>
      <c r="C9" s="836"/>
      <c r="D9" s="836"/>
      <c r="E9" s="1137"/>
      <c r="F9" s="1137"/>
      <c r="I9" s="142"/>
      <c r="J9" s="142"/>
      <c r="K9" s="142"/>
    </row>
    <row r="10" spans="1:11" s="138" customFormat="1" ht="18">
      <c r="A10" s="142"/>
      <c r="B10" s="142"/>
      <c r="D10" s="142"/>
    </row>
    <row r="11" spans="1:11" s="138" customFormat="1" ht="18">
      <c r="A11" s="142"/>
      <c r="B11" s="142"/>
      <c r="C11" s="142"/>
      <c r="D11" s="142"/>
      <c r="E11" s="142"/>
      <c r="F11" s="142"/>
      <c r="G11" s="142"/>
      <c r="H11" s="142"/>
      <c r="I11" s="142"/>
      <c r="J11" s="142"/>
      <c r="K11" s="142"/>
    </row>
    <row r="12" spans="1:11" s="138" customFormat="1" ht="18">
      <c r="A12" s="142"/>
      <c r="B12" s="142"/>
      <c r="C12" s="158"/>
      <c r="D12" s="142"/>
      <c r="E12" s="142"/>
      <c r="F12" s="142"/>
      <c r="G12" s="142"/>
      <c r="H12" s="142"/>
      <c r="I12" s="158" t="s">
        <v>741</v>
      </c>
      <c r="J12" s="142"/>
      <c r="K12" s="158"/>
    </row>
    <row r="13" spans="1:11" s="138" customFormat="1" ht="18">
      <c r="A13" s="142"/>
      <c r="B13" s="142"/>
      <c r="C13" s="158" t="s">
        <v>607</v>
      </c>
      <c r="D13" s="142"/>
      <c r="E13" s="142"/>
      <c r="F13" s="142"/>
      <c r="G13" s="142"/>
      <c r="H13" s="142"/>
      <c r="I13" s="158" t="s">
        <v>742</v>
      </c>
      <c r="J13" s="142"/>
      <c r="K13" s="158" t="s">
        <v>607</v>
      </c>
    </row>
    <row r="14" spans="1:11" s="138" customFormat="1" ht="18">
      <c r="A14" s="157" t="s">
        <v>743</v>
      </c>
      <c r="B14" s="142"/>
      <c r="C14" s="1138" t="str">
        <f>'Sch 1 '!C11</f>
        <v>JULY 1, 2026</v>
      </c>
      <c r="D14" s="142"/>
      <c r="E14" s="158" t="s">
        <v>609</v>
      </c>
      <c r="F14" s="142"/>
      <c r="G14" s="158" t="s">
        <v>610</v>
      </c>
      <c r="H14" s="142"/>
      <c r="I14" s="158" t="s">
        <v>611</v>
      </c>
      <c r="J14" s="142"/>
      <c r="K14" s="371" t="str">
        <f>'Sch 1 '!K11</f>
        <v>JULY 31, 2026</v>
      </c>
    </row>
    <row r="15" spans="1:11" s="138" customFormat="1" ht="12" customHeight="1">
      <c r="C15" s="1139"/>
      <c r="E15" s="1073"/>
      <c r="G15" s="1073"/>
      <c r="I15" s="1073"/>
      <c r="K15" s="1073"/>
    </row>
    <row r="16" spans="1:11" s="138" customFormat="1" ht="18">
      <c r="A16" s="149" t="s">
        <v>588</v>
      </c>
      <c r="E16" s="146"/>
    </row>
    <row r="17" spans="1:12" s="138" customFormat="1" ht="9.65" customHeight="1">
      <c r="E17" s="146"/>
    </row>
    <row r="18" spans="1:12" s="138" customFormat="1" ht="16.5" customHeight="1">
      <c r="A18" s="941" t="s">
        <v>744</v>
      </c>
      <c r="C18" s="1685">
        <v>424.04500000000002</v>
      </c>
      <c r="D18" s="1640"/>
      <c r="E18" s="1685">
        <v>4.6970000000000001</v>
      </c>
      <c r="F18" s="1640"/>
      <c r="G18" s="1685">
        <v>6.5369999999999999</v>
      </c>
      <c r="H18" s="1640"/>
      <c r="I18" s="1685">
        <v>0</v>
      </c>
      <c r="J18" s="1640"/>
      <c r="K18" s="589">
        <f>ROUND(SUM(C18)+SUM(E18)-SUM(G18)+SUM(I18),3)</f>
        <v>422.20499999999998</v>
      </c>
      <c r="L18" s="296"/>
    </row>
    <row r="19" spans="1:12" s="138" customFormat="1" ht="16.399999999999999" customHeight="1">
      <c r="A19" s="138" t="s">
        <v>745</v>
      </c>
      <c r="B19" s="139"/>
      <c r="C19" s="590">
        <v>0.33800000000000002</v>
      </c>
      <c r="D19" s="588"/>
      <c r="E19" s="590">
        <v>8.9999999999999993E-3</v>
      </c>
      <c r="F19" s="588"/>
      <c r="G19" s="590">
        <v>8.9999999999999993E-3</v>
      </c>
      <c r="H19" s="588"/>
      <c r="I19" s="590">
        <v>0</v>
      </c>
      <c r="J19" s="588"/>
      <c r="K19" s="591">
        <f t="shared" ref="K19:K25" si="0">ROUND(SUM(C19)+SUM(E19)-SUM(G19)+SUM(I19),3)</f>
        <v>0.33800000000000002</v>
      </c>
      <c r="L19" s="296"/>
    </row>
    <row r="20" spans="1:12" s="138" customFormat="1" ht="15.75" customHeight="1">
      <c r="A20" s="138" t="s">
        <v>746</v>
      </c>
      <c r="C20" s="590">
        <v>16.344000000000001</v>
      </c>
      <c r="D20" s="588"/>
      <c r="E20" s="590">
        <v>0.70899999999999996</v>
      </c>
      <c r="F20" s="588"/>
      <c r="G20" s="590">
        <v>0.91600000000000004</v>
      </c>
      <c r="H20" s="588"/>
      <c r="I20" s="590">
        <v>0</v>
      </c>
      <c r="J20" s="588"/>
      <c r="K20" s="591">
        <f>ROUND(SUM(C20)+SUM(E20)-SUM(G20)+SUM(I20),3)</f>
        <v>16.137</v>
      </c>
      <c r="L20" s="296"/>
    </row>
    <row r="21" spans="1:12" s="138" customFormat="1" ht="16.399999999999999" customHeight="1">
      <c r="A21" s="138" t="s">
        <v>747</v>
      </c>
      <c r="C21" s="590">
        <v>5.1749999999999998</v>
      </c>
      <c r="D21" s="588"/>
      <c r="E21" s="590">
        <v>4.4639999999999995</v>
      </c>
      <c r="F21" s="588"/>
      <c r="G21" s="590">
        <v>5.806</v>
      </c>
      <c r="H21" s="588"/>
      <c r="I21" s="590">
        <v>0</v>
      </c>
      <c r="J21" s="588"/>
      <c r="K21" s="591">
        <f t="shared" si="0"/>
        <v>3.8330000000000002</v>
      </c>
      <c r="L21" s="296"/>
    </row>
    <row r="22" spans="1:12" s="138" customFormat="1" ht="16.399999999999999" customHeight="1">
      <c r="A22" s="138" t="s">
        <v>748</v>
      </c>
      <c r="C22" s="590">
        <v>13.645</v>
      </c>
      <c r="D22" s="588"/>
      <c r="E22" s="590">
        <v>4.399</v>
      </c>
      <c r="F22" s="588"/>
      <c r="G22" s="590">
        <v>3.5489999999999999</v>
      </c>
      <c r="H22" s="588"/>
      <c r="I22" s="590">
        <v>0</v>
      </c>
      <c r="J22" s="588"/>
      <c r="K22" s="591">
        <f t="shared" si="0"/>
        <v>14.494999999999999</v>
      </c>
      <c r="L22" s="296"/>
    </row>
    <row r="23" spans="1:12" s="138" customFormat="1" ht="16.399999999999999" customHeight="1">
      <c r="A23" s="138" t="s">
        <v>749</v>
      </c>
      <c r="C23" s="590">
        <v>1.9810000000000001</v>
      </c>
      <c r="D23" s="588"/>
      <c r="E23" s="590">
        <v>6.0000000000000001E-3</v>
      </c>
      <c r="F23" s="588"/>
      <c r="G23" s="590">
        <v>0</v>
      </c>
      <c r="H23" s="588"/>
      <c r="I23" s="590">
        <v>0</v>
      </c>
      <c r="J23" s="588"/>
      <c r="K23" s="591">
        <f t="shared" si="0"/>
        <v>1.9870000000000001</v>
      </c>
      <c r="L23" s="296"/>
    </row>
    <row r="24" spans="1:12" s="138" customFormat="1" ht="16.399999999999999" customHeight="1">
      <c r="A24" s="138" t="s">
        <v>750</v>
      </c>
      <c r="C24" s="590">
        <v>2.6179999999999999</v>
      </c>
      <c r="D24" s="588"/>
      <c r="E24" s="590">
        <v>1.3999999999999999E-2</v>
      </c>
      <c r="F24" s="588"/>
      <c r="G24" s="590">
        <v>0.108</v>
      </c>
      <c r="H24" s="588"/>
      <c r="I24" s="590">
        <v>0</v>
      </c>
      <c r="J24" s="588"/>
      <c r="K24" s="591">
        <f t="shared" si="0"/>
        <v>2.524</v>
      </c>
      <c r="L24" s="296"/>
    </row>
    <row r="25" spans="1:12" s="138" customFormat="1" ht="16.399999999999999" customHeight="1">
      <c r="A25" s="138" t="s">
        <v>751</v>
      </c>
      <c r="C25" s="590">
        <v>7.726</v>
      </c>
      <c r="D25" s="588"/>
      <c r="E25" s="590">
        <v>0.106</v>
      </c>
      <c r="F25" s="588"/>
      <c r="G25" s="590">
        <v>0.125</v>
      </c>
      <c r="H25" s="588"/>
      <c r="I25" s="590">
        <v>0</v>
      </c>
      <c r="J25" s="588"/>
      <c r="K25" s="591">
        <f t="shared" si="0"/>
        <v>7.7069999999999999</v>
      </c>
      <c r="L25" s="296"/>
    </row>
    <row r="26" spans="1:12" s="138" customFormat="1" ht="16.399999999999999" customHeight="1">
      <c r="A26" s="870" t="s">
        <v>752</v>
      </c>
      <c r="C26" s="590">
        <v>66.126000000000005</v>
      </c>
      <c r="D26" s="588"/>
      <c r="E26" s="590">
        <v>344.55</v>
      </c>
      <c r="F26" s="588"/>
      <c r="G26" s="590">
        <v>344.03999999999996</v>
      </c>
      <c r="H26" s="588"/>
      <c r="I26" s="590">
        <v>0</v>
      </c>
      <c r="J26" s="588"/>
      <c r="K26" s="591">
        <f>ROUND(SUM(C26)+SUM(E26)-SUM(G26)+SUM(I26),3)</f>
        <v>66.635999999999996</v>
      </c>
      <c r="L26" s="296"/>
    </row>
    <row r="27" spans="1:12" s="138" customFormat="1" ht="16.399999999999999" customHeight="1">
      <c r="A27" s="146" t="s">
        <v>753</v>
      </c>
      <c r="C27" s="590">
        <v>795.91200000000003</v>
      </c>
      <c r="D27" s="588"/>
      <c r="E27" s="590">
        <v>282.12400000000002</v>
      </c>
      <c r="F27" s="588"/>
      <c r="G27" s="590">
        <v>254.11199999999999</v>
      </c>
      <c r="H27" s="588"/>
      <c r="I27" s="590">
        <v>0</v>
      </c>
      <c r="J27" s="588"/>
      <c r="K27" s="591">
        <f>ROUND(SUM(C27)+SUM(E27)-SUM(G27)+SUM(I27),3)</f>
        <v>823.92399999999998</v>
      </c>
      <c r="L27" s="296"/>
    </row>
    <row r="28" spans="1:12" s="138" customFormat="1" ht="20.149999999999999" customHeight="1">
      <c r="A28" s="142" t="s">
        <v>754</v>
      </c>
      <c r="C28" s="1074">
        <f>ROUND(SUM(C18:C27),3)</f>
        <v>1333.91</v>
      </c>
      <c r="D28" s="293"/>
      <c r="E28" s="1074">
        <f>ROUND(SUM(E18:E27),3)</f>
        <v>641.07799999999997</v>
      </c>
      <c r="F28" s="293"/>
      <c r="G28" s="1074">
        <f>ROUND(SUM(G18:G27),3)</f>
        <v>615.202</v>
      </c>
      <c r="H28" s="293"/>
      <c r="I28" s="1074">
        <f>ROUND(SUM(I18:I27),3)</f>
        <v>0</v>
      </c>
      <c r="J28" s="293"/>
      <c r="K28" s="1074">
        <f>ROUND(SUM(K18:K27),3)</f>
        <v>1359.7860000000001</v>
      </c>
      <c r="L28" s="296"/>
    </row>
    <row r="29" spans="1:12" s="138" customFormat="1" ht="15" customHeight="1">
      <c r="C29" s="1075"/>
      <c r="D29" s="140"/>
      <c r="E29" s="1075"/>
      <c r="F29" s="140"/>
      <c r="G29" s="1075"/>
      <c r="H29" s="140"/>
      <c r="I29" s="140"/>
      <c r="J29" s="140"/>
      <c r="K29" s="1075"/>
      <c r="L29" s="296"/>
    </row>
    <row r="30" spans="1:12" s="138" customFormat="1" ht="15" customHeight="1">
      <c r="C30" s="140"/>
      <c r="D30" s="1695" t="s">
        <v>606</v>
      </c>
      <c r="E30" s="140"/>
      <c r="F30" s="140"/>
      <c r="G30" s="140"/>
      <c r="H30" s="140"/>
      <c r="I30" s="140"/>
      <c r="J30" s="140"/>
      <c r="K30" s="140"/>
      <c r="L30" s="296"/>
    </row>
    <row r="31" spans="1:12" s="138" customFormat="1" ht="15" customHeight="1">
      <c r="C31" s="140"/>
      <c r="D31" s="140"/>
      <c r="E31" s="140"/>
      <c r="F31" s="140"/>
      <c r="G31" s="140"/>
      <c r="H31" s="140"/>
      <c r="I31" s="140"/>
      <c r="J31" s="140"/>
      <c r="K31" s="140"/>
      <c r="L31" s="296"/>
    </row>
    <row r="32" spans="1:12" s="138" customFormat="1" ht="18" customHeight="1">
      <c r="A32" s="149" t="s">
        <v>595</v>
      </c>
      <c r="C32" s="140"/>
      <c r="D32" s="140"/>
      <c r="E32" s="140"/>
      <c r="F32" s="140"/>
      <c r="G32" s="140"/>
      <c r="H32" s="140"/>
      <c r="I32" s="140"/>
      <c r="J32" s="140"/>
      <c r="K32" s="140"/>
      <c r="L32" s="296"/>
    </row>
    <row r="33" spans="1:15" s="138" customFormat="1" ht="9.65" customHeight="1">
      <c r="A33" s="149"/>
      <c r="C33" s="140"/>
      <c r="D33" s="140"/>
      <c r="E33" s="140"/>
      <c r="F33" s="140"/>
      <c r="G33" s="140"/>
      <c r="H33" s="140"/>
      <c r="I33" s="140"/>
      <c r="J33" s="140"/>
      <c r="K33" s="140"/>
      <c r="L33" s="296"/>
    </row>
    <row r="34" spans="1:15" s="138" customFormat="1" ht="16.399999999999999" customHeight="1">
      <c r="A34" s="138" t="s">
        <v>755</v>
      </c>
      <c r="C34" s="590">
        <v>47.453000000000003</v>
      </c>
      <c r="D34" s="588"/>
      <c r="E34" s="590">
        <v>47.68</v>
      </c>
      <c r="F34" s="588"/>
      <c r="G34" s="590">
        <v>39.152999999999999</v>
      </c>
      <c r="H34" s="588"/>
      <c r="I34" s="590">
        <v>1.1910000000000001</v>
      </c>
      <c r="J34" s="588"/>
      <c r="K34" s="591">
        <f t="shared" ref="K34:K41" si="1">ROUND(SUM(C34)+SUM(E34)-SUM(G34)+SUM(I34),3)</f>
        <v>57.170999999999999</v>
      </c>
      <c r="L34" s="296"/>
      <c r="M34" s="140"/>
    </row>
    <row r="35" spans="1:15" s="138" customFormat="1" ht="16.399999999999999" customHeight="1">
      <c r="A35" s="138" t="s">
        <v>756</v>
      </c>
      <c r="C35" s="590">
        <v>41.353999999999999</v>
      </c>
      <c r="D35" s="588"/>
      <c r="E35" s="590">
        <v>8.1820000000000004</v>
      </c>
      <c r="F35" s="588"/>
      <c r="G35" s="590">
        <v>17.166999999999998</v>
      </c>
      <c r="H35" s="588"/>
      <c r="I35" s="590">
        <v>-2.3889999999999998</v>
      </c>
      <c r="J35" s="588"/>
      <c r="K35" s="591">
        <f t="shared" si="1"/>
        <v>29.98</v>
      </c>
      <c r="L35" s="296"/>
      <c r="M35" s="140"/>
    </row>
    <row r="36" spans="1:15" s="138" customFormat="1" ht="16.399999999999999" customHeight="1">
      <c r="A36" s="138" t="s">
        <v>757</v>
      </c>
      <c r="C36" s="590">
        <v>1.218</v>
      </c>
      <c r="D36" s="588"/>
      <c r="E36" s="590">
        <v>0.121</v>
      </c>
      <c r="F36" s="588"/>
      <c r="G36" s="590">
        <v>4.1000000000000002E-2</v>
      </c>
      <c r="H36" s="588"/>
      <c r="I36" s="590">
        <v>0</v>
      </c>
      <c r="J36" s="588"/>
      <c r="K36" s="591">
        <f t="shared" si="1"/>
        <v>1.298</v>
      </c>
      <c r="L36" s="296"/>
      <c r="M36" s="140"/>
    </row>
    <row r="37" spans="1:15" s="138" customFormat="1" ht="16.399999999999999" customHeight="1">
      <c r="A37" s="138" t="s">
        <v>758</v>
      </c>
      <c r="C37" s="590">
        <v>7.0000000000000007E-2</v>
      </c>
      <c r="D37" s="588"/>
      <c r="E37" s="590">
        <v>0</v>
      </c>
      <c r="F37" s="588"/>
      <c r="G37" s="590">
        <v>0</v>
      </c>
      <c r="H37" s="588"/>
      <c r="I37" s="590">
        <v>0</v>
      </c>
      <c r="J37" s="588"/>
      <c r="K37" s="591">
        <f t="shared" si="1"/>
        <v>7.0000000000000007E-2</v>
      </c>
      <c r="L37" s="296"/>
      <c r="M37" s="140"/>
    </row>
    <row r="38" spans="1:15" s="138" customFormat="1" ht="16.399999999999999" customHeight="1">
      <c r="A38" s="138" t="s">
        <v>759</v>
      </c>
      <c r="C38" s="590">
        <v>0.90200000000000002</v>
      </c>
      <c r="D38" s="588"/>
      <c r="E38" s="590">
        <v>0.77400000000000002</v>
      </c>
      <c r="F38" s="588"/>
      <c r="G38" s="590">
        <v>0.16800000000000001</v>
      </c>
      <c r="H38" s="588"/>
      <c r="I38" s="590">
        <v>-6.0000000000000001E-3</v>
      </c>
      <c r="J38" s="588"/>
      <c r="K38" s="591">
        <f t="shared" si="1"/>
        <v>1.502</v>
      </c>
      <c r="L38" s="296"/>
      <c r="M38" s="140"/>
    </row>
    <row r="39" spans="1:15" s="138" customFormat="1" ht="16.399999999999999" customHeight="1">
      <c r="A39" s="138" t="s">
        <v>760</v>
      </c>
      <c r="C39" s="590">
        <v>-42.084000000000003</v>
      </c>
      <c r="D39" s="588"/>
      <c r="E39" s="590">
        <v>7.5999999999999998E-2</v>
      </c>
      <c r="F39" s="588"/>
      <c r="G39" s="590">
        <v>3.8559999999999999</v>
      </c>
      <c r="H39" s="588"/>
      <c r="I39" s="590">
        <v>-2.1000000000000001E-2</v>
      </c>
      <c r="J39" s="588"/>
      <c r="K39" s="591">
        <f t="shared" si="1"/>
        <v>-45.884999999999998</v>
      </c>
      <c r="L39" s="296"/>
      <c r="M39" s="140" t="s">
        <v>103</v>
      </c>
    </row>
    <row r="40" spans="1:15" s="138" customFormat="1" ht="16.399999999999999" customHeight="1">
      <c r="A40" s="138" t="s">
        <v>761</v>
      </c>
      <c r="C40" s="590">
        <v>-4.9489999999999998</v>
      </c>
      <c r="D40" s="588"/>
      <c r="E40" s="590">
        <v>4.2709999999999999</v>
      </c>
      <c r="F40" s="588"/>
      <c r="G40" s="590">
        <v>1.7350000000000001</v>
      </c>
      <c r="H40" s="588"/>
      <c r="I40" s="590">
        <v>-1.19</v>
      </c>
      <c r="J40" s="588"/>
      <c r="K40" s="591">
        <f t="shared" si="1"/>
        <v>-3.6030000000000002</v>
      </c>
      <c r="L40" s="296"/>
      <c r="M40" s="140" t="s">
        <v>103</v>
      </c>
    </row>
    <row r="41" spans="1:15" s="138" customFormat="1" ht="16.399999999999999" customHeight="1">
      <c r="A41" s="138" t="s">
        <v>762</v>
      </c>
      <c r="C41" s="590">
        <v>15.853</v>
      </c>
      <c r="D41" s="588"/>
      <c r="E41" s="590">
        <v>1.7929999999999999</v>
      </c>
      <c r="F41" s="588"/>
      <c r="G41" s="590">
        <v>3.423</v>
      </c>
      <c r="H41" s="588"/>
      <c r="I41" s="590">
        <v>0</v>
      </c>
      <c r="J41" s="588"/>
      <c r="K41" s="591">
        <f t="shared" si="1"/>
        <v>14.223000000000001</v>
      </c>
      <c r="L41" s="296"/>
      <c r="M41" s="140"/>
    </row>
    <row r="42" spans="1:15" s="138" customFormat="1" ht="20.149999999999999" customHeight="1">
      <c r="A42" s="142" t="s">
        <v>763</v>
      </c>
      <c r="C42" s="1074">
        <f>ROUND(SUM(C34:C41),3)</f>
        <v>59.817</v>
      </c>
      <c r="D42" s="294"/>
      <c r="E42" s="1074">
        <f>ROUND(SUM(E34:E41),3)</f>
        <v>62.896999999999998</v>
      </c>
      <c r="F42" s="294"/>
      <c r="G42" s="1074">
        <f>ROUND(SUM(G34:G41),3)</f>
        <v>65.543000000000006</v>
      </c>
      <c r="H42" s="294"/>
      <c r="I42" s="1074">
        <f>ROUND(SUM(I34:I41),3)</f>
        <v>-2.415</v>
      </c>
      <c r="J42" s="294"/>
      <c r="K42" s="1074">
        <f>ROUND(SUM(K34:K41),3)</f>
        <v>54.756</v>
      </c>
      <c r="L42" s="296"/>
    </row>
    <row r="43" spans="1:15" s="138" customFormat="1" ht="15" customHeight="1">
      <c r="A43" s="142"/>
      <c r="C43" s="1923"/>
      <c r="D43" s="690"/>
      <c r="E43" s="1076"/>
      <c r="F43" s="690"/>
      <c r="G43" s="1076"/>
      <c r="H43" s="690"/>
      <c r="I43" s="1140"/>
      <c r="J43" s="690"/>
      <c r="K43" s="1076"/>
      <c r="L43" s="296"/>
    </row>
    <row r="44" spans="1:15" s="138" customFormat="1" ht="15" customHeight="1">
      <c r="A44" s="142"/>
      <c r="C44" s="1140"/>
      <c r="D44" s="690"/>
      <c r="E44" s="690"/>
      <c r="F44" s="690"/>
      <c r="G44" s="690" t="s">
        <v>103</v>
      </c>
      <c r="H44" s="690"/>
      <c r="I44" s="1140"/>
      <c r="J44" s="690"/>
      <c r="K44" s="690"/>
      <c r="L44" s="296"/>
    </row>
    <row r="45" spans="1:15" s="138" customFormat="1" ht="20.149999999999999" customHeight="1" thickBot="1">
      <c r="A45" s="142" t="s">
        <v>203</v>
      </c>
      <c r="B45" s="139"/>
      <c r="C45" s="691">
        <f>ROUND(SUM(C42)+SUM(C28),3)</f>
        <v>1393.7270000000001</v>
      </c>
      <c r="D45" s="297"/>
      <c r="E45" s="691">
        <f>ROUND(SUM(E42)+SUM(E28),3)</f>
        <v>703.97500000000002</v>
      </c>
      <c r="F45" s="297"/>
      <c r="G45" s="691">
        <f>ROUND(SUM(G42)+SUM(G28),3)</f>
        <v>680.745</v>
      </c>
      <c r="H45" s="297"/>
      <c r="I45" s="691">
        <f>ROUND(SUM(I42)+SUM(I28),3)</f>
        <v>-2.415</v>
      </c>
      <c r="J45" s="297"/>
      <c r="K45" s="691">
        <f>ROUND(SUM(K42)+SUM(K28),3)</f>
        <v>1414.5419999999999</v>
      </c>
      <c r="L45" s="296"/>
    </row>
    <row r="46" spans="1:15" s="138" customFormat="1" ht="18" thickTop="1">
      <c r="C46" s="692"/>
      <c r="D46" s="690"/>
      <c r="E46" s="692" t="s">
        <v>103</v>
      </c>
      <c r="F46" s="690"/>
      <c r="G46" s="692"/>
      <c r="H46" s="690"/>
      <c r="I46" s="292"/>
      <c r="J46" s="690"/>
      <c r="K46" s="692"/>
    </row>
    <row r="47" spans="1:15" s="138" customFormat="1">
      <c r="A47" s="837"/>
      <c r="B47" s="689"/>
      <c r="C47" s="693"/>
      <c r="D47" s="693"/>
      <c r="E47" s="1141" t="s">
        <v>103</v>
      </c>
      <c r="F47" s="1141"/>
      <c r="G47" s="1142"/>
      <c r="H47" s="1141" t="s">
        <v>103</v>
      </c>
      <c r="I47" s="1143" t="s">
        <v>103</v>
      </c>
      <c r="J47" s="693"/>
      <c r="K47" s="838"/>
      <c r="L47" s="689"/>
      <c r="M47" s="689"/>
      <c r="N47" s="689"/>
      <c r="O47" s="689"/>
    </row>
    <row r="48" spans="1:15" s="138" customFormat="1">
      <c r="A48" s="689"/>
      <c r="B48" s="689"/>
      <c r="C48" s="693"/>
      <c r="D48" s="693"/>
      <c r="E48" s="299" t="s">
        <v>103</v>
      </c>
      <c r="F48" s="299"/>
      <c r="G48" s="299"/>
      <c r="H48" s="299"/>
      <c r="I48" s="299" t="s">
        <v>103</v>
      </c>
      <c r="J48" s="299"/>
      <c r="K48" s="299"/>
      <c r="L48" s="689"/>
      <c r="M48" s="689"/>
      <c r="N48" s="689"/>
      <c r="O48" s="689"/>
    </row>
    <row r="49" spans="1:15" s="138" customFormat="1">
      <c r="A49" s="689"/>
      <c r="B49" s="689"/>
      <c r="C49" s="693"/>
      <c r="D49" s="693"/>
      <c r="E49" s="693" t="s">
        <v>103</v>
      </c>
      <c r="F49" s="693"/>
      <c r="G49" s="1144"/>
      <c r="H49" s="689"/>
      <c r="I49" s="1145" t="s">
        <v>103</v>
      </c>
      <c r="J49" s="693"/>
      <c r="K49" s="693"/>
      <c r="L49" s="689"/>
      <c r="M49" s="689"/>
      <c r="N49" s="689"/>
      <c r="O49" s="689"/>
    </row>
    <row r="50" spans="1:15" s="138" customFormat="1">
      <c r="A50" s="689"/>
      <c r="B50" s="689"/>
      <c r="C50" s="693"/>
      <c r="D50" s="693"/>
      <c r="E50" s="299" t="s">
        <v>103</v>
      </c>
      <c r="F50" s="693"/>
      <c r="G50" s="693"/>
      <c r="H50" s="689"/>
      <c r="I50" s="1145" t="s">
        <v>103</v>
      </c>
      <c r="J50" s="693"/>
      <c r="K50" s="693"/>
      <c r="L50" s="689"/>
      <c r="M50" s="689"/>
      <c r="N50" s="689"/>
      <c r="O50" s="689"/>
    </row>
    <row r="51" spans="1:15" s="138" customFormat="1">
      <c r="A51" s="689"/>
      <c r="B51" s="689"/>
      <c r="C51" s="693"/>
      <c r="D51" s="693"/>
      <c r="E51" s="299" t="s">
        <v>103</v>
      </c>
      <c r="F51" s="693"/>
      <c r="G51" s="693"/>
      <c r="H51" s="689"/>
      <c r="I51" s="1145" t="s">
        <v>103</v>
      </c>
      <c r="J51" s="693"/>
      <c r="K51" s="693"/>
      <c r="L51" s="689"/>
      <c r="M51" s="689"/>
      <c r="N51" s="689"/>
      <c r="O51" s="689"/>
    </row>
    <row r="52" spans="1:15" s="138" customFormat="1">
      <c r="A52" s="689"/>
      <c r="B52" s="689"/>
      <c r="C52" s="693"/>
      <c r="D52" s="693"/>
      <c r="E52" s="693"/>
      <c r="F52" s="693"/>
      <c r="G52" s="693"/>
      <c r="H52" s="689"/>
      <c r="I52" s="1145" t="s">
        <v>103</v>
      </c>
      <c r="J52" s="693"/>
      <c r="K52" s="693"/>
      <c r="L52" s="689"/>
      <c r="M52" s="689"/>
      <c r="N52" s="689"/>
      <c r="O52" s="689"/>
    </row>
    <row r="53" spans="1:15" s="138" customFormat="1">
      <c r="B53" s="689"/>
      <c r="C53" s="693"/>
      <c r="D53" s="693"/>
      <c r="E53" s="693"/>
      <c r="F53" s="693"/>
      <c r="G53" s="693"/>
      <c r="H53" s="689"/>
      <c r="I53" s="1145" t="s">
        <v>103</v>
      </c>
      <c r="J53" s="693"/>
      <c r="K53" s="693"/>
      <c r="L53" s="689"/>
      <c r="M53" s="689"/>
      <c r="N53" s="689"/>
      <c r="O53" s="689"/>
    </row>
    <row r="54" spans="1:15" s="138" customFormat="1">
      <c r="A54" s="689"/>
      <c r="B54" s="689"/>
      <c r="C54" s="693"/>
      <c r="D54" s="693"/>
      <c r="E54" s="693"/>
      <c r="F54" s="693"/>
      <c r="G54" s="693"/>
      <c r="H54" s="689"/>
      <c r="I54" s="689"/>
      <c r="J54" s="693"/>
      <c r="K54" s="693"/>
      <c r="L54" s="689"/>
      <c r="M54" s="689"/>
      <c r="N54" s="689"/>
      <c r="O54" s="689"/>
    </row>
    <row r="55" spans="1:15" s="138" customFormat="1">
      <c r="A55" s="689"/>
      <c r="B55" s="689"/>
      <c r="C55" s="693"/>
      <c r="D55" s="693"/>
      <c r="E55" s="693"/>
      <c r="F55" s="693"/>
      <c r="G55" s="693"/>
      <c r="H55" s="689"/>
      <c r="I55" s="689"/>
      <c r="J55" s="693"/>
      <c r="K55" s="693"/>
      <c r="L55" s="689"/>
      <c r="M55" s="689"/>
      <c r="N55" s="689"/>
      <c r="O55" s="689"/>
    </row>
    <row r="56" spans="1:15" s="138" customFormat="1">
      <c r="A56" s="689"/>
      <c r="B56" s="689"/>
      <c r="C56" s="693"/>
      <c r="D56" s="693"/>
      <c r="E56" s="693"/>
      <c r="F56" s="693"/>
      <c r="G56" s="693"/>
      <c r="H56" s="689"/>
      <c r="I56" s="689"/>
      <c r="J56" s="693"/>
      <c r="K56" s="693"/>
      <c r="L56" s="689"/>
      <c r="M56" s="689"/>
      <c r="N56" s="689"/>
      <c r="O56" s="689"/>
    </row>
    <row r="57" spans="1:15" s="138" customFormat="1">
      <c r="A57" s="689"/>
      <c r="B57" s="689"/>
      <c r="C57" s="693"/>
      <c r="D57" s="693"/>
      <c r="E57" s="693"/>
      <c r="F57" s="693"/>
      <c r="G57" s="693"/>
      <c r="H57" s="689"/>
      <c r="I57" s="689"/>
      <c r="J57" s="693"/>
      <c r="K57" s="693"/>
      <c r="L57" s="689"/>
      <c r="M57" s="689"/>
      <c r="N57" s="689"/>
      <c r="O57" s="689"/>
    </row>
    <row r="58" spans="1:15" s="138" customFormat="1">
      <c r="A58" s="689"/>
      <c r="B58" s="689"/>
      <c r="C58" s="693"/>
      <c r="D58" s="693"/>
      <c r="E58" s="693"/>
      <c r="F58" s="693"/>
      <c r="G58" s="693"/>
      <c r="H58" s="689"/>
      <c r="I58" s="689"/>
      <c r="J58" s="693"/>
      <c r="K58" s="693"/>
      <c r="L58" s="689"/>
      <c r="M58" s="689"/>
      <c r="N58" s="689"/>
      <c r="O58" s="689"/>
    </row>
    <row r="59" spans="1:15" s="138" customFormat="1">
      <c r="A59" s="689"/>
      <c r="B59" s="689"/>
      <c r="C59" s="693"/>
      <c r="D59" s="693"/>
      <c r="E59" s="693"/>
      <c r="F59" s="693"/>
      <c r="G59" s="693"/>
      <c r="H59" s="689"/>
      <c r="I59" s="689"/>
      <c r="J59" s="693"/>
      <c r="K59" s="693"/>
      <c r="L59" s="689"/>
      <c r="M59" s="689"/>
      <c r="N59" s="689"/>
      <c r="O59" s="689"/>
    </row>
    <row r="60" spans="1:15" s="138" customFormat="1">
      <c r="A60" s="689"/>
      <c r="B60" s="689"/>
      <c r="C60" s="693"/>
      <c r="D60" s="693"/>
      <c r="E60" s="693"/>
      <c r="F60" s="693"/>
      <c r="G60" s="693"/>
      <c r="H60" s="689"/>
      <c r="I60" s="689"/>
      <c r="J60" s="693"/>
      <c r="K60" s="693"/>
      <c r="L60" s="689"/>
      <c r="M60" s="689"/>
      <c r="N60" s="689"/>
      <c r="O60" s="689"/>
    </row>
    <row r="61" spans="1:15" s="138" customFormat="1">
      <c r="A61" s="689"/>
      <c r="B61" s="689"/>
      <c r="C61" s="693"/>
      <c r="D61" s="693"/>
      <c r="E61" s="693"/>
      <c r="F61" s="693"/>
      <c r="G61" s="693"/>
      <c r="H61" s="689"/>
      <c r="I61" s="689"/>
      <c r="J61" s="693"/>
      <c r="K61" s="693"/>
      <c r="L61" s="689"/>
      <c r="M61" s="689"/>
      <c r="N61" s="689"/>
      <c r="O61" s="689"/>
    </row>
    <row r="62" spans="1:15" s="138" customFormat="1">
      <c r="A62" s="689"/>
      <c r="B62" s="689"/>
      <c r="C62" s="693"/>
      <c r="D62" s="693"/>
      <c r="E62" s="693"/>
      <c r="F62" s="693"/>
      <c r="G62" s="693"/>
      <c r="H62" s="689"/>
      <c r="I62" s="689"/>
      <c r="J62" s="693"/>
      <c r="K62" s="693"/>
      <c r="L62" s="689"/>
      <c r="M62" s="689"/>
      <c r="N62" s="689"/>
      <c r="O62" s="689"/>
    </row>
    <row r="63" spans="1:15" s="138" customFormat="1">
      <c r="A63" s="689"/>
      <c r="B63" s="689"/>
      <c r="C63" s="693"/>
      <c r="D63" s="693"/>
      <c r="E63" s="693"/>
      <c r="F63" s="693"/>
      <c r="G63" s="693"/>
      <c r="H63" s="689"/>
      <c r="I63" s="689"/>
      <c r="J63" s="693"/>
      <c r="K63" s="693"/>
      <c r="L63" s="689"/>
      <c r="M63" s="689"/>
      <c r="N63" s="689"/>
      <c r="O63" s="689"/>
    </row>
    <row r="64" spans="1:15" s="138" customFormat="1">
      <c r="A64" s="689"/>
      <c r="B64" s="689"/>
      <c r="C64" s="693"/>
      <c r="D64" s="693"/>
      <c r="E64" s="693"/>
      <c r="F64" s="693"/>
      <c r="G64" s="693"/>
      <c r="H64" s="689"/>
      <c r="I64" s="689"/>
      <c r="J64" s="693"/>
      <c r="K64" s="693"/>
      <c r="L64" s="689"/>
      <c r="M64" s="689"/>
      <c r="N64" s="689"/>
      <c r="O64" s="689"/>
    </row>
    <row r="65" spans="1:15" s="138" customFormat="1">
      <c r="A65" s="689"/>
      <c r="B65" s="689"/>
      <c r="C65" s="693"/>
      <c r="D65" s="693"/>
      <c r="E65" s="693"/>
      <c r="F65" s="693"/>
      <c r="G65" s="693"/>
      <c r="H65" s="689"/>
      <c r="I65" s="689"/>
      <c r="J65" s="693"/>
      <c r="K65" s="693"/>
      <c r="L65" s="689"/>
      <c r="M65" s="689"/>
      <c r="N65" s="689"/>
      <c r="O65" s="689"/>
    </row>
    <row r="66" spans="1:15" s="138" customFormat="1">
      <c r="A66" s="689"/>
      <c r="B66" s="689"/>
      <c r="C66" s="693"/>
      <c r="D66" s="693"/>
      <c r="E66" s="693"/>
      <c r="F66" s="693"/>
      <c r="G66" s="693"/>
      <c r="H66" s="689"/>
      <c r="I66" s="689"/>
      <c r="J66" s="693"/>
      <c r="K66" s="693"/>
      <c r="L66" s="689"/>
      <c r="M66" s="689"/>
      <c r="N66" s="689"/>
      <c r="O66" s="689"/>
    </row>
    <row r="67" spans="1:15" s="138" customFormat="1">
      <c r="A67" s="689"/>
      <c r="B67" s="689"/>
      <c r="C67" s="693"/>
      <c r="D67" s="693"/>
      <c r="E67" s="693"/>
      <c r="F67" s="693"/>
      <c r="G67" s="693"/>
      <c r="H67" s="689"/>
      <c r="I67" s="689"/>
      <c r="J67" s="693"/>
      <c r="K67" s="693"/>
      <c r="L67" s="689"/>
      <c r="M67" s="689"/>
      <c r="N67" s="689"/>
      <c r="O67" s="689"/>
    </row>
    <row r="68" spans="1:15" s="138" customFormat="1">
      <c r="A68" s="689"/>
      <c r="B68" s="689"/>
      <c r="C68" s="693"/>
      <c r="D68" s="693"/>
      <c r="E68" s="693"/>
      <c r="F68" s="693"/>
      <c r="G68" s="693"/>
      <c r="H68" s="689"/>
      <c r="I68" s="689"/>
      <c r="J68" s="693"/>
      <c r="K68" s="693"/>
      <c r="L68" s="689"/>
      <c r="M68" s="689"/>
      <c r="N68" s="689"/>
      <c r="O68" s="689"/>
    </row>
    <row r="69" spans="1:15" s="138" customFormat="1">
      <c r="A69" s="689"/>
      <c r="B69" s="689"/>
      <c r="C69" s="693"/>
      <c r="D69" s="693"/>
      <c r="E69" s="693"/>
      <c r="F69" s="693"/>
      <c r="G69" s="693"/>
      <c r="H69" s="689"/>
      <c r="I69" s="689"/>
      <c r="J69" s="693"/>
      <c r="K69" s="693"/>
      <c r="L69" s="689"/>
      <c r="M69" s="689"/>
      <c r="N69" s="689"/>
      <c r="O69" s="689"/>
    </row>
    <row r="70" spans="1:15" s="138" customFormat="1">
      <c r="A70" s="689"/>
      <c r="B70" s="689"/>
      <c r="C70" s="693"/>
      <c r="D70" s="693"/>
      <c r="E70" s="693"/>
      <c r="F70" s="693"/>
      <c r="G70" s="693"/>
      <c r="H70" s="689"/>
      <c r="I70" s="689"/>
      <c r="J70" s="693"/>
      <c r="K70" s="693"/>
      <c r="L70" s="689"/>
      <c r="M70" s="689"/>
      <c r="N70" s="689"/>
      <c r="O70" s="689"/>
    </row>
    <row r="71" spans="1:15" s="138" customFormat="1">
      <c r="A71" s="689"/>
      <c r="B71" s="689"/>
      <c r="C71" s="693"/>
      <c r="D71" s="693"/>
      <c r="E71" s="693"/>
      <c r="F71" s="693"/>
      <c r="G71" s="693"/>
      <c r="H71" s="689"/>
      <c r="I71" s="689"/>
      <c r="J71" s="693"/>
      <c r="K71" s="693"/>
      <c r="L71" s="689"/>
      <c r="M71" s="689"/>
      <c r="N71" s="689"/>
      <c r="O71" s="689"/>
    </row>
    <row r="72" spans="1:15" s="138" customFormat="1">
      <c r="A72" s="689"/>
      <c r="B72" s="689"/>
      <c r="C72" s="693"/>
      <c r="D72" s="693"/>
      <c r="E72" s="693"/>
      <c r="F72" s="693"/>
      <c r="G72" s="693"/>
      <c r="H72" s="689"/>
      <c r="I72" s="689"/>
      <c r="J72" s="693"/>
      <c r="K72" s="693"/>
      <c r="L72" s="689"/>
      <c r="M72" s="689"/>
      <c r="N72" s="689"/>
      <c r="O72" s="689"/>
    </row>
    <row r="73" spans="1:15" s="138" customFormat="1">
      <c r="A73" s="689"/>
      <c r="B73" s="689"/>
      <c r="C73" s="693"/>
      <c r="D73" s="693"/>
      <c r="E73" s="693"/>
      <c r="F73" s="693"/>
      <c r="G73" s="693"/>
      <c r="H73" s="689"/>
      <c r="I73" s="689"/>
      <c r="J73" s="693"/>
      <c r="K73" s="693"/>
      <c r="L73" s="689"/>
      <c r="M73" s="689"/>
      <c r="N73" s="689"/>
      <c r="O73" s="689"/>
    </row>
    <row r="74" spans="1:15" s="138" customFormat="1">
      <c r="A74" s="689"/>
      <c r="B74" s="689"/>
      <c r="C74" s="693"/>
      <c r="D74" s="693"/>
      <c r="E74" s="693"/>
      <c r="F74" s="693"/>
      <c r="G74" s="693"/>
      <c r="H74" s="689"/>
      <c r="I74" s="689"/>
      <c r="J74" s="693"/>
      <c r="K74" s="693"/>
      <c r="L74" s="689"/>
      <c r="M74" s="689"/>
      <c r="N74" s="689"/>
      <c r="O74" s="689"/>
    </row>
    <row r="75" spans="1:15" s="138" customFormat="1">
      <c r="A75" s="689"/>
      <c r="B75" s="689"/>
      <c r="C75" s="693"/>
      <c r="D75" s="693"/>
      <c r="E75" s="693"/>
      <c r="F75" s="693"/>
      <c r="G75" s="693"/>
      <c r="H75" s="689"/>
      <c r="I75" s="689"/>
      <c r="J75" s="693"/>
      <c r="K75" s="693"/>
      <c r="L75" s="689"/>
      <c r="M75" s="689"/>
      <c r="N75" s="689"/>
      <c r="O75" s="689"/>
    </row>
    <row r="76" spans="1:15" s="138" customFormat="1">
      <c r="A76" s="689"/>
      <c r="B76" s="689"/>
      <c r="C76" s="693"/>
      <c r="D76" s="693"/>
      <c r="E76" s="693"/>
      <c r="F76" s="693"/>
      <c r="G76" s="693"/>
      <c r="H76" s="689"/>
      <c r="I76" s="689"/>
      <c r="J76" s="693"/>
      <c r="K76" s="693"/>
      <c r="L76" s="689"/>
      <c r="M76" s="689"/>
      <c r="N76" s="689"/>
      <c r="O76" s="689"/>
    </row>
    <row r="77" spans="1:15" s="138" customFormat="1">
      <c r="A77" s="689"/>
      <c r="B77" s="689"/>
      <c r="C77" s="693"/>
      <c r="D77" s="693"/>
      <c r="E77" s="693"/>
      <c r="F77" s="693"/>
      <c r="G77" s="693"/>
      <c r="H77" s="689"/>
      <c r="I77" s="689"/>
      <c r="J77" s="693"/>
      <c r="K77" s="693"/>
      <c r="L77" s="689"/>
      <c r="M77" s="689"/>
      <c r="N77" s="689"/>
      <c r="O77" s="689"/>
    </row>
    <row r="78" spans="1:15" s="138" customFormat="1">
      <c r="A78" s="689"/>
      <c r="B78" s="689"/>
      <c r="C78" s="693"/>
      <c r="D78" s="693"/>
      <c r="E78" s="693"/>
      <c r="F78" s="693"/>
      <c r="G78" s="693"/>
      <c r="H78" s="689"/>
      <c r="I78" s="689"/>
      <c r="J78" s="693"/>
      <c r="K78" s="693"/>
      <c r="L78" s="689"/>
      <c r="M78" s="689"/>
      <c r="N78" s="689"/>
      <c r="O78" s="689"/>
    </row>
    <row r="79" spans="1:15" s="138" customFormat="1">
      <c r="A79" s="689"/>
      <c r="B79" s="689"/>
      <c r="C79" s="693"/>
      <c r="D79" s="693"/>
      <c r="E79" s="693"/>
      <c r="F79" s="693"/>
      <c r="G79" s="693"/>
      <c r="H79" s="689"/>
      <c r="I79" s="689"/>
      <c r="J79" s="693"/>
      <c r="K79" s="693"/>
      <c r="L79" s="689"/>
      <c r="M79" s="689"/>
      <c r="N79" s="689"/>
      <c r="O79" s="689"/>
    </row>
    <row r="80" spans="1:15" s="138" customFormat="1">
      <c r="A80" s="689"/>
      <c r="B80" s="689"/>
      <c r="C80" s="693"/>
      <c r="D80" s="693"/>
      <c r="E80" s="693"/>
      <c r="F80" s="693"/>
      <c r="G80" s="693"/>
      <c r="H80" s="689"/>
      <c r="I80" s="689"/>
      <c r="J80" s="693"/>
      <c r="K80" s="693"/>
      <c r="L80" s="689"/>
      <c r="M80" s="689"/>
      <c r="N80" s="689"/>
      <c r="O80" s="689"/>
    </row>
    <row r="81" spans="1:15" s="138" customFormat="1">
      <c r="A81" s="689"/>
      <c r="B81" s="689"/>
      <c r="C81" s="693"/>
      <c r="D81" s="693"/>
      <c r="E81" s="693"/>
      <c r="F81" s="693"/>
      <c r="G81" s="693"/>
      <c r="H81" s="689"/>
      <c r="I81" s="689"/>
      <c r="J81" s="693"/>
      <c r="K81" s="693"/>
      <c r="L81" s="689"/>
      <c r="M81" s="689"/>
      <c r="N81" s="689"/>
      <c r="O81" s="689"/>
    </row>
    <row r="82" spans="1:15" s="138" customFormat="1">
      <c r="A82" s="689"/>
      <c r="B82" s="689"/>
      <c r="C82" s="693"/>
      <c r="D82" s="693"/>
      <c r="E82" s="693"/>
      <c r="F82" s="693"/>
      <c r="G82" s="693"/>
      <c r="H82" s="689"/>
      <c r="I82" s="689"/>
      <c r="J82" s="693"/>
      <c r="K82" s="693"/>
      <c r="L82" s="689"/>
      <c r="M82" s="689"/>
      <c r="N82" s="689"/>
      <c r="O82" s="689"/>
    </row>
    <row r="83" spans="1:15" s="138" customFormat="1">
      <c r="A83" s="689"/>
      <c r="B83" s="689"/>
      <c r="C83" s="693"/>
      <c r="D83" s="693"/>
      <c r="E83" s="693"/>
      <c r="F83" s="693"/>
      <c r="G83" s="693"/>
      <c r="H83" s="689"/>
      <c r="I83" s="689"/>
      <c r="J83" s="693"/>
      <c r="K83" s="693"/>
      <c r="L83" s="689"/>
      <c r="M83" s="689"/>
      <c r="N83" s="689"/>
      <c r="O83" s="689"/>
    </row>
    <row r="84" spans="1:15" s="138" customFormat="1">
      <c r="A84" s="689"/>
      <c r="B84" s="689"/>
      <c r="C84" s="693"/>
      <c r="D84" s="693"/>
      <c r="E84" s="693"/>
      <c r="F84" s="693"/>
      <c r="G84" s="693"/>
      <c r="H84" s="689"/>
      <c r="I84" s="689"/>
      <c r="J84" s="693"/>
      <c r="K84" s="693"/>
      <c r="L84" s="689"/>
      <c r="M84" s="689"/>
      <c r="N84" s="689"/>
      <c r="O84" s="689"/>
    </row>
    <row r="85" spans="1:15" s="138" customFormat="1">
      <c r="A85" s="689"/>
      <c r="B85" s="689"/>
      <c r="C85" s="693"/>
      <c r="D85" s="693"/>
      <c r="E85" s="693"/>
      <c r="F85" s="693"/>
      <c r="G85" s="693"/>
      <c r="H85" s="689"/>
      <c r="I85" s="689"/>
      <c r="J85" s="693"/>
      <c r="K85" s="693"/>
      <c r="L85" s="689"/>
      <c r="M85" s="689"/>
      <c r="N85" s="689"/>
      <c r="O85" s="689"/>
    </row>
    <row r="86" spans="1:15" s="138" customFormat="1">
      <c r="A86" s="689"/>
      <c r="B86" s="689"/>
      <c r="C86" s="693"/>
      <c r="D86" s="693"/>
      <c r="E86" s="693"/>
      <c r="F86" s="693"/>
      <c r="G86" s="693"/>
      <c r="H86" s="689"/>
      <c r="I86" s="689"/>
      <c r="J86" s="693"/>
      <c r="K86" s="693"/>
      <c r="L86" s="689"/>
      <c r="M86" s="689"/>
      <c r="N86" s="689"/>
      <c r="O86" s="689"/>
    </row>
    <row r="87" spans="1:15" s="138" customFormat="1">
      <c r="A87" s="689"/>
      <c r="B87" s="689"/>
      <c r="C87" s="693"/>
      <c r="D87" s="693"/>
      <c r="E87" s="693"/>
      <c r="F87" s="693"/>
      <c r="G87" s="693"/>
      <c r="H87" s="689"/>
      <c r="I87" s="689"/>
      <c r="J87" s="693"/>
      <c r="K87" s="693"/>
      <c r="L87" s="689"/>
      <c r="M87" s="689"/>
      <c r="N87" s="689"/>
      <c r="O87" s="689"/>
    </row>
    <row r="88" spans="1:15" s="138" customFormat="1">
      <c r="A88" s="689"/>
      <c r="B88" s="689"/>
      <c r="C88" s="693"/>
      <c r="D88" s="693"/>
      <c r="E88" s="693"/>
      <c r="F88" s="693"/>
      <c r="G88" s="693"/>
      <c r="H88" s="689"/>
      <c r="I88" s="689"/>
      <c r="J88" s="693"/>
      <c r="K88" s="693"/>
      <c r="L88" s="689"/>
      <c r="M88" s="689"/>
      <c r="N88" s="689"/>
      <c r="O88" s="689"/>
    </row>
    <row r="89" spans="1:15" s="138" customFormat="1">
      <c r="A89" s="689"/>
      <c r="B89" s="689"/>
      <c r="C89" s="693"/>
      <c r="D89" s="693"/>
      <c r="E89" s="693"/>
      <c r="F89" s="693"/>
      <c r="G89" s="693"/>
      <c r="H89" s="689"/>
      <c r="I89" s="689"/>
      <c r="J89" s="693"/>
      <c r="K89" s="693"/>
      <c r="L89" s="689"/>
      <c r="M89" s="689"/>
      <c r="N89" s="689"/>
      <c r="O89" s="689"/>
    </row>
    <row r="90" spans="1:15" s="138" customFormat="1">
      <c r="A90" s="689"/>
      <c r="B90" s="689"/>
      <c r="C90" s="693"/>
      <c r="D90" s="693"/>
      <c r="E90" s="693"/>
      <c r="F90" s="693"/>
      <c r="G90" s="693"/>
      <c r="H90" s="689"/>
      <c r="I90" s="689"/>
      <c r="J90" s="693"/>
      <c r="K90" s="693"/>
      <c r="L90" s="689"/>
      <c r="M90" s="689"/>
      <c r="N90" s="689"/>
      <c r="O90" s="689"/>
    </row>
    <row r="91" spans="1:15" s="138" customFormat="1">
      <c r="A91" s="689"/>
      <c r="B91" s="689"/>
      <c r="C91" s="693"/>
      <c r="D91" s="693"/>
      <c r="E91" s="693"/>
      <c r="F91" s="693"/>
      <c r="G91" s="693"/>
      <c r="H91" s="689"/>
      <c r="I91" s="689"/>
      <c r="J91" s="693"/>
      <c r="K91" s="693"/>
      <c r="L91" s="689"/>
      <c r="M91" s="689"/>
      <c r="N91" s="689"/>
      <c r="O91" s="689"/>
    </row>
    <row r="92" spans="1:15" s="138" customFormat="1">
      <c r="A92" s="689"/>
      <c r="B92" s="689"/>
      <c r="C92" s="693"/>
      <c r="D92" s="693"/>
      <c r="E92" s="693"/>
      <c r="F92" s="693"/>
      <c r="G92" s="693"/>
      <c r="H92" s="689"/>
      <c r="I92" s="689"/>
      <c r="J92" s="693"/>
      <c r="K92" s="693"/>
      <c r="L92" s="689"/>
      <c r="M92" s="689"/>
      <c r="N92" s="689"/>
      <c r="O92" s="689"/>
    </row>
    <row r="93" spans="1:15" s="138" customFormat="1">
      <c r="A93" s="689"/>
      <c r="B93" s="689"/>
      <c r="C93" s="693"/>
      <c r="D93" s="693"/>
      <c r="E93" s="693"/>
      <c r="F93" s="693"/>
      <c r="G93" s="693"/>
      <c r="H93" s="689"/>
      <c r="I93" s="689"/>
      <c r="J93" s="693"/>
      <c r="K93" s="693"/>
      <c r="L93" s="689"/>
      <c r="M93" s="689"/>
      <c r="N93" s="689"/>
      <c r="O93" s="689"/>
    </row>
    <row r="94" spans="1:15" s="138" customFormat="1">
      <c r="A94" s="689"/>
      <c r="B94" s="689"/>
      <c r="C94" s="693"/>
      <c r="D94" s="693"/>
      <c r="E94" s="693"/>
      <c r="F94" s="693"/>
      <c r="G94" s="693"/>
      <c r="H94" s="689"/>
      <c r="I94" s="689"/>
      <c r="J94" s="693"/>
      <c r="K94" s="693"/>
      <c r="L94" s="689"/>
      <c r="M94" s="689"/>
      <c r="N94" s="689"/>
      <c r="O94" s="689"/>
    </row>
    <row r="95" spans="1:15" s="138" customFormat="1">
      <c r="A95" s="689"/>
      <c r="B95" s="689"/>
      <c r="C95" s="693"/>
      <c r="D95" s="693"/>
      <c r="E95" s="693"/>
      <c r="F95" s="693"/>
      <c r="G95" s="693"/>
      <c r="H95" s="689"/>
      <c r="I95" s="689"/>
      <c r="J95" s="693"/>
      <c r="K95" s="693"/>
      <c r="L95" s="689"/>
      <c r="M95" s="689"/>
      <c r="N95" s="689"/>
      <c r="O95" s="689"/>
    </row>
  </sheetData>
  <printOptions horizontalCentered="1"/>
  <pageMargins left="0.75" right="0.5" top="0.5" bottom="0.5" header="0" footer="0.25"/>
  <pageSetup scale="59" firstPageNumber="41" orientation="landscape" useFirstPageNumber="1" r:id="rId1"/>
  <headerFooter scaleWithDoc="0" alignWithMargins="0">
    <oddFooter>&amp;C&amp;8&amp;P</oddFooter>
  </headerFooter>
  <customProperties>
    <customPr name="SheetOptions" r:id="rId2"/>
  </customProperties>
  <ignoredErrors>
    <ignoredError sqref="K19" 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0">
    <pageSetUpPr fitToPage="1"/>
  </sheetPr>
  <dimension ref="A1:N136"/>
  <sheetViews>
    <sheetView showGridLines="0" zoomScale="80" workbookViewId="0"/>
  </sheetViews>
  <sheetFormatPr defaultColWidth="8.84375" defaultRowHeight="12.5"/>
  <cols>
    <col min="1" max="1" width="56.07421875" style="141" customWidth="1"/>
    <col min="2" max="2" width="6.84375" style="141" customWidth="1"/>
    <col min="3" max="3" width="9.84375" style="141" customWidth="1"/>
    <col min="4" max="4" width="20.84375" style="141" customWidth="1"/>
    <col min="5" max="5" width="1.84375" style="141" customWidth="1"/>
    <col min="6" max="6" width="20.84375" style="141" customWidth="1"/>
    <col min="7" max="7" width="1.84375" style="141" customWidth="1"/>
    <col min="8" max="8" width="20.84375" style="141" customWidth="1"/>
    <col min="9" max="9" width="1.84375" style="141" customWidth="1"/>
    <col min="10" max="10" width="20.84375" style="141" customWidth="1"/>
    <col min="11" max="11" width="1.84375" style="141" customWidth="1"/>
    <col min="12" max="12" width="20.84375" style="141" customWidth="1"/>
    <col min="13" max="13" width="2.4609375" style="141" customWidth="1"/>
    <col min="14" max="14" width="9.07421875" style="141" bestFit="1" customWidth="1"/>
    <col min="15" max="16384" width="8.84375" style="141"/>
  </cols>
  <sheetData>
    <row r="1" spans="1:14" ht="15.5">
      <c r="A1" s="265" t="s">
        <v>97</v>
      </c>
    </row>
    <row r="2" spans="1:14" ht="18" customHeight="1"/>
    <row r="3" spans="1:14" ht="18">
      <c r="A3" s="142" t="s">
        <v>98</v>
      </c>
      <c r="B3" s="143"/>
      <c r="C3" s="143"/>
      <c r="D3" s="144"/>
      <c r="E3" s="144"/>
      <c r="F3" s="143"/>
      <c r="G3" s="143" t="s">
        <v>103</v>
      </c>
      <c r="H3" s="143"/>
      <c r="I3" s="143"/>
      <c r="J3" s="143"/>
      <c r="K3" s="143"/>
      <c r="L3" s="145" t="s">
        <v>764</v>
      </c>
      <c r="M3" s="144"/>
    </row>
    <row r="4" spans="1:14" ht="18">
      <c r="A4" s="142" t="s">
        <v>765</v>
      </c>
      <c r="B4" s="143"/>
      <c r="C4" s="143"/>
      <c r="D4" s="144"/>
      <c r="E4" s="144"/>
      <c r="F4" s="143"/>
      <c r="G4" s="143"/>
      <c r="H4" s="143"/>
      <c r="I4" s="143"/>
      <c r="J4" s="143"/>
      <c r="K4" s="143"/>
      <c r="L4" s="147"/>
      <c r="M4" s="144"/>
    </row>
    <row r="5" spans="1:14" ht="18">
      <c r="A5" s="148" t="s">
        <v>766</v>
      </c>
      <c r="B5" s="143"/>
      <c r="C5" s="143"/>
      <c r="D5" s="144"/>
      <c r="E5" s="144"/>
      <c r="F5" s="143"/>
      <c r="G5" s="143"/>
      <c r="H5" s="143"/>
      <c r="I5" s="143"/>
      <c r="J5" s="143"/>
      <c r="K5" s="143"/>
      <c r="L5" s="143"/>
      <c r="M5" s="144"/>
    </row>
    <row r="6" spans="1:14" ht="18">
      <c r="A6" s="148" t="s">
        <v>740</v>
      </c>
      <c r="B6" s="143"/>
      <c r="C6" s="143"/>
      <c r="D6" s="144"/>
      <c r="E6" s="144"/>
      <c r="F6" s="143"/>
      <c r="G6" s="143"/>
      <c r="H6" s="143"/>
      <c r="I6" s="143"/>
      <c r="J6" s="143"/>
      <c r="K6" s="143"/>
      <c r="L6" s="143"/>
      <c r="M6" s="144"/>
    </row>
    <row r="7" spans="1:14" ht="18">
      <c r="A7" s="148" t="str">
        <f>'Sch 2 '!A7</f>
        <v>FISCAL YEAR 2026-2027</v>
      </c>
      <c r="B7" s="143"/>
      <c r="C7" s="143"/>
      <c r="D7" s="144"/>
      <c r="E7" s="144"/>
      <c r="F7" s="143"/>
      <c r="G7" s="143"/>
      <c r="H7" s="143"/>
      <c r="I7" s="143"/>
      <c r="J7" s="143"/>
      <c r="K7" s="143"/>
      <c r="L7" s="143"/>
      <c r="M7" s="144"/>
    </row>
    <row r="8" spans="1:14" ht="18">
      <c r="A8" s="148" t="str">
        <f>'Sch 2 '!A8</f>
        <v>FOR THE MONTH OF JULY 2026</v>
      </c>
      <c r="B8" s="143"/>
      <c r="C8" s="143"/>
      <c r="D8" s="144"/>
      <c r="E8" s="144"/>
      <c r="F8" s="143"/>
      <c r="G8" s="143"/>
      <c r="H8" s="143"/>
      <c r="I8" s="143"/>
      <c r="J8" s="143"/>
      <c r="K8" s="143"/>
      <c r="L8" s="143"/>
      <c r="M8" s="144"/>
    </row>
    <row r="9" spans="1:14" ht="18">
      <c r="A9" s="341" t="s">
        <v>102</v>
      </c>
      <c r="B9" s="143"/>
      <c r="C9" s="143"/>
      <c r="D9" s="144"/>
      <c r="E9" s="144"/>
      <c r="F9" s="143"/>
      <c r="G9" s="143"/>
      <c r="H9" s="143"/>
      <c r="I9" s="143"/>
      <c r="J9" s="143"/>
      <c r="K9" s="143"/>
      <c r="L9" s="143"/>
      <c r="M9" s="144"/>
    </row>
    <row r="10" spans="1:14" ht="18">
      <c r="A10" s="142"/>
      <c r="B10" s="142"/>
      <c r="C10" s="142"/>
      <c r="D10" s="158"/>
      <c r="E10" s="142"/>
      <c r="F10" s="142"/>
      <c r="G10" s="142"/>
      <c r="H10" s="142"/>
      <c r="I10" s="142"/>
      <c r="J10" s="158" t="s">
        <v>741</v>
      </c>
      <c r="K10" s="142"/>
      <c r="L10" s="158"/>
      <c r="M10" s="144"/>
    </row>
    <row r="11" spans="1:14" ht="18">
      <c r="A11" s="142"/>
      <c r="B11" s="142"/>
      <c r="C11" s="142"/>
      <c r="D11" s="158" t="s">
        <v>607</v>
      </c>
      <c r="E11" s="142"/>
      <c r="F11" s="142"/>
      <c r="G11" s="142"/>
      <c r="H11" s="142"/>
      <c r="I11" s="142"/>
      <c r="J11" s="158" t="s">
        <v>742</v>
      </c>
      <c r="K11" s="142"/>
      <c r="L11" s="158" t="s">
        <v>607</v>
      </c>
      <c r="M11" s="144"/>
    </row>
    <row r="12" spans="1:14" ht="18">
      <c r="A12" s="157" t="s">
        <v>743</v>
      </c>
      <c r="B12" s="142"/>
      <c r="C12" s="142"/>
      <c r="D12" s="371" t="str">
        <f>'Sch 1 '!C11</f>
        <v>JULY 1, 2026</v>
      </c>
      <c r="E12" s="142"/>
      <c r="F12" s="158" t="s">
        <v>609</v>
      </c>
      <c r="G12" s="142"/>
      <c r="H12" s="158" t="s">
        <v>610</v>
      </c>
      <c r="I12" s="142"/>
      <c r="J12" s="158" t="s">
        <v>611</v>
      </c>
      <c r="K12" s="142"/>
      <c r="L12" s="371" t="str">
        <f>'Sch 1 '!K11</f>
        <v>JULY 31, 2026</v>
      </c>
      <c r="M12" s="144"/>
    </row>
    <row r="13" spans="1:14" ht="9.75" customHeight="1">
      <c r="A13" s="142" t="s">
        <v>103</v>
      </c>
      <c r="B13" s="142"/>
      <c r="C13" s="142"/>
      <c r="D13" s="1077" t="s">
        <v>103</v>
      </c>
      <c r="E13" s="142"/>
      <c r="F13" s="1077" t="s">
        <v>103</v>
      </c>
      <c r="G13" s="142"/>
      <c r="H13" s="1077" t="s">
        <v>103</v>
      </c>
      <c r="I13" s="142"/>
      <c r="J13" s="1077" t="s">
        <v>103</v>
      </c>
      <c r="K13" s="142" t="s">
        <v>103</v>
      </c>
      <c r="L13" s="1077" t="s">
        <v>103</v>
      </c>
      <c r="M13" s="144"/>
    </row>
    <row r="14" spans="1:14" ht="18" customHeight="1">
      <c r="A14" s="149" t="s">
        <v>219</v>
      </c>
      <c r="B14" s="146"/>
      <c r="C14" s="146"/>
      <c r="D14" s="292"/>
      <c r="E14" s="292"/>
      <c r="F14" s="160"/>
      <c r="G14" s="138"/>
      <c r="H14" s="160"/>
      <c r="I14" s="292"/>
      <c r="J14" s="292"/>
      <c r="K14" s="292"/>
      <c r="L14" s="292"/>
      <c r="M14" s="150"/>
    </row>
    <row r="15" spans="1:14" ht="7.5" customHeight="1">
      <c r="A15" s="142"/>
      <c r="B15" s="146"/>
      <c r="C15" s="146"/>
      <c r="D15" s="292"/>
      <c r="E15" s="292"/>
      <c r="F15" s="292"/>
      <c r="G15" s="292"/>
      <c r="H15" s="292"/>
      <c r="I15" s="292"/>
      <c r="J15" s="292"/>
      <c r="K15" s="292"/>
      <c r="L15" s="292"/>
      <c r="M15" s="150"/>
    </row>
    <row r="16" spans="1:14" ht="15.75" customHeight="1">
      <c r="A16" s="146" t="s">
        <v>767</v>
      </c>
      <c r="B16" s="146"/>
      <c r="C16" s="146"/>
      <c r="D16" s="1685">
        <v>-2.4980000000000002</v>
      </c>
      <c r="E16" s="1640"/>
      <c r="F16" s="1685">
        <v>19.048999999999999</v>
      </c>
      <c r="G16" s="1640"/>
      <c r="H16" s="1685">
        <v>17.204000000000001</v>
      </c>
      <c r="I16" s="1640"/>
      <c r="J16" s="1685">
        <v>0</v>
      </c>
      <c r="K16" s="588"/>
      <c r="L16" s="589">
        <f>ROUND(SUM(D16)+SUM(F16)-SUM(H16)+SUM(J16),3)</f>
        <v>-0.65300000000000002</v>
      </c>
      <c r="M16" s="150"/>
      <c r="N16" s="1694"/>
    </row>
    <row r="17" spans="1:14" ht="15.75" customHeight="1">
      <c r="A17" s="146" t="s">
        <v>768</v>
      </c>
      <c r="B17" s="146"/>
      <c r="C17" s="146"/>
      <c r="D17" s="1924">
        <v>2243.165</v>
      </c>
      <c r="E17" s="588"/>
      <c r="F17" s="1686">
        <v>7.1849999999999996</v>
      </c>
      <c r="G17" s="588"/>
      <c r="H17" s="1686">
        <v>0</v>
      </c>
      <c r="I17" s="588"/>
      <c r="J17" s="1686">
        <v>0</v>
      </c>
      <c r="K17" s="588"/>
      <c r="L17" s="1687">
        <f>ROUND(SUM(D17)+SUM(F17)-SUM(H17)+SUM(J17),3)</f>
        <v>2250.35</v>
      </c>
      <c r="M17" s="150"/>
      <c r="N17" s="1694"/>
    </row>
    <row r="18" spans="1:14" ht="20.149999999999999" customHeight="1">
      <c r="A18" s="142" t="s">
        <v>769</v>
      </c>
      <c r="B18" s="146"/>
      <c r="C18" s="146"/>
      <c r="D18" s="293">
        <f>ROUND(SUM(D16:D17),3)</f>
        <v>2240.6669999999999</v>
      </c>
      <c r="E18" s="294"/>
      <c r="F18" s="293">
        <f>ROUND(SUM(F16:F17),3)</f>
        <v>26.234000000000002</v>
      </c>
      <c r="G18" s="294"/>
      <c r="H18" s="293">
        <f>ROUND(SUM(H16:H17),3)</f>
        <v>17.204000000000001</v>
      </c>
      <c r="I18" s="294"/>
      <c r="J18" s="1688">
        <f>ROUND(SUM(J16:J17),3)</f>
        <v>0</v>
      </c>
      <c r="K18" s="294"/>
      <c r="L18" s="293">
        <f>ROUND(SUM(L16:L17),3)</f>
        <v>2249.6970000000001</v>
      </c>
      <c r="M18" s="151"/>
      <c r="N18" s="1694"/>
    </row>
    <row r="19" spans="1:14" ht="12" customHeight="1">
      <c r="A19" s="142"/>
      <c r="B19" s="146"/>
      <c r="C19" s="146"/>
      <c r="D19" s="1075"/>
      <c r="E19" s="140"/>
      <c r="F19" s="1075"/>
      <c r="G19" s="140"/>
      <c r="H19" s="1075"/>
      <c r="I19" s="140"/>
      <c r="J19" s="140"/>
      <c r="K19" s="140"/>
      <c r="L19" s="1075"/>
      <c r="M19" s="150"/>
      <c r="N19" s="1694"/>
    </row>
    <row r="20" spans="1:14" ht="18" customHeight="1">
      <c r="A20" s="149" t="s">
        <v>601</v>
      </c>
      <c r="B20" s="142"/>
      <c r="C20" s="142"/>
      <c r="D20" s="294"/>
      <c r="E20" s="294"/>
      <c r="F20" s="294"/>
      <c r="G20" s="294"/>
      <c r="H20" s="294"/>
      <c r="I20" s="294"/>
      <c r="J20" s="294"/>
      <c r="K20" s="294"/>
      <c r="L20" s="294"/>
      <c r="M20" s="144"/>
      <c r="N20" s="1694"/>
    </row>
    <row r="21" spans="1:14" ht="7.5" customHeight="1">
      <c r="A21" s="142"/>
      <c r="B21" s="142"/>
      <c r="C21" s="142"/>
      <c r="D21" s="294"/>
      <c r="E21" s="294"/>
      <c r="F21" s="294"/>
      <c r="G21" s="294"/>
      <c r="H21" s="294"/>
      <c r="I21" s="294"/>
      <c r="J21" s="294"/>
      <c r="K21" s="294"/>
      <c r="L21" s="140"/>
      <c r="M21" s="144"/>
      <c r="N21" s="1694"/>
    </row>
    <row r="22" spans="1:14" ht="17.899999999999999" customHeight="1">
      <c r="A22" s="295" t="s">
        <v>770</v>
      </c>
      <c r="B22" s="142"/>
      <c r="C22" s="142"/>
      <c r="D22" s="590">
        <v>27.419</v>
      </c>
      <c r="E22" s="588"/>
      <c r="F22" s="590">
        <v>8.7999999999999995E-2</v>
      </c>
      <c r="G22" s="588"/>
      <c r="H22" s="590">
        <v>7.4999999999999997E-2</v>
      </c>
      <c r="I22" s="588"/>
      <c r="J22" s="590">
        <v>0</v>
      </c>
      <c r="K22" s="588"/>
      <c r="L22" s="591">
        <f>ROUND(SUM(D22)+SUM(F22)-SUM(H22)+SUM(J22),3)</f>
        <v>27.431999999999999</v>
      </c>
      <c r="M22" s="144"/>
      <c r="N22" s="1694"/>
    </row>
    <row r="23" spans="1:14" ht="16.5" customHeight="1">
      <c r="A23" s="295" t="s">
        <v>771</v>
      </c>
      <c r="B23" s="142"/>
      <c r="C23" s="159"/>
      <c r="D23" s="590">
        <v>4.1779999999999999</v>
      </c>
      <c r="E23" s="588"/>
      <c r="F23" s="590">
        <v>1.3999999999999999E-2</v>
      </c>
      <c r="G23" s="588"/>
      <c r="H23" s="590">
        <v>8.9999999999999993E-3</v>
      </c>
      <c r="I23" s="588"/>
      <c r="J23" s="590">
        <v>0</v>
      </c>
      <c r="K23" s="588"/>
      <c r="L23" s="591">
        <f>ROUND(SUM(D23)+SUM(F23)-SUM(H23)+SUM(J23),3)</f>
        <v>4.1829999999999998</v>
      </c>
      <c r="M23" s="144"/>
      <c r="N23" s="1694"/>
    </row>
    <row r="24" spans="1:14" ht="15.75" customHeight="1">
      <c r="A24" s="295" t="s">
        <v>772</v>
      </c>
      <c r="B24" s="142"/>
      <c r="C24" s="142"/>
      <c r="D24" s="1686">
        <v>15.297000000000001</v>
      </c>
      <c r="E24" s="588"/>
      <c r="F24" s="1686">
        <v>0.156</v>
      </c>
      <c r="G24" s="588"/>
      <c r="H24" s="1686">
        <v>1.9E-2</v>
      </c>
      <c r="I24" s="588"/>
      <c r="J24" s="1686">
        <v>0</v>
      </c>
      <c r="K24" s="588"/>
      <c r="L24" s="1687">
        <f>ROUND(SUM(D24)+SUM(F24)-SUM(H24)+SUM(J24),3)</f>
        <v>15.433999999999999</v>
      </c>
      <c r="M24" s="144"/>
      <c r="N24" s="1694"/>
    </row>
    <row r="25" spans="1:14" ht="20.149999999999999" customHeight="1">
      <c r="A25" s="148" t="s">
        <v>773</v>
      </c>
      <c r="B25" s="142"/>
      <c r="C25" s="159"/>
      <c r="D25" s="1689">
        <f>ROUND(SUM(D22:D24),3)</f>
        <v>46.893999999999998</v>
      </c>
      <c r="E25" s="294"/>
      <c r="F25" s="1689">
        <f>ROUND(SUM(F22:F24),3)</f>
        <v>0.25800000000000001</v>
      </c>
      <c r="G25" s="294"/>
      <c r="H25" s="1689">
        <f>ROUND(SUM(H22:H24),3)</f>
        <v>0.10299999999999999</v>
      </c>
      <c r="I25" s="294"/>
      <c r="J25" s="1689">
        <f>ROUND(SUM(J22:J24),3)</f>
        <v>0</v>
      </c>
      <c r="K25" s="294"/>
      <c r="L25" s="1689">
        <f>ROUND(SUM(L22:L24),3)</f>
        <v>47.048999999999999</v>
      </c>
      <c r="M25" s="152"/>
      <c r="N25" s="1694"/>
    </row>
    <row r="26" spans="1:14" ht="12" customHeight="1">
      <c r="A26" s="142"/>
      <c r="B26" s="142"/>
      <c r="C26" s="142"/>
      <c r="D26" s="294"/>
      <c r="E26" s="294"/>
      <c r="F26" s="294"/>
      <c r="G26" s="294"/>
      <c r="H26" s="294"/>
      <c r="I26" s="294"/>
      <c r="J26" s="294"/>
      <c r="K26" s="294"/>
      <c r="L26" s="294"/>
      <c r="M26" s="144"/>
      <c r="N26" s="1694"/>
    </row>
    <row r="27" spans="1:14" ht="18">
      <c r="A27" s="149" t="s">
        <v>1454</v>
      </c>
      <c r="B27" s="142"/>
      <c r="C27" s="142"/>
      <c r="D27" s="294"/>
      <c r="E27" s="294"/>
      <c r="F27" s="294"/>
      <c r="G27" s="294"/>
      <c r="H27" s="294"/>
      <c r="I27" s="294"/>
      <c r="J27" s="294"/>
      <c r="K27" s="294"/>
      <c r="L27" s="294"/>
      <c r="M27" s="144"/>
      <c r="N27" s="1694"/>
    </row>
    <row r="28" spans="1:14" ht="7.5" customHeight="1">
      <c r="A28" s="146" t="s">
        <v>103</v>
      </c>
      <c r="B28" s="146"/>
      <c r="C28" s="146"/>
      <c r="D28" s="140"/>
      <c r="E28" s="140"/>
      <c r="F28" s="140"/>
      <c r="G28" s="140"/>
      <c r="H28" s="140"/>
      <c r="I28" s="140"/>
      <c r="J28" s="140"/>
      <c r="K28" s="140"/>
      <c r="L28" s="140"/>
      <c r="M28" s="144"/>
      <c r="N28" s="1694"/>
    </row>
    <row r="29" spans="1:14" ht="16.5" customHeight="1">
      <c r="A29" s="146" t="s">
        <v>774</v>
      </c>
      <c r="B29" s="146"/>
      <c r="C29" s="146" t="s">
        <v>103</v>
      </c>
      <c r="D29" s="590">
        <v>5.3970000000000002</v>
      </c>
      <c r="E29" s="588"/>
      <c r="F29" s="590">
        <v>0.23400000000000001</v>
      </c>
      <c r="G29" s="588"/>
      <c r="H29" s="590">
        <v>0</v>
      </c>
      <c r="I29" s="588"/>
      <c r="J29" s="590">
        <v>0</v>
      </c>
      <c r="K29" s="588"/>
      <c r="L29" s="591">
        <f t="shared" ref="L29:L44" si="0">ROUND(SUM(D29)+SUM(F29)-SUM(H29)+SUM(J29),3)</f>
        <v>5.6310000000000002</v>
      </c>
      <c r="M29" s="150"/>
      <c r="N29" s="1694"/>
    </row>
    <row r="30" spans="1:14" ht="15.75" customHeight="1">
      <c r="A30" s="295" t="s">
        <v>775</v>
      </c>
      <c r="B30" s="146"/>
      <c r="C30" s="146"/>
      <c r="D30" s="590">
        <v>0.76400000000000001</v>
      </c>
      <c r="E30" s="588"/>
      <c r="F30" s="590">
        <v>3.0000000000000001E-3</v>
      </c>
      <c r="G30" s="588"/>
      <c r="H30" s="590">
        <v>3.0000000000000001E-3</v>
      </c>
      <c r="I30" s="588"/>
      <c r="J30" s="590">
        <v>0</v>
      </c>
      <c r="K30" s="588"/>
      <c r="L30" s="591">
        <f t="shared" si="0"/>
        <v>0.76400000000000001</v>
      </c>
      <c r="M30" s="150"/>
      <c r="N30" s="1694"/>
    </row>
    <row r="31" spans="1:14" ht="16.5" customHeight="1">
      <c r="A31" s="146" t="s">
        <v>776</v>
      </c>
      <c r="B31" s="146"/>
      <c r="C31" s="146"/>
      <c r="D31" s="590">
        <v>1343.999</v>
      </c>
      <c r="E31" s="588"/>
      <c r="F31" s="590">
        <v>1890.876</v>
      </c>
      <c r="G31" s="588"/>
      <c r="H31" s="590">
        <v>1600.232</v>
      </c>
      <c r="I31" s="588"/>
      <c r="J31" s="590">
        <v>0</v>
      </c>
      <c r="K31" s="588"/>
      <c r="L31" s="591">
        <f t="shared" si="0"/>
        <v>1634.643</v>
      </c>
      <c r="M31" s="150"/>
      <c r="N31" s="1694"/>
    </row>
    <row r="32" spans="1:14" ht="16.5" customHeight="1">
      <c r="A32" s="146" t="s">
        <v>777</v>
      </c>
      <c r="B32" s="146"/>
      <c r="C32" s="146" t="s">
        <v>103</v>
      </c>
      <c r="D32" s="590">
        <v>15.42</v>
      </c>
      <c r="E32" s="588"/>
      <c r="F32" s="590">
        <v>168.541</v>
      </c>
      <c r="G32" s="588"/>
      <c r="H32" s="590">
        <v>168.85399999999998</v>
      </c>
      <c r="I32" s="588"/>
      <c r="J32" s="590">
        <v>0</v>
      </c>
      <c r="K32" s="588"/>
      <c r="L32" s="591">
        <f>ROUND(SUM(D32)+SUM(F32)-SUM(H32)+SUM(J32),3)</f>
        <v>15.106999999999999</v>
      </c>
      <c r="M32" s="150"/>
      <c r="N32" s="1694"/>
    </row>
    <row r="33" spans="1:14" ht="16.5" customHeight="1">
      <c r="A33" s="146" t="s">
        <v>778</v>
      </c>
      <c r="B33" s="146"/>
      <c r="C33" s="146"/>
      <c r="D33" s="590">
        <v>-28.777000000000001</v>
      </c>
      <c r="E33" s="588"/>
      <c r="F33" s="590">
        <v>612.73099999999999</v>
      </c>
      <c r="G33" s="588"/>
      <c r="H33" s="590">
        <v>556.30100000000004</v>
      </c>
      <c r="I33" s="588"/>
      <c r="J33" s="590">
        <v>0</v>
      </c>
      <c r="K33" s="588"/>
      <c r="L33" s="591">
        <f t="shared" si="0"/>
        <v>27.652999999999999</v>
      </c>
      <c r="M33" s="150"/>
      <c r="N33" s="1694"/>
    </row>
    <row r="34" spans="1:14" ht="16.5" customHeight="1">
      <c r="A34" s="146" t="s">
        <v>779</v>
      </c>
      <c r="B34" s="146"/>
      <c r="C34" s="146" t="s">
        <v>103</v>
      </c>
      <c r="D34" s="590">
        <v>32.704000000000001</v>
      </c>
      <c r="E34" s="588"/>
      <c r="F34" s="590">
        <v>8.0980000000000008</v>
      </c>
      <c r="G34" s="588"/>
      <c r="H34" s="590">
        <v>8.9390000000000001</v>
      </c>
      <c r="I34" s="588"/>
      <c r="J34" s="590">
        <v>0</v>
      </c>
      <c r="K34" s="588"/>
      <c r="L34" s="591">
        <f t="shared" si="0"/>
        <v>31.863</v>
      </c>
      <c r="M34" s="150"/>
      <c r="N34" s="1694"/>
    </row>
    <row r="35" spans="1:14" ht="15.75" customHeight="1">
      <c r="A35" s="146" t="s">
        <v>780</v>
      </c>
      <c r="B35" s="146"/>
      <c r="C35" s="146"/>
      <c r="D35" s="590">
        <v>1.218</v>
      </c>
      <c r="E35" s="588"/>
      <c r="F35" s="590">
        <v>1.03</v>
      </c>
      <c r="G35" s="588"/>
      <c r="H35" s="590">
        <v>1.111</v>
      </c>
      <c r="I35" s="588"/>
      <c r="J35" s="590">
        <v>0</v>
      </c>
      <c r="K35" s="588"/>
      <c r="L35" s="591">
        <f t="shared" si="0"/>
        <v>1.137</v>
      </c>
      <c r="M35" s="150"/>
      <c r="N35" s="1694"/>
    </row>
    <row r="36" spans="1:14" ht="15.75" customHeight="1">
      <c r="A36" s="146" t="s">
        <v>781</v>
      </c>
      <c r="B36" s="146"/>
      <c r="C36" s="146"/>
      <c r="D36" s="590">
        <v>636.86800000000005</v>
      </c>
      <c r="E36" s="588"/>
      <c r="F36" s="590">
        <v>123.645</v>
      </c>
      <c r="G36" s="588"/>
      <c r="H36" s="590">
        <v>93.001000000000005</v>
      </c>
      <c r="I36" s="588"/>
      <c r="J36" s="590">
        <v>0</v>
      </c>
      <c r="K36" s="588"/>
      <c r="L36" s="591">
        <f t="shared" si="0"/>
        <v>667.51199999999994</v>
      </c>
      <c r="M36" s="154"/>
      <c r="N36" s="1694"/>
    </row>
    <row r="37" spans="1:14" ht="16.5" customHeight="1">
      <c r="A37" s="146" t="s">
        <v>782</v>
      </c>
      <c r="B37" s="146"/>
      <c r="C37" s="146"/>
      <c r="D37" s="590">
        <v>2.1999999999999999E-2</v>
      </c>
      <c r="E37" s="588"/>
      <c r="F37" s="590">
        <v>0</v>
      </c>
      <c r="G37" s="588"/>
      <c r="H37" s="590">
        <v>0</v>
      </c>
      <c r="I37" s="588"/>
      <c r="J37" s="590">
        <v>0</v>
      </c>
      <c r="K37" s="588"/>
      <c r="L37" s="591">
        <f t="shared" si="0"/>
        <v>2.1999999999999999E-2</v>
      </c>
      <c r="M37" s="150"/>
      <c r="N37" s="1694"/>
    </row>
    <row r="38" spans="1:14" ht="16.5" customHeight="1">
      <c r="A38" s="146" t="s">
        <v>783</v>
      </c>
      <c r="B38" s="146"/>
      <c r="C38" s="146"/>
      <c r="D38" s="590">
        <v>889.96500000000003</v>
      </c>
      <c r="E38" s="588"/>
      <c r="F38" s="590">
        <v>1144.7829999999999</v>
      </c>
      <c r="G38" s="588"/>
      <c r="H38" s="590">
        <v>1125.6780000000001</v>
      </c>
      <c r="I38" s="588"/>
      <c r="J38" s="590">
        <v>0</v>
      </c>
      <c r="K38" s="588"/>
      <c r="L38" s="591">
        <f t="shared" si="0"/>
        <v>909.07</v>
      </c>
      <c r="M38" s="150"/>
      <c r="N38" s="1694"/>
    </row>
    <row r="39" spans="1:14" ht="16.5" customHeight="1">
      <c r="A39" s="146" t="s">
        <v>784</v>
      </c>
      <c r="B39" s="146"/>
      <c r="C39" s="146"/>
      <c r="D39" s="590">
        <v>34.162999999999997</v>
      </c>
      <c r="E39" s="588"/>
      <c r="F39" s="590">
        <v>0.91100000000000003</v>
      </c>
      <c r="G39" s="588"/>
      <c r="H39" s="590">
        <v>0.92</v>
      </c>
      <c r="I39" s="588"/>
      <c r="J39" s="590">
        <v>0</v>
      </c>
      <c r="K39" s="588"/>
      <c r="L39" s="591">
        <f t="shared" si="0"/>
        <v>34.154000000000003</v>
      </c>
      <c r="M39" s="150"/>
      <c r="N39" s="1694"/>
    </row>
    <row r="40" spans="1:14" ht="16.5" customHeight="1">
      <c r="A40" s="146" t="s">
        <v>785</v>
      </c>
      <c r="B40" s="146"/>
      <c r="C40" s="146"/>
      <c r="D40" s="590">
        <v>243.22800000000001</v>
      </c>
      <c r="E40" s="588"/>
      <c r="F40" s="590">
        <v>12516.795</v>
      </c>
      <c r="G40" s="588"/>
      <c r="H40" s="590">
        <v>12400.772000000001</v>
      </c>
      <c r="I40" s="588"/>
      <c r="J40" s="590">
        <v>0</v>
      </c>
      <c r="K40" s="588"/>
      <c r="L40" s="591">
        <f t="shared" si="0"/>
        <v>359.25099999999998</v>
      </c>
      <c r="M40" s="150"/>
      <c r="N40" s="1694"/>
    </row>
    <row r="41" spans="1:14" ht="15.75" customHeight="1">
      <c r="A41" s="146" t="s">
        <v>786</v>
      </c>
      <c r="B41" s="146"/>
      <c r="C41" s="146"/>
      <c r="D41" s="590">
        <v>0</v>
      </c>
      <c r="E41" s="588"/>
      <c r="F41" s="590">
        <v>0</v>
      </c>
      <c r="G41" s="588"/>
      <c r="H41" s="590">
        <v>0</v>
      </c>
      <c r="I41" s="588"/>
      <c r="J41" s="590">
        <v>0</v>
      </c>
      <c r="K41" s="588"/>
      <c r="L41" s="591">
        <f t="shared" si="0"/>
        <v>0</v>
      </c>
      <c r="M41" s="150"/>
      <c r="N41" s="1694"/>
    </row>
    <row r="42" spans="1:14" ht="15.75" customHeight="1">
      <c r="A42" s="146" t="s">
        <v>787</v>
      </c>
      <c r="B42" s="146"/>
      <c r="C42" s="146"/>
      <c r="D42" s="590">
        <v>95.097999999999999</v>
      </c>
      <c r="E42" s="588"/>
      <c r="F42" s="590">
        <v>67.453999999999994</v>
      </c>
      <c r="G42" s="588"/>
      <c r="H42" s="590">
        <v>0</v>
      </c>
      <c r="I42" s="588"/>
      <c r="J42" s="590">
        <v>0</v>
      </c>
      <c r="K42" s="588"/>
      <c r="L42" s="591">
        <f t="shared" si="0"/>
        <v>162.55199999999999</v>
      </c>
      <c r="M42" s="150"/>
      <c r="N42" s="1694"/>
    </row>
    <row r="43" spans="1:14" ht="15.75" customHeight="1">
      <c r="A43" s="146" t="s">
        <v>788</v>
      </c>
      <c r="B43" s="146"/>
      <c r="C43" s="146"/>
      <c r="D43" s="590">
        <v>-2.7360000000000002</v>
      </c>
      <c r="E43" s="588"/>
      <c r="F43" s="590">
        <v>24.08</v>
      </c>
      <c r="G43" s="588"/>
      <c r="H43" s="590">
        <v>22.629000000000001</v>
      </c>
      <c r="I43" s="588"/>
      <c r="J43" s="590">
        <v>0</v>
      </c>
      <c r="K43" s="588"/>
      <c r="L43" s="591">
        <f t="shared" si="0"/>
        <v>-1.2849999999999999</v>
      </c>
      <c r="M43" s="150"/>
      <c r="N43" s="1694"/>
    </row>
    <row r="44" spans="1:14" ht="18" customHeight="1">
      <c r="A44" s="146" t="s">
        <v>789</v>
      </c>
      <c r="B44" s="146"/>
      <c r="C44" s="146"/>
      <c r="D44" s="590">
        <v>0</v>
      </c>
      <c r="E44" s="588"/>
      <c r="F44" s="590">
        <v>0</v>
      </c>
      <c r="G44" s="588"/>
      <c r="H44" s="590">
        <v>0</v>
      </c>
      <c r="I44" s="588"/>
      <c r="J44" s="590">
        <v>0</v>
      </c>
      <c r="K44" s="588"/>
      <c r="L44" s="591">
        <f t="shared" si="0"/>
        <v>0</v>
      </c>
      <c r="M44" s="150"/>
      <c r="N44" s="1694"/>
    </row>
    <row r="45" spans="1:14" ht="20.149999999999999" customHeight="1">
      <c r="A45" s="142" t="s">
        <v>1455</v>
      </c>
      <c r="B45" s="146"/>
      <c r="C45" s="146"/>
      <c r="D45" s="1690">
        <f>ROUND(SUM(D29:D44),3)</f>
        <v>3267.3330000000001</v>
      </c>
      <c r="E45" s="293"/>
      <c r="F45" s="1690">
        <f>ROUND(SUM(F29:F44),3)</f>
        <v>16559.181</v>
      </c>
      <c r="G45" s="293"/>
      <c r="H45" s="1690">
        <f>ROUND(SUM(H29:H44),3)</f>
        <v>15978.44</v>
      </c>
      <c r="I45" s="293"/>
      <c r="J45" s="1690">
        <f>ROUND(SUM(J29:J44),3)</f>
        <v>0</v>
      </c>
      <c r="K45" s="293"/>
      <c r="L45" s="1690">
        <f>ROUND(SUM(L29:L44),3)</f>
        <v>3848.0740000000001</v>
      </c>
      <c r="M45" s="151"/>
      <c r="N45" s="1694"/>
    </row>
    <row r="46" spans="1:14" ht="12" customHeight="1">
      <c r="A46" s="142"/>
      <c r="B46" s="146"/>
      <c r="C46" s="146"/>
      <c r="D46" s="1075" t="s">
        <v>103</v>
      </c>
      <c r="E46" s="140"/>
      <c r="F46" s="1075" t="s">
        <v>103</v>
      </c>
      <c r="G46" s="140"/>
      <c r="H46" s="1075" t="s">
        <v>103</v>
      </c>
      <c r="I46" s="140"/>
      <c r="J46" s="140" t="s">
        <v>103</v>
      </c>
      <c r="K46" s="140"/>
      <c r="L46" s="1075" t="s">
        <v>103</v>
      </c>
      <c r="M46" s="150"/>
      <c r="N46" s="1694"/>
    </row>
    <row r="47" spans="1:14" ht="12" customHeight="1">
      <c r="A47" s="142"/>
      <c r="B47" s="146"/>
      <c r="C47" s="146"/>
      <c r="D47" s="296"/>
      <c r="E47" s="296"/>
      <c r="F47" s="296"/>
      <c r="G47" s="296"/>
      <c r="H47" s="296"/>
      <c r="I47" s="296"/>
      <c r="J47" s="296"/>
      <c r="K47" s="296"/>
      <c r="L47" s="296"/>
      <c r="M47" s="150"/>
      <c r="N47" s="1694"/>
    </row>
    <row r="48" spans="1:14" ht="18.5" thickBot="1">
      <c r="A48" s="142" t="s">
        <v>790</v>
      </c>
      <c r="B48" s="146"/>
      <c r="C48" s="159"/>
      <c r="D48" s="1691">
        <f>ROUND(D18+D25+D45,3)</f>
        <v>5554.8940000000002</v>
      </c>
      <c r="E48" s="297"/>
      <c r="F48" s="1691">
        <f>ROUND(F18+F25+F45,3)</f>
        <v>16585.672999999999</v>
      </c>
      <c r="G48" s="297"/>
      <c r="H48" s="1691">
        <f>ROUND(H18+H25+H45,3)</f>
        <v>15995.746999999999</v>
      </c>
      <c r="I48" s="1692"/>
      <c r="J48" s="1691">
        <f>ROUND(J18+J25+J45,3)</f>
        <v>0</v>
      </c>
      <c r="K48" s="297"/>
      <c r="L48" s="1691">
        <f>ROUND(L18+L25+L45,3)</f>
        <v>6144.82</v>
      </c>
      <c r="M48" s="151"/>
      <c r="N48" s="1694"/>
    </row>
    <row r="49" spans="1:13" ht="12" customHeight="1" thickTop="1">
      <c r="A49" s="146"/>
      <c r="B49" s="146"/>
      <c r="C49" s="146"/>
      <c r="D49" s="1693" t="s">
        <v>103</v>
      </c>
      <c r="E49" s="292"/>
      <c r="F49" s="1693" t="s">
        <v>103</v>
      </c>
      <c r="G49" s="292"/>
      <c r="H49" s="1693" t="s">
        <v>103</v>
      </c>
      <c r="I49" s="292"/>
      <c r="J49" s="292" t="s">
        <v>103</v>
      </c>
      <c r="K49" s="292"/>
      <c r="L49" s="1693" t="s">
        <v>103</v>
      </c>
      <c r="M49" s="150"/>
    </row>
    <row r="50" spans="1:13" ht="15.75" customHeight="1">
      <c r="A50" s="298"/>
      <c r="B50" s="146"/>
      <c r="C50" s="146"/>
      <c r="D50" s="146"/>
      <c r="E50" s="146"/>
      <c r="F50" s="146"/>
      <c r="G50" s="146"/>
      <c r="H50" s="146"/>
      <c r="I50" s="146"/>
      <c r="J50" s="146" t="s">
        <v>103</v>
      </c>
      <c r="K50" s="146"/>
      <c r="L50" s="146"/>
      <c r="M50" s="146"/>
    </row>
    <row r="51" spans="1:13" ht="18">
      <c r="A51" s="146"/>
      <c r="B51" s="146"/>
      <c r="C51" s="146"/>
      <c r="D51" s="153"/>
      <c r="E51" s="146"/>
      <c r="F51" s="590" t="s">
        <v>103</v>
      </c>
      <c r="G51" s="146"/>
      <c r="H51" s="146"/>
      <c r="I51" s="146"/>
      <c r="J51" s="146" t="s">
        <v>103</v>
      </c>
      <c r="K51" s="146"/>
      <c r="L51" s="155"/>
      <c r="M51" s="146"/>
    </row>
    <row r="52" spans="1:13" ht="18">
      <c r="A52" s="153"/>
      <c r="B52" s="146"/>
      <c r="C52" s="146"/>
      <c r="D52" s="146"/>
      <c r="E52" s="146"/>
      <c r="F52" s="146"/>
      <c r="G52" s="146"/>
      <c r="H52" s="146"/>
      <c r="I52" s="146"/>
      <c r="J52" s="146" t="s">
        <v>103</v>
      </c>
      <c r="K52" s="146"/>
      <c r="L52" s="146"/>
      <c r="M52" s="146"/>
    </row>
    <row r="53" spans="1:13" ht="18">
      <c r="A53" s="153"/>
      <c r="B53" s="146"/>
      <c r="C53" s="146"/>
      <c r="D53" s="146"/>
      <c r="E53" s="146"/>
      <c r="F53" s="146"/>
      <c r="G53" s="146"/>
      <c r="H53" s="146"/>
      <c r="I53" s="146"/>
      <c r="J53" s="146"/>
      <c r="K53" s="146"/>
      <c r="L53" s="146"/>
      <c r="M53" s="146"/>
    </row>
    <row r="54" spans="1:13" ht="18">
      <c r="A54" s="153"/>
      <c r="B54" s="146"/>
      <c r="C54" s="146"/>
      <c r="D54" s="146"/>
      <c r="E54" s="146"/>
      <c r="F54" s="146"/>
      <c r="G54" s="146"/>
      <c r="H54" s="146"/>
      <c r="I54" s="146"/>
      <c r="J54" s="146"/>
      <c r="K54" s="146"/>
      <c r="L54" s="146"/>
      <c r="M54" s="146"/>
    </row>
    <row r="55" spans="1:13" ht="18">
      <c r="A55" s="153"/>
      <c r="B55" s="146"/>
      <c r="C55" s="146"/>
      <c r="D55" s="146"/>
      <c r="E55" s="146"/>
      <c r="F55" s="146"/>
      <c r="G55" s="146"/>
      <c r="H55" s="146"/>
      <c r="I55" s="146"/>
      <c r="J55" s="146"/>
      <c r="K55" s="146"/>
      <c r="L55" s="146"/>
      <c r="M55" s="146"/>
    </row>
    <row r="56" spans="1:13" ht="18">
      <c r="A56" s="153"/>
      <c r="B56" s="146"/>
      <c r="C56" s="146"/>
      <c r="D56" s="146"/>
      <c r="E56" s="146"/>
      <c r="F56" s="146"/>
      <c r="G56" s="146"/>
      <c r="H56" s="146"/>
      <c r="I56" s="146"/>
      <c r="J56" s="146"/>
      <c r="K56" s="146"/>
      <c r="L56" s="146"/>
      <c r="M56" s="146"/>
    </row>
    <row r="57" spans="1:13" ht="17.5">
      <c r="A57" s="146"/>
      <c r="B57" s="146"/>
      <c r="C57" s="146"/>
      <c r="D57" s="146"/>
      <c r="E57" s="146"/>
      <c r="F57" s="146"/>
      <c r="G57" s="146"/>
      <c r="H57" s="146"/>
      <c r="I57" s="146"/>
      <c r="J57" s="146"/>
      <c r="K57" s="146"/>
      <c r="L57" s="146"/>
      <c r="M57" s="146"/>
    </row>
    <row r="58" spans="1:13" ht="17.5">
      <c r="A58" s="146"/>
      <c r="B58" s="146"/>
      <c r="C58" s="146"/>
      <c r="D58" s="146"/>
      <c r="E58" s="146"/>
      <c r="F58" s="146"/>
      <c r="G58" s="146"/>
      <c r="H58" s="146"/>
      <c r="I58" s="146"/>
      <c r="J58" s="146"/>
      <c r="K58" s="146"/>
      <c r="L58" s="146"/>
      <c r="M58" s="146"/>
    </row>
    <row r="59" spans="1:13" ht="17.5">
      <c r="A59" s="146"/>
      <c r="B59" s="146"/>
      <c r="C59" s="146"/>
      <c r="D59" s="146"/>
      <c r="E59" s="146"/>
      <c r="F59" s="146"/>
      <c r="G59" s="146"/>
      <c r="H59" s="146"/>
      <c r="I59" s="146"/>
      <c r="J59" s="146"/>
      <c r="K59" s="146"/>
      <c r="L59" s="146"/>
      <c r="M59" s="146"/>
    </row>
    <row r="60" spans="1:13" ht="17.5">
      <c r="A60" s="146"/>
      <c r="B60" s="146"/>
      <c r="C60" s="146"/>
      <c r="D60" s="146"/>
      <c r="E60" s="146"/>
      <c r="F60" s="146"/>
      <c r="G60" s="146"/>
      <c r="H60" s="146"/>
      <c r="I60" s="146"/>
      <c r="J60" s="146"/>
      <c r="K60" s="146"/>
      <c r="L60" s="146"/>
      <c r="M60" s="146"/>
    </row>
    <row r="61" spans="1:13" ht="18">
      <c r="A61" s="146"/>
      <c r="B61" s="146"/>
      <c r="C61" s="146"/>
      <c r="D61" s="156"/>
      <c r="E61" s="146"/>
      <c r="F61" s="146"/>
      <c r="G61" s="146"/>
      <c r="H61" s="146"/>
      <c r="I61" s="146"/>
      <c r="J61" s="156"/>
      <c r="K61" s="146"/>
      <c r="L61" s="156"/>
      <c r="M61" s="146"/>
    </row>
    <row r="62" spans="1:13" ht="18">
      <c r="A62" s="146"/>
      <c r="B62" s="146"/>
      <c r="C62" s="146"/>
      <c r="D62" s="156"/>
      <c r="E62" s="146"/>
      <c r="F62" s="146"/>
      <c r="G62" s="146"/>
      <c r="H62" s="146"/>
      <c r="I62" s="146"/>
      <c r="J62" s="156"/>
      <c r="K62" s="146"/>
      <c r="L62" s="156"/>
      <c r="M62" s="146"/>
    </row>
    <row r="63" spans="1:13" ht="18">
      <c r="A63" s="157"/>
      <c r="B63" s="146"/>
      <c r="C63" s="146"/>
      <c r="D63" s="158"/>
      <c r="E63" s="146"/>
      <c r="F63" s="158"/>
      <c r="G63" s="146"/>
      <c r="H63" s="158"/>
      <c r="I63" s="146"/>
      <c r="J63" s="158"/>
      <c r="K63" s="146"/>
      <c r="L63" s="158"/>
      <c r="M63" s="146"/>
    </row>
    <row r="64" spans="1:13" ht="17.5">
      <c r="A64" s="146"/>
      <c r="B64" s="146"/>
      <c r="C64" s="146"/>
      <c r="D64" s="146"/>
      <c r="E64" s="146"/>
      <c r="F64" s="146"/>
      <c r="G64" s="146"/>
      <c r="H64" s="146"/>
      <c r="I64" s="146"/>
      <c r="J64" s="146"/>
      <c r="K64" s="146"/>
      <c r="L64" s="146"/>
      <c r="M64" s="146"/>
    </row>
    <row r="65" spans="1:13" ht="18">
      <c r="A65" s="149"/>
      <c r="B65" s="146"/>
      <c r="C65" s="146"/>
      <c r="D65" s="146"/>
      <c r="E65" s="146"/>
      <c r="F65" s="146"/>
      <c r="G65" s="146"/>
      <c r="H65" s="146"/>
      <c r="I65" s="146"/>
      <c r="J65" s="146"/>
      <c r="K65" s="146"/>
      <c r="L65" s="146"/>
      <c r="M65" s="146"/>
    </row>
    <row r="66" spans="1:13" ht="17.5">
      <c r="A66" s="146"/>
      <c r="B66" s="146"/>
      <c r="C66" s="146"/>
      <c r="D66" s="146"/>
      <c r="E66" s="146"/>
      <c r="F66" s="146"/>
      <c r="G66" s="146"/>
      <c r="H66" s="146"/>
      <c r="I66" s="146"/>
      <c r="J66" s="146"/>
      <c r="K66" s="146"/>
      <c r="L66" s="146"/>
      <c r="M66" s="146"/>
    </row>
    <row r="67" spans="1:13" ht="20.149999999999999" customHeight="1">
      <c r="A67" s="146"/>
      <c r="B67" s="146"/>
      <c r="C67" s="159"/>
      <c r="D67" s="160"/>
      <c r="E67" s="159"/>
      <c r="F67" s="1146"/>
      <c r="G67" s="159"/>
      <c r="H67" s="1147"/>
      <c r="I67" s="159"/>
      <c r="J67" s="161"/>
      <c r="K67" s="159"/>
      <c r="L67" s="160"/>
      <c r="M67" s="146"/>
    </row>
    <row r="68" spans="1:13" ht="20.149999999999999" customHeight="1">
      <c r="A68" s="146"/>
      <c r="B68" s="146"/>
      <c r="C68" s="146"/>
      <c r="D68" s="160"/>
      <c r="E68" s="146"/>
      <c r="F68" s="146"/>
      <c r="G68" s="146"/>
      <c r="H68" s="1147"/>
      <c r="I68" s="146"/>
      <c r="J68" s="161"/>
      <c r="K68" s="146"/>
      <c r="L68" s="160"/>
      <c r="M68" s="146"/>
    </row>
    <row r="69" spans="1:13" ht="20.149999999999999" customHeight="1">
      <c r="A69" s="146"/>
      <c r="B69" s="146"/>
      <c r="C69" s="146"/>
      <c r="D69" s="160"/>
      <c r="E69" s="146"/>
      <c r="F69" s="146"/>
      <c r="G69" s="146"/>
      <c r="H69" s="1148"/>
      <c r="I69" s="146"/>
      <c r="J69" s="161"/>
      <c r="K69" s="146"/>
      <c r="L69" s="160"/>
      <c r="M69" s="146"/>
    </row>
    <row r="70" spans="1:13" ht="20.149999999999999" customHeight="1">
      <c r="A70" s="146"/>
      <c r="B70" s="146"/>
      <c r="C70" s="146"/>
      <c r="D70" s="160"/>
      <c r="E70" s="146"/>
      <c r="F70" s="146"/>
      <c r="G70" s="146"/>
      <c r="H70" s="1147"/>
      <c r="I70" s="146"/>
      <c r="J70" s="161"/>
      <c r="K70" s="146"/>
      <c r="L70" s="160"/>
      <c r="M70" s="146"/>
    </row>
    <row r="71" spans="1:13" ht="20.149999999999999" customHeight="1">
      <c r="A71" s="146"/>
      <c r="B71" s="146"/>
      <c r="C71" s="146"/>
      <c r="D71" s="160"/>
      <c r="E71" s="146"/>
      <c r="F71" s="146"/>
      <c r="G71" s="146"/>
      <c r="H71" s="1147"/>
      <c r="I71" s="146"/>
      <c r="J71" s="161"/>
      <c r="K71" s="146"/>
      <c r="L71" s="160"/>
      <c r="M71" s="146"/>
    </row>
    <row r="72" spans="1:13" ht="20.149999999999999" customHeight="1">
      <c r="A72" s="146"/>
      <c r="B72" s="146"/>
      <c r="C72" s="146"/>
      <c r="D72" s="160"/>
      <c r="E72" s="146"/>
      <c r="F72" s="146"/>
      <c r="G72" s="146"/>
      <c r="H72" s="1149"/>
      <c r="I72" s="146"/>
      <c r="J72" s="161"/>
      <c r="K72" s="146"/>
      <c r="L72" s="160"/>
      <c r="M72" s="146"/>
    </row>
    <row r="73" spans="1:13" ht="17.5">
      <c r="A73" s="299"/>
      <c r="B73" s="146"/>
      <c r="C73" s="146"/>
      <c r="D73" s="146"/>
      <c r="E73" s="146"/>
      <c r="F73" s="146"/>
      <c r="G73" s="146"/>
      <c r="H73" s="146"/>
      <c r="I73" s="146"/>
      <c r="J73" s="146"/>
      <c r="K73" s="146"/>
      <c r="L73" s="146"/>
      <c r="M73" s="146"/>
    </row>
    <row r="74" spans="1:13" ht="17.5">
      <c r="A74" s="162"/>
      <c r="B74" s="146"/>
      <c r="C74" s="146"/>
      <c r="D74" s="146"/>
      <c r="E74" s="146"/>
      <c r="F74" s="146"/>
      <c r="G74" s="146"/>
      <c r="H74" s="146"/>
      <c r="I74" s="146"/>
      <c r="J74" s="146"/>
      <c r="K74" s="146"/>
      <c r="L74" s="146"/>
      <c r="M74" s="146"/>
    </row>
    <row r="75" spans="1:13" ht="17.5">
      <c r="A75" s="146"/>
      <c r="B75" s="146"/>
      <c r="C75" s="146"/>
      <c r="D75" s="146"/>
      <c r="E75" s="146"/>
      <c r="F75" s="146"/>
      <c r="G75" s="146"/>
      <c r="H75" s="146"/>
      <c r="I75" s="146"/>
      <c r="J75" s="146"/>
      <c r="K75" s="146"/>
      <c r="L75" s="146"/>
      <c r="M75" s="146"/>
    </row>
    <row r="76" spans="1:13" ht="17.5">
      <c r="A76" s="146"/>
      <c r="B76" s="146"/>
      <c r="C76" s="146"/>
      <c r="D76" s="146"/>
      <c r="E76" s="146"/>
      <c r="F76" s="146"/>
      <c r="G76" s="146"/>
      <c r="H76" s="146"/>
      <c r="I76" s="146"/>
      <c r="J76" s="146"/>
      <c r="K76" s="146"/>
      <c r="L76" s="146"/>
      <c r="M76" s="146"/>
    </row>
    <row r="77" spans="1:13" ht="17.5">
      <c r="A77" s="146"/>
      <c r="B77" s="146"/>
      <c r="C77" s="146"/>
      <c r="D77" s="146"/>
      <c r="E77" s="146"/>
      <c r="F77" s="146"/>
      <c r="G77" s="146"/>
      <c r="H77" s="146"/>
      <c r="I77" s="146"/>
      <c r="J77" s="146"/>
      <c r="K77" s="146"/>
      <c r="L77" s="146"/>
      <c r="M77" s="146"/>
    </row>
    <row r="78" spans="1:13" ht="17.5">
      <c r="A78" s="146"/>
      <c r="B78" s="146"/>
      <c r="C78" s="146"/>
      <c r="D78" s="146"/>
      <c r="E78" s="146"/>
      <c r="F78" s="146"/>
      <c r="G78" s="146"/>
      <c r="H78" s="146"/>
      <c r="I78" s="146"/>
      <c r="J78" s="146"/>
      <c r="K78" s="146"/>
      <c r="L78" s="146"/>
      <c r="M78" s="146"/>
    </row>
    <row r="79" spans="1:13" ht="17.5">
      <c r="A79" s="146"/>
      <c r="B79" s="146"/>
      <c r="C79" s="146"/>
      <c r="D79" s="146"/>
      <c r="E79" s="146"/>
      <c r="F79" s="146"/>
      <c r="G79" s="146"/>
      <c r="H79" s="146"/>
      <c r="I79" s="146"/>
      <c r="J79" s="146"/>
      <c r="K79" s="146"/>
      <c r="L79" s="146"/>
      <c r="M79" s="146"/>
    </row>
    <row r="80" spans="1:13" ht="17.5">
      <c r="A80" s="299"/>
      <c r="B80" s="146"/>
      <c r="C80" s="146"/>
      <c r="D80" s="146"/>
      <c r="E80" s="146"/>
      <c r="F80" s="146"/>
      <c r="G80" s="146"/>
      <c r="H80" s="146"/>
      <c r="I80" s="146"/>
      <c r="J80" s="146"/>
      <c r="K80" s="146"/>
      <c r="L80" s="146"/>
      <c r="M80" s="146"/>
    </row>
    <row r="81" spans="1:13" s="146" customFormat="1" ht="17.5"/>
    <row r="82" spans="1:13" ht="17.5">
      <c r="A82" s="146"/>
      <c r="B82" s="146"/>
      <c r="C82" s="146"/>
      <c r="D82" s="146"/>
      <c r="E82" s="146"/>
      <c r="F82" s="146"/>
      <c r="G82" s="146"/>
      <c r="H82" s="146"/>
      <c r="I82" s="146"/>
      <c r="J82" s="146"/>
      <c r="K82" s="146"/>
      <c r="L82" s="146"/>
      <c r="M82" s="146"/>
    </row>
    <row r="83" spans="1:13" s="146" customFormat="1" ht="17.5"/>
    <row r="84" spans="1:13" s="146" customFormat="1" ht="17.5"/>
    <row r="85" spans="1:13" s="146" customFormat="1" ht="17.5"/>
    <row r="86" spans="1:13" ht="17.5">
      <c r="A86" s="146"/>
      <c r="B86" s="146"/>
      <c r="C86" s="146"/>
      <c r="D86" s="146"/>
      <c r="E86" s="146"/>
      <c r="F86" s="146"/>
      <c r="G86" s="146"/>
      <c r="H86" s="146"/>
      <c r="I86" s="146"/>
      <c r="J86" s="146"/>
      <c r="K86" s="146"/>
      <c r="L86" s="146"/>
      <c r="M86" s="146"/>
    </row>
    <row r="87" spans="1:13" s="146" customFormat="1" ht="17.5"/>
    <row r="88" spans="1:13" s="146" customFormat="1" ht="17.5"/>
    <row r="89" spans="1:13" s="146" customFormat="1" ht="17.5"/>
    <row r="90" spans="1:13" s="146" customFormat="1" ht="17.5"/>
    <row r="91" spans="1:13" s="146" customFormat="1" ht="17.5"/>
    <row r="92" spans="1:13" s="146" customFormat="1" ht="17.5"/>
    <row r="93" spans="1:13" s="146" customFormat="1" ht="17.5"/>
    <row r="94" spans="1:13" s="146" customFormat="1" ht="17.5"/>
    <row r="95" spans="1:13" s="146" customFormat="1" ht="17.5"/>
    <row r="96" spans="1:13" s="146" customFormat="1" ht="17.5"/>
    <row r="97" s="146" customFormat="1" ht="17.5"/>
    <row r="98" s="146" customFormat="1" ht="17.5"/>
    <row r="99" s="146" customFormat="1" ht="17.5"/>
    <row r="100" s="146" customFormat="1" ht="17.5"/>
    <row r="101" s="146" customFormat="1" ht="17.5"/>
    <row r="102" s="146" customFormat="1" ht="17.5"/>
    <row r="103" s="146" customFormat="1" ht="17.5"/>
    <row r="104" s="146" customFormat="1" ht="17.5"/>
    <row r="105" s="146" customFormat="1" ht="17.5"/>
    <row r="106" s="146" customFormat="1" ht="17.5"/>
    <row r="107" s="146" customFormat="1" ht="17.5"/>
    <row r="108" s="146" customFormat="1" ht="17.5"/>
    <row r="109" s="146" customFormat="1" ht="17.5"/>
    <row r="110" s="146" customFormat="1" ht="17.5"/>
    <row r="111" s="146" customFormat="1" ht="17.5"/>
    <row r="112" s="146" customFormat="1" ht="17.5"/>
    <row r="113" s="146" customFormat="1" ht="17.5"/>
    <row r="114" s="146" customFormat="1" ht="17.5"/>
    <row r="115" s="146" customFormat="1" ht="17.5"/>
    <row r="116" s="146" customFormat="1" ht="17.5"/>
    <row r="117" s="146" customFormat="1" ht="17.5"/>
    <row r="118" s="146" customFormat="1" ht="17.5"/>
    <row r="119" s="146" customFormat="1" ht="17.5"/>
    <row r="120" s="146" customFormat="1" ht="17.5"/>
    <row r="121" s="146" customFormat="1" ht="17.5"/>
    <row r="122" s="146" customFormat="1" ht="17.5"/>
    <row r="123" s="146" customFormat="1" ht="17.5"/>
    <row r="124" s="146" customFormat="1" ht="17.5"/>
    <row r="125" s="146" customFormat="1" ht="17.5"/>
    <row r="126" s="146" customFormat="1" ht="17.5"/>
    <row r="127" s="146" customFormat="1" ht="17.5"/>
    <row r="128" s="146" customFormat="1" ht="17.5"/>
    <row r="129" s="146" customFormat="1" ht="17.5"/>
    <row r="130" s="146" customFormat="1" ht="17.5"/>
    <row r="131" s="146" customFormat="1" ht="17.5"/>
    <row r="132" s="146" customFormat="1" ht="17.5"/>
    <row r="133" s="146" customFormat="1" ht="17.5"/>
    <row r="134" s="146" customFormat="1" ht="17.5"/>
    <row r="135" s="146" customFormat="1" ht="17.5"/>
    <row r="136" s="146" customFormat="1" ht="17.5"/>
  </sheetData>
  <printOptions horizontalCentered="1"/>
  <pageMargins left="0.5" right="0.5" top="0.5" bottom="0.5" header="0" footer="0.25"/>
  <pageSetup scale="57" firstPageNumber="42" orientation="landscape" useFirstPageNumber="1" r:id="rId1"/>
  <headerFooter scaleWithDoc="0" alignWithMargins="0">
    <oddFooter>&amp;C&amp;8&amp;P</oddFooter>
  </headerFooter>
  <customProperties>
    <customPr name="SheetOptions"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1">
    <pageSetUpPr fitToPage="1"/>
  </sheetPr>
  <dimension ref="A1:N51"/>
  <sheetViews>
    <sheetView showGridLines="0" zoomScale="90" workbookViewId="0"/>
  </sheetViews>
  <sheetFormatPr defaultColWidth="8.84375" defaultRowHeight="12.5"/>
  <cols>
    <col min="1" max="1" width="53.53515625" style="629" customWidth="1"/>
    <col min="2" max="2" width="1.84375" style="629" customWidth="1"/>
    <col min="3" max="3" width="2.84375" style="629" customWidth="1"/>
    <col min="4" max="4" width="20.84375" style="629" customWidth="1"/>
    <col min="5" max="5" width="5.84375" style="629" customWidth="1"/>
    <col min="6" max="6" width="20.84375" style="629" customWidth="1"/>
    <col min="7" max="7" width="5.84375" style="629" customWidth="1"/>
    <col min="8" max="8" width="20.84375" style="629" customWidth="1"/>
    <col min="9" max="9" width="5.84375" style="629" customWidth="1"/>
    <col min="10" max="10" width="20.84375" style="629" customWidth="1"/>
    <col min="11" max="11" width="1.07421875" style="629" customWidth="1"/>
    <col min="12" max="16384" width="8.84375" style="629"/>
  </cols>
  <sheetData>
    <row r="1" spans="1:10" ht="15.5">
      <c r="A1" s="265" t="s">
        <v>97</v>
      </c>
    </row>
    <row r="2" spans="1:10" ht="15.5">
      <c r="A2" s="463"/>
    </row>
    <row r="3" spans="1:10" ht="18">
      <c r="A3" s="630" t="s">
        <v>98</v>
      </c>
      <c r="B3" s="631"/>
      <c r="C3" s="631"/>
      <c r="D3" s="631"/>
      <c r="E3" s="631"/>
      <c r="F3" s="631"/>
      <c r="G3" s="630"/>
      <c r="H3" s="630"/>
      <c r="I3" s="630"/>
      <c r="J3" s="633" t="s">
        <v>791</v>
      </c>
    </row>
    <row r="4" spans="1:10" ht="18">
      <c r="A4" s="630" t="s">
        <v>792</v>
      </c>
      <c r="B4" s="631"/>
      <c r="C4" s="630"/>
      <c r="D4" s="631"/>
      <c r="E4" s="631"/>
      <c r="F4" s="631"/>
      <c r="G4" s="630"/>
      <c r="H4" s="630"/>
      <c r="I4" s="630"/>
      <c r="J4" s="630"/>
    </row>
    <row r="5" spans="1:10" ht="18">
      <c r="A5" s="630" t="s">
        <v>793</v>
      </c>
      <c r="B5" s="631"/>
      <c r="C5" s="630"/>
      <c r="D5" s="631"/>
      <c r="E5" s="631"/>
      <c r="F5" s="631"/>
      <c r="G5" s="630"/>
      <c r="H5" s="630"/>
      <c r="I5" s="630"/>
      <c r="J5" s="630"/>
    </row>
    <row r="6" spans="1:10" ht="18">
      <c r="A6" s="630" t="str">
        <f>'Sch 3 '!A7</f>
        <v>FISCAL YEAR 2026-2027</v>
      </c>
      <c r="B6" s="631"/>
      <c r="C6" s="630"/>
      <c r="D6" s="631"/>
      <c r="E6" s="631"/>
      <c r="F6" s="631"/>
      <c r="G6" s="630"/>
      <c r="H6" s="630"/>
      <c r="I6" s="630"/>
      <c r="J6" s="630"/>
    </row>
    <row r="7" spans="1:10" ht="18">
      <c r="A7" s="632" t="str">
        <f>'Sch 3 '!A8</f>
        <v>FOR THE MONTH OF JULY 2026</v>
      </c>
      <c r="B7" s="631"/>
      <c r="C7" s="630"/>
      <c r="D7" s="631"/>
      <c r="E7" s="631"/>
      <c r="F7" s="631"/>
      <c r="G7" s="630"/>
      <c r="H7" s="630"/>
      <c r="I7" s="630"/>
      <c r="J7" s="630"/>
    </row>
    <row r="8" spans="1:10" ht="18">
      <c r="A8" s="630" t="s">
        <v>102</v>
      </c>
      <c r="B8" s="631"/>
      <c r="C8" s="630"/>
      <c r="D8" s="631"/>
      <c r="E8" s="631"/>
      <c r="F8" s="631"/>
      <c r="G8" s="630"/>
      <c r="H8" s="630"/>
      <c r="I8" s="630"/>
      <c r="J8" s="630"/>
    </row>
    <row r="9" spans="1:10" ht="18">
      <c r="A9" s="630"/>
      <c r="B9" s="631"/>
      <c r="C9" s="630"/>
      <c r="D9" s="631"/>
      <c r="E9" s="631"/>
      <c r="F9" s="631"/>
      <c r="G9" s="630"/>
      <c r="H9" s="630"/>
      <c r="I9" s="630"/>
      <c r="J9" s="630"/>
    </row>
    <row r="10" spans="1:10" ht="18">
      <c r="A10" s="630"/>
      <c r="B10" s="630"/>
      <c r="C10" s="630"/>
      <c r="D10" s="630"/>
      <c r="E10" s="630"/>
      <c r="F10" s="630"/>
      <c r="G10" s="630"/>
      <c r="H10" s="630"/>
      <c r="I10" s="630"/>
      <c r="J10" s="630"/>
    </row>
    <row r="11" spans="1:10" ht="18">
      <c r="A11" s="630"/>
      <c r="B11" s="630"/>
      <c r="C11" s="630"/>
      <c r="D11" s="633"/>
      <c r="E11" s="630"/>
      <c r="F11" s="630"/>
      <c r="G11" s="630"/>
      <c r="H11" s="630"/>
      <c r="I11" s="630"/>
      <c r="J11" s="633"/>
    </row>
    <row r="12" spans="1:10" ht="18">
      <c r="A12" s="630"/>
      <c r="B12" s="630"/>
      <c r="C12" s="630"/>
      <c r="D12" s="633" t="s">
        <v>607</v>
      </c>
      <c r="E12" s="630"/>
      <c r="F12" s="630"/>
      <c r="G12" s="630"/>
      <c r="H12" s="630"/>
      <c r="I12" s="630"/>
      <c r="J12" s="633" t="s">
        <v>607</v>
      </c>
    </row>
    <row r="13" spans="1:10" ht="18">
      <c r="A13" s="634" t="s">
        <v>743</v>
      </c>
      <c r="B13" s="630"/>
      <c r="C13" s="630"/>
      <c r="D13" s="635" t="str">
        <f>'Sch 3 '!D12</f>
        <v>JULY 1, 2026</v>
      </c>
      <c r="E13" s="630"/>
      <c r="F13" s="633" t="s">
        <v>609</v>
      </c>
      <c r="G13" s="630"/>
      <c r="H13" s="633" t="s">
        <v>610</v>
      </c>
      <c r="I13" s="630"/>
      <c r="J13" s="635" t="str">
        <f>'Sch 3 '!L12</f>
        <v>JULY 31, 2026</v>
      </c>
    </row>
    <row r="14" spans="1:10" ht="18">
      <c r="A14" s="634"/>
      <c r="B14" s="630"/>
      <c r="C14" s="630"/>
      <c r="D14" s="636"/>
      <c r="E14" s="630"/>
      <c r="F14" s="636"/>
      <c r="G14" s="630"/>
      <c r="H14" s="637" t="s">
        <v>606</v>
      </c>
      <c r="I14" s="630"/>
      <c r="J14" s="636"/>
    </row>
    <row r="15" spans="1:10" ht="18">
      <c r="A15" s="638" t="s">
        <v>794</v>
      </c>
      <c r="B15" s="630"/>
      <c r="C15" s="630"/>
      <c r="D15" s="630"/>
      <c r="E15" s="630"/>
      <c r="F15" s="847"/>
      <c r="G15" s="630"/>
      <c r="H15" s="630"/>
      <c r="I15" s="630"/>
      <c r="J15" s="630"/>
    </row>
    <row r="16" spans="1:10" ht="25.4" customHeight="1">
      <c r="A16" s="631" t="s">
        <v>795</v>
      </c>
      <c r="B16" s="630"/>
      <c r="C16" s="631"/>
      <c r="D16" s="1685">
        <v>3.4499999999999997</v>
      </c>
      <c r="E16" s="1640"/>
      <c r="F16" s="1685">
        <v>1.0999999999999999E-2</v>
      </c>
      <c r="G16" s="1640"/>
      <c r="H16" s="1685">
        <v>0</v>
      </c>
      <c r="I16" s="639"/>
      <c r="J16" s="639">
        <f>ROUND(D16+F16-H16,3)</f>
        <v>3.4609999999999999</v>
      </c>
    </row>
    <row r="17" spans="1:14" ht="25.4" customHeight="1">
      <c r="A17" s="631" t="s">
        <v>796</v>
      </c>
      <c r="B17" s="631"/>
      <c r="C17" s="631"/>
      <c r="D17" s="590">
        <v>419.78200000000004</v>
      </c>
      <c r="E17" s="641"/>
      <c r="F17" s="590">
        <v>483.90199999999999</v>
      </c>
      <c r="G17" s="639"/>
      <c r="H17" s="590">
        <v>423.74200000000002</v>
      </c>
      <c r="I17" s="641"/>
      <c r="J17" s="642">
        <f>ROUND(D17+F17-H17,3)</f>
        <v>479.94200000000001</v>
      </c>
    </row>
    <row r="18" spans="1:14" ht="25.4" customHeight="1">
      <c r="A18" s="640" t="s">
        <v>797</v>
      </c>
      <c r="B18" s="631"/>
      <c r="C18" s="631"/>
      <c r="D18" s="590">
        <v>2882.2559999999999</v>
      </c>
      <c r="E18" s="641"/>
      <c r="F18" s="590">
        <v>3116.9309999999996</v>
      </c>
      <c r="G18" s="639"/>
      <c r="H18" s="590">
        <v>2639.701</v>
      </c>
      <c r="I18" s="641"/>
      <c r="J18" s="642">
        <f>ROUND(D18+F18-H18,3)</f>
        <v>3359.4859999999999</v>
      </c>
    </row>
    <row r="19" spans="1:14" ht="25.4" customHeight="1">
      <c r="A19" s="631" t="s">
        <v>798</v>
      </c>
      <c r="B19" s="631"/>
      <c r="C19" s="631"/>
      <c r="D19" s="590">
        <v>0</v>
      </c>
      <c r="E19" s="641"/>
      <c r="F19" s="590">
        <v>467.09300000000002</v>
      </c>
      <c r="G19" s="639"/>
      <c r="H19" s="590">
        <v>467.09300000000002</v>
      </c>
      <c r="I19" s="641"/>
      <c r="J19" s="642">
        <f>ROUND(D19+F19-H19,3)</f>
        <v>0</v>
      </c>
    </row>
    <row r="20" spans="1:14" ht="25.4" customHeight="1" thickBot="1">
      <c r="A20" s="643" t="s">
        <v>799</v>
      </c>
      <c r="B20" s="631"/>
      <c r="C20" s="631"/>
      <c r="D20" s="644">
        <f>ROUND(SUM(D16:D19),3)</f>
        <v>3305.4879999999998</v>
      </c>
      <c r="E20" s="848"/>
      <c r="F20" s="644">
        <f>ROUND(SUM(F16:F19),3)</f>
        <v>4067.9369999999999</v>
      </c>
      <c r="G20" s="848"/>
      <c r="H20" s="644">
        <f>ROUND(SUM(H16:H19),3)</f>
        <v>3530.5360000000001</v>
      </c>
      <c r="I20" s="848"/>
      <c r="J20" s="644">
        <f>ROUND(SUM(J16:J19),3)</f>
        <v>3842.8890000000001</v>
      </c>
      <c r="K20" s="645"/>
      <c r="L20" s="645"/>
      <c r="M20" s="645"/>
      <c r="N20" s="645"/>
    </row>
    <row r="21" spans="1:14" ht="18" thickTop="1">
      <c r="A21" s="631"/>
      <c r="B21" s="631"/>
      <c r="C21" s="631"/>
      <c r="D21" s="631"/>
      <c r="E21" s="631"/>
      <c r="F21" s="631"/>
      <c r="G21" s="631"/>
      <c r="H21" s="631"/>
      <c r="I21" s="631"/>
      <c r="J21" s="631"/>
    </row>
    <row r="22" spans="1:14" ht="17.5">
      <c r="A22" s="631"/>
      <c r="B22" s="631"/>
      <c r="C22" s="631"/>
      <c r="D22" s="631"/>
      <c r="E22" s="631"/>
      <c r="F22" s="631"/>
      <c r="G22" s="631"/>
      <c r="H22" s="631"/>
      <c r="I22" s="631"/>
      <c r="J22" s="631"/>
    </row>
    <row r="23" spans="1:14" ht="6.75" customHeight="1">
      <c r="A23" s="631"/>
      <c r="B23" s="631"/>
      <c r="C23" s="631"/>
      <c r="D23" s="631"/>
      <c r="E23" s="631"/>
      <c r="F23" s="631"/>
      <c r="G23" s="631"/>
      <c r="H23" s="631"/>
      <c r="I23" s="631"/>
      <c r="J23" s="631"/>
    </row>
    <row r="24" spans="1:14" ht="17.5">
      <c r="A24" s="683" t="s">
        <v>800</v>
      </c>
      <c r="B24" s="631"/>
      <c r="C24" s="631"/>
      <c r="D24" s="631"/>
      <c r="E24" s="631"/>
      <c r="F24" s="631" t="s">
        <v>103</v>
      </c>
      <c r="G24" s="631"/>
      <c r="H24" s="631"/>
      <c r="I24" s="631"/>
      <c r="J24" s="631"/>
    </row>
    <row r="25" spans="1:14" ht="6" customHeight="1"/>
    <row r="26" spans="1:14" ht="59.25" customHeight="1">
      <c r="A26" s="2069" t="s">
        <v>801</v>
      </c>
      <c r="B26" s="2069"/>
      <c r="C26" s="2069"/>
      <c r="D26" s="2069"/>
      <c r="E26" s="2069"/>
      <c r="F26" s="2069"/>
      <c r="G26" s="2069"/>
      <c r="H26" s="2069"/>
      <c r="I26" s="2069"/>
      <c r="J26" s="2069"/>
    </row>
    <row r="27" spans="1:14" ht="43.4" customHeight="1">
      <c r="A27" s="2070" t="s">
        <v>1518</v>
      </c>
      <c r="B27" s="2070"/>
      <c r="C27" s="2070"/>
      <c r="D27" s="2070"/>
      <c r="E27" s="2070"/>
      <c r="F27" s="2070"/>
      <c r="G27" s="2070"/>
      <c r="H27" s="2070"/>
      <c r="I27" s="2070"/>
      <c r="J27" s="2070"/>
    </row>
    <row r="28" spans="1:14" ht="18.75" customHeight="1">
      <c r="A28" s="2071"/>
      <c r="B28" s="2071"/>
      <c r="C28" s="2071"/>
      <c r="D28" s="2071"/>
      <c r="E28" s="2071"/>
      <c r="F28" s="2071"/>
      <c r="G28" s="2071"/>
      <c r="H28" s="2071"/>
      <c r="I28" s="2071"/>
      <c r="J28" s="2071"/>
    </row>
    <row r="29" spans="1:14" ht="20.25" customHeight="1">
      <c r="A29" s="1219"/>
      <c r="B29" s="440"/>
      <c r="C29" s="440"/>
      <c r="D29" s="440"/>
      <c r="E29" s="440"/>
      <c r="F29" s="440"/>
      <c r="G29" s="440"/>
      <c r="H29" s="440"/>
      <c r="I29" s="440"/>
      <c r="J29" s="440"/>
    </row>
    <row r="30" spans="1:14" ht="20.25" customHeight="1">
      <c r="A30" s="1219"/>
      <c r="B30" s="440"/>
      <c r="C30" s="440"/>
      <c r="D30" s="440"/>
      <c r="E30" s="440"/>
      <c r="F30" s="440"/>
      <c r="G30" s="440"/>
      <c r="H30" s="440"/>
      <c r="I30" s="440"/>
      <c r="J30" s="440"/>
    </row>
    <row r="31" spans="1:14" ht="20.25" customHeight="1">
      <c r="A31" s="1219"/>
      <c r="B31" s="440"/>
      <c r="C31" s="440"/>
      <c r="D31" s="440"/>
      <c r="E31" s="440"/>
      <c r="F31" s="440"/>
      <c r="G31" s="440"/>
      <c r="H31" s="440"/>
      <c r="I31" s="440"/>
      <c r="J31" s="440"/>
    </row>
    <row r="32" spans="1:14" ht="20.25" customHeight="1">
      <c r="A32" s="1219"/>
      <c r="B32" s="440"/>
      <c r="C32" s="440"/>
      <c r="D32" s="440"/>
      <c r="E32" s="440"/>
      <c r="F32" s="440"/>
      <c r="G32" s="440"/>
      <c r="H32" s="440"/>
      <c r="I32" s="440"/>
      <c r="J32" s="440"/>
    </row>
    <row r="33" spans="1:10" ht="20.25" customHeight="1">
      <c r="A33" s="1219"/>
      <c r="B33" s="440"/>
      <c r="C33" s="440"/>
      <c r="D33" s="440"/>
      <c r="E33" s="440"/>
      <c r="F33" s="440"/>
      <c r="G33" s="440"/>
      <c r="H33" s="440"/>
      <c r="I33" s="440"/>
      <c r="J33" s="440"/>
    </row>
    <row r="34" spans="1:10" ht="20.25" customHeight="1">
      <c r="A34" s="1219"/>
      <c r="B34" s="440"/>
      <c r="C34" s="440"/>
      <c r="D34" s="440"/>
      <c r="E34" s="440"/>
      <c r="F34" s="440"/>
      <c r="G34" s="440"/>
      <c r="H34" s="440"/>
      <c r="I34" s="440"/>
      <c r="J34" s="440"/>
    </row>
    <row r="35" spans="1:10" ht="20.25" customHeight="1">
      <c r="A35" s="1219"/>
      <c r="B35" s="440"/>
      <c r="C35" s="440"/>
      <c r="D35" s="440"/>
      <c r="E35" s="440"/>
      <c r="F35" s="440"/>
      <c r="G35" s="440"/>
      <c r="H35" s="440"/>
      <c r="I35" s="440"/>
      <c r="J35" s="440"/>
    </row>
    <row r="36" spans="1:10" ht="20.25" customHeight="1">
      <c r="A36" s="1219"/>
      <c r="B36" s="440"/>
      <c r="C36" s="440"/>
      <c r="D36" s="440"/>
      <c r="E36" s="440"/>
      <c r="F36" s="440"/>
      <c r="G36" s="440"/>
      <c r="H36" s="440"/>
      <c r="I36" s="440"/>
      <c r="J36" s="440"/>
    </row>
    <row r="37" spans="1:10" ht="20.25" customHeight="1">
      <c r="A37" s="1219"/>
      <c r="B37" s="440"/>
      <c r="C37" s="440"/>
      <c r="D37" s="440"/>
      <c r="E37" s="440"/>
      <c r="F37" s="440"/>
      <c r="G37" s="440"/>
      <c r="H37" s="440"/>
      <c r="I37" s="440"/>
      <c r="J37" s="440"/>
    </row>
    <row r="38" spans="1:10" ht="20.25" customHeight="1">
      <c r="A38" s="1219"/>
      <c r="B38" s="440"/>
      <c r="C38" s="440"/>
      <c r="D38" s="440"/>
      <c r="E38" s="440"/>
      <c r="F38" s="440"/>
      <c r="G38" s="440"/>
      <c r="H38" s="440"/>
      <c r="I38" s="440"/>
      <c r="J38" s="440"/>
    </row>
    <row r="39" spans="1:10" ht="20.25" customHeight="1">
      <c r="A39" s="1219"/>
      <c r="B39" s="440"/>
      <c r="C39" s="440"/>
      <c r="D39" s="440"/>
      <c r="E39" s="440"/>
      <c r="G39" s="440"/>
      <c r="H39" s="440"/>
      <c r="I39" s="440"/>
      <c r="J39" s="440"/>
    </row>
    <row r="40" spans="1:10" ht="21" customHeight="1">
      <c r="F40" s="440"/>
    </row>
    <row r="41" spans="1:10" ht="21" customHeight="1">
      <c r="A41" s="1219"/>
      <c r="B41" s="440"/>
      <c r="C41" s="440"/>
      <c r="D41" s="440"/>
      <c r="E41" s="440"/>
      <c r="F41" s="440"/>
      <c r="G41" s="440"/>
      <c r="H41" s="440"/>
      <c r="I41" s="440"/>
      <c r="J41" s="440"/>
    </row>
    <row r="42" spans="1:10" ht="18" customHeight="1">
      <c r="A42" s="646"/>
      <c r="C42" s="647"/>
      <c r="D42" s="648"/>
      <c r="E42" s="647"/>
      <c r="F42" s="648"/>
      <c r="G42" s="647"/>
      <c r="H42" s="648"/>
      <c r="I42" s="648"/>
    </row>
    <row r="43" spans="1:10" ht="18" customHeight="1">
      <c r="A43" s="649"/>
      <c r="D43" s="648"/>
      <c r="F43" s="650"/>
      <c r="G43" s="648"/>
      <c r="H43" s="648"/>
      <c r="I43" s="648"/>
    </row>
    <row r="44" spans="1:10" ht="18" customHeight="1">
      <c r="A44" s="649"/>
      <c r="D44" s="648"/>
      <c r="F44" s="650"/>
      <c r="G44" s="648"/>
      <c r="H44" s="648"/>
      <c r="I44" s="648"/>
    </row>
    <row r="45" spans="1:10" ht="18" customHeight="1">
      <c r="A45" s="649"/>
      <c r="D45" s="648"/>
      <c r="F45" s="650"/>
      <c r="G45" s="648"/>
      <c r="H45" s="648"/>
      <c r="I45" s="648"/>
    </row>
    <row r="46" spans="1:10" ht="18" customHeight="1">
      <c r="A46" s="649"/>
      <c r="D46" s="648"/>
      <c r="F46" s="648"/>
      <c r="G46" s="648"/>
      <c r="H46" s="651"/>
      <c r="I46" s="648"/>
    </row>
    <row r="47" spans="1:10" ht="18" customHeight="1">
      <c r="A47" s="652"/>
      <c r="D47" s="648"/>
      <c r="F47" s="648"/>
      <c r="G47" s="648"/>
      <c r="H47" s="648"/>
      <c r="I47" s="648"/>
    </row>
    <row r="48" spans="1:10" ht="18" customHeight="1">
      <c r="A48" s="653"/>
      <c r="D48" s="648"/>
      <c r="F48" s="651"/>
      <c r="G48" s="648"/>
      <c r="H48" s="648"/>
      <c r="I48" s="648"/>
    </row>
    <row r="49" spans="1:9" ht="18" customHeight="1">
      <c r="A49" s="649"/>
      <c r="D49" s="648"/>
      <c r="F49" s="650"/>
      <c r="G49" s="648"/>
      <c r="H49" s="648"/>
      <c r="I49" s="648"/>
    </row>
    <row r="50" spans="1:9" ht="18" customHeight="1">
      <c r="A50" s="649"/>
      <c r="D50" s="648"/>
      <c r="F50" s="654"/>
      <c r="G50" s="648"/>
      <c r="H50" s="651"/>
      <c r="I50" s="648"/>
    </row>
    <row r="51" spans="1:9" ht="18" customHeight="1">
      <c r="A51" s="652"/>
      <c r="C51" s="647"/>
      <c r="D51" s="655"/>
      <c r="E51" s="647"/>
      <c r="G51" s="647"/>
      <c r="H51" s="655"/>
      <c r="I51" s="648"/>
    </row>
  </sheetData>
  <mergeCells count="3">
    <mergeCell ref="A26:J26"/>
    <mergeCell ref="A27:J27"/>
    <mergeCell ref="A28:J28"/>
  </mergeCells>
  <printOptions horizontalCentered="1"/>
  <pageMargins left="0.5" right="0.5" top="0.5" bottom="0.5" header="0" footer="0.25"/>
  <pageSetup scale="67" firstPageNumber="43" orientation="landscape" useFirstPageNumber="1" r:id="rId1"/>
  <headerFooter scaleWithDoc="0" alignWithMargins="0">
    <oddFooter>&amp;C&amp;8&amp;P</oddFooter>
  </headerFooter>
  <rowBreaks count="1" manualBreakCount="1">
    <brk id="69" max="16383" man="1"/>
  </rowBreaks>
  <customProperties>
    <customPr name="SheetOptions"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2">
    <pageSetUpPr fitToPage="1"/>
  </sheetPr>
  <dimension ref="A1:S87"/>
  <sheetViews>
    <sheetView showGridLines="0" zoomScaleNormal="100" workbookViewId="0"/>
  </sheetViews>
  <sheetFormatPr defaultColWidth="8.84375" defaultRowHeight="12.5"/>
  <cols>
    <col min="1" max="1" width="42" style="259" customWidth="1"/>
    <col min="2" max="2" width="2.07421875" style="259" customWidth="1"/>
    <col min="3" max="3" width="17.07421875" style="342" customWidth="1"/>
    <col min="4" max="4" width="2.07421875" style="342" customWidth="1"/>
    <col min="5" max="5" width="15.4609375" style="259" customWidth="1"/>
    <col min="6" max="6" width="2.07421875" style="259" customWidth="1"/>
    <col min="7" max="7" width="16.07421875" style="259" customWidth="1"/>
    <col min="8" max="8" width="2.07421875" style="259" customWidth="1"/>
    <col min="9" max="9" width="15.53515625" style="260" customWidth="1"/>
    <col min="10" max="10" width="2.07421875" style="259" customWidth="1"/>
    <col min="11" max="11" width="16.4609375" style="260" bestFit="1" customWidth="1"/>
    <col min="12" max="12" width="2.07421875" style="259" customWidth="1"/>
    <col min="13" max="13" width="17.07421875" style="342" customWidth="1"/>
    <col min="14" max="14" width="1.84375" style="259" customWidth="1"/>
    <col min="15" max="15" width="1.07421875" style="259" customWidth="1"/>
    <col min="16" max="16" width="2" style="259" customWidth="1"/>
    <col min="17" max="17" width="15.4609375" style="259" customWidth="1"/>
    <col min="18" max="18" width="2.07421875" style="259" customWidth="1"/>
    <col min="19" max="19" width="16.4609375" style="259" bestFit="1" customWidth="1"/>
    <col min="20" max="16384" width="8.84375" style="259"/>
  </cols>
  <sheetData>
    <row r="1" spans="1:19" ht="15.5">
      <c r="A1" s="386" t="s">
        <v>97</v>
      </c>
    </row>
    <row r="2" spans="1:19" ht="15.5">
      <c r="A2" s="265"/>
    </row>
    <row r="3" spans="1:19" ht="18">
      <c r="A3" s="258" t="s">
        <v>98</v>
      </c>
      <c r="S3" s="258" t="s">
        <v>802</v>
      </c>
    </row>
    <row r="4" spans="1:19" ht="18">
      <c r="A4" s="258" t="s">
        <v>540</v>
      </c>
      <c r="J4" s="259" t="s">
        <v>103</v>
      </c>
    </row>
    <row r="5" spans="1:19" ht="18">
      <c r="A5" s="258" t="s">
        <v>803</v>
      </c>
    </row>
    <row r="6" spans="1:19" ht="18">
      <c r="A6" s="567" t="str">
        <f>'Cashflow Governmental'!$A$6</f>
        <v>FISCAL YEAR 2026-2027</v>
      </c>
    </row>
    <row r="9" spans="1:19" ht="15.65" customHeight="1">
      <c r="C9" s="892"/>
      <c r="D9" s="548"/>
      <c r="E9" s="2072" t="s">
        <v>1417</v>
      </c>
      <c r="F9" s="2072"/>
      <c r="G9" s="2072"/>
      <c r="H9" s="1150"/>
      <c r="I9" s="1151" t="s">
        <v>804</v>
      </c>
      <c r="J9" s="1151"/>
      <c r="K9" s="1151"/>
      <c r="L9" s="1152"/>
      <c r="M9" s="1152"/>
      <c r="N9" s="1152"/>
      <c r="O9" s="1153"/>
      <c r="P9" s="1152"/>
      <c r="Q9" s="1151" t="s">
        <v>805</v>
      </c>
      <c r="R9" s="1151"/>
      <c r="S9" s="1151"/>
    </row>
    <row r="10" spans="1:19" ht="13">
      <c r="C10" s="549" t="s">
        <v>806</v>
      </c>
      <c r="D10" s="549"/>
      <c r="E10" s="1154"/>
      <c r="F10" s="548"/>
      <c r="G10" s="1155"/>
      <c r="H10" s="1152"/>
      <c r="I10" s="1155"/>
      <c r="J10" s="1155"/>
      <c r="K10" s="1155"/>
      <c r="L10" s="1152"/>
      <c r="M10" s="549" t="s">
        <v>806</v>
      </c>
      <c r="N10" s="1152"/>
      <c r="O10" s="1156"/>
      <c r="P10" s="1152"/>
    </row>
    <row r="11" spans="1:19" ht="13">
      <c r="C11" s="549" t="s">
        <v>807</v>
      </c>
      <c r="D11" s="549"/>
      <c r="E11" s="1155" t="s">
        <v>109</v>
      </c>
      <c r="F11" s="548"/>
      <c r="G11" s="550" t="str">
        <f>_xlfn.CONCAT(_xlfn.TEXTBEFORE('Exhibit A'!$F$11," ")," MONTHS ENDED")</f>
        <v>4 MONTHS ENDED</v>
      </c>
      <c r="H11" s="1152"/>
      <c r="I11" s="548" t="s">
        <v>808</v>
      </c>
      <c r="J11" s="1157" t="s">
        <v>103</v>
      </c>
      <c r="K11" s="548" t="str">
        <f>G11</f>
        <v>4 MONTHS ENDED</v>
      </c>
      <c r="L11" s="1152"/>
      <c r="M11" s="549" t="s">
        <v>807</v>
      </c>
      <c r="N11" s="1152"/>
      <c r="O11" s="1156"/>
      <c r="P11" s="1152"/>
      <c r="Q11" s="548" t="s">
        <v>808</v>
      </c>
      <c r="R11" s="1157" t="s">
        <v>103</v>
      </c>
      <c r="S11" s="548" t="str">
        <f>K11</f>
        <v>4 MONTHS ENDED</v>
      </c>
    </row>
    <row r="12" spans="1:19" ht="13">
      <c r="A12" s="1078" t="s">
        <v>809</v>
      </c>
      <c r="C12" s="1079" t="str">
        <f>'Cashflow Governmental'!$C$14&amp;" 1, "&amp;'Cashflow Governmental'!$C$13</f>
        <v>APRIL 1, 2026</v>
      </c>
      <c r="D12" s="1265"/>
      <c r="E12" s="1641" t="str">
        <f>_xlfn.TEXTBEFORE(Footnotes!$O$3," ")</f>
        <v>JULY</v>
      </c>
      <c r="F12" s="550"/>
      <c r="G12" s="1641" t="str">
        <f>_xlfn.TEXTAFTER('Exh D Governmental  '!A6," ",4)</f>
        <v>JULY 31, 2026</v>
      </c>
      <c r="H12" s="1152"/>
      <c r="I12" s="1641" t="str">
        <f>E12</f>
        <v>JULY</v>
      </c>
      <c r="J12" s="1152"/>
      <c r="K12" s="1158" t="str">
        <f>G12</f>
        <v>JULY 31, 2026</v>
      </c>
      <c r="L12" s="1152"/>
      <c r="M12" s="1158" t="str">
        <f>K12</f>
        <v>JULY 31, 2026</v>
      </c>
      <c r="N12" s="1152"/>
      <c r="O12" s="1156"/>
      <c r="P12" s="1152"/>
      <c r="Q12" s="1641" t="str">
        <f>E12</f>
        <v>JULY</v>
      </c>
      <c r="R12" s="1152"/>
      <c r="S12" s="1158" t="str">
        <f>M12</f>
        <v>JULY 31, 2026</v>
      </c>
    </row>
    <row r="13" spans="1:19">
      <c r="K13" s="1159"/>
      <c r="O13" s="1160"/>
    </row>
    <row r="14" spans="1:19" ht="13">
      <c r="A14" s="261" t="s">
        <v>810</v>
      </c>
      <c r="K14" s="1159"/>
      <c r="O14" s="1160"/>
      <c r="Q14" s="260"/>
    </row>
    <row r="15" spans="1:19" ht="12" customHeight="1">
      <c r="A15" s="261"/>
      <c r="K15" s="1159"/>
      <c r="M15" s="342" t="s">
        <v>103</v>
      </c>
      <c r="O15" s="1160"/>
      <c r="Q15" s="260"/>
    </row>
    <row r="16" spans="1:19">
      <c r="A16" s="259" t="s">
        <v>811</v>
      </c>
      <c r="B16" s="260"/>
      <c r="C16" s="1161">
        <v>2588605</v>
      </c>
      <c r="D16" s="1161"/>
      <c r="E16" s="1161">
        <v>0</v>
      </c>
      <c r="F16" s="559"/>
      <c r="G16" s="1161">
        <v>0</v>
      </c>
      <c r="H16" s="1161"/>
      <c r="I16" s="1161">
        <v>0</v>
      </c>
      <c r="J16" s="559"/>
      <c r="K16" s="1161">
        <v>0</v>
      </c>
      <c r="L16" s="559" t="s">
        <v>103</v>
      </c>
      <c r="M16" s="1161">
        <f>ROUND(SUM(C16)-SUM(K16)+SUM(G16),0)</f>
        <v>2588605</v>
      </c>
      <c r="O16" s="1160"/>
      <c r="P16" s="260"/>
      <c r="Q16" s="1161">
        <v>0</v>
      </c>
      <c r="R16" s="559"/>
      <c r="S16" s="1161">
        <v>0</v>
      </c>
    </row>
    <row r="17" spans="1:19">
      <c r="E17" s="1666"/>
      <c r="F17" s="1665"/>
      <c r="G17" s="1666"/>
      <c r="I17" s="1666"/>
      <c r="K17" s="1666"/>
      <c r="O17" s="1160"/>
      <c r="Q17" s="1666"/>
      <c r="S17" s="1666"/>
    </row>
    <row r="18" spans="1:19">
      <c r="A18" s="259" t="s">
        <v>812</v>
      </c>
      <c r="E18" s="260"/>
      <c r="F18" s="1665"/>
      <c r="G18" s="260"/>
      <c r="J18" s="260"/>
      <c r="O18" s="1160"/>
      <c r="Q18" s="260"/>
      <c r="R18" s="260"/>
      <c r="S18" s="260"/>
    </row>
    <row r="19" spans="1:19" ht="12" customHeight="1">
      <c r="A19" s="259" t="s">
        <v>813</v>
      </c>
      <c r="C19" s="890">
        <v>715890</v>
      </c>
      <c r="D19" s="890"/>
      <c r="E19" s="890">
        <v>0</v>
      </c>
      <c r="F19" s="1667"/>
      <c r="G19" s="890">
        <v>0</v>
      </c>
      <c r="H19" s="890"/>
      <c r="I19" s="584">
        <v>0</v>
      </c>
      <c r="J19" s="890"/>
      <c r="K19" s="584">
        <v>0</v>
      </c>
      <c r="L19" s="1667" t="s">
        <v>103</v>
      </c>
      <c r="M19" s="890">
        <f>ROUND(SUM(C19)-SUM(K19)+SUM(G19),0)</f>
        <v>715890</v>
      </c>
      <c r="O19" s="1160"/>
      <c r="P19" s="259" t="s">
        <v>103</v>
      </c>
      <c r="Q19" s="584">
        <v>0</v>
      </c>
      <c r="R19" s="890"/>
      <c r="S19" s="584">
        <v>0</v>
      </c>
    </row>
    <row r="20" spans="1:19">
      <c r="A20" s="259" t="s">
        <v>814</v>
      </c>
      <c r="C20" s="890">
        <v>162925882</v>
      </c>
      <c r="D20" s="890"/>
      <c r="E20" s="890">
        <v>0</v>
      </c>
      <c r="F20" s="1667"/>
      <c r="G20" s="890">
        <v>0</v>
      </c>
      <c r="H20" s="890"/>
      <c r="I20" s="584">
        <v>0</v>
      </c>
      <c r="J20" s="890"/>
      <c r="K20" s="584">
        <v>1420000</v>
      </c>
      <c r="L20" s="1667" t="s">
        <v>103</v>
      </c>
      <c r="M20" s="890">
        <f>ROUND(SUM(C20)-SUM(K20)+SUM(G20),0)</f>
        <v>161505882</v>
      </c>
      <c r="O20" s="1160"/>
      <c r="Q20" s="584">
        <v>0</v>
      </c>
      <c r="R20" s="890"/>
      <c r="S20" s="584">
        <v>35500</v>
      </c>
    </row>
    <row r="21" spans="1:19">
      <c r="A21" s="259" t="s">
        <v>815</v>
      </c>
      <c r="C21" s="890">
        <v>3540490</v>
      </c>
      <c r="D21" s="890"/>
      <c r="E21" s="890">
        <v>0</v>
      </c>
      <c r="F21" s="1667"/>
      <c r="G21" s="890">
        <v>0</v>
      </c>
      <c r="H21" s="890"/>
      <c r="I21" s="584">
        <v>0</v>
      </c>
      <c r="J21" s="890"/>
      <c r="K21" s="584">
        <v>0</v>
      </c>
      <c r="L21" s="1667" t="s">
        <v>103</v>
      </c>
      <c r="M21" s="890">
        <f>ROUND(SUM(C21)-SUM(K21)+SUM(G21),0)</f>
        <v>3540490</v>
      </c>
      <c r="O21" s="1160"/>
      <c r="Q21" s="584">
        <v>0</v>
      </c>
      <c r="R21" s="890"/>
      <c r="S21" s="584">
        <v>0</v>
      </c>
    </row>
    <row r="22" spans="1:19">
      <c r="A22" s="259" t="s">
        <v>816</v>
      </c>
      <c r="C22" s="890">
        <v>20996417</v>
      </c>
      <c r="D22" s="890"/>
      <c r="E22" s="890">
        <v>0</v>
      </c>
      <c r="F22" s="1667"/>
      <c r="G22" s="890">
        <v>0</v>
      </c>
      <c r="H22" s="890"/>
      <c r="I22" s="584">
        <v>0</v>
      </c>
      <c r="J22" s="890"/>
      <c r="K22" s="584">
        <v>0</v>
      </c>
      <c r="L22" s="1667" t="s">
        <v>103</v>
      </c>
      <c r="M22" s="890">
        <f>ROUND(SUM(C22)-SUM(K22)+SUM(G22),0)</f>
        <v>20996417</v>
      </c>
      <c r="O22" s="1160"/>
      <c r="Q22" s="584">
        <v>0</v>
      </c>
      <c r="R22" s="890"/>
      <c r="S22" s="584">
        <v>0</v>
      </c>
    </row>
    <row r="23" spans="1:19">
      <c r="C23" s="890"/>
      <c r="D23" s="890"/>
      <c r="E23" s="890"/>
      <c r="F23" s="1667"/>
      <c r="G23" s="890"/>
      <c r="H23" s="890"/>
      <c r="I23" s="584"/>
      <c r="J23" s="890"/>
      <c r="K23" s="890" t="s">
        <v>103</v>
      </c>
      <c r="L23" s="1667"/>
      <c r="M23" s="890"/>
      <c r="O23" s="1160"/>
      <c r="Q23" s="584"/>
      <c r="R23" s="890"/>
      <c r="S23" s="890" t="s">
        <v>103</v>
      </c>
    </row>
    <row r="24" spans="1:19">
      <c r="A24" s="259" t="s">
        <v>817</v>
      </c>
      <c r="C24" s="890" t="s">
        <v>103</v>
      </c>
      <c r="D24" s="890"/>
      <c r="E24" s="890" t="s">
        <v>103</v>
      </c>
      <c r="F24" s="890"/>
      <c r="G24" s="890" t="s">
        <v>103</v>
      </c>
      <c r="H24" s="890"/>
      <c r="I24" s="584"/>
      <c r="J24" s="890"/>
      <c r="K24" s="890" t="s">
        <v>103</v>
      </c>
      <c r="L24" s="890"/>
      <c r="M24" s="890" t="s">
        <v>103</v>
      </c>
      <c r="N24" s="584"/>
      <c r="O24" s="1954"/>
      <c r="P24" s="584"/>
      <c r="Q24" s="584"/>
      <c r="R24" s="890"/>
      <c r="S24" s="890" t="s">
        <v>103</v>
      </c>
    </row>
    <row r="25" spans="1:19">
      <c r="A25" s="259" t="s">
        <v>818</v>
      </c>
      <c r="C25" s="890">
        <v>0</v>
      </c>
      <c r="D25" s="890"/>
      <c r="E25" s="890">
        <v>0</v>
      </c>
      <c r="F25" s="890"/>
      <c r="G25" s="890">
        <v>0</v>
      </c>
      <c r="H25" s="890"/>
      <c r="I25" s="584">
        <v>0</v>
      </c>
      <c r="J25" s="890"/>
      <c r="K25" s="584">
        <v>0</v>
      </c>
      <c r="L25" s="890"/>
      <c r="M25" s="890">
        <f>ROUND(SUM(C25)-SUM(K25)+SUM(G25),0)</f>
        <v>0</v>
      </c>
      <c r="N25" s="584"/>
      <c r="O25" s="1954"/>
      <c r="P25" s="584"/>
      <c r="Q25" s="584">
        <v>0</v>
      </c>
      <c r="R25" s="890"/>
      <c r="S25" s="584">
        <v>0</v>
      </c>
    </row>
    <row r="26" spans="1:19">
      <c r="A26" s="259" t="s">
        <v>819</v>
      </c>
      <c r="C26" s="890">
        <v>3280968</v>
      </c>
      <c r="D26" s="890"/>
      <c r="E26" s="890">
        <v>0</v>
      </c>
      <c r="F26" s="890"/>
      <c r="G26" s="890">
        <v>0</v>
      </c>
      <c r="H26" s="890"/>
      <c r="I26" s="584">
        <v>0</v>
      </c>
      <c r="J26" s="890"/>
      <c r="K26" s="584">
        <v>0</v>
      </c>
      <c r="L26" s="890"/>
      <c r="M26" s="890">
        <f>ROUND(SUM(C26)-SUM(K26)+SUM(G26),0)</f>
        <v>3280968</v>
      </c>
      <c r="N26" s="584"/>
      <c r="O26" s="1954"/>
      <c r="P26" s="584"/>
      <c r="Q26" s="584">
        <v>0</v>
      </c>
      <c r="R26" s="890"/>
      <c r="S26" s="584">
        <v>0</v>
      </c>
    </row>
    <row r="27" spans="1:19">
      <c r="A27" s="259" t="s">
        <v>820</v>
      </c>
      <c r="C27" s="890">
        <v>349156</v>
      </c>
      <c r="D27" s="890"/>
      <c r="E27" s="890">
        <v>0</v>
      </c>
      <c r="F27" s="890"/>
      <c r="G27" s="890">
        <v>0</v>
      </c>
      <c r="H27" s="890"/>
      <c r="I27" s="584">
        <v>0</v>
      </c>
      <c r="J27" s="890"/>
      <c r="K27" s="584">
        <v>0</v>
      </c>
      <c r="L27" s="890"/>
      <c r="M27" s="890">
        <f>ROUND(SUM(C27)-SUM(K27)+SUM(G27),0)</f>
        <v>349156</v>
      </c>
      <c r="N27" s="584"/>
      <c r="O27" s="1954"/>
      <c r="P27" s="584"/>
      <c r="Q27" s="584">
        <v>0</v>
      </c>
      <c r="R27" s="890"/>
      <c r="S27" s="584">
        <v>0</v>
      </c>
    </row>
    <row r="28" spans="1:19">
      <c r="A28" s="259" t="s">
        <v>821</v>
      </c>
      <c r="C28" s="890">
        <v>390901</v>
      </c>
      <c r="D28" s="890"/>
      <c r="E28" s="890">
        <v>0</v>
      </c>
      <c r="F28" s="890"/>
      <c r="G28" s="890">
        <v>0</v>
      </c>
      <c r="H28" s="890"/>
      <c r="I28" s="584">
        <v>0</v>
      </c>
      <c r="J28" s="890"/>
      <c r="K28" s="584">
        <v>0</v>
      </c>
      <c r="L28" s="890"/>
      <c r="M28" s="890">
        <f>ROUND(SUM(C28)-SUM(K28)+SUM(G28),0)</f>
        <v>390901</v>
      </c>
      <c r="N28" s="584"/>
      <c r="O28" s="1954"/>
      <c r="P28" s="584"/>
      <c r="Q28" s="584">
        <v>0</v>
      </c>
      <c r="R28" s="890"/>
      <c r="S28" s="584">
        <v>0</v>
      </c>
    </row>
    <row r="29" spans="1:19">
      <c r="A29" s="259" t="s">
        <v>822</v>
      </c>
      <c r="C29" s="890">
        <v>0</v>
      </c>
      <c r="D29" s="890"/>
      <c r="E29" s="890">
        <v>0</v>
      </c>
      <c r="F29" s="890"/>
      <c r="G29" s="890">
        <v>0</v>
      </c>
      <c r="H29" s="890"/>
      <c r="I29" s="584">
        <v>0</v>
      </c>
      <c r="J29" s="890"/>
      <c r="K29" s="584">
        <v>0</v>
      </c>
      <c r="L29" s="890"/>
      <c r="M29" s="890">
        <f>ROUND(SUM(C29)-SUM(K29)+SUM(G29),0)</f>
        <v>0</v>
      </c>
      <c r="N29" s="584"/>
      <c r="O29" s="1954"/>
      <c r="P29" s="584"/>
      <c r="Q29" s="584">
        <v>0</v>
      </c>
      <c r="R29" s="890"/>
      <c r="S29" s="584">
        <v>0</v>
      </c>
    </row>
    <row r="30" spans="1:19">
      <c r="C30" s="890"/>
      <c r="D30" s="890"/>
      <c r="E30" s="890"/>
      <c r="F30" s="1667"/>
      <c r="G30" s="890"/>
      <c r="H30" s="890"/>
      <c r="I30" s="584"/>
      <c r="J30" s="890"/>
      <c r="K30" s="890" t="s">
        <v>103</v>
      </c>
      <c r="L30" s="1667"/>
      <c r="M30" s="890"/>
      <c r="O30" s="1160"/>
      <c r="Q30" s="584"/>
      <c r="R30" s="890"/>
      <c r="S30" s="890" t="s">
        <v>103</v>
      </c>
    </row>
    <row r="31" spans="1:19">
      <c r="A31" s="259" t="s">
        <v>823</v>
      </c>
      <c r="C31" s="890"/>
      <c r="D31" s="890"/>
      <c r="E31" s="584"/>
      <c r="F31" s="342"/>
      <c r="G31" s="584"/>
      <c r="H31" s="584"/>
      <c r="I31" s="584"/>
      <c r="J31" s="584"/>
      <c r="K31" s="890" t="s">
        <v>103</v>
      </c>
      <c r="L31" s="342"/>
      <c r="M31" s="890" t="s">
        <v>103</v>
      </c>
      <c r="O31" s="1160"/>
      <c r="Q31" s="584"/>
      <c r="R31" s="584"/>
      <c r="S31" s="890" t="s">
        <v>103</v>
      </c>
    </row>
    <row r="32" spans="1:19">
      <c r="A32" s="259" t="s">
        <v>824</v>
      </c>
      <c r="C32" s="890">
        <v>248019</v>
      </c>
      <c r="D32" s="890"/>
      <c r="E32" s="890">
        <v>0</v>
      </c>
      <c r="F32" s="1667"/>
      <c r="G32" s="890">
        <v>0</v>
      </c>
      <c r="H32" s="890"/>
      <c r="I32" s="584">
        <v>0</v>
      </c>
      <c r="J32" s="890"/>
      <c r="K32" s="584">
        <v>0</v>
      </c>
      <c r="L32" s="1667"/>
      <c r="M32" s="890">
        <f>ROUND(SUM(C32)-SUM(K32)+SUM(G32),0)</f>
        <v>248019</v>
      </c>
      <c r="O32" s="1160"/>
      <c r="Q32" s="584">
        <v>0</v>
      </c>
      <c r="R32" s="890"/>
      <c r="S32" s="584">
        <v>0</v>
      </c>
    </row>
    <row r="33" spans="1:19">
      <c r="C33" s="890"/>
      <c r="D33" s="890"/>
      <c r="E33" s="584"/>
      <c r="F33" s="342"/>
      <c r="G33" s="584"/>
      <c r="H33" s="584"/>
      <c r="I33" s="584"/>
      <c r="J33" s="584"/>
      <c r="K33" s="890" t="s">
        <v>103</v>
      </c>
      <c r="L33" s="342"/>
      <c r="M33" s="890" t="s">
        <v>103</v>
      </c>
      <c r="O33" s="1160"/>
      <c r="Q33" s="584"/>
      <c r="R33" s="584"/>
      <c r="S33" s="890" t="s">
        <v>103</v>
      </c>
    </row>
    <row r="34" spans="1:19">
      <c r="A34" s="259" t="s">
        <v>825</v>
      </c>
      <c r="C34" s="890"/>
      <c r="D34" s="890"/>
      <c r="E34" s="584"/>
      <c r="F34" s="342"/>
      <c r="G34" s="584"/>
      <c r="H34" s="584"/>
      <c r="I34" s="584"/>
      <c r="J34" s="584"/>
      <c r="K34" s="890" t="s">
        <v>103</v>
      </c>
      <c r="L34" s="342"/>
      <c r="M34" s="890" t="s">
        <v>103</v>
      </c>
      <c r="O34" s="1160"/>
      <c r="Q34" s="584"/>
      <c r="R34" s="584"/>
      <c r="S34" s="890" t="s">
        <v>103</v>
      </c>
    </row>
    <row r="35" spans="1:19">
      <c r="A35" s="259" t="s">
        <v>826</v>
      </c>
      <c r="C35" s="890">
        <v>629830</v>
      </c>
      <c r="D35" s="890"/>
      <c r="E35" s="890">
        <v>0</v>
      </c>
      <c r="F35" s="1667"/>
      <c r="G35" s="890">
        <v>0</v>
      </c>
      <c r="H35" s="890"/>
      <c r="I35" s="584">
        <v>0</v>
      </c>
      <c r="J35" s="890"/>
      <c r="K35" s="584">
        <v>0</v>
      </c>
      <c r="L35" s="1667"/>
      <c r="M35" s="890">
        <f>ROUND(SUM(C35)-SUM(K35)+SUM(G35),0)</f>
        <v>629830</v>
      </c>
      <c r="O35" s="1160"/>
      <c r="Q35" s="584">
        <v>0</v>
      </c>
      <c r="R35" s="890"/>
      <c r="S35" s="584">
        <v>0</v>
      </c>
    </row>
    <row r="36" spans="1:19">
      <c r="A36" s="259" t="s">
        <v>827</v>
      </c>
      <c r="C36" s="890">
        <v>1025931</v>
      </c>
      <c r="D36" s="890"/>
      <c r="E36" s="890">
        <v>0</v>
      </c>
      <c r="F36" s="1667"/>
      <c r="G36" s="890">
        <v>0</v>
      </c>
      <c r="H36" s="890"/>
      <c r="I36" s="584">
        <v>0</v>
      </c>
      <c r="J36" s="890" t="s">
        <v>103</v>
      </c>
      <c r="K36" s="584">
        <v>0</v>
      </c>
      <c r="L36" s="1667"/>
      <c r="M36" s="890">
        <f>ROUND(SUM(C36)-SUM(K36)+SUM(G36),0)</f>
        <v>1025931</v>
      </c>
      <c r="O36" s="1160"/>
      <c r="Q36" s="584">
        <v>0</v>
      </c>
      <c r="R36" s="890" t="s">
        <v>103</v>
      </c>
      <c r="S36" s="584">
        <v>0</v>
      </c>
    </row>
    <row r="37" spans="1:19">
      <c r="A37" s="259" t="s">
        <v>828</v>
      </c>
      <c r="C37" s="890">
        <v>3588863</v>
      </c>
      <c r="D37" s="890"/>
      <c r="E37" s="890">
        <v>0</v>
      </c>
      <c r="F37" s="1667"/>
      <c r="G37" s="890">
        <v>0</v>
      </c>
      <c r="H37" s="890"/>
      <c r="I37" s="584">
        <v>0</v>
      </c>
      <c r="J37" s="890"/>
      <c r="K37" s="584">
        <v>0</v>
      </c>
      <c r="L37" s="1667"/>
      <c r="M37" s="890">
        <f>ROUND(SUM(C37)-SUM(K37)+SUM(G37),0)</f>
        <v>3588863</v>
      </c>
      <c r="O37" s="1160"/>
      <c r="Q37" s="584">
        <v>0</v>
      </c>
      <c r="R37" s="890"/>
      <c r="S37" s="584">
        <v>0</v>
      </c>
    </row>
    <row r="38" spans="1:19">
      <c r="C38" s="890"/>
      <c r="D38" s="890"/>
      <c r="E38" s="584"/>
      <c r="F38" s="342"/>
      <c r="G38" s="584"/>
      <c r="H38" s="584"/>
      <c r="I38" s="584"/>
      <c r="J38" s="584"/>
      <c r="K38" s="890" t="s">
        <v>103</v>
      </c>
      <c r="L38" s="342"/>
      <c r="M38" s="890" t="s">
        <v>103</v>
      </c>
      <c r="O38" s="1160"/>
      <c r="Q38" s="584"/>
      <c r="R38" s="584"/>
      <c r="S38" s="890" t="s">
        <v>103</v>
      </c>
    </row>
    <row r="39" spans="1:19">
      <c r="A39" s="259" t="s">
        <v>829</v>
      </c>
      <c r="C39" s="890"/>
      <c r="D39" s="890"/>
      <c r="E39" s="584"/>
      <c r="F39" s="342"/>
      <c r="G39" s="584"/>
      <c r="H39" s="584"/>
      <c r="I39" s="584"/>
      <c r="J39" s="584"/>
      <c r="K39" s="890" t="s">
        <v>103</v>
      </c>
      <c r="L39" s="342"/>
      <c r="M39" s="890" t="s">
        <v>103</v>
      </c>
      <c r="O39" s="1160"/>
      <c r="Q39" s="584"/>
      <c r="R39" s="584"/>
      <c r="S39" s="890" t="s">
        <v>103</v>
      </c>
    </row>
    <row r="40" spans="1:19">
      <c r="A40" s="259" t="s">
        <v>830</v>
      </c>
      <c r="C40" s="890">
        <v>900274</v>
      </c>
      <c r="D40" s="890"/>
      <c r="E40" s="890">
        <v>0</v>
      </c>
      <c r="F40" s="1667"/>
      <c r="G40" s="890">
        <v>0</v>
      </c>
      <c r="H40" s="890"/>
      <c r="I40" s="584">
        <v>0</v>
      </c>
      <c r="J40" s="890"/>
      <c r="K40" s="584">
        <v>0</v>
      </c>
      <c r="L40" s="1667" t="s">
        <v>103</v>
      </c>
      <c r="M40" s="890">
        <f>ROUND(SUM(C40)-SUM(K40)+SUM(G40),0)</f>
        <v>900274</v>
      </c>
      <c r="O40" s="1160"/>
      <c r="Q40" s="584">
        <v>0</v>
      </c>
      <c r="R40" s="890"/>
      <c r="S40" s="584">
        <v>0</v>
      </c>
    </row>
    <row r="41" spans="1:19">
      <c r="A41" s="259" t="s">
        <v>831</v>
      </c>
      <c r="C41" s="890">
        <v>24881393</v>
      </c>
      <c r="D41" s="890"/>
      <c r="E41" s="890">
        <v>0</v>
      </c>
      <c r="F41" s="1667"/>
      <c r="G41" s="890">
        <v>0</v>
      </c>
      <c r="H41" s="890"/>
      <c r="I41" s="584">
        <v>0</v>
      </c>
      <c r="J41" s="890"/>
      <c r="K41" s="584">
        <v>0</v>
      </c>
      <c r="L41" s="1667"/>
      <c r="M41" s="890">
        <f>ROUND(SUM(C41)-SUM(K41)+SUM(G41),0)</f>
        <v>24881393</v>
      </c>
      <c r="O41" s="1160"/>
      <c r="Q41" s="584">
        <v>0</v>
      </c>
      <c r="R41" s="890"/>
      <c r="S41" s="584">
        <v>0</v>
      </c>
    </row>
    <row r="42" spans="1:19">
      <c r="C42" s="890"/>
      <c r="D42" s="890"/>
      <c r="E42" s="584"/>
      <c r="F42" s="342"/>
      <c r="G42" s="584"/>
      <c r="H42" s="584"/>
      <c r="I42" s="584"/>
      <c r="J42" s="584"/>
      <c r="K42" s="890" t="s">
        <v>103</v>
      </c>
      <c r="L42" s="342"/>
      <c r="M42" s="890" t="s">
        <v>103</v>
      </c>
      <c r="O42" s="1160"/>
      <c r="Q42" s="584"/>
      <c r="R42" s="584"/>
      <c r="S42" s="890" t="s">
        <v>103</v>
      </c>
    </row>
    <row r="43" spans="1:19">
      <c r="A43" s="259" t="s">
        <v>832</v>
      </c>
      <c r="C43" s="890"/>
      <c r="D43" s="890"/>
      <c r="E43" s="584"/>
      <c r="F43" s="342"/>
      <c r="G43" s="584"/>
      <c r="H43" s="584"/>
      <c r="I43" s="584"/>
      <c r="J43" s="584"/>
      <c r="K43" s="890" t="s">
        <v>103</v>
      </c>
      <c r="L43" s="342"/>
      <c r="M43" s="890" t="s">
        <v>103</v>
      </c>
      <c r="O43" s="1160"/>
      <c r="Q43" s="584"/>
      <c r="R43" s="584"/>
      <c r="S43" s="890" t="s">
        <v>103</v>
      </c>
    </row>
    <row r="44" spans="1:19">
      <c r="A44" s="259" t="s">
        <v>833</v>
      </c>
      <c r="C44" s="890">
        <v>0</v>
      </c>
      <c r="D44" s="890"/>
      <c r="E44" s="890">
        <v>0</v>
      </c>
      <c r="F44" s="1667"/>
      <c r="G44" s="890">
        <v>0</v>
      </c>
      <c r="H44" s="890"/>
      <c r="I44" s="584">
        <v>0</v>
      </c>
      <c r="J44" s="890"/>
      <c r="K44" s="584">
        <v>0</v>
      </c>
      <c r="L44" s="1667"/>
      <c r="M44" s="890">
        <f>ROUND(SUM(C44)-SUM(K44)+SUM(G44),0)</f>
        <v>0</v>
      </c>
      <c r="O44" s="1160"/>
      <c r="Q44" s="584">
        <v>0</v>
      </c>
      <c r="R44" s="890"/>
      <c r="S44" s="584">
        <v>0</v>
      </c>
    </row>
    <row r="45" spans="1:19">
      <c r="A45" s="259" t="s">
        <v>834</v>
      </c>
      <c r="C45" s="890">
        <v>0</v>
      </c>
      <c r="D45" s="890"/>
      <c r="E45" s="890">
        <v>0</v>
      </c>
      <c r="F45" s="1667"/>
      <c r="G45" s="890">
        <v>0</v>
      </c>
      <c r="H45" s="890"/>
      <c r="I45" s="584">
        <v>0</v>
      </c>
      <c r="J45" s="890"/>
      <c r="K45" s="584">
        <v>0</v>
      </c>
      <c r="L45" s="1667"/>
      <c r="M45" s="890">
        <f>ROUND(SUM(C45)-SUM(K45)+SUM(G45),0)</f>
        <v>0</v>
      </c>
      <c r="O45" s="1160"/>
      <c r="Q45" s="584">
        <v>0</v>
      </c>
      <c r="R45" s="890"/>
      <c r="S45" s="584">
        <v>0</v>
      </c>
    </row>
    <row r="46" spans="1:19">
      <c r="C46" s="890"/>
      <c r="D46" s="890"/>
      <c r="E46" s="584"/>
      <c r="F46" s="342"/>
      <c r="G46" s="584"/>
      <c r="H46" s="584"/>
      <c r="I46" s="584"/>
      <c r="J46" s="584"/>
      <c r="K46" s="890" t="s">
        <v>103</v>
      </c>
      <c r="L46" s="342"/>
      <c r="M46" s="890" t="s">
        <v>103</v>
      </c>
      <c r="O46" s="1160"/>
      <c r="Q46" s="584"/>
      <c r="R46" s="584"/>
      <c r="S46" s="890" t="s">
        <v>103</v>
      </c>
    </row>
    <row r="47" spans="1:19">
      <c r="A47" s="259" t="s">
        <v>835</v>
      </c>
      <c r="C47" s="890">
        <v>0</v>
      </c>
      <c r="D47" s="890"/>
      <c r="E47" s="890">
        <v>0</v>
      </c>
      <c r="F47" s="1667"/>
      <c r="G47" s="890">
        <v>0</v>
      </c>
      <c r="H47" s="890"/>
      <c r="I47" s="584">
        <v>0</v>
      </c>
      <c r="J47" s="890"/>
      <c r="K47" s="584">
        <v>0</v>
      </c>
      <c r="L47" s="1667"/>
      <c r="M47" s="890">
        <f>ROUND(SUM(C47)-SUM(K47)+SUM(G47),0)</f>
        <v>0</v>
      </c>
      <c r="O47" s="1160"/>
      <c r="Q47" s="584">
        <v>0</v>
      </c>
      <c r="R47" s="890"/>
      <c r="S47" s="584">
        <v>0</v>
      </c>
    </row>
    <row r="48" spans="1:19">
      <c r="C48" s="890"/>
      <c r="D48" s="890"/>
      <c r="E48" s="890"/>
      <c r="F48" s="1667"/>
      <c r="G48" s="890"/>
      <c r="H48" s="890"/>
      <c r="I48" s="584"/>
      <c r="J48" s="890"/>
      <c r="K48" s="890" t="s">
        <v>103</v>
      </c>
      <c r="L48" s="1667"/>
      <c r="M48" s="890" t="s">
        <v>103</v>
      </c>
      <c r="O48" s="1160"/>
      <c r="Q48" s="584"/>
      <c r="R48" s="890"/>
      <c r="S48" s="890" t="s">
        <v>103</v>
      </c>
    </row>
    <row r="49" spans="1:19">
      <c r="A49" s="259" t="s">
        <v>836</v>
      </c>
      <c r="C49" s="890">
        <v>13745254</v>
      </c>
      <c r="D49" s="890"/>
      <c r="E49" s="890">
        <v>0</v>
      </c>
      <c r="F49" s="1667"/>
      <c r="G49" s="890">
        <v>0</v>
      </c>
      <c r="H49" s="890"/>
      <c r="I49" s="584">
        <v>0</v>
      </c>
      <c r="J49" s="890"/>
      <c r="K49" s="584">
        <v>0</v>
      </c>
      <c r="L49" s="1667"/>
      <c r="M49" s="890">
        <f>ROUND(SUM(C49)-SUM(K49)+SUM(G49),0)</f>
        <v>13745254</v>
      </c>
      <c r="O49" s="1160"/>
      <c r="Q49" s="584">
        <v>0</v>
      </c>
      <c r="R49" s="890"/>
      <c r="S49" s="584">
        <v>37625</v>
      </c>
    </row>
    <row r="50" spans="1:19">
      <c r="C50" s="890"/>
      <c r="D50" s="890"/>
      <c r="E50" s="890"/>
      <c r="F50" s="1667"/>
      <c r="G50" s="890"/>
      <c r="H50" s="890"/>
      <c r="I50" s="584"/>
      <c r="J50" s="890"/>
      <c r="K50" s="890" t="s">
        <v>103</v>
      </c>
      <c r="L50" s="1667"/>
      <c r="M50" s="890" t="s">
        <v>103</v>
      </c>
      <c r="O50" s="1160"/>
      <c r="Q50" s="584"/>
      <c r="R50" s="890"/>
      <c r="S50" s="890" t="s">
        <v>103</v>
      </c>
    </row>
    <row r="51" spans="1:19">
      <c r="A51" s="259" t="s">
        <v>837</v>
      </c>
      <c r="C51" s="890">
        <v>0</v>
      </c>
      <c r="D51" s="890"/>
      <c r="E51" s="890">
        <v>0</v>
      </c>
      <c r="F51" s="1667"/>
      <c r="G51" s="890">
        <v>0</v>
      </c>
      <c r="H51" s="890"/>
      <c r="I51" s="584">
        <v>0</v>
      </c>
      <c r="J51" s="890"/>
      <c r="K51" s="584">
        <v>0</v>
      </c>
      <c r="L51" s="1667"/>
      <c r="M51" s="890">
        <f>ROUND(SUM(C51)-SUM(K51)+SUM(G51),0)</f>
        <v>0</v>
      </c>
      <c r="O51" s="1160"/>
      <c r="Q51" s="584">
        <v>0</v>
      </c>
      <c r="R51" s="890"/>
      <c r="S51" s="584">
        <v>0</v>
      </c>
    </row>
    <row r="52" spans="1:19">
      <c r="C52" s="890"/>
      <c r="D52" s="890"/>
      <c r="E52" s="890"/>
      <c r="F52" s="1667"/>
      <c r="G52" s="890"/>
      <c r="H52" s="890"/>
      <c r="I52" s="584"/>
      <c r="J52" s="890"/>
      <c r="K52" s="890" t="s">
        <v>103</v>
      </c>
      <c r="L52" s="1667"/>
      <c r="M52" s="890" t="s">
        <v>103</v>
      </c>
      <c r="O52" s="1160"/>
      <c r="Q52" s="584"/>
      <c r="R52" s="890"/>
      <c r="S52" s="890" t="s">
        <v>103</v>
      </c>
    </row>
    <row r="53" spans="1:19">
      <c r="A53" s="259" t="s">
        <v>838</v>
      </c>
      <c r="C53" s="890"/>
      <c r="D53" s="890"/>
      <c r="E53" s="1162"/>
      <c r="F53" s="1668"/>
      <c r="G53" s="1162"/>
      <c r="H53" s="1162"/>
      <c r="I53" s="584"/>
      <c r="J53" s="1162"/>
      <c r="K53" s="890" t="s">
        <v>103</v>
      </c>
      <c r="L53" s="1668"/>
      <c r="M53" s="890" t="s">
        <v>103</v>
      </c>
      <c r="O53" s="1160"/>
      <c r="Q53" s="584"/>
      <c r="R53" s="1162"/>
      <c r="S53" s="890" t="s">
        <v>103</v>
      </c>
    </row>
    <row r="54" spans="1:19">
      <c r="A54" s="259" t="s">
        <v>839</v>
      </c>
      <c r="C54" s="890">
        <v>297580623</v>
      </c>
      <c r="D54" s="890"/>
      <c r="E54" s="890">
        <v>0</v>
      </c>
      <c r="F54" s="1668"/>
      <c r="G54" s="890">
        <v>0</v>
      </c>
      <c r="H54" s="1162"/>
      <c r="I54" s="584">
        <v>0</v>
      </c>
      <c r="J54" s="1162"/>
      <c r="K54" s="584">
        <v>0</v>
      </c>
      <c r="L54" s="1668" t="s">
        <v>103</v>
      </c>
      <c r="M54" s="890">
        <f t="shared" ref="M54:M59" si="0">ROUND(SUM(C54)-SUM(K54)+SUM(G54),0)</f>
        <v>297580623</v>
      </c>
      <c r="O54" s="1160"/>
      <c r="Q54" s="584">
        <v>0</v>
      </c>
      <c r="R54" s="1162"/>
      <c r="S54" s="584">
        <v>0</v>
      </c>
    </row>
    <row r="55" spans="1:19">
      <c r="A55" s="259" t="s">
        <v>840</v>
      </c>
      <c r="C55" s="890">
        <v>1215362</v>
      </c>
      <c r="D55" s="890"/>
      <c r="E55" s="890">
        <v>0</v>
      </c>
      <c r="F55" s="1668"/>
      <c r="G55" s="890">
        <v>0</v>
      </c>
      <c r="H55" s="1162"/>
      <c r="I55" s="584">
        <v>0</v>
      </c>
      <c r="J55" s="1162" t="s">
        <v>103</v>
      </c>
      <c r="K55" s="584">
        <v>0</v>
      </c>
      <c r="L55" s="1668"/>
      <c r="M55" s="890">
        <f t="shared" si="0"/>
        <v>1215362</v>
      </c>
      <c r="O55" s="1160"/>
      <c r="Q55" s="584">
        <v>0</v>
      </c>
      <c r="R55" s="1162" t="s">
        <v>103</v>
      </c>
      <c r="S55" s="584">
        <v>0</v>
      </c>
    </row>
    <row r="56" spans="1:19">
      <c r="A56" s="259" t="s">
        <v>841</v>
      </c>
      <c r="C56" s="890">
        <v>31147290</v>
      </c>
      <c r="D56" s="890"/>
      <c r="E56" s="890">
        <v>0</v>
      </c>
      <c r="F56" s="1668"/>
      <c r="G56" s="890">
        <v>0</v>
      </c>
      <c r="H56" s="1162"/>
      <c r="I56" s="584">
        <v>0</v>
      </c>
      <c r="J56" s="1162"/>
      <c r="K56" s="584">
        <v>0</v>
      </c>
      <c r="L56" s="1668"/>
      <c r="M56" s="890">
        <f t="shared" si="0"/>
        <v>31147290</v>
      </c>
      <c r="O56" s="1160"/>
      <c r="Q56" s="584">
        <v>0</v>
      </c>
      <c r="R56" s="1162"/>
      <c r="S56" s="584">
        <v>0</v>
      </c>
    </row>
    <row r="57" spans="1:19">
      <c r="A57" s="259" t="s">
        <v>842</v>
      </c>
      <c r="C57" s="890">
        <v>58504297</v>
      </c>
      <c r="D57" s="890"/>
      <c r="E57" s="890">
        <v>0</v>
      </c>
      <c r="F57" s="1668"/>
      <c r="G57" s="890">
        <v>0</v>
      </c>
      <c r="H57" s="1162"/>
      <c r="I57" s="584">
        <v>0</v>
      </c>
      <c r="J57" s="1162"/>
      <c r="K57" s="584">
        <v>0</v>
      </c>
      <c r="L57" s="1668"/>
      <c r="M57" s="890">
        <f t="shared" si="0"/>
        <v>58504297</v>
      </c>
      <c r="O57" s="1160"/>
      <c r="Q57" s="584">
        <v>0</v>
      </c>
      <c r="R57" s="1162"/>
      <c r="S57" s="584">
        <v>0</v>
      </c>
    </row>
    <row r="58" spans="1:19">
      <c r="A58" s="259" t="s">
        <v>843</v>
      </c>
      <c r="C58" s="890">
        <v>4887044</v>
      </c>
      <c r="D58" s="890"/>
      <c r="E58" s="890">
        <v>0</v>
      </c>
      <c r="F58" s="1668"/>
      <c r="G58" s="890">
        <v>0</v>
      </c>
      <c r="H58" s="1162"/>
      <c r="I58" s="584">
        <v>0</v>
      </c>
      <c r="J58" s="1162"/>
      <c r="K58" s="584">
        <v>0</v>
      </c>
      <c r="L58" s="1668"/>
      <c r="M58" s="890">
        <f t="shared" si="0"/>
        <v>4887044</v>
      </c>
      <c r="O58" s="1160"/>
      <c r="Q58" s="584">
        <v>0</v>
      </c>
      <c r="R58" s="1162"/>
      <c r="S58" s="584">
        <v>0</v>
      </c>
    </row>
    <row r="59" spans="1:19">
      <c r="A59" s="259" t="s">
        <v>844</v>
      </c>
      <c r="C59" s="890">
        <v>768138160</v>
      </c>
      <c r="D59" s="890"/>
      <c r="E59" s="890">
        <v>0</v>
      </c>
      <c r="F59" s="1667"/>
      <c r="G59" s="890">
        <v>0</v>
      </c>
      <c r="H59" s="890"/>
      <c r="I59" s="584">
        <v>0</v>
      </c>
      <c r="J59" s="890" t="s">
        <v>103</v>
      </c>
      <c r="K59" s="584">
        <v>0</v>
      </c>
      <c r="L59" s="1667"/>
      <c r="M59" s="890">
        <f t="shared" si="0"/>
        <v>768138160</v>
      </c>
      <c r="O59" s="1160"/>
      <c r="Q59" s="584">
        <v>0</v>
      </c>
      <c r="R59" s="890" t="s">
        <v>103</v>
      </c>
      <c r="S59" s="584">
        <v>0</v>
      </c>
    </row>
    <row r="60" spans="1:19">
      <c r="C60" s="890"/>
      <c r="D60" s="890"/>
      <c r="E60" s="890"/>
      <c r="F60" s="1667"/>
      <c r="G60" s="890"/>
      <c r="H60" s="890"/>
      <c r="I60" s="584"/>
      <c r="J60" s="890"/>
      <c r="K60" s="890" t="s">
        <v>103</v>
      </c>
      <c r="L60" s="1667"/>
      <c r="M60" s="890" t="s">
        <v>103</v>
      </c>
      <c r="O60" s="1160"/>
      <c r="Q60" s="584"/>
      <c r="R60" s="890"/>
      <c r="S60" s="890" t="s">
        <v>103</v>
      </c>
    </row>
    <row r="61" spans="1:19">
      <c r="A61" s="259" t="s">
        <v>845</v>
      </c>
      <c r="C61" s="890"/>
      <c r="D61" s="890"/>
      <c r="E61" s="890"/>
      <c r="F61" s="1667"/>
      <c r="G61" s="890"/>
      <c r="H61" s="890"/>
      <c r="I61" s="584" t="s">
        <v>103</v>
      </c>
      <c r="J61" s="890"/>
      <c r="K61" s="890" t="s">
        <v>103</v>
      </c>
      <c r="L61" s="1667"/>
      <c r="M61" s="890" t="s">
        <v>103</v>
      </c>
      <c r="O61" s="1160"/>
      <c r="Q61" s="584"/>
      <c r="R61" s="890"/>
      <c r="S61" s="890" t="s">
        <v>103</v>
      </c>
    </row>
    <row r="62" spans="1:19">
      <c r="A62" s="259" t="s">
        <v>846</v>
      </c>
      <c r="C62" s="890">
        <v>0</v>
      </c>
      <c r="D62" s="890"/>
      <c r="E62" s="890">
        <v>0</v>
      </c>
      <c r="F62" s="1667"/>
      <c r="G62" s="890">
        <v>0</v>
      </c>
      <c r="H62" s="890"/>
      <c r="I62" s="584">
        <v>0</v>
      </c>
      <c r="J62" s="890"/>
      <c r="K62" s="584">
        <v>0</v>
      </c>
      <c r="L62" s="1667"/>
      <c r="M62" s="890">
        <f>ROUND(SUM(C62)-SUM(K62)+SUM(G62),0)</f>
        <v>0</v>
      </c>
      <c r="O62" s="1160"/>
      <c r="Q62" s="584">
        <v>0</v>
      </c>
      <c r="R62" s="890"/>
      <c r="S62" s="584">
        <v>0</v>
      </c>
    </row>
    <row r="63" spans="1:19">
      <c r="A63" s="375" t="s">
        <v>847</v>
      </c>
      <c r="C63" s="890">
        <v>0</v>
      </c>
      <c r="D63" s="890"/>
      <c r="E63" s="890">
        <v>0</v>
      </c>
      <c r="F63" s="1667"/>
      <c r="G63" s="890">
        <v>0</v>
      </c>
      <c r="H63" s="890"/>
      <c r="I63" s="584">
        <v>0</v>
      </c>
      <c r="J63" s="890"/>
      <c r="K63" s="584">
        <v>0</v>
      </c>
      <c r="L63" s="1667"/>
      <c r="M63" s="890">
        <f>ROUND(SUM(C63)-SUM(K63)+SUM(G63),0)</f>
        <v>0</v>
      </c>
      <c r="O63" s="1160"/>
      <c r="Q63" s="584">
        <v>0</v>
      </c>
      <c r="R63" s="890"/>
      <c r="S63" s="584">
        <v>0</v>
      </c>
    </row>
    <row r="64" spans="1:19" ht="13.5" customHeight="1">
      <c r="C64" s="890"/>
      <c r="D64" s="890"/>
      <c r="E64" s="890"/>
      <c r="F64" s="1667"/>
      <c r="G64" s="890"/>
      <c r="H64" s="890"/>
      <c r="I64" s="584" t="s">
        <v>103</v>
      </c>
      <c r="J64" s="890"/>
      <c r="K64" s="890" t="s">
        <v>103</v>
      </c>
      <c r="L64" s="1667"/>
      <c r="M64" s="890" t="s">
        <v>103</v>
      </c>
      <c r="O64" s="1160"/>
      <c r="Q64" s="584"/>
      <c r="R64" s="890"/>
      <c r="S64" s="890" t="s">
        <v>103</v>
      </c>
    </row>
    <row r="65" spans="1:19">
      <c r="A65" s="259" t="s">
        <v>848</v>
      </c>
      <c r="C65" s="890">
        <v>648074351</v>
      </c>
      <c r="D65" s="890"/>
      <c r="E65" s="890">
        <v>0</v>
      </c>
      <c r="F65" s="1667"/>
      <c r="G65" s="890">
        <v>0</v>
      </c>
      <c r="H65" s="890"/>
      <c r="I65" s="584">
        <v>0</v>
      </c>
      <c r="J65" s="890"/>
      <c r="K65" s="584">
        <v>0</v>
      </c>
      <c r="L65" s="1667"/>
      <c r="M65" s="890">
        <f>ROUND(SUM(C65)-SUM(K65)+SUM(G65),0)</f>
        <v>648074351</v>
      </c>
      <c r="O65" s="1160"/>
      <c r="Q65" s="584">
        <v>0</v>
      </c>
      <c r="R65" s="890"/>
      <c r="S65" s="584">
        <v>0</v>
      </c>
    </row>
    <row r="66" spans="1:19" ht="13.5" customHeight="1">
      <c r="C66" s="890"/>
      <c r="D66" s="890"/>
      <c r="E66" s="890"/>
      <c r="F66" s="1667"/>
      <c r="G66" s="890"/>
      <c r="H66" s="890"/>
      <c r="I66" s="584"/>
      <c r="J66" s="890"/>
      <c r="K66" s="890" t="s">
        <v>103</v>
      </c>
      <c r="L66" s="1667"/>
      <c r="M66" s="890" t="s">
        <v>103</v>
      </c>
      <c r="O66" s="1160"/>
      <c r="Q66" s="584"/>
      <c r="R66" s="890"/>
      <c r="S66" s="890" t="s">
        <v>103</v>
      </c>
    </row>
    <row r="67" spans="1:19" ht="15" customHeight="1" thickBot="1">
      <c r="A67" s="261" t="s">
        <v>849</v>
      </c>
      <c r="B67" s="568"/>
      <c r="C67" s="891">
        <f>ROUND(SUM(C16:C66),2)</f>
        <v>2049355000</v>
      </c>
      <c r="D67" s="1266" t="s">
        <v>103</v>
      </c>
      <c r="E67" s="891">
        <f>ROUND(SUM(E16:E66),2)</f>
        <v>0</v>
      </c>
      <c r="F67" s="1669"/>
      <c r="G67" s="891">
        <f>ROUND(SUM(G16:G66),2)</f>
        <v>0</v>
      </c>
      <c r="H67" s="568"/>
      <c r="I67" s="891">
        <f>ROUND(SUM(I16:I66),2)</f>
        <v>0</v>
      </c>
      <c r="J67" s="568"/>
      <c r="K67" s="891">
        <f>ROUND(SUM(K16:K66),0)</f>
        <v>1420000</v>
      </c>
      <c r="L67" s="568"/>
      <c r="M67" s="891">
        <f>ROUND(SUM(M16:M66),2)</f>
        <v>2047935000</v>
      </c>
      <c r="N67" s="261"/>
      <c r="O67" s="1670"/>
      <c r="P67" s="568"/>
      <c r="Q67" s="891">
        <f>ROUND(SUM(Q16:Q66),2)</f>
        <v>0</v>
      </c>
      <c r="R67" s="568"/>
      <c r="S67" s="891">
        <f>ROUND(SUM(S16:S66),0)</f>
        <v>73125</v>
      </c>
    </row>
    <row r="68" spans="1:19" ht="15" customHeight="1" thickTop="1">
      <c r="A68" s="569"/>
      <c r="B68" s="570"/>
      <c r="C68" s="358"/>
      <c r="D68" s="358"/>
      <c r="E68" s="1672"/>
      <c r="F68" s="1671"/>
      <c r="G68" s="1672"/>
      <c r="H68" s="570"/>
      <c r="I68" s="1671"/>
      <c r="J68" s="570"/>
      <c r="K68" s="1673"/>
      <c r="L68" s="570"/>
      <c r="M68" s="358"/>
      <c r="N68" s="261"/>
      <c r="O68" s="261"/>
      <c r="P68" s="570"/>
      <c r="Q68" s="1674"/>
      <c r="R68" s="570"/>
      <c r="S68" s="1671"/>
    </row>
    <row r="69" spans="1:19">
      <c r="A69" s="940"/>
      <c r="E69" s="342"/>
      <c r="G69" s="342"/>
      <c r="I69" s="259"/>
      <c r="K69" s="1161" t="s">
        <v>103</v>
      </c>
      <c r="P69" s="306"/>
    </row>
    <row r="70" spans="1:19">
      <c r="A70" s="306"/>
      <c r="G70" s="342"/>
      <c r="H70" s="1675"/>
      <c r="I70" s="584"/>
      <c r="J70" s="1675"/>
      <c r="K70" s="1161"/>
      <c r="L70" s="305"/>
      <c r="P70" s="305"/>
      <c r="Q70" s="559"/>
      <c r="R70" s="1665"/>
      <c r="S70" s="559"/>
    </row>
    <row r="71" spans="1:19">
      <c r="A71" s="263"/>
      <c r="C71" s="342" t="s">
        <v>103</v>
      </c>
      <c r="E71" s="1676"/>
      <c r="G71" s="1163"/>
      <c r="I71" s="584"/>
      <c r="K71" s="1666" t="s">
        <v>103</v>
      </c>
      <c r="Q71" s="1665"/>
      <c r="S71" s="1665"/>
    </row>
    <row r="72" spans="1:19">
      <c r="C72" s="342" t="s">
        <v>103</v>
      </c>
      <c r="I72" s="584"/>
      <c r="K72" s="1677"/>
      <c r="Q72" s="306"/>
    </row>
    <row r="73" spans="1:19">
      <c r="E73" s="1678"/>
      <c r="F73" s="1665"/>
      <c r="G73" s="1678"/>
      <c r="I73" s="584"/>
      <c r="K73" s="1666" t="s">
        <v>103</v>
      </c>
      <c r="M73" s="1679"/>
      <c r="Q73" s="1680"/>
      <c r="S73" s="1665"/>
    </row>
    <row r="74" spans="1:19">
      <c r="C74" s="342" t="s">
        <v>103</v>
      </c>
      <c r="E74" s="1678"/>
      <c r="F74" s="1665"/>
      <c r="G74" s="305"/>
      <c r="I74" s="584"/>
      <c r="K74" s="1666"/>
      <c r="M74" s="1681"/>
      <c r="Q74" s="305"/>
      <c r="S74" s="1665"/>
    </row>
    <row r="75" spans="1:19">
      <c r="E75" s="1678"/>
      <c r="F75" s="1665"/>
      <c r="G75" s="1665"/>
      <c r="I75" s="1666"/>
      <c r="K75" s="1666"/>
      <c r="Q75" s="1682"/>
      <c r="S75" s="1665"/>
    </row>
    <row r="76" spans="1:19">
      <c r="E76" s="1678"/>
      <c r="F76" s="1665"/>
      <c r="G76" s="1678"/>
      <c r="I76" s="1666"/>
      <c r="K76" s="1666"/>
      <c r="M76" s="1679"/>
      <c r="Q76" s="1680"/>
      <c r="S76" s="1665"/>
    </row>
    <row r="77" spans="1:19">
      <c r="E77" s="1678"/>
      <c r="F77" s="1665"/>
      <c r="G77" s="1678"/>
      <c r="I77" s="1666"/>
      <c r="K77" s="1666"/>
      <c r="M77" s="1679"/>
      <c r="Q77" s="1680"/>
      <c r="S77" s="1665"/>
    </row>
    <row r="78" spans="1:19">
      <c r="E78" s="1678"/>
      <c r="F78" s="1665"/>
      <c r="G78" s="305"/>
      <c r="I78" s="1666"/>
      <c r="K78" s="1666"/>
      <c r="M78" s="1681"/>
      <c r="Q78" s="305"/>
      <c r="S78" s="1665"/>
    </row>
    <row r="79" spans="1:19">
      <c r="E79" s="1678"/>
      <c r="F79" s="1665"/>
      <c r="G79" s="1665"/>
      <c r="I79" s="1666"/>
      <c r="K79" s="1666"/>
      <c r="Q79" s="1682"/>
      <c r="S79" s="1665"/>
    </row>
    <row r="80" spans="1:19">
      <c r="E80" s="1678"/>
      <c r="F80" s="1665"/>
      <c r="G80" s="1678"/>
      <c r="I80" s="1666"/>
      <c r="K80" s="1666"/>
      <c r="M80" s="1679"/>
      <c r="Q80" s="1680"/>
      <c r="S80" s="1665"/>
    </row>
    <row r="81" spans="1:19" ht="13">
      <c r="C81" s="358"/>
      <c r="D81" s="358"/>
      <c r="E81" s="1672"/>
      <c r="F81" s="262"/>
      <c r="G81" s="1672"/>
      <c r="H81" s="261"/>
      <c r="I81" s="1683"/>
      <c r="J81" s="261"/>
      <c r="K81" s="1683"/>
      <c r="L81" s="261"/>
      <c r="M81" s="1684"/>
      <c r="N81" s="261"/>
      <c r="O81" s="261"/>
      <c r="P81" s="261"/>
      <c r="Q81" s="1672"/>
      <c r="R81" s="261"/>
      <c r="S81" s="262"/>
    </row>
    <row r="82" spans="1:19" ht="13">
      <c r="A82" s="261"/>
      <c r="C82" s="358"/>
      <c r="D82" s="358"/>
      <c r="E82" s="262"/>
      <c r="F82" s="262"/>
      <c r="G82" s="262"/>
      <c r="H82" s="261"/>
      <c r="I82" s="1683"/>
      <c r="J82" s="261"/>
      <c r="K82" s="1683"/>
      <c r="L82" s="261"/>
      <c r="M82" s="358"/>
      <c r="N82" s="261"/>
      <c r="O82" s="261"/>
      <c r="P82" s="261"/>
      <c r="Q82" s="262"/>
      <c r="R82" s="261"/>
      <c r="S82" s="262"/>
    </row>
    <row r="83" spans="1:19" ht="13">
      <c r="A83" s="261"/>
    </row>
    <row r="84" spans="1:19">
      <c r="C84" s="893"/>
      <c r="D84" s="893"/>
      <c r="F84" s="306"/>
    </row>
    <row r="85" spans="1:19">
      <c r="C85" s="894"/>
      <c r="D85" s="894"/>
      <c r="F85" s="263"/>
    </row>
    <row r="86" spans="1:19">
      <c r="E86" s="1164"/>
      <c r="G86" s="1165"/>
    </row>
    <row r="87" spans="1:19">
      <c r="E87" s="1166"/>
      <c r="G87" s="1163"/>
    </row>
  </sheetData>
  <mergeCells count="1">
    <mergeCell ref="E9:G9"/>
  </mergeCells>
  <printOptions horizontalCentered="1"/>
  <pageMargins left="0.5" right="0.5" top="0.5" bottom="0.25" header="0.3" footer="0.3"/>
  <pageSetup scale="56" firstPageNumber="44" orientation="landscape" useFirstPageNumber="1" r:id="rId1"/>
  <headerFooter scaleWithDoc="0" alignWithMargins="0">
    <oddFooter>&amp;C&amp;8&amp;P</oddFooter>
  </headerFooter>
  <rowBreaks count="1" manualBreakCount="1">
    <brk id="2" max="21" man="1"/>
  </rowBreaks>
  <customProperties>
    <customPr name="SheetOptions"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7"/>
  <dimension ref="A1:Y73"/>
  <sheetViews>
    <sheetView showGridLines="0" zoomScale="80" workbookViewId="0"/>
  </sheetViews>
  <sheetFormatPr defaultColWidth="8.84375" defaultRowHeight="15.5"/>
  <cols>
    <col min="1" max="1" width="3.84375" style="572" customWidth="1"/>
    <col min="2" max="2" width="43.84375" style="572" customWidth="1"/>
    <col min="3" max="3" width="2.07421875" style="572" customWidth="1"/>
    <col min="4" max="4" width="16.84375" style="572" customWidth="1"/>
    <col min="5" max="5" width="2.07421875" style="572" customWidth="1"/>
    <col min="6" max="6" width="16.84375" style="572" customWidth="1"/>
    <col min="7" max="7" width="2.07421875" style="572" customWidth="1"/>
    <col min="8" max="8" width="16.84375" style="572" customWidth="1"/>
    <col min="9" max="9" width="2.07421875" style="572" customWidth="1"/>
    <col min="10" max="10" width="16.84375" style="572" customWidth="1"/>
    <col min="11" max="11" width="2.07421875" style="572" customWidth="1"/>
    <col min="12" max="12" width="16.84375" style="572" customWidth="1"/>
    <col min="13" max="13" width="2.07421875" style="572" customWidth="1"/>
    <col min="14" max="14" width="16.84375" style="572" customWidth="1"/>
    <col min="15" max="15" width="2.07421875" style="572" customWidth="1"/>
    <col min="16" max="16" width="16.84375" style="572" customWidth="1"/>
    <col min="17" max="17" width="2.07421875" style="572" customWidth="1"/>
    <col min="18" max="18" width="16.84375" style="572" customWidth="1"/>
    <col min="19" max="19" width="17.07421875" style="572" customWidth="1"/>
    <col min="20" max="20" width="18.53515625" style="572" customWidth="1"/>
    <col min="21" max="21" width="35.07421875" style="572" bestFit="1" customWidth="1"/>
    <col min="22" max="16384" width="8.84375" style="572"/>
  </cols>
  <sheetData>
    <row r="1" spans="1:19">
      <c r="B1" s="386" t="s">
        <v>97</v>
      </c>
    </row>
    <row r="2" spans="1:19">
      <c r="B2" s="1581"/>
      <c r="C2" s="1581"/>
      <c r="D2" s="1581"/>
      <c r="E2" s="1581"/>
      <c r="F2" s="1581"/>
      <c r="G2" s="1581"/>
      <c r="H2" s="1581"/>
      <c r="I2" s="1581"/>
      <c r="J2" s="1581"/>
      <c r="K2" s="1581"/>
      <c r="L2" s="1581"/>
      <c r="M2" s="1581"/>
      <c r="N2" s="1581"/>
      <c r="O2" s="1581"/>
      <c r="P2" s="1581"/>
      <c r="Q2" s="1581"/>
      <c r="R2" s="1581"/>
      <c r="S2" s="1581"/>
    </row>
    <row r="3" spans="1:19">
      <c r="A3" s="571"/>
      <c r="B3" s="1582" t="s">
        <v>98</v>
      </c>
      <c r="C3" s="1582"/>
      <c r="D3" s="1582"/>
      <c r="E3" s="1582"/>
      <c r="F3" s="1581"/>
      <c r="G3" s="1581"/>
      <c r="H3" s="1581"/>
      <c r="I3" s="1581"/>
      <c r="J3" s="1581"/>
      <c r="K3" s="1581"/>
      <c r="L3" s="1581"/>
      <c r="M3" s="1581"/>
      <c r="N3" s="1581"/>
      <c r="O3" s="1581"/>
      <c r="P3" s="1581"/>
      <c r="Q3" s="1581"/>
      <c r="R3" s="1583" t="s">
        <v>850</v>
      </c>
      <c r="S3" s="1584"/>
    </row>
    <row r="4" spans="1:19">
      <c r="A4" s="571"/>
      <c r="B4" s="1582" t="s">
        <v>851</v>
      </c>
      <c r="C4" s="1582"/>
      <c r="D4" s="1582"/>
      <c r="E4" s="1582"/>
      <c r="F4" s="1581"/>
      <c r="G4" s="1581"/>
      <c r="H4" s="1581"/>
      <c r="I4" s="1581"/>
      <c r="J4" s="1581"/>
      <c r="K4" s="1581"/>
      <c r="L4" s="1581"/>
      <c r="M4" s="1581"/>
      <c r="N4" s="1581"/>
      <c r="O4" s="1581"/>
      <c r="P4" s="1581"/>
      <c r="Q4" s="1581"/>
      <c r="R4" s="1581"/>
      <c r="S4" s="1581"/>
    </row>
    <row r="5" spans="1:19">
      <c r="A5" s="571"/>
      <c r="B5" s="1582" t="s">
        <v>1421</v>
      </c>
      <c r="C5" s="1582"/>
      <c r="D5" s="1582"/>
      <c r="E5" s="1582"/>
      <c r="F5" s="1581" t="s">
        <v>103</v>
      </c>
      <c r="G5" s="1581"/>
      <c r="H5" s="1581"/>
      <c r="I5" s="1581"/>
      <c r="J5" s="1581"/>
      <c r="K5" s="1581"/>
      <c r="L5" s="1581"/>
      <c r="M5" s="1581"/>
      <c r="N5" s="1581"/>
      <c r="O5" s="1581"/>
      <c r="P5" s="1581"/>
      <c r="Q5" s="1581"/>
      <c r="R5" s="1581"/>
      <c r="S5" s="1581"/>
    </row>
    <row r="6" spans="1:19">
      <c r="A6" s="571"/>
      <c r="B6" s="1585" t="str">
        <f>'Exh D Governmental  '!A6</f>
        <v>FOR FOUR MONTHS ENDED JULY 31, 2026</v>
      </c>
      <c r="C6" s="1585"/>
      <c r="D6" s="1582"/>
      <c r="E6" s="1582"/>
      <c r="F6" s="1581"/>
      <c r="G6" s="1581"/>
      <c r="H6" s="1581"/>
      <c r="I6" s="1581"/>
      <c r="J6" s="1581"/>
      <c r="K6" s="1581"/>
      <c r="L6" s="1581"/>
      <c r="M6" s="1581"/>
      <c r="N6" s="1581"/>
      <c r="O6" s="1581"/>
      <c r="P6" s="1581"/>
      <c r="Q6" s="1581"/>
      <c r="R6" s="1581"/>
      <c r="S6" s="1581"/>
    </row>
    <row r="7" spans="1:19">
      <c r="A7" s="571"/>
      <c r="B7" s="1586"/>
      <c r="C7" s="1586"/>
      <c r="D7" s="1582"/>
      <c r="E7" s="1582"/>
      <c r="F7" s="1581"/>
      <c r="G7" s="1581"/>
      <c r="H7" s="1581"/>
      <c r="I7" s="1581"/>
      <c r="J7" s="1581"/>
      <c r="K7" s="1581"/>
      <c r="L7" s="1581"/>
      <c r="M7" s="1581"/>
      <c r="N7" s="1581"/>
      <c r="O7" s="1581"/>
      <c r="P7" s="1581"/>
      <c r="Q7" s="1581"/>
      <c r="R7" s="1581"/>
      <c r="S7" s="1581"/>
    </row>
    <row r="8" spans="1:19" ht="5.25" customHeight="1">
      <c r="B8" s="1587"/>
      <c r="C8" s="1587"/>
      <c r="D8" s="1581"/>
      <c r="E8" s="1581"/>
      <c r="F8" s="1581"/>
      <c r="G8" s="1581"/>
      <c r="H8" s="1581"/>
      <c r="I8" s="1581"/>
      <c r="J8" s="1581"/>
      <c r="K8" s="1581"/>
      <c r="L8" s="1581"/>
      <c r="M8" s="1581"/>
      <c r="N8" s="1581"/>
      <c r="O8" s="1581"/>
      <c r="P8" s="1581"/>
      <c r="Q8" s="1581"/>
      <c r="R8" s="1581"/>
      <c r="S8" s="1581"/>
    </row>
    <row r="9" spans="1:19">
      <c r="B9" s="1581"/>
      <c r="C9" s="1581"/>
      <c r="E9" s="1588"/>
      <c r="F9" s="1588"/>
      <c r="G9" s="1588"/>
      <c r="H9" s="1588"/>
      <c r="I9" s="1588"/>
      <c r="J9" s="1588"/>
      <c r="K9" s="1588"/>
      <c r="L9" s="1588"/>
      <c r="M9" s="1588"/>
      <c r="N9" s="1581"/>
      <c r="O9" s="1581"/>
      <c r="P9" s="1581"/>
      <c r="Q9" s="1581"/>
      <c r="R9" s="1581"/>
      <c r="S9" s="1581"/>
    </row>
    <row r="10" spans="1:19">
      <c r="B10" s="1581"/>
      <c r="C10" s="1581"/>
      <c r="D10" s="1588" t="s">
        <v>806</v>
      </c>
      <c r="E10" s="1589"/>
      <c r="F10" s="1589" t="s">
        <v>852</v>
      </c>
      <c r="G10" s="1589"/>
      <c r="H10" s="1589" t="s">
        <v>853</v>
      </c>
      <c r="I10" s="1589"/>
      <c r="J10" s="1589" t="s">
        <v>854</v>
      </c>
      <c r="K10" s="1589"/>
      <c r="L10" s="1589" t="s">
        <v>855</v>
      </c>
      <c r="M10" s="1589"/>
      <c r="N10" s="1581"/>
      <c r="O10" s="1581"/>
      <c r="P10" s="1581"/>
      <c r="Q10" s="1581"/>
      <c r="R10" s="1581"/>
      <c r="S10" s="1581"/>
    </row>
    <row r="11" spans="1:19">
      <c r="B11" s="1581"/>
      <c r="C11" s="1581"/>
      <c r="D11" s="1589" t="s">
        <v>856</v>
      </c>
      <c r="E11" s="1589"/>
      <c r="F11" s="1589" t="s">
        <v>806</v>
      </c>
      <c r="G11" s="1589"/>
      <c r="H11" s="1589" t="s">
        <v>857</v>
      </c>
      <c r="I11" s="1589"/>
      <c r="J11" s="1590" t="s">
        <v>858</v>
      </c>
      <c r="K11" s="1589"/>
      <c r="L11" s="1589" t="s">
        <v>859</v>
      </c>
      <c r="M11" s="1589"/>
      <c r="N11" s="1591" t="s">
        <v>860</v>
      </c>
      <c r="O11" s="1591"/>
      <c r="P11" s="1591"/>
      <c r="Q11" s="1581"/>
      <c r="R11" s="1581"/>
      <c r="S11" s="1581"/>
    </row>
    <row r="12" spans="1:19">
      <c r="B12" s="1581"/>
      <c r="C12" s="1581"/>
      <c r="D12" s="1589" t="s">
        <v>861</v>
      </c>
      <c r="E12" s="1589"/>
      <c r="F12" s="1589" t="s">
        <v>862</v>
      </c>
      <c r="G12" s="1589"/>
      <c r="H12" s="1589" t="s">
        <v>863</v>
      </c>
      <c r="I12" s="1589"/>
      <c r="J12" s="1590" t="s">
        <v>864</v>
      </c>
      <c r="K12" s="1590"/>
      <c r="L12" s="1589" t="s">
        <v>865</v>
      </c>
      <c r="M12" s="1589"/>
      <c r="N12" s="1592" t="str">
        <f>UPPER('Cashflow Governmental'!$AB$12)</f>
        <v>4 MONTHS ENDED JULY 31</v>
      </c>
      <c r="O12" s="1592"/>
      <c r="P12" s="1592"/>
      <c r="Q12" s="1581"/>
      <c r="R12" s="1588" t="s">
        <v>866</v>
      </c>
      <c r="S12" s="1589"/>
    </row>
    <row r="13" spans="1:19">
      <c r="A13" s="571"/>
      <c r="B13" s="1593" t="s">
        <v>1422</v>
      </c>
      <c r="C13" s="1582"/>
      <c r="D13" s="1594" t="s">
        <v>867</v>
      </c>
      <c r="E13" s="1589"/>
      <c r="F13" s="1594" t="s">
        <v>868</v>
      </c>
      <c r="G13" s="1589"/>
      <c r="H13" s="1595" t="s">
        <v>869</v>
      </c>
      <c r="I13" s="1589"/>
      <c r="J13" s="1596" t="s">
        <v>870</v>
      </c>
      <c r="K13" s="1589"/>
      <c r="L13" s="1596" t="s">
        <v>871</v>
      </c>
      <c r="M13" s="1589"/>
      <c r="N13" s="1597" t="str">
        <f>'Cashflow Governmental'!$AB$14</f>
        <v>2026</v>
      </c>
      <c r="O13" s="1597"/>
      <c r="P13" s="1597" t="str">
        <f>'Cashflow Governmental'!$AE$14</f>
        <v>2025</v>
      </c>
      <c r="Q13" s="1589"/>
      <c r="R13" s="1598" t="s">
        <v>872</v>
      </c>
      <c r="S13" s="1589"/>
    </row>
    <row r="14" spans="1:19">
      <c r="B14" s="1582" t="s">
        <v>873</v>
      </c>
      <c r="C14" s="1582"/>
      <c r="D14" s="1599"/>
      <c r="E14" s="1599"/>
      <c r="F14" s="1600"/>
      <c r="G14" s="1600"/>
      <c r="H14" s="1601"/>
      <c r="I14" s="1601"/>
      <c r="J14" s="1599"/>
      <c r="K14" s="1599"/>
      <c r="L14" s="1599"/>
      <c r="M14" s="1599"/>
      <c r="N14" s="1601"/>
      <c r="O14" s="1601"/>
      <c r="P14" s="1602"/>
      <c r="Q14" s="1602"/>
      <c r="R14" s="1581"/>
      <c r="S14" s="1581"/>
    </row>
    <row r="15" spans="1:19">
      <c r="A15" s="1603"/>
      <c r="B15" s="1587" t="s">
        <v>874</v>
      </c>
      <c r="C15" s="1587"/>
      <c r="D15" s="1604">
        <v>0</v>
      </c>
      <c r="E15" s="1604"/>
      <c r="F15" s="1604">
        <v>6054625</v>
      </c>
      <c r="G15" s="1604"/>
      <c r="H15" s="1604">
        <v>0</v>
      </c>
      <c r="I15" s="1604"/>
      <c r="J15" s="1604">
        <v>0</v>
      </c>
      <c r="K15" s="1604"/>
      <c r="L15" s="1604">
        <v>0</v>
      </c>
      <c r="M15" s="1604"/>
      <c r="N15" s="1604">
        <f>ROUND(SUM(D15:M15),0)</f>
        <v>6054625</v>
      </c>
      <c r="O15" s="1604"/>
      <c r="P15" s="1604">
        <v>6054625</v>
      </c>
      <c r="Q15" s="1604"/>
      <c r="R15" s="1605">
        <f>ROUND(N15-P15,0)</f>
        <v>0</v>
      </c>
      <c r="S15" s="1604"/>
    </row>
    <row r="16" spans="1:19">
      <c r="A16" s="1603"/>
      <c r="B16" s="1581" t="s">
        <v>875</v>
      </c>
      <c r="C16" s="1581"/>
      <c r="D16" s="1664"/>
      <c r="E16" s="1664"/>
      <c r="F16" s="1664"/>
      <c r="G16" s="1664"/>
      <c r="H16" s="1664"/>
      <c r="I16" s="1664"/>
      <c r="J16" s="1664"/>
      <c r="K16" s="1606"/>
      <c r="L16" s="1664"/>
      <c r="M16" s="1606"/>
      <c r="N16" s="1606"/>
      <c r="O16" s="1606"/>
      <c r="P16" s="1925"/>
      <c r="Q16" s="1606"/>
      <c r="R16" s="1607"/>
      <c r="S16" s="1604"/>
    </row>
    <row r="17" spans="1:21">
      <c r="A17" s="1603"/>
      <c r="B17" s="1581" t="s">
        <v>876</v>
      </c>
      <c r="C17" s="1581"/>
      <c r="D17" s="1664">
        <v>0</v>
      </c>
      <c r="E17" s="1664"/>
      <c r="F17" s="1664">
        <v>0</v>
      </c>
      <c r="G17" s="1664"/>
      <c r="H17" s="1664">
        <v>0</v>
      </c>
      <c r="I17" s="1664"/>
      <c r="J17" s="1664">
        <v>218400</v>
      </c>
      <c r="K17" s="1664"/>
      <c r="L17" s="1664">
        <v>0</v>
      </c>
      <c r="M17" s="1664"/>
      <c r="N17" s="1606">
        <f t="shared" ref="N17:N21" si="0">ROUND(SUM(D17:M17),0)</f>
        <v>218400</v>
      </c>
      <c r="O17" s="1606"/>
      <c r="P17" s="1606">
        <v>218400</v>
      </c>
      <c r="Q17" s="1608"/>
      <c r="R17" s="1608">
        <f t="shared" ref="R17:R21" si="1">SUM(N17-P17,0)</f>
        <v>0</v>
      </c>
      <c r="S17" s="1604"/>
    </row>
    <row r="18" spans="1:21">
      <c r="A18" s="1603"/>
      <c r="B18" s="1581" t="s">
        <v>877</v>
      </c>
      <c r="C18" s="1581"/>
      <c r="D18" s="1664">
        <v>0</v>
      </c>
      <c r="E18" s="1664"/>
      <c r="F18" s="1664">
        <v>0</v>
      </c>
      <c r="G18" s="1664"/>
      <c r="H18" s="1664">
        <v>0</v>
      </c>
      <c r="I18" s="1664"/>
      <c r="J18" s="1664">
        <v>0</v>
      </c>
      <c r="K18" s="1664"/>
      <c r="L18" s="1664">
        <v>0</v>
      </c>
      <c r="M18" s="1664"/>
      <c r="N18" s="1606">
        <f t="shared" si="0"/>
        <v>0</v>
      </c>
      <c r="O18" s="1606"/>
      <c r="P18" s="1606">
        <v>8106639</v>
      </c>
      <c r="Q18" s="1608"/>
      <c r="R18" s="1608">
        <f t="shared" si="1"/>
        <v>-8106639</v>
      </c>
      <c r="S18" s="1604"/>
    </row>
    <row r="19" spans="1:21">
      <c r="A19" s="1603"/>
      <c r="B19" s="1581" t="s">
        <v>878</v>
      </c>
      <c r="C19" s="1581"/>
      <c r="D19" s="1664">
        <v>0</v>
      </c>
      <c r="E19" s="1664"/>
      <c r="F19" s="1664">
        <v>0</v>
      </c>
      <c r="G19" s="1664"/>
      <c r="H19" s="1664">
        <v>0</v>
      </c>
      <c r="I19" s="1664"/>
      <c r="J19" s="1664">
        <v>0</v>
      </c>
      <c r="K19" s="1664"/>
      <c r="L19" s="1664">
        <v>0</v>
      </c>
      <c r="M19" s="1664"/>
      <c r="N19" s="1606">
        <f t="shared" si="0"/>
        <v>0</v>
      </c>
      <c r="O19" s="1606"/>
      <c r="P19" s="1606">
        <v>0</v>
      </c>
      <c r="Q19" s="1608"/>
      <c r="R19" s="1608">
        <f t="shared" si="1"/>
        <v>0</v>
      </c>
      <c r="S19" s="1604"/>
    </row>
    <row r="20" spans="1:21">
      <c r="A20" s="1603"/>
      <c r="B20" s="1581" t="s">
        <v>879</v>
      </c>
      <c r="C20" s="1581"/>
      <c r="D20" s="1664">
        <v>0</v>
      </c>
      <c r="E20" s="1664"/>
      <c r="F20" s="1664">
        <v>0</v>
      </c>
      <c r="G20" s="1664"/>
      <c r="H20" s="1664">
        <v>0</v>
      </c>
      <c r="I20" s="1664"/>
      <c r="J20" s="1664">
        <v>0</v>
      </c>
      <c r="K20" s="1664"/>
      <c r="L20" s="1664">
        <v>0</v>
      </c>
      <c r="M20" s="1664"/>
      <c r="N20" s="1606">
        <f t="shared" si="0"/>
        <v>0</v>
      </c>
      <c r="O20" s="1606"/>
      <c r="P20" s="1606">
        <v>0</v>
      </c>
      <c r="Q20" s="1608"/>
      <c r="R20" s="1608">
        <f t="shared" si="1"/>
        <v>0</v>
      </c>
      <c r="S20" s="1604"/>
    </row>
    <row r="21" spans="1:21">
      <c r="A21" s="1603"/>
      <c r="B21" s="1581" t="s">
        <v>880</v>
      </c>
      <c r="C21" s="1581"/>
      <c r="D21" s="1664">
        <v>0</v>
      </c>
      <c r="E21" s="1664"/>
      <c r="F21" s="1664">
        <v>0</v>
      </c>
      <c r="G21" s="1664"/>
      <c r="H21" s="1664">
        <v>0</v>
      </c>
      <c r="I21" s="1664"/>
      <c r="J21" s="1664">
        <v>0</v>
      </c>
      <c r="K21" s="1664"/>
      <c r="L21" s="1664">
        <v>0</v>
      </c>
      <c r="M21" s="1664"/>
      <c r="N21" s="1606">
        <f t="shared" si="0"/>
        <v>0</v>
      </c>
      <c r="O21" s="1606"/>
      <c r="P21" s="1606">
        <v>0</v>
      </c>
      <c r="Q21" s="1608"/>
      <c r="R21" s="1608">
        <f t="shared" si="1"/>
        <v>0</v>
      </c>
      <c r="S21" s="1604"/>
    </row>
    <row r="22" spans="1:21">
      <c r="A22" s="1603"/>
      <c r="B22" s="1581" t="s">
        <v>1447</v>
      </c>
      <c r="C22" s="1581"/>
      <c r="D22" s="1664">
        <v>0</v>
      </c>
      <c r="E22" s="1664"/>
      <c r="F22" s="1664">
        <v>0</v>
      </c>
      <c r="G22" s="1664"/>
      <c r="H22" s="1664">
        <v>0</v>
      </c>
      <c r="I22" s="1664"/>
      <c r="J22" s="1664">
        <v>7246554</v>
      </c>
      <c r="K22" s="1664"/>
      <c r="L22" s="1664">
        <v>0</v>
      </c>
      <c r="M22" s="1664"/>
      <c r="N22" s="1606">
        <f t="shared" ref="N22" si="2">ROUND(SUM(D22:M22),0)</f>
        <v>7246554</v>
      </c>
      <c r="O22" s="1606"/>
      <c r="P22" s="1606">
        <v>8614066</v>
      </c>
      <c r="Q22" s="1608"/>
      <c r="R22" s="1608">
        <f t="shared" ref="R22" si="3">SUM(N22-P22,0)</f>
        <v>-1367512</v>
      </c>
      <c r="S22" s="1604"/>
    </row>
    <row r="23" spans="1:21">
      <c r="A23" s="1603"/>
      <c r="B23" s="1581" t="s">
        <v>881</v>
      </c>
      <c r="C23" s="1581"/>
      <c r="D23" s="1664"/>
      <c r="E23" s="1664"/>
      <c r="F23" s="1664"/>
      <c r="G23" s="1606"/>
      <c r="H23" s="1664"/>
      <c r="I23" s="1664"/>
      <c r="J23" s="1664"/>
      <c r="K23" s="1606"/>
      <c r="L23" s="1664"/>
      <c r="M23" s="1606"/>
      <c r="N23" s="1606"/>
      <c r="O23" s="1606"/>
      <c r="P23" s="1926"/>
      <c r="Q23" s="1608"/>
      <c r="R23" s="1606"/>
      <c r="S23" s="1604"/>
    </row>
    <row r="24" spans="1:21" ht="17.149999999999999" customHeight="1">
      <c r="A24" s="1603"/>
      <c r="B24" s="1581" t="s">
        <v>882</v>
      </c>
      <c r="C24" s="1581"/>
      <c r="D24" s="1664">
        <v>0</v>
      </c>
      <c r="E24" s="1664"/>
      <c r="F24" s="1664">
        <v>0</v>
      </c>
      <c r="G24" s="1606"/>
      <c r="H24" s="1664">
        <v>0</v>
      </c>
      <c r="I24" s="1664"/>
      <c r="J24" s="1664">
        <v>0</v>
      </c>
      <c r="K24" s="1606"/>
      <c r="L24" s="1664">
        <v>0</v>
      </c>
      <c r="M24" s="1606"/>
      <c r="N24" s="1606">
        <f>ROUND(SUM(D24:M24),0)</f>
        <v>0</v>
      </c>
      <c r="O24" s="1606"/>
      <c r="P24" s="1606">
        <v>0</v>
      </c>
      <c r="Q24" s="1608"/>
      <c r="R24" s="1608">
        <f t="shared" ref="R24:R28" si="4">SUM(N24-P24,0)</f>
        <v>0</v>
      </c>
      <c r="S24" s="1604"/>
    </row>
    <row r="25" spans="1:21">
      <c r="A25" s="1603"/>
      <c r="B25" s="1581" t="s">
        <v>883</v>
      </c>
      <c r="C25" s="1581"/>
      <c r="D25" s="1664">
        <v>0</v>
      </c>
      <c r="E25" s="1664"/>
      <c r="F25" s="1664">
        <v>0</v>
      </c>
      <c r="G25" s="1664"/>
      <c r="H25" s="1664">
        <v>0</v>
      </c>
      <c r="I25" s="1664"/>
      <c r="J25" s="1664">
        <v>0</v>
      </c>
      <c r="K25" s="1664"/>
      <c r="L25" s="1664">
        <v>0</v>
      </c>
      <c r="M25" s="1664"/>
      <c r="N25" s="1606">
        <f>ROUND(SUM(D25:M25),0)</f>
        <v>0</v>
      </c>
      <c r="O25" s="1606"/>
      <c r="P25" s="1606">
        <v>0</v>
      </c>
      <c r="Q25" s="1608"/>
      <c r="R25" s="1608">
        <f t="shared" si="4"/>
        <v>0</v>
      </c>
      <c r="S25" s="1604"/>
    </row>
    <row r="26" spans="1:21">
      <c r="A26" s="1603"/>
      <c r="B26" s="1581" t="s">
        <v>884</v>
      </c>
      <c r="C26" s="1581"/>
      <c r="D26" s="1664"/>
      <c r="E26" s="1664"/>
      <c r="F26" s="1664"/>
      <c r="G26" s="1664"/>
      <c r="H26" s="1664"/>
      <c r="I26" s="1664"/>
      <c r="J26" s="1664"/>
      <c r="K26" s="1664"/>
      <c r="L26" s="1664"/>
      <c r="M26" s="1664"/>
      <c r="N26" s="1606"/>
      <c r="O26" s="1606"/>
      <c r="P26" s="1926"/>
      <c r="Q26" s="1608"/>
      <c r="R26" s="1606"/>
      <c r="S26" s="1604"/>
    </row>
    <row r="27" spans="1:21">
      <c r="A27" s="1603"/>
      <c r="B27" s="1609" t="s">
        <v>885</v>
      </c>
      <c r="C27" s="1610"/>
      <c r="D27" s="1664">
        <v>0</v>
      </c>
      <c r="E27" s="1664"/>
      <c r="F27" s="1664">
        <v>0</v>
      </c>
      <c r="G27" s="1664"/>
      <c r="H27" s="1664">
        <v>0</v>
      </c>
      <c r="I27" s="1664"/>
      <c r="J27" s="1664">
        <v>0</v>
      </c>
      <c r="K27" s="1664"/>
      <c r="L27" s="1664">
        <v>0</v>
      </c>
      <c r="M27" s="1664"/>
      <c r="N27" s="1606">
        <f t="shared" ref="N27" si="5">ROUND(SUM(D27:M27),0)</f>
        <v>0</v>
      </c>
      <c r="O27" s="1606"/>
      <c r="P27" s="1606">
        <v>0</v>
      </c>
      <c r="Q27" s="1608"/>
      <c r="R27" s="1608">
        <f>SUM(N27-P27,0)</f>
        <v>0</v>
      </c>
      <c r="S27" s="1604"/>
    </row>
    <row r="28" spans="1:21">
      <c r="A28" s="571"/>
      <c r="B28" s="1581" t="s">
        <v>886</v>
      </c>
      <c r="C28" s="1581"/>
      <c r="D28" s="1664">
        <v>0</v>
      </c>
      <c r="E28" s="1664"/>
      <c r="F28" s="1664">
        <v>0</v>
      </c>
      <c r="G28" s="1664"/>
      <c r="H28" s="1664">
        <v>0</v>
      </c>
      <c r="I28" s="1664"/>
      <c r="J28" s="1664">
        <v>0</v>
      </c>
      <c r="K28" s="1664"/>
      <c r="L28" s="1664">
        <v>0</v>
      </c>
      <c r="M28" s="1664"/>
      <c r="N28" s="1606">
        <f>ROUND(SUM(D28:M28),0)</f>
        <v>0</v>
      </c>
      <c r="O28" s="1606"/>
      <c r="P28" s="1606">
        <v>0</v>
      </c>
      <c r="Q28" s="1580"/>
      <c r="R28" s="1608">
        <f t="shared" si="4"/>
        <v>0</v>
      </c>
      <c r="S28" s="1604"/>
      <c r="U28" s="1611"/>
    </row>
    <row r="29" spans="1:21">
      <c r="B29" s="1582" t="s">
        <v>887</v>
      </c>
      <c r="C29" s="1582"/>
      <c r="D29" s="1581"/>
      <c r="E29" s="1581"/>
      <c r="F29" s="1581"/>
      <c r="G29" s="1581"/>
      <c r="H29" s="1602"/>
      <c r="I29" s="1602"/>
      <c r="J29" s="1602"/>
      <c r="K29" s="1602"/>
      <c r="L29" s="1602"/>
      <c r="M29" s="1602"/>
      <c r="N29" s="1602"/>
      <c r="O29" s="1602"/>
      <c r="P29" s="1602"/>
      <c r="Q29" s="1581"/>
      <c r="R29" s="1606"/>
      <c r="S29" s="1604"/>
    </row>
    <row r="30" spans="1:21" s="571" customFormat="1" ht="16" thickBot="1">
      <c r="B30" s="1612" t="s">
        <v>1423</v>
      </c>
      <c r="C30" s="1585"/>
      <c r="D30" s="1613">
        <f>ROUND(SUM(D15:D28),0)</f>
        <v>0</v>
      </c>
      <c r="E30" s="1614"/>
      <c r="F30" s="1613">
        <f>ROUND(SUM(F15:F28),0)</f>
        <v>6054625</v>
      </c>
      <c r="G30" s="1614"/>
      <c r="H30" s="1613">
        <f>ROUND(SUM(H15:H28),0)</f>
        <v>0</v>
      </c>
      <c r="I30" s="1614"/>
      <c r="J30" s="1613">
        <f>ROUND(SUM(J15:J28),0)</f>
        <v>7464954</v>
      </c>
      <c r="K30" s="1614"/>
      <c r="L30" s="1613">
        <f>ROUND(SUM(L15:L28),0)</f>
        <v>0</v>
      </c>
      <c r="M30" s="1614"/>
      <c r="N30" s="1613">
        <f>ROUND(SUM(N15:N28),0)</f>
        <v>13519579</v>
      </c>
      <c r="O30" s="1614"/>
      <c r="P30" s="1613">
        <f>ROUND(SUM(P15:P28),0)</f>
        <v>22993730</v>
      </c>
      <c r="Q30" s="1614"/>
      <c r="R30" s="1613">
        <f>ROUND(SUM(R15:R28),0)</f>
        <v>-9474151</v>
      </c>
      <c r="S30" s="1604"/>
    </row>
    <row r="31" spans="1:21" ht="16" thickTop="1">
      <c r="C31" s="1587"/>
      <c r="D31" s="1581"/>
      <c r="E31" s="1581"/>
      <c r="F31" s="1581"/>
      <c r="G31" s="1581"/>
      <c r="H31" s="1581"/>
      <c r="I31" s="1581"/>
      <c r="J31" s="1581"/>
      <c r="K31" s="1581"/>
      <c r="L31" s="1581"/>
      <c r="M31" s="1581"/>
      <c r="N31" s="1581"/>
      <c r="O31" s="1581"/>
      <c r="P31" s="1581"/>
      <c r="Q31" s="1581"/>
      <c r="R31" s="1615"/>
      <c r="S31" s="1581"/>
    </row>
    <row r="32" spans="1:21">
      <c r="B32" s="364"/>
      <c r="C32" s="1581"/>
      <c r="D32" s="1581"/>
      <c r="E32" s="1581"/>
      <c r="F32" s="1581"/>
      <c r="G32" s="1581"/>
      <c r="H32" s="1581"/>
      <c r="I32" s="1581"/>
      <c r="J32" s="1581"/>
      <c r="K32" s="1581"/>
      <c r="L32" s="1616"/>
      <c r="M32" s="1581"/>
      <c r="N32" s="1617" t="s">
        <v>103</v>
      </c>
      <c r="O32" s="1581"/>
      <c r="P32" s="1581"/>
      <c r="Q32" s="1581"/>
      <c r="R32" s="1581"/>
    </row>
    <row r="33" spans="2:25">
      <c r="N33" s="1618" t="s">
        <v>103</v>
      </c>
    </row>
    <row r="34" spans="2:25">
      <c r="B34" s="1977"/>
      <c r="C34" s="1977"/>
      <c r="D34" s="1977"/>
      <c r="E34" s="1977"/>
      <c r="F34" s="1977"/>
      <c r="G34" s="1977"/>
      <c r="H34" s="1977"/>
      <c r="I34" s="1977"/>
      <c r="J34" s="1977"/>
      <c r="K34" s="1977"/>
      <c r="L34" s="1977"/>
      <c r="M34" s="1977"/>
      <c r="N34" s="1977" t="s">
        <v>103</v>
      </c>
      <c r="O34" s="1977"/>
      <c r="P34" s="1977"/>
      <c r="Q34" s="1977"/>
      <c r="R34" s="1977"/>
      <c r="S34" s="1977"/>
    </row>
    <row r="35" spans="2:25">
      <c r="B35" s="1977"/>
      <c r="C35" s="1977"/>
      <c r="D35" s="1977"/>
      <c r="E35" s="1977"/>
      <c r="F35" s="1977"/>
      <c r="G35" s="1977"/>
      <c r="H35" s="1977"/>
      <c r="I35" s="1977"/>
      <c r="J35" s="1977"/>
      <c r="K35" s="1977"/>
      <c r="L35" s="1977"/>
      <c r="M35" s="1977"/>
      <c r="N35" s="1977"/>
      <c r="O35" s="1977"/>
      <c r="P35" s="1977"/>
      <c r="Q35" s="1977"/>
      <c r="R35" s="1977"/>
      <c r="S35" s="1977"/>
      <c r="T35" s="1977"/>
      <c r="U35" s="1977"/>
      <c r="V35" s="1977"/>
      <c r="W35" s="1977"/>
      <c r="X35" s="1977"/>
      <c r="Y35" s="1977"/>
    </row>
    <row r="36" spans="2:25">
      <c r="B36" s="1977"/>
      <c r="C36" s="1977"/>
      <c r="D36" s="1977"/>
      <c r="E36" s="1977"/>
      <c r="F36" s="1977"/>
      <c r="G36" s="1977"/>
      <c r="H36" s="1977"/>
      <c r="I36" s="1977"/>
      <c r="J36" s="1977"/>
      <c r="K36" s="1977"/>
      <c r="L36" s="1977"/>
      <c r="M36" s="1977"/>
      <c r="N36" s="1977"/>
      <c r="O36" s="1977"/>
      <c r="P36" s="1977"/>
      <c r="Q36" s="1977"/>
      <c r="R36" s="1977"/>
      <c r="S36" s="1977"/>
      <c r="T36" s="1977"/>
      <c r="U36" s="1977"/>
      <c r="V36" s="1977"/>
      <c r="W36" s="1977"/>
      <c r="X36" s="1977"/>
      <c r="Y36" s="1977"/>
    </row>
    <row r="37" spans="2:25">
      <c r="B37" s="1977"/>
      <c r="C37" s="1977"/>
      <c r="D37" s="1977"/>
      <c r="E37" s="1977"/>
      <c r="F37" s="1977"/>
      <c r="G37" s="1977"/>
      <c r="H37" s="1977"/>
      <c r="I37" s="1977"/>
      <c r="J37" s="1977"/>
      <c r="K37" s="1977"/>
      <c r="L37" s="1977"/>
      <c r="M37" s="1977"/>
      <c r="N37" s="1977"/>
      <c r="O37" s="1977"/>
      <c r="P37" s="1977"/>
      <c r="Q37" s="1977"/>
      <c r="R37" s="1977"/>
      <c r="S37" s="1977"/>
      <c r="T37" s="1977"/>
      <c r="U37" s="1977"/>
      <c r="V37" s="1977"/>
      <c r="W37" s="1977"/>
      <c r="X37" s="1977"/>
      <c r="Y37" s="1977"/>
    </row>
    <row r="38" spans="2:25">
      <c r="B38" s="1977"/>
      <c r="C38" s="1977"/>
      <c r="D38" s="1977"/>
      <c r="E38" s="1977"/>
      <c r="F38" s="1977"/>
      <c r="G38" s="1977"/>
      <c r="H38" s="1977"/>
      <c r="I38" s="1977"/>
      <c r="J38" s="1977"/>
      <c r="K38" s="1977"/>
      <c r="L38" s="1977"/>
      <c r="M38" s="1977"/>
      <c r="N38" s="1977"/>
      <c r="O38" s="1977"/>
      <c r="P38" s="1977"/>
      <c r="Q38" s="1977"/>
      <c r="R38" s="1977"/>
      <c r="S38" s="1977"/>
      <c r="T38" s="1977"/>
      <c r="U38" s="1977"/>
      <c r="V38" s="1977"/>
      <c r="W38" s="1977"/>
      <c r="X38" s="1977"/>
      <c r="Y38" s="1977"/>
    </row>
    <row r="39" spans="2:25">
      <c r="B39" s="1977" t="s">
        <v>103</v>
      </c>
      <c r="C39" s="1977"/>
      <c r="D39" s="1977"/>
      <c r="E39" s="1977"/>
      <c r="F39" s="1977"/>
      <c r="G39" s="1977"/>
      <c r="H39" s="1977"/>
      <c r="I39" s="1977"/>
      <c r="J39" s="1977"/>
      <c r="K39" s="1977"/>
      <c r="L39" s="1977"/>
      <c r="M39" s="1977"/>
      <c r="N39" s="1977"/>
      <c r="O39" s="1977"/>
      <c r="P39" s="1977"/>
      <c r="Q39" s="1977"/>
      <c r="R39" s="1977"/>
      <c r="S39" s="1977"/>
      <c r="T39" s="1977"/>
      <c r="U39" s="1977"/>
      <c r="V39" s="1977"/>
      <c r="W39" s="1977"/>
      <c r="X39" s="1977"/>
      <c r="Y39" s="1977"/>
    </row>
    <row r="40" spans="2:25">
      <c r="B40" s="1977"/>
      <c r="C40" s="1977"/>
      <c r="D40" s="1977"/>
      <c r="E40" s="1977"/>
      <c r="F40" s="1977"/>
      <c r="G40" s="1977"/>
      <c r="H40" s="1977"/>
      <c r="I40" s="1977"/>
      <c r="J40" s="1977"/>
      <c r="K40" s="1977"/>
      <c r="L40" s="1977"/>
      <c r="M40" s="1977"/>
      <c r="N40" s="1977"/>
      <c r="O40" s="1977"/>
      <c r="P40" s="1977"/>
      <c r="Q40" s="1977"/>
      <c r="R40" s="1977"/>
      <c r="S40" s="1977"/>
      <c r="T40" s="1977"/>
      <c r="U40" s="1977"/>
      <c r="V40" s="1977"/>
      <c r="W40" s="1977"/>
      <c r="X40" s="1977"/>
      <c r="Y40" s="1977"/>
    </row>
    <row r="41" spans="2:25">
      <c r="B41" s="1977"/>
      <c r="C41" s="1977"/>
      <c r="D41" s="1977"/>
      <c r="E41" s="1977"/>
      <c r="F41" s="1977"/>
      <c r="G41" s="1977"/>
      <c r="H41" s="1977"/>
      <c r="I41" s="1977"/>
      <c r="J41" s="1977"/>
      <c r="K41" s="1977"/>
      <c r="L41" s="1977"/>
      <c r="M41" s="1977"/>
      <c r="N41" s="1977"/>
      <c r="O41" s="1977"/>
      <c r="P41" s="1977"/>
      <c r="Q41" s="1977"/>
      <c r="R41" s="1977"/>
      <c r="S41" s="1977"/>
      <c r="T41" s="1977"/>
      <c r="U41" s="1977"/>
      <c r="V41" s="1977"/>
      <c r="W41" s="1977"/>
      <c r="X41" s="1977"/>
      <c r="Y41" s="1977"/>
    </row>
    <row r="42" spans="2:25">
      <c r="B42" s="1977"/>
      <c r="C42" s="1977"/>
      <c r="D42" s="1977"/>
      <c r="E42" s="1977"/>
      <c r="F42" s="1977"/>
      <c r="G42" s="1977"/>
      <c r="H42" s="1977"/>
      <c r="I42" s="1977"/>
      <c r="J42" s="1977"/>
      <c r="K42" s="1977"/>
      <c r="L42" s="1977"/>
      <c r="M42" s="1977"/>
      <c r="N42" s="1977"/>
      <c r="O42" s="1977"/>
      <c r="P42" s="1977"/>
      <c r="Q42" s="1977"/>
      <c r="R42" s="1977"/>
      <c r="S42" s="1977"/>
      <c r="T42" s="1977"/>
      <c r="U42" s="1977"/>
      <c r="V42" s="1977"/>
      <c r="W42" s="1977"/>
      <c r="X42" s="1977"/>
      <c r="Y42" s="1977"/>
    </row>
    <row r="43" spans="2:25">
      <c r="B43" s="1977"/>
      <c r="C43" s="1977"/>
      <c r="D43" s="1977"/>
      <c r="E43" s="1977"/>
      <c r="F43" s="1977"/>
      <c r="G43" s="1977"/>
      <c r="H43" s="1977"/>
      <c r="I43" s="1977"/>
      <c r="J43" s="1977"/>
      <c r="K43" s="1977"/>
      <c r="L43" s="1977"/>
      <c r="M43" s="1977"/>
      <c r="N43" s="1977"/>
      <c r="O43" s="1977"/>
      <c r="P43" s="1977"/>
      <c r="Q43" s="1977"/>
      <c r="R43" s="1977"/>
      <c r="S43" s="1977"/>
      <c r="T43" s="1977"/>
      <c r="U43" s="1977"/>
      <c r="V43" s="1977"/>
      <c r="W43" s="1977"/>
      <c r="X43" s="1977"/>
      <c r="Y43" s="1977"/>
    </row>
    <row r="44" spans="2:25">
      <c r="B44" s="1977"/>
      <c r="C44" s="1977"/>
      <c r="D44" s="1977"/>
      <c r="E44" s="1977"/>
      <c r="F44" s="1977"/>
      <c r="G44" s="1977"/>
      <c r="H44" s="1977"/>
      <c r="I44" s="1977"/>
      <c r="J44" s="1977"/>
      <c r="K44" s="1977"/>
      <c r="L44" s="1977"/>
      <c r="M44" s="1977"/>
      <c r="N44" s="1977"/>
      <c r="O44" s="1977"/>
      <c r="P44" s="1977"/>
      <c r="Q44" s="1977"/>
      <c r="R44" s="1977"/>
      <c r="S44" s="1977"/>
      <c r="T44" s="1977"/>
      <c r="U44" s="1977"/>
      <c r="V44" s="1977"/>
      <c r="W44" s="1977"/>
      <c r="X44" s="1977"/>
      <c r="Y44" s="1977"/>
    </row>
    <row r="45" spans="2:25">
      <c r="B45" s="1977"/>
      <c r="C45" s="1977"/>
      <c r="D45" s="1977"/>
      <c r="E45" s="1977"/>
      <c r="F45" s="1977"/>
      <c r="G45" s="1977"/>
      <c r="H45" s="1977"/>
      <c r="I45" s="1977"/>
      <c r="J45" s="1977"/>
      <c r="K45" s="1977"/>
      <c r="L45" s="1977"/>
      <c r="M45" s="1977"/>
      <c r="N45" s="1977"/>
      <c r="O45" s="1977"/>
      <c r="P45" s="1977"/>
      <c r="Q45" s="1977"/>
      <c r="R45" s="1977"/>
      <c r="S45" s="1977"/>
      <c r="T45" s="1977"/>
      <c r="U45" s="1977"/>
      <c r="V45" s="1977"/>
      <c r="W45" s="1977"/>
      <c r="X45" s="1977"/>
      <c r="Y45" s="1977"/>
    </row>
    <row r="46" spans="2:25">
      <c r="B46" s="1977"/>
      <c r="C46" s="1977"/>
      <c r="D46" s="1977"/>
      <c r="E46" s="1977"/>
      <c r="F46" s="1977"/>
      <c r="G46" s="1977"/>
      <c r="H46" s="1977"/>
      <c r="I46" s="1977"/>
      <c r="J46" s="1977"/>
      <c r="K46" s="1977"/>
      <c r="L46" s="1977"/>
      <c r="M46" s="1977"/>
      <c r="N46" s="1977"/>
      <c r="O46" s="1977"/>
      <c r="P46" s="1977"/>
      <c r="Q46" s="1977"/>
      <c r="R46" s="1977"/>
      <c r="S46" s="1977"/>
      <c r="T46" s="1977"/>
      <c r="U46" s="1977"/>
      <c r="V46" s="1977"/>
      <c r="W46" s="1977"/>
      <c r="X46" s="1977"/>
      <c r="Y46" s="1977"/>
    </row>
    <row r="47" spans="2:25">
      <c r="B47" s="1977"/>
      <c r="C47" s="1977"/>
      <c r="D47" s="1977"/>
      <c r="E47" s="1977"/>
      <c r="F47" s="1977"/>
      <c r="G47" s="1977"/>
      <c r="H47" s="1977"/>
      <c r="I47" s="1977"/>
      <c r="J47" s="1977"/>
      <c r="K47" s="1977"/>
      <c r="L47" s="1977"/>
      <c r="M47" s="1977"/>
      <c r="N47" s="1977"/>
      <c r="O47" s="1977"/>
      <c r="P47" s="1977"/>
      <c r="Q47" s="1977"/>
      <c r="R47" s="1977"/>
      <c r="S47" s="1977"/>
      <c r="T47" s="1977"/>
      <c r="U47" s="1977"/>
      <c r="V47" s="1977"/>
      <c r="W47" s="1977"/>
      <c r="X47" s="1977"/>
      <c r="Y47" s="1977"/>
    </row>
    <row r="48" spans="2:25">
      <c r="B48" s="1977"/>
      <c r="C48" s="1977"/>
      <c r="D48" s="1977"/>
      <c r="E48" s="1977"/>
      <c r="F48" s="1977"/>
      <c r="G48" s="1977"/>
      <c r="H48" s="1977"/>
      <c r="I48" s="1977"/>
      <c r="J48" s="1977"/>
      <c r="K48" s="1977"/>
      <c r="L48" s="1977"/>
      <c r="M48" s="1977"/>
      <c r="N48" s="1977"/>
      <c r="O48" s="1977"/>
      <c r="P48" s="1977"/>
      <c r="Q48" s="1977"/>
      <c r="R48" s="1977"/>
      <c r="S48" s="1977"/>
      <c r="T48" s="1977"/>
      <c r="U48" s="1977"/>
      <c r="V48" s="1977"/>
      <c r="W48" s="1977"/>
      <c r="X48" s="1977"/>
      <c r="Y48" s="1977"/>
    </row>
    <row r="49" spans="2:25">
      <c r="B49" s="1977"/>
      <c r="C49" s="1977"/>
      <c r="D49" s="1977"/>
      <c r="E49" s="1977"/>
      <c r="F49" s="1977"/>
      <c r="G49" s="1977"/>
      <c r="H49" s="1977"/>
      <c r="I49" s="1977"/>
      <c r="J49" s="1977"/>
      <c r="K49" s="1977"/>
      <c r="L49" s="1977"/>
      <c r="M49" s="1977"/>
      <c r="N49" s="1977"/>
      <c r="O49" s="1977"/>
      <c r="P49" s="1977"/>
      <c r="Q49" s="1977"/>
      <c r="R49" s="1977"/>
      <c r="S49" s="1977"/>
      <c r="T49" s="1977"/>
      <c r="U49" s="1977"/>
      <c r="V49" s="1977"/>
      <c r="W49" s="1977"/>
      <c r="X49" s="1977"/>
      <c r="Y49" s="1977"/>
    </row>
    <row r="50" spans="2:25">
      <c r="B50" s="1977"/>
      <c r="C50" s="1977"/>
      <c r="D50" s="1977"/>
      <c r="E50" s="1977"/>
      <c r="F50" s="1977"/>
      <c r="G50" s="1977"/>
      <c r="H50" s="1977"/>
      <c r="I50" s="1977"/>
      <c r="J50" s="1977"/>
      <c r="K50" s="1977"/>
      <c r="L50" s="1977"/>
      <c r="M50" s="1977"/>
      <c r="N50" s="1977"/>
      <c r="O50" s="1977"/>
      <c r="P50" s="1977"/>
      <c r="Q50" s="1977"/>
      <c r="R50" s="1977"/>
      <c r="S50" s="1977"/>
      <c r="T50" s="1977"/>
      <c r="U50" s="1977"/>
      <c r="V50" s="1977"/>
      <c r="W50" s="1977"/>
      <c r="X50" s="1977"/>
      <c r="Y50" s="1977"/>
    </row>
    <row r="51" spans="2:25">
      <c r="B51" s="1977"/>
      <c r="C51" s="1977"/>
      <c r="D51" s="1977"/>
      <c r="E51" s="1977"/>
      <c r="F51" s="1977"/>
      <c r="G51" s="1977"/>
      <c r="H51" s="1977"/>
      <c r="I51" s="1977"/>
      <c r="J51" s="1977"/>
      <c r="K51" s="1977"/>
      <c r="L51" s="1977"/>
      <c r="M51" s="1977"/>
      <c r="N51" s="1977"/>
      <c r="O51" s="1977"/>
      <c r="P51" s="1977"/>
      <c r="Q51" s="1977"/>
      <c r="R51" s="1977"/>
      <c r="S51" s="1977"/>
      <c r="T51" s="1977"/>
      <c r="U51" s="1977"/>
      <c r="V51" s="1977"/>
      <c r="W51" s="1977"/>
      <c r="X51" s="1977"/>
      <c r="Y51" s="1977"/>
    </row>
    <row r="52" spans="2:25">
      <c r="B52" s="1977"/>
      <c r="C52" s="1977"/>
      <c r="D52" s="1977"/>
      <c r="E52" s="1977"/>
      <c r="F52" s="1977"/>
      <c r="G52" s="1977"/>
      <c r="H52" s="1977"/>
      <c r="I52" s="1977"/>
      <c r="J52" s="1977"/>
      <c r="K52" s="1977"/>
      <c r="L52" s="1977"/>
      <c r="M52" s="1977"/>
      <c r="N52" s="1977"/>
      <c r="O52" s="1977"/>
      <c r="P52" s="1977"/>
      <c r="Q52" s="1977"/>
      <c r="R52" s="1977"/>
      <c r="S52" s="1977"/>
      <c r="T52" s="1977"/>
      <c r="U52" s="1977"/>
      <c r="V52" s="1977"/>
      <c r="W52" s="1977"/>
      <c r="X52" s="1977"/>
      <c r="Y52" s="1977"/>
    </row>
    <row r="53" spans="2:25">
      <c r="B53" s="1977"/>
      <c r="C53" s="1977"/>
      <c r="D53" s="1977"/>
      <c r="E53" s="1977"/>
      <c r="F53" s="1977"/>
      <c r="G53" s="1977"/>
      <c r="H53" s="1977"/>
      <c r="I53" s="1977"/>
      <c r="J53" s="1977"/>
      <c r="K53" s="1977"/>
      <c r="L53" s="1977"/>
      <c r="M53" s="1977"/>
      <c r="N53" s="1977"/>
      <c r="O53" s="1977"/>
      <c r="P53" s="1977"/>
      <c r="Q53" s="1977"/>
      <c r="R53" s="1977"/>
      <c r="S53" s="1977"/>
      <c r="T53" s="1977"/>
      <c r="U53" s="1977"/>
      <c r="V53" s="1977"/>
      <c r="W53" s="1977"/>
      <c r="X53" s="1977"/>
      <c r="Y53" s="1977"/>
    </row>
    <row r="54" spans="2:25">
      <c r="B54" s="1977"/>
      <c r="C54" s="1977"/>
      <c r="D54" s="1977"/>
      <c r="E54" s="1977"/>
      <c r="F54" s="1977"/>
      <c r="G54" s="1977"/>
      <c r="H54" s="1977"/>
      <c r="I54" s="1977"/>
      <c r="J54" s="1977"/>
      <c r="K54" s="1977"/>
      <c r="L54" s="1977"/>
      <c r="M54" s="1977"/>
      <c r="N54" s="1977"/>
      <c r="O54" s="1977"/>
      <c r="P54" s="1977"/>
      <c r="Q54" s="1977"/>
      <c r="R54" s="1977"/>
      <c r="S54" s="1977"/>
      <c r="T54" s="1977"/>
      <c r="U54" s="1977"/>
      <c r="V54" s="1977"/>
      <c r="W54" s="1977"/>
      <c r="X54" s="1977"/>
      <c r="Y54" s="1977"/>
    </row>
    <row r="55" spans="2:25">
      <c r="B55" s="1977"/>
      <c r="C55" s="1977"/>
      <c r="D55" s="1977"/>
      <c r="E55" s="1977"/>
      <c r="F55" s="1977"/>
      <c r="G55" s="1977"/>
      <c r="H55" s="1977"/>
      <c r="I55" s="1977"/>
      <c r="J55" s="1977"/>
      <c r="K55" s="1977"/>
      <c r="L55" s="1977"/>
      <c r="M55" s="1977"/>
      <c r="N55" s="1977"/>
      <c r="O55" s="1977"/>
      <c r="P55" s="1977"/>
      <c r="Q55" s="1977"/>
      <c r="R55" s="1977"/>
      <c r="S55" s="1977"/>
      <c r="T55" s="1977"/>
      <c r="U55" s="1977"/>
      <c r="V55" s="1977"/>
      <c r="W55" s="1977"/>
      <c r="X55" s="1977"/>
      <c r="Y55" s="1977"/>
    </row>
    <row r="56" spans="2:25">
      <c r="B56" s="1977"/>
      <c r="C56" s="1977"/>
      <c r="D56" s="1977"/>
      <c r="E56" s="1977"/>
      <c r="F56" s="1977"/>
      <c r="G56" s="1977"/>
      <c r="H56" s="1977"/>
      <c r="I56" s="1977"/>
      <c r="J56" s="1977"/>
      <c r="K56" s="1977"/>
      <c r="L56" s="1977"/>
      <c r="M56" s="1977"/>
      <c r="N56" s="1977"/>
      <c r="O56" s="1977"/>
      <c r="P56" s="1977"/>
      <c r="Q56" s="1977"/>
      <c r="R56" s="1977"/>
      <c r="S56" s="1977"/>
      <c r="T56" s="1977"/>
      <c r="U56" s="1977"/>
      <c r="V56" s="1977"/>
      <c r="W56" s="1977"/>
      <c r="X56" s="1977"/>
      <c r="Y56" s="1977"/>
    </row>
    <row r="57" spans="2:25">
      <c r="B57" s="1977"/>
      <c r="C57" s="1977"/>
      <c r="D57" s="1977"/>
      <c r="E57" s="1977"/>
      <c r="F57" s="1977"/>
      <c r="G57" s="1977"/>
      <c r="H57" s="1977"/>
      <c r="I57" s="1977"/>
      <c r="J57" s="1977"/>
      <c r="K57" s="1977"/>
      <c r="L57" s="1977"/>
      <c r="M57" s="1977"/>
      <c r="N57" s="1977"/>
      <c r="O57" s="1977"/>
      <c r="P57" s="1977"/>
      <c r="Q57" s="1977"/>
      <c r="R57" s="1977"/>
      <c r="S57" s="1977"/>
      <c r="T57" s="1977"/>
      <c r="U57" s="1977"/>
      <c r="V57" s="1977"/>
      <c r="W57" s="1977"/>
      <c r="X57" s="1977"/>
      <c r="Y57" s="1977"/>
    </row>
    <row r="58" spans="2:25">
      <c r="B58" s="1977"/>
      <c r="C58" s="1977"/>
      <c r="D58" s="1977"/>
      <c r="E58" s="1977"/>
      <c r="F58" s="1977"/>
      <c r="G58" s="1977"/>
      <c r="H58" s="1977"/>
      <c r="I58" s="1977"/>
      <c r="J58" s="1977"/>
      <c r="K58" s="1977"/>
      <c r="L58" s="1977"/>
      <c r="M58" s="1977"/>
      <c r="N58" s="1977"/>
      <c r="O58" s="1977"/>
      <c r="P58" s="1977"/>
      <c r="Q58" s="1977"/>
      <c r="R58" s="1977"/>
      <c r="S58" s="1977"/>
      <c r="T58" s="1977"/>
      <c r="U58" s="1977"/>
      <c r="V58" s="1977"/>
      <c r="W58" s="1977"/>
      <c r="X58" s="1977"/>
      <c r="Y58" s="1977"/>
    </row>
    <row r="59" spans="2:25">
      <c r="B59" s="1977"/>
      <c r="C59" s="1977"/>
      <c r="D59" s="1977"/>
      <c r="E59" s="1977"/>
      <c r="F59" s="1977"/>
      <c r="G59" s="1977"/>
      <c r="H59" s="1977"/>
      <c r="I59" s="1977"/>
      <c r="J59" s="1977"/>
      <c r="K59" s="1977"/>
      <c r="L59" s="1977"/>
      <c r="M59" s="1977"/>
      <c r="N59" s="1977"/>
      <c r="O59" s="1977"/>
      <c r="P59" s="1977"/>
      <c r="Q59" s="1977"/>
      <c r="R59" s="1977"/>
      <c r="S59" s="1977"/>
      <c r="T59" s="1977"/>
      <c r="U59" s="1977"/>
      <c r="V59" s="1977"/>
      <c r="W59" s="1977"/>
      <c r="X59" s="1977"/>
      <c r="Y59" s="1977"/>
    </row>
    <row r="60" spans="2:25">
      <c r="B60" s="1977"/>
      <c r="C60" s="1977"/>
      <c r="D60" s="1977"/>
      <c r="E60" s="1977"/>
      <c r="F60" s="1977"/>
      <c r="G60" s="1977"/>
      <c r="H60" s="1977"/>
      <c r="I60" s="1977"/>
      <c r="J60" s="1977"/>
      <c r="K60" s="1977"/>
      <c r="L60" s="1977"/>
      <c r="M60" s="1977"/>
      <c r="N60" s="1977"/>
      <c r="O60" s="1977"/>
      <c r="P60" s="1977"/>
      <c r="Q60" s="1977"/>
      <c r="R60" s="1977"/>
      <c r="S60" s="1977"/>
      <c r="T60" s="1977"/>
      <c r="U60" s="1977"/>
      <c r="V60" s="1977"/>
      <c r="W60" s="1977"/>
      <c r="X60" s="1977"/>
      <c r="Y60" s="1977"/>
    </row>
    <row r="61" spans="2:25">
      <c r="B61" s="1977"/>
      <c r="C61" s="1977"/>
      <c r="D61" s="1977"/>
      <c r="E61" s="1977"/>
      <c r="F61" s="1977"/>
      <c r="G61" s="1977"/>
      <c r="H61" s="1977"/>
      <c r="I61" s="1977"/>
      <c r="J61" s="1977"/>
      <c r="K61" s="1977"/>
      <c r="L61" s="1977"/>
      <c r="M61" s="1977"/>
      <c r="N61" s="1977"/>
      <c r="O61" s="1977"/>
      <c r="P61" s="1977"/>
      <c r="Q61" s="1977"/>
      <c r="R61" s="1977"/>
      <c r="S61" s="1977"/>
      <c r="T61" s="1977"/>
      <c r="U61" s="1977"/>
      <c r="V61" s="1977"/>
      <c r="W61" s="1977"/>
      <c r="X61" s="1977"/>
      <c r="Y61" s="1977"/>
    </row>
    <row r="62" spans="2:25">
      <c r="B62" s="1977"/>
      <c r="C62" s="1977"/>
      <c r="D62" s="1977"/>
      <c r="E62" s="1977"/>
      <c r="F62" s="1977"/>
      <c r="G62" s="1977"/>
      <c r="H62" s="1977"/>
      <c r="I62" s="1977"/>
      <c r="J62" s="1977"/>
      <c r="K62" s="1977"/>
      <c r="L62" s="1977"/>
      <c r="M62" s="1977"/>
      <c r="N62" s="1977"/>
      <c r="O62" s="1977"/>
      <c r="P62" s="1977"/>
      <c r="Q62" s="1977"/>
      <c r="R62" s="1977"/>
      <c r="S62" s="1977"/>
      <c r="T62" s="1977"/>
      <c r="U62" s="1977"/>
      <c r="V62" s="1977"/>
      <c r="W62" s="1977"/>
      <c r="X62" s="1977"/>
      <c r="Y62" s="1977"/>
    </row>
    <row r="63" spans="2:25">
      <c r="B63" s="1977"/>
      <c r="C63" s="1977"/>
      <c r="D63" s="1977"/>
      <c r="E63" s="1977"/>
      <c r="F63" s="1977"/>
      <c r="G63" s="1977"/>
      <c r="H63" s="1977"/>
      <c r="I63" s="1977"/>
      <c r="J63" s="1977"/>
      <c r="K63" s="1977"/>
      <c r="L63" s="1977"/>
      <c r="M63" s="1977"/>
      <c r="N63" s="1977"/>
      <c r="O63" s="1977"/>
      <c r="P63" s="1977"/>
      <c r="Q63" s="1977"/>
      <c r="R63" s="1977"/>
      <c r="S63" s="1977"/>
      <c r="T63" s="1977"/>
      <c r="U63" s="1977"/>
      <c r="V63" s="1977"/>
      <c r="W63" s="1977"/>
      <c r="X63" s="1977"/>
      <c r="Y63" s="1977"/>
    </row>
    <row r="64" spans="2:25">
      <c r="B64" s="1977"/>
      <c r="C64" s="1977"/>
      <c r="D64" s="1977"/>
      <c r="E64" s="1977"/>
      <c r="F64" s="1977"/>
      <c r="G64" s="1977"/>
      <c r="H64" s="1977"/>
      <c r="I64" s="1977"/>
      <c r="J64" s="1977"/>
      <c r="K64" s="1977"/>
      <c r="L64" s="1977"/>
      <c r="M64" s="1977"/>
      <c r="N64" s="1977"/>
      <c r="O64" s="1977"/>
      <c r="P64" s="1977"/>
      <c r="Q64" s="1977"/>
      <c r="R64" s="1977"/>
      <c r="S64" s="1977"/>
      <c r="T64" s="1977"/>
      <c r="U64" s="1977"/>
      <c r="V64" s="1977"/>
      <c r="W64" s="1977"/>
      <c r="X64" s="1977"/>
      <c r="Y64" s="1977"/>
    </row>
    <row r="65" spans="2:25">
      <c r="B65" s="1977"/>
      <c r="C65" s="1977"/>
      <c r="D65" s="1977"/>
      <c r="E65" s="1977"/>
      <c r="F65" s="1977"/>
      <c r="G65" s="1977"/>
      <c r="H65" s="1977"/>
      <c r="I65" s="1977"/>
      <c r="J65" s="1977"/>
      <c r="K65" s="1977"/>
      <c r="L65" s="1977"/>
      <c r="M65" s="1977"/>
      <c r="N65" s="1977"/>
      <c r="O65" s="1977"/>
      <c r="P65" s="1977"/>
      <c r="Q65" s="1977"/>
      <c r="R65" s="1977"/>
      <c r="S65" s="1977"/>
      <c r="T65" s="1977"/>
      <c r="U65" s="1977"/>
      <c r="V65" s="1977"/>
      <c r="W65" s="1977"/>
      <c r="X65" s="1977"/>
      <c r="Y65" s="1977"/>
    </row>
    <row r="66" spans="2:25">
      <c r="B66" s="1977"/>
      <c r="C66" s="1977"/>
      <c r="D66" s="1977"/>
      <c r="E66" s="1977"/>
      <c r="F66" s="1977"/>
      <c r="G66" s="1977"/>
      <c r="H66" s="1977"/>
      <c r="I66" s="1977"/>
      <c r="J66" s="1977"/>
      <c r="K66" s="1977"/>
      <c r="L66" s="1977"/>
      <c r="M66" s="1977"/>
      <c r="N66" s="1977"/>
      <c r="O66" s="1977"/>
      <c r="P66" s="1977"/>
      <c r="Q66" s="1977"/>
      <c r="R66" s="1977"/>
      <c r="S66" s="1977"/>
      <c r="T66" s="1977"/>
      <c r="U66" s="1977"/>
      <c r="V66" s="1977"/>
      <c r="W66" s="1977"/>
      <c r="X66" s="1977"/>
      <c r="Y66" s="1977"/>
    </row>
    <row r="67" spans="2:25">
      <c r="B67" s="1977"/>
      <c r="C67" s="1977"/>
      <c r="D67" s="1977"/>
      <c r="E67" s="1977"/>
      <c r="F67" s="1977"/>
      <c r="G67" s="1977"/>
      <c r="H67" s="1977"/>
      <c r="I67" s="1977"/>
      <c r="J67" s="1977"/>
      <c r="K67" s="1977"/>
      <c r="L67" s="1977"/>
      <c r="M67" s="1977"/>
      <c r="N67" s="1977"/>
      <c r="O67" s="1977"/>
      <c r="P67" s="1977"/>
      <c r="Q67" s="1977"/>
      <c r="R67" s="1977"/>
      <c r="S67" s="1977"/>
      <c r="T67" s="1977"/>
      <c r="U67" s="1977"/>
      <c r="V67" s="1977"/>
      <c r="W67" s="1977"/>
      <c r="X67" s="1977"/>
      <c r="Y67" s="1977"/>
    </row>
    <row r="68" spans="2:25">
      <c r="B68" s="1977"/>
      <c r="C68" s="1977"/>
      <c r="D68" s="1977"/>
      <c r="E68" s="1977"/>
      <c r="F68" s="1977"/>
      <c r="G68" s="1977"/>
      <c r="H68" s="1977"/>
      <c r="I68" s="1977"/>
      <c r="J68" s="1977"/>
      <c r="K68" s="1977"/>
      <c r="L68" s="1977"/>
      <c r="M68" s="1977"/>
      <c r="N68" s="1977"/>
      <c r="O68" s="1977"/>
      <c r="P68" s="1977"/>
      <c r="Q68" s="1977"/>
      <c r="R68" s="1977"/>
      <c r="S68" s="1977"/>
      <c r="T68" s="1977"/>
      <c r="U68" s="1977"/>
      <c r="V68" s="1977"/>
      <c r="W68" s="1977"/>
      <c r="X68" s="1977"/>
      <c r="Y68" s="1977"/>
    </row>
    <row r="69" spans="2:25">
      <c r="B69" s="1977"/>
      <c r="C69" s="1977"/>
      <c r="D69" s="1977"/>
      <c r="E69" s="1977"/>
      <c r="F69" s="1977"/>
      <c r="G69" s="1977"/>
      <c r="H69" s="1977"/>
      <c r="I69" s="1977"/>
      <c r="J69" s="1977"/>
      <c r="K69" s="1977"/>
      <c r="L69" s="1977"/>
      <c r="M69" s="1977"/>
      <c r="N69" s="1977"/>
      <c r="O69" s="1977"/>
      <c r="P69" s="1977"/>
      <c r="Q69" s="1977"/>
      <c r="R69" s="1977"/>
      <c r="S69" s="1977"/>
      <c r="T69" s="1977"/>
      <c r="U69" s="1977"/>
      <c r="V69" s="1977"/>
      <c r="W69" s="1977"/>
      <c r="X69" s="1977"/>
      <c r="Y69" s="1977"/>
    </row>
    <row r="70" spans="2:25">
      <c r="B70" s="1977"/>
      <c r="C70" s="1977"/>
      <c r="D70" s="1977"/>
      <c r="E70" s="1977"/>
      <c r="F70" s="1977"/>
      <c r="G70" s="1977"/>
      <c r="H70" s="1977"/>
      <c r="I70" s="1977"/>
      <c r="J70" s="1977"/>
      <c r="K70" s="1977"/>
      <c r="L70" s="1977"/>
      <c r="M70" s="1977"/>
      <c r="N70" s="1977"/>
      <c r="O70" s="1977"/>
      <c r="P70" s="1977"/>
      <c r="Q70" s="1977"/>
      <c r="R70" s="1977"/>
      <c r="S70" s="1977"/>
      <c r="T70" s="1977"/>
      <c r="U70" s="1977"/>
      <c r="V70" s="1977"/>
      <c r="W70" s="1977"/>
      <c r="X70" s="1977"/>
      <c r="Y70" s="1977"/>
    </row>
    <row r="71" spans="2:25">
      <c r="B71" s="1977"/>
      <c r="C71" s="1977"/>
      <c r="D71" s="1977"/>
      <c r="E71" s="1977"/>
      <c r="F71" s="1977"/>
      <c r="G71" s="1977"/>
      <c r="H71" s="1977"/>
      <c r="I71" s="1977"/>
      <c r="J71" s="1977"/>
      <c r="K71" s="1977"/>
      <c r="L71" s="1977"/>
      <c r="M71" s="1977"/>
      <c r="N71" s="1977"/>
      <c r="O71" s="1977"/>
      <c r="P71" s="1977"/>
      <c r="Q71" s="1977"/>
      <c r="R71" s="1977"/>
      <c r="S71" s="1977"/>
      <c r="T71" s="1977"/>
      <c r="U71" s="1977"/>
      <c r="V71" s="1977"/>
      <c r="W71" s="1977"/>
      <c r="X71" s="1977"/>
      <c r="Y71" s="1977"/>
    </row>
    <row r="72" spans="2:25">
      <c r="B72" s="1977"/>
      <c r="C72" s="1977"/>
      <c r="D72" s="1977"/>
      <c r="E72" s="1977"/>
      <c r="F72" s="1977"/>
      <c r="G72" s="1977"/>
      <c r="H72" s="1977"/>
      <c r="I72" s="1977"/>
      <c r="J72" s="1977"/>
      <c r="K72" s="1977"/>
      <c r="L72" s="1977"/>
      <c r="M72" s="1977"/>
      <c r="N72" s="1977"/>
      <c r="O72" s="1977"/>
      <c r="P72" s="1977"/>
      <c r="Q72" s="1977"/>
      <c r="R72" s="1977"/>
      <c r="S72" s="1977"/>
      <c r="T72" s="1977"/>
      <c r="U72" s="1977"/>
      <c r="V72" s="1977"/>
      <c r="W72" s="1977"/>
      <c r="X72" s="1977"/>
      <c r="Y72" s="1977"/>
    </row>
    <row r="73" spans="2:25">
      <c r="B73" s="1977"/>
      <c r="C73" s="1977"/>
      <c r="D73" s="1977"/>
      <c r="E73" s="1977"/>
      <c r="F73" s="1977"/>
      <c r="G73" s="1977"/>
      <c r="H73" s="1977"/>
      <c r="I73" s="1977"/>
      <c r="J73" s="1977"/>
      <c r="K73" s="1977"/>
      <c r="L73" s="1977"/>
      <c r="M73" s="1977"/>
      <c r="N73" s="1977"/>
      <c r="O73" s="1977"/>
      <c r="P73" s="1977"/>
      <c r="Q73" s="1977"/>
      <c r="R73" s="1977"/>
      <c r="S73" s="1977"/>
      <c r="T73" s="1977"/>
      <c r="U73" s="1977"/>
      <c r="V73" s="1977"/>
      <c r="W73" s="1977"/>
      <c r="X73" s="1977"/>
      <c r="Y73" s="1977"/>
    </row>
  </sheetData>
  <dataConsolidate/>
  <printOptions horizontalCentered="1"/>
  <pageMargins left="0.25" right="0.25" top="0.5" bottom="0.25" header="0.5" footer="0.25"/>
  <pageSetup scale="50" firstPageNumber="45" orientation="landscape" useFirstPageNumber="1" r:id="rId1"/>
  <headerFooter scaleWithDoc="0" alignWithMargins="0">
    <oddFooter>&amp;C&amp;8&amp;P</oddFooter>
  </headerFooter>
  <customProperties>
    <customPr name="SheetOptions" r:id="rId2"/>
  </customProperties>
  <ignoredErrors>
    <ignoredError sqref="F13 J13:L13"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4">
    <pageSetUpPr autoPageBreaks="0" fitToPage="1"/>
  </sheetPr>
  <dimension ref="B1:L40"/>
  <sheetViews>
    <sheetView showGridLines="0" workbookViewId="0"/>
  </sheetViews>
  <sheetFormatPr defaultColWidth="8.84375" defaultRowHeight="15.5"/>
  <cols>
    <col min="1" max="1" width="2.07421875" style="303" customWidth="1"/>
    <col min="2" max="4" width="9.84375" style="303" customWidth="1"/>
    <col min="5" max="5" width="10.4609375" style="303" customWidth="1"/>
    <col min="6" max="6" width="14.84375" style="303" customWidth="1"/>
    <col min="7" max="7" width="1.07421875" style="303" customWidth="1"/>
    <col min="8" max="8" width="16.84375" style="303" customWidth="1"/>
    <col min="9" max="9" width="1.07421875" style="303" customWidth="1"/>
    <col min="10" max="10" width="16.84375" style="303" bestFit="1" customWidth="1"/>
    <col min="11" max="11" width="9.84375" style="303" customWidth="1"/>
    <col min="12" max="12" width="15.84375" style="303" customWidth="1"/>
    <col min="13" max="16384" width="8.84375" style="303"/>
  </cols>
  <sheetData>
    <row r="1" spans="2:12">
      <c r="B1" s="897" t="s">
        <v>97</v>
      </c>
    </row>
    <row r="2" spans="2:12">
      <c r="B2" s="355"/>
    </row>
    <row r="3" spans="2:12">
      <c r="B3" s="304" t="s">
        <v>98</v>
      </c>
      <c r="J3" s="429" t="s">
        <v>888</v>
      </c>
    </row>
    <row r="4" spans="2:12">
      <c r="B4" s="356" t="s">
        <v>889</v>
      </c>
    </row>
    <row r="5" spans="2:12">
      <c r="B5" s="657" t="str">
        <f>'Sch 1 '!A8</f>
        <v>FOR THE MONTH OF JULY 2026</v>
      </c>
      <c r="C5" s="658"/>
      <c r="D5" s="658"/>
      <c r="E5" s="658"/>
      <c r="F5" s="658"/>
      <c r="G5" s="658"/>
      <c r="H5" s="658"/>
      <c r="I5" s="658"/>
      <c r="J5" s="658"/>
      <c r="K5" s="658"/>
      <c r="L5" s="658"/>
    </row>
    <row r="6" spans="2:12">
      <c r="B6" s="657" t="s">
        <v>890</v>
      </c>
      <c r="C6" s="658"/>
      <c r="D6" s="658"/>
      <c r="E6" s="658"/>
      <c r="F6" s="658"/>
      <c r="G6" s="658"/>
      <c r="H6" s="658"/>
      <c r="I6" s="658"/>
      <c r="J6" s="658"/>
      <c r="K6" s="658"/>
      <c r="L6" s="658"/>
    </row>
    <row r="7" spans="2:12" ht="12.65" customHeight="1">
      <c r="B7" s="657" t="s">
        <v>102</v>
      </c>
      <c r="C7" s="659"/>
      <c r="D7" s="659"/>
      <c r="E7" s="659"/>
      <c r="F7" s="659"/>
      <c r="G7" s="659"/>
      <c r="H7" s="659"/>
      <c r="I7" s="659"/>
      <c r="J7" s="659"/>
      <c r="K7" s="659"/>
      <c r="L7" s="659"/>
    </row>
    <row r="8" spans="2:12">
      <c r="B8" s="108"/>
      <c r="G8" s="108"/>
      <c r="I8" s="108"/>
    </row>
    <row r="9" spans="2:12">
      <c r="B9" s="108"/>
      <c r="F9" s="109" t="s">
        <v>109</v>
      </c>
      <c r="G9" s="108"/>
      <c r="H9" s="110" t="s">
        <v>891</v>
      </c>
      <c r="I9" s="108"/>
      <c r="J9" s="109" t="s">
        <v>892</v>
      </c>
    </row>
    <row r="10" spans="2:12">
      <c r="B10" s="108"/>
      <c r="F10" s="110" t="str">
        <f>Footnotes!$O$3</f>
        <v>JULY 2026</v>
      </c>
      <c r="G10" s="108"/>
      <c r="H10" s="110" t="s">
        <v>893</v>
      </c>
      <c r="I10" s="108"/>
      <c r="J10" s="110" t="s">
        <v>894</v>
      </c>
    </row>
    <row r="11" spans="2:12">
      <c r="B11" s="108"/>
      <c r="F11" s="627"/>
      <c r="G11" s="108"/>
      <c r="H11" s="627" t="s">
        <v>103</v>
      </c>
      <c r="I11" s="108"/>
      <c r="J11" s="627"/>
    </row>
    <row r="12" spans="2:12">
      <c r="B12" s="111" t="s">
        <v>895</v>
      </c>
      <c r="G12" s="108"/>
      <c r="H12" s="303" t="s">
        <v>103</v>
      </c>
      <c r="I12" s="108"/>
    </row>
    <row r="13" spans="2:12">
      <c r="B13" s="108"/>
      <c r="G13" s="108"/>
      <c r="I13" s="108"/>
    </row>
    <row r="14" spans="2:12">
      <c r="B14" s="279" t="s">
        <v>896</v>
      </c>
      <c r="F14" s="496">
        <v>97821.7</v>
      </c>
      <c r="G14" s="496"/>
      <c r="H14" s="873">
        <v>92043.3</v>
      </c>
      <c r="I14" s="496"/>
      <c r="J14" s="496">
        <v>86019.199999999997</v>
      </c>
    </row>
    <row r="15" spans="2:12">
      <c r="B15" s="279" t="s">
        <v>897</v>
      </c>
      <c r="F15" s="845">
        <v>3.7679999999999998E-2</v>
      </c>
      <c r="G15" s="301"/>
      <c r="H15" s="874">
        <v>3.7569999999999999E-2</v>
      </c>
      <c r="I15" s="301"/>
      <c r="J15" s="845">
        <v>4.3529999999999999E-2</v>
      </c>
    </row>
    <row r="16" spans="2:12">
      <c r="B16" s="301" t="s">
        <v>898</v>
      </c>
      <c r="F16" s="846">
        <v>320.25700000000001</v>
      </c>
      <c r="G16" s="875"/>
      <c r="H16" s="876">
        <v>1175.037</v>
      </c>
      <c r="I16" s="369"/>
      <c r="J16" s="846">
        <v>1259.0830000000001</v>
      </c>
    </row>
    <row r="17" spans="2:11">
      <c r="B17" s="108"/>
      <c r="K17" s="108"/>
    </row>
    <row r="18" spans="2:11">
      <c r="B18" s="108"/>
      <c r="K18" s="108"/>
    </row>
    <row r="19" spans="2:11" ht="15" customHeight="1">
      <c r="B19" s="108"/>
      <c r="K19" s="108"/>
    </row>
    <row r="20" spans="2:11" ht="18">
      <c r="B20" s="359" t="s">
        <v>899</v>
      </c>
      <c r="C20" s="360"/>
      <c r="D20" s="360"/>
      <c r="K20" s="108"/>
    </row>
    <row r="21" spans="2:11">
      <c r="B21" s="108"/>
      <c r="G21" s="257"/>
      <c r="H21" s="257" t="str">
        <f>F10</f>
        <v>JULY 2026</v>
      </c>
      <c r="I21" s="678"/>
      <c r="J21" s="678" t="str">
        <f>UPPER(TEXT(H21-365,"MMMM YYYY"))</f>
        <v>JULY 2025</v>
      </c>
      <c r="K21" s="1642"/>
    </row>
    <row r="22" spans="2:11">
      <c r="B22" s="108"/>
      <c r="C22" s="361" t="s">
        <v>900</v>
      </c>
      <c r="E22" s="301" t="s">
        <v>103</v>
      </c>
      <c r="G22" s="362"/>
      <c r="H22" s="1251" t="s">
        <v>901</v>
      </c>
      <c r="I22" s="362"/>
      <c r="J22" s="1251" t="s">
        <v>901</v>
      </c>
      <c r="K22" s="108"/>
    </row>
    <row r="23" spans="2:11">
      <c r="B23" s="108"/>
      <c r="C23" s="301" t="s">
        <v>902</v>
      </c>
      <c r="G23" s="497"/>
      <c r="H23" s="498">
        <v>64228.4</v>
      </c>
      <c r="I23" s="497"/>
      <c r="J23" s="498">
        <v>53477.5</v>
      </c>
      <c r="K23" s="108"/>
    </row>
    <row r="24" spans="2:11">
      <c r="B24" s="108"/>
      <c r="C24" s="301" t="s">
        <v>903</v>
      </c>
      <c r="G24" s="497"/>
      <c r="H24" s="499">
        <v>702.7</v>
      </c>
      <c r="I24" s="497"/>
      <c r="J24" s="499">
        <v>710.6</v>
      </c>
      <c r="K24" s="108"/>
    </row>
    <row r="25" spans="2:11">
      <c r="B25" s="108"/>
      <c r="C25" s="301" t="s">
        <v>904</v>
      </c>
      <c r="G25" s="497"/>
      <c r="H25" s="499">
        <v>1902.2</v>
      </c>
      <c r="I25" s="497"/>
      <c r="J25" s="499">
        <v>0</v>
      </c>
      <c r="K25" s="108"/>
    </row>
    <row r="26" spans="2:11">
      <c r="B26" s="108"/>
      <c r="C26" s="301" t="s">
        <v>905</v>
      </c>
      <c r="G26" s="500"/>
      <c r="H26" s="499">
        <v>32111.9</v>
      </c>
      <c r="I26" s="500"/>
      <c r="J26" s="499">
        <v>26788.7</v>
      </c>
      <c r="K26" s="108" t="s">
        <v>103</v>
      </c>
    </row>
    <row r="27" spans="2:11">
      <c r="B27" s="108"/>
      <c r="C27" s="301" t="s">
        <v>906</v>
      </c>
      <c r="G27" s="500"/>
      <c r="H27" s="499">
        <v>3192</v>
      </c>
      <c r="I27" s="500"/>
      <c r="J27" s="499">
        <v>3245.6</v>
      </c>
      <c r="K27" s="108" t="s">
        <v>103</v>
      </c>
    </row>
    <row r="28" spans="2:11">
      <c r="B28" s="108"/>
      <c r="C28" s="301" t="s">
        <v>907</v>
      </c>
      <c r="G28" s="500"/>
      <c r="H28" s="499">
        <v>13</v>
      </c>
      <c r="I28" s="500"/>
      <c r="J28" s="499">
        <v>53</v>
      </c>
      <c r="K28" s="108"/>
    </row>
    <row r="29" spans="2:11" ht="16" thickBot="1">
      <c r="B29" s="108"/>
      <c r="G29" s="112"/>
      <c r="H29" s="628">
        <f>ROUND(SUM(H23:H28),1)</f>
        <v>102150.2</v>
      </c>
      <c r="I29" s="112"/>
      <c r="J29" s="628">
        <f>ROUND(SUM(J23:J28),1)</f>
        <v>84275.4</v>
      </c>
      <c r="K29" s="108"/>
    </row>
    <row r="30" spans="2:11" ht="16" thickTop="1">
      <c r="B30" s="108"/>
      <c r="G30" s="501"/>
      <c r="H30" s="501"/>
      <c r="I30" s="501"/>
      <c r="K30" s="108"/>
    </row>
    <row r="31" spans="2:11">
      <c r="B31" s="108"/>
      <c r="K31" s="108"/>
    </row>
    <row r="32" spans="2:11">
      <c r="B32" s="111"/>
      <c r="K32" s="108"/>
    </row>
    <row r="33" spans="2:12" ht="192.75" customHeight="1">
      <c r="B33" s="2073" t="s">
        <v>908</v>
      </c>
      <c r="C33" s="2073"/>
      <c r="D33" s="2073"/>
      <c r="E33" s="2073"/>
      <c r="F33" s="2073"/>
      <c r="G33" s="2073"/>
      <c r="H33" s="2073"/>
      <c r="I33" s="2073"/>
      <c r="J33" s="2073"/>
      <c r="K33" s="108"/>
    </row>
    <row r="35" spans="2:12" ht="15" customHeight="1">
      <c r="B35" s="269" t="s">
        <v>909</v>
      </c>
      <c r="C35" s="302"/>
      <c r="D35" s="302"/>
      <c r="E35" s="302"/>
      <c r="F35" s="302"/>
      <c r="G35" s="302"/>
      <c r="H35" s="302"/>
      <c r="I35" s="302"/>
      <c r="J35" s="302"/>
      <c r="K35" s="302"/>
      <c r="L35" s="302"/>
    </row>
    <row r="36" spans="2:12" ht="17.25" customHeight="1">
      <c r="B36" s="300"/>
      <c r="L36" s="108"/>
    </row>
    <row r="37" spans="2:12">
      <c r="B37" s="301"/>
      <c r="C37" s="301"/>
      <c r="L37" s="108"/>
    </row>
    <row r="38" spans="2:12">
      <c r="B38" s="300"/>
      <c r="C38" s="301"/>
      <c r="L38" s="108"/>
    </row>
    <row r="39" spans="2:12">
      <c r="B39" s="108"/>
      <c r="C39" s="301" t="s">
        <v>103</v>
      </c>
      <c r="D39" s="108"/>
      <c r="E39" s="108"/>
      <c r="F39" s="108"/>
      <c r="G39" s="108"/>
      <c r="H39" s="108"/>
      <c r="I39" s="108"/>
      <c r="J39" s="108"/>
    </row>
    <row r="40" spans="2:12">
      <c r="C40" s="301" t="s">
        <v>103</v>
      </c>
    </row>
  </sheetData>
  <mergeCells count="1">
    <mergeCell ref="B33:J33"/>
  </mergeCells>
  <printOptions horizontalCentered="1"/>
  <pageMargins left="0.5" right="0.5" top="1" bottom="0.5" header="0.5" footer="0.25"/>
  <pageSetup firstPageNumber="46" orientation="landscape" useFirstPageNumber="1" r:id="rId1"/>
  <headerFooter scaleWithDoc="0" alignWithMargins="0">
    <oddFooter>&amp;C&amp;8&amp;P</oddFooter>
  </headerFooter>
  <customProperties>
    <customPr name="SheetOptions" r:id="rId2"/>
  </customProperties>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5">
    <pageSetUpPr fitToPage="1"/>
  </sheetPr>
  <dimension ref="A1:AG96"/>
  <sheetViews>
    <sheetView showGridLines="0" zoomScale="80" workbookViewId="0"/>
  </sheetViews>
  <sheetFormatPr defaultColWidth="8.84375" defaultRowHeight="15.5"/>
  <cols>
    <col min="1" max="1" width="45.4609375" style="167" customWidth="1"/>
    <col min="2" max="2" width="17" style="563" customWidth="1"/>
    <col min="3" max="3" width="1.84375" style="563" customWidth="1"/>
    <col min="4" max="4" width="17" style="563" customWidth="1"/>
    <col min="5" max="5" width="1.84375" style="562" customWidth="1"/>
    <col min="6" max="6" width="17" style="563" customWidth="1"/>
    <col min="7" max="7" width="1.84375" style="562" customWidth="1"/>
    <col min="8" max="8" width="17" style="563" customWidth="1"/>
    <col min="9" max="9" width="1.84375" style="604" customWidth="1"/>
    <col min="10" max="10" width="17" style="594" customWidth="1"/>
    <col min="11" max="11" width="1.84375" style="594" customWidth="1"/>
    <col min="12" max="12" width="17" style="594" customWidth="1"/>
    <col min="13" max="13" width="1.84375" style="604" customWidth="1"/>
    <col min="14" max="14" width="17" style="594" customWidth="1"/>
    <col min="15" max="15" width="1.84375" style="604" customWidth="1"/>
    <col min="16" max="16" width="17" style="594" customWidth="1"/>
    <col min="17" max="17" width="1.84375" style="604" customWidth="1"/>
    <col min="18" max="18" width="17" style="594" customWidth="1"/>
    <col min="19" max="19" width="1.84375" style="604" customWidth="1"/>
    <col min="20" max="20" width="17" style="594" customWidth="1"/>
    <col min="21" max="21" width="1.84375" style="604" customWidth="1"/>
    <col min="22" max="22" width="17" style="594" customWidth="1"/>
    <col min="23" max="23" width="1.84375" style="604" customWidth="1"/>
    <col min="24" max="24" width="17" style="594" customWidth="1"/>
    <col min="25" max="25" width="1.84375" style="604" customWidth="1"/>
    <col min="26" max="26" width="18.84375" style="605" customWidth="1"/>
    <col min="27" max="27" width="1.53515625" style="482" customWidth="1"/>
    <col min="28" max="28" width="18.84375" style="167" bestFit="1" customWidth="1"/>
    <col min="29" max="29" width="12.84375" style="167" bestFit="1" customWidth="1"/>
    <col min="30" max="16384" width="8.84375" style="167"/>
  </cols>
  <sheetData>
    <row r="1" spans="1:33">
      <c r="A1" s="265" t="s">
        <v>97</v>
      </c>
      <c r="B1" s="478"/>
      <c r="C1" s="478"/>
      <c r="D1" s="478"/>
      <c r="E1" s="478"/>
      <c r="F1" s="478"/>
      <c r="G1" s="478"/>
      <c r="H1" s="478"/>
      <c r="I1" s="478"/>
      <c r="J1" s="478"/>
      <c r="K1" s="478"/>
      <c r="L1" s="478"/>
      <c r="M1" s="478"/>
      <c r="N1" s="478"/>
      <c r="O1" s="478"/>
      <c r="P1" s="478"/>
      <c r="Q1" s="478"/>
      <c r="R1" s="478"/>
      <c r="S1" s="478"/>
      <c r="T1" s="478"/>
      <c r="U1" s="478"/>
      <c r="V1" s="478"/>
      <c r="W1" s="478"/>
      <c r="X1" s="478"/>
      <c r="Y1" s="478"/>
      <c r="Z1" s="478"/>
      <c r="AA1" s="878"/>
      <c r="AB1" s="478"/>
      <c r="AC1" s="478"/>
      <c r="AD1" s="478"/>
      <c r="AE1" s="478"/>
      <c r="AF1" s="478"/>
      <c r="AG1" s="478"/>
    </row>
    <row r="2" spans="1:33">
      <c r="A2" s="265"/>
      <c r="B2" s="478"/>
      <c r="C2" s="478"/>
      <c r="D2" s="478"/>
      <c r="E2" s="478"/>
      <c r="F2" s="478"/>
      <c r="G2" s="478"/>
      <c r="H2" s="478"/>
      <c r="I2" s="478"/>
      <c r="J2" s="478"/>
      <c r="K2" s="478"/>
      <c r="L2" s="478"/>
      <c r="M2" s="478"/>
      <c r="N2" s="478"/>
      <c r="O2" s="478"/>
      <c r="P2" s="478"/>
      <c r="Q2" s="478"/>
      <c r="R2" s="478"/>
      <c r="S2" s="478"/>
      <c r="T2" s="478"/>
      <c r="U2" s="478"/>
      <c r="V2" s="478"/>
      <c r="W2" s="478"/>
      <c r="X2" s="478"/>
      <c r="Y2" s="478"/>
      <c r="Z2" s="478"/>
      <c r="AA2" s="878"/>
      <c r="AB2" s="478"/>
      <c r="AC2" s="478"/>
      <c r="AD2" s="478"/>
      <c r="AE2" s="478"/>
      <c r="AF2" s="478"/>
      <c r="AG2" s="478"/>
    </row>
    <row r="3" spans="1:33" ht="17.899999999999999" customHeight="1">
      <c r="A3" s="347" t="s">
        <v>98</v>
      </c>
      <c r="B3" s="164"/>
      <c r="C3" s="164"/>
      <c r="D3" s="165"/>
      <c r="E3" s="166"/>
      <c r="F3" s="165"/>
      <c r="G3" s="166"/>
      <c r="H3" s="165"/>
      <c r="I3" s="166"/>
      <c r="K3" s="164"/>
      <c r="L3" s="595"/>
      <c r="M3" s="164"/>
      <c r="N3" s="165"/>
      <c r="O3" s="166"/>
      <c r="P3" s="165"/>
      <c r="Q3" s="166"/>
      <c r="R3" s="165"/>
      <c r="S3" s="166"/>
      <c r="T3" s="165"/>
      <c r="U3" s="166"/>
      <c r="V3" s="165"/>
      <c r="W3" s="166"/>
      <c r="X3" s="165"/>
      <c r="Y3" s="166"/>
      <c r="Z3" s="596" t="s">
        <v>910</v>
      </c>
      <c r="AA3" s="879"/>
      <c r="AC3" s="164"/>
      <c r="AE3" s="164"/>
    </row>
    <row r="4" spans="1:33" ht="17.899999999999999" customHeight="1">
      <c r="A4" s="347" t="s">
        <v>911</v>
      </c>
      <c r="B4" s="479"/>
      <c r="C4" s="479"/>
      <c r="D4" s="168"/>
      <c r="E4" s="166"/>
      <c r="F4" s="479"/>
      <c r="G4" s="166"/>
      <c r="H4" s="479"/>
      <c r="I4" s="166"/>
      <c r="J4" s="479"/>
      <c r="K4" s="479"/>
      <c r="L4" s="479"/>
      <c r="M4" s="169"/>
      <c r="N4" s="479"/>
      <c r="O4" s="166"/>
      <c r="P4" s="479"/>
      <c r="Q4" s="166"/>
      <c r="R4" s="479"/>
      <c r="S4" s="166"/>
      <c r="T4" s="479"/>
      <c r="U4" s="166"/>
      <c r="V4" s="479"/>
      <c r="W4" s="166"/>
      <c r="X4" s="479"/>
      <c r="Y4" s="166"/>
      <c r="Z4" s="597"/>
      <c r="AA4" s="879"/>
      <c r="AC4" s="164"/>
    </row>
    <row r="5" spans="1:33" ht="17.899999999999999" customHeight="1">
      <c r="A5" s="348" t="s">
        <v>912</v>
      </c>
      <c r="B5" s="479"/>
      <c r="C5" s="479"/>
      <c r="D5" s="479"/>
      <c r="E5" s="166"/>
      <c r="F5" s="479"/>
      <c r="G5" s="166"/>
      <c r="H5" s="479"/>
      <c r="I5" s="166"/>
      <c r="J5" s="479"/>
      <c r="K5" s="479"/>
      <c r="L5" s="479"/>
      <c r="M5" s="169"/>
      <c r="N5" s="479"/>
      <c r="O5" s="166"/>
      <c r="P5" s="479"/>
      <c r="Q5" s="166"/>
      <c r="R5" s="479"/>
      <c r="S5" s="166"/>
      <c r="T5" s="479"/>
      <c r="U5" s="166"/>
      <c r="V5" s="479"/>
      <c r="W5" s="166"/>
      <c r="X5" s="479"/>
      <c r="Y5" s="166"/>
      <c r="Z5" s="597"/>
    </row>
    <row r="6" spans="1:33" ht="17.899999999999999" customHeight="1">
      <c r="A6" s="171" t="str">
        <f>'Cashflow Governmental'!A6</f>
        <v>FISCAL YEAR 2026-2027</v>
      </c>
      <c r="B6" s="479"/>
      <c r="C6" s="479"/>
      <c r="D6" s="173"/>
      <c r="E6" s="166"/>
      <c r="F6" s="479"/>
      <c r="G6" s="166"/>
      <c r="H6" s="479"/>
      <c r="I6" s="166"/>
      <c r="J6" s="479"/>
      <c r="K6" s="479"/>
      <c r="L6" s="479"/>
      <c r="M6" s="169"/>
      <c r="N6" s="479"/>
      <c r="O6" s="166"/>
      <c r="P6" s="479"/>
      <c r="Q6" s="166"/>
      <c r="R6" s="479"/>
      <c r="S6" s="166"/>
      <c r="T6" s="479"/>
      <c r="U6" s="166"/>
      <c r="V6" s="479"/>
      <c r="W6" s="166"/>
      <c r="X6" s="479"/>
      <c r="Y6" s="166"/>
      <c r="Z6" s="597"/>
    </row>
    <row r="7" spans="1:33" ht="18">
      <c r="A7" s="172"/>
      <c r="B7" s="479"/>
      <c r="C7" s="479"/>
      <c r="D7" s="479"/>
      <c r="E7" s="166"/>
      <c r="F7" s="479"/>
      <c r="G7" s="166"/>
      <c r="H7" s="479"/>
      <c r="I7" s="166"/>
      <c r="J7" s="479"/>
      <c r="K7" s="479"/>
      <c r="L7" s="479"/>
      <c r="M7" s="169"/>
      <c r="N7" s="479"/>
      <c r="O7" s="166"/>
      <c r="P7" s="479"/>
      <c r="Q7" s="166"/>
      <c r="R7" s="481"/>
      <c r="S7" s="166"/>
      <c r="T7" s="481"/>
      <c r="U7" s="166"/>
      <c r="V7" s="481"/>
      <c r="W7" s="166"/>
      <c r="X7" s="481"/>
      <c r="Y7" s="166"/>
      <c r="Z7" s="597"/>
    </row>
    <row r="8" spans="1:33">
      <c r="A8" s="163"/>
      <c r="B8" s="479"/>
      <c r="C8" s="479"/>
      <c r="D8" s="479"/>
      <c r="E8" s="166"/>
      <c r="F8" s="479"/>
      <c r="G8" s="166"/>
      <c r="H8" s="479"/>
      <c r="I8" s="166"/>
      <c r="J8" s="479"/>
      <c r="K8" s="479"/>
      <c r="L8" s="479"/>
      <c r="M8" s="166"/>
      <c r="N8" s="479"/>
      <c r="O8" s="166"/>
      <c r="P8" s="479"/>
      <c r="Q8" s="166"/>
      <c r="R8" s="479"/>
      <c r="S8" s="166"/>
      <c r="T8" s="479"/>
      <c r="U8" s="166"/>
      <c r="V8" s="479"/>
      <c r="W8" s="166"/>
      <c r="X8" s="479"/>
      <c r="Y8" s="166"/>
      <c r="Z8" s="1662"/>
      <c r="AA8" s="175"/>
    </row>
    <row r="9" spans="1:33">
      <c r="A9" s="482"/>
      <c r="B9" s="373" t="str">
        <f>'Cashflow Governmental'!C13</f>
        <v>2026</v>
      </c>
      <c r="C9" s="176"/>
      <c r="D9" s="176"/>
      <c r="E9" s="169"/>
      <c r="F9" s="176"/>
      <c r="G9" s="169"/>
      <c r="H9" s="176"/>
      <c r="I9" s="169"/>
      <c r="J9" s="176"/>
      <c r="K9" s="176"/>
      <c r="L9" s="177"/>
      <c r="M9" s="169"/>
      <c r="N9" s="177"/>
      <c r="O9" s="169"/>
      <c r="P9" s="177"/>
      <c r="Q9" s="169"/>
      <c r="R9" s="177"/>
      <c r="S9" s="169"/>
      <c r="T9" s="373">
        <f>'Cashflow Governmental'!U13</f>
        <v>2027</v>
      </c>
      <c r="U9" s="169"/>
      <c r="V9" s="177"/>
      <c r="W9" s="169"/>
      <c r="X9" s="177"/>
      <c r="Y9" s="169"/>
      <c r="Z9" s="177" t="str">
        <f>'Sch 5 '!$K$11</f>
        <v>4 MONTHS ENDED</v>
      </c>
      <c r="AA9" s="177"/>
    </row>
    <row r="10" spans="1:33">
      <c r="A10" s="482"/>
      <c r="B10" s="178" t="s">
        <v>329</v>
      </c>
      <c r="C10" s="178"/>
      <c r="D10" s="177" t="s">
        <v>330</v>
      </c>
      <c r="E10" s="169"/>
      <c r="F10" s="177" t="s">
        <v>331</v>
      </c>
      <c r="G10" s="169"/>
      <c r="H10" s="177" t="s">
        <v>332</v>
      </c>
      <c r="I10" s="169"/>
      <c r="J10" s="656" t="s">
        <v>333</v>
      </c>
      <c r="K10" s="179"/>
      <c r="L10" s="177" t="s">
        <v>445</v>
      </c>
      <c r="M10" s="169"/>
      <c r="N10" s="177" t="s">
        <v>446</v>
      </c>
      <c r="O10" s="169"/>
      <c r="P10" s="177" t="s">
        <v>336</v>
      </c>
      <c r="Q10" s="169"/>
      <c r="R10" s="177" t="s">
        <v>337</v>
      </c>
      <c r="S10" s="169"/>
      <c r="T10" s="177" t="s">
        <v>338</v>
      </c>
      <c r="U10" s="169"/>
      <c r="V10" s="177" t="s">
        <v>339</v>
      </c>
      <c r="W10" s="169"/>
      <c r="X10" s="177" t="s">
        <v>447</v>
      </c>
      <c r="Y10" s="169"/>
      <c r="Z10" s="180" t="str">
        <f>'Sch 5 '!$K$12</f>
        <v>JULY 31, 2026</v>
      </c>
      <c r="AA10" s="180"/>
    </row>
    <row r="11" spans="1:33">
      <c r="A11" s="482"/>
      <c r="B11" s="612" t="s">
        <v>103</v>
      </c>
      <c r="C11" s="483"/>
      <c r="D11" s="612"/>
      <c r="E11" s="484"/>
      <c r="F11" s="612"/>
      <c r="G11" s="484"/>
      <c r="H11" s="612"/>
      <c r="I11" s="484"/>
      <c r="J11" s="612"/>
      <c r="K11" s="179"/>
      <c r="L11" s="612"/>
      <c r="M11" s="484"/>
      <c r="N11" s="612"/>
      <c r="O11" s="484"/>
      <c r="P11" s="612"/>
      <c r="Q11" s="484"/>
      <c r="R11" s="612"/>
      <c r="S11" s="484"/>
      <c r="T11" s="612"/>
      <c r="U11" s="484"/>
      <c r="V11" s="612"/>
      <c r="W11" s="484"/>
      <c r="X11" s="612"/>
      <c r="Y11" s="484"/>
      <c r="Z11" s="1080" t="s">
        <v>103</v>
      </c>
    </row>
    <row r="12" spans="1:33" s="182" customFormat="1">
      <c r="A12" s="185" t="s">
        <v>913</v>
      </c>
      <c r="B12" s="181">
        <v>449121155</v>
      </c>
      <c r="C12" s="181"/>
      <c r="D12" s="181">
        <f>B47</f>
        <v>639929644</v>
      </c>
      <c r="E12" s="485"/>
      <c r="F12" s="181">
        <f>D47</f>
        <v>991622776</v>
      </c>
      <c r="G12" s="485"/>
      <c r="H12" s="181">
        <f>F47</f>
        <v>1105404880</v>
      </c>
      <c r="I12" s="485"/>
      <c r="J12" s="181"/>
      <c r="K12" s="181"/>
      <c r="L12" s="181"/>
      <c r="M12" s="179"/>
      <c r="N12" s="181"/>
      <c r="O12" s="181"/>
      <c r="P12" s="181"/>
      <c r="Q12" s="181"/>
      <c r="R12" s="181"/>
      <c r="S12" s="181"/>
      <c r="T12" s="181"/>
      <c r="U12" s="181"/>
      <c r="V12" s="181"/>
      <c r="W12" s="181"/>
      <c r="X12" s="181"/>
      <c r="Y12" s="181"/>
      <c r="Z12" s="181">
        <f>+B12</f>
        <v>449121155</v>
      </c>
      <c r="AA12" s="880"/>
      <c r="AB12" s="1643"/>
    </row>
    <row r="13" spans="1:33">
      <c r="A13" s="486"/>
      <c r="B13" s="487"/>
      <c r="C13" s="487"/>
      <c r="D13" s="487"/>
      <c r="E13" s="487"/>
      <c r="F13" s="487"/>
      <c r="G13" s="487"/>
      <c r="H13" s="487"/>
      <c r="I13" s="487"/>
      <c r="J13" s="487"/>
      <c r="K13" s="179"/>
      <c r="L13" s="487"/>
      <c r="M13" s="487"/>
      <c r="N13" s="487"/>
      <c r="O13" s="487"/>
      <c r="P13" s="487"/>
      <c r="Q13" s="487"/>
      <c r="R13" s="487"/>
      <c r="S13" s="487"/>
      <c r="T13" s="487"/>
      <c r="U13" s="487"/>
      <c r="V13" s="487"/>
      <c r="W13" s="487"/>
      <c r="X13" s="487"/>
      <c r="Y13" s="487"/>
      <c r="Z13" s="598"/>
      <c r="AB13" s="1643"/>
    </row>
    <row r="14" spans="1:33">
      <c r="A14" s="183" t="s">
        <v>114</v>
      </c>
      <c r="B14" s="487"/>
      <c r="C14" s="487"/>
      <c r="D14" s="487"/>
      <c r="E14" s="487"/>
      <c r="F14" s="487"/>
      <c r="G14" s="487"/>
      <c r="H14" s="487"/>
      <c r="I14" s="487"/>
      <c r="J14" s="487"/>
      <c r="K14" s="487"/>
      <c r="L14" s="487"/>
      <c r="M14" s="487"/>
      <c r="N14" s="487"/>
      <c r="O14" s="487"/>
      <c r="P14" s="487"/>
      <c r="Q14" s="487"/>
      <c r="R14" s="487"/>
      <c r="S14" s="487"/>
      <c r="T14" s="487"/>
      <c r="U14" s="487"/>
      <c r="V14" s="487"/>
      <c r="W14" s="487"/>
      <c r="X14" s="487"/>
      <c r="Y14" s="487"/>
      <c r="Z14" s="598"/>
      <c r="AB14" s="1643"/>
    </row>
    <row r="15" spans="1:33">
      <c r="A15" s="349" t="s">
        <v>914</v>
      </c>
      <c r="B15" s="489">
        <v>52851229</v>
      </c>
      <c r="C15" s="489"/>
      <c r="D15" s="489">
        <v>39745785</v>
      </c>
      <c r="E15" s="489"/>
      <c r="F15" s="489">
        <v>48414375</v>
      </c>
      <c r="G15" s="489"/>
      <c r="H15" s="489">
        <f>$Z15-F15-D15-B15</f>
        <v>45446080</v>
      </c>
      <c r="I15" s="489"/>
      <c r="J15" s="489"/>
      <c r="K15" s="489"/>
      <c r="L15" s="489"/>
      <c r="M15" s="487"/>
      <c r="N15" s="489"/>
      <c r="O15" s="489"/>
      <c r="P15" s="489"/>
      <c r="Q15" s="489"/>
      <c r="R15" s="489"/>
      <c r="S15" s="489"/>
      <c r="T15" s="489"/>
      <c r="U15" s="489"/>
      <c r="V15" s="489"/>
      <c r="W15" s="489"/>
      <c r="X15" s="489"/>
      <c r="Y15" s="489"/>
      <c r="Z15" s="489">
        <v>186457469</v>
      </c>
      <c r="AB15" s="1643"/>
    </row>
    <row r="16" spans="1:33">
      <c r="A16" s="349" t="s">
        <v>915</v>
      </c>
      <c r="B16" s="489">
        <v>1127000</v>
      </c>
      <c r="C16" s="489"/>
      <c r="D16" s="489">
        <v>537000</v>
      </c>
      <c r="E16" s="489"/>
      <c r="F16" s="489">
        <v>1095000</v>
      </c>
      <c r="G16" s="489"/>
      <c r="H16" s="489">
        <f t="shared" ref="H16:H24" si="0">$Z16-F16-D16-B16</f>
        <v>1149000</v>
      </c>
      <c r="I16" s="489"/>
      <c r="J16" s="489"/>
      <c r="K16" s="489"/>
      <c r="L16" s="489"/>
      <c r="M16" s="487"/>
      <c r="N16" s="489"/>
      <c r="O16" s="489"/>
      <c r="P16" s="489"/>
      <c r="Q16" s="489"/>
      <c r="R16" s="489"/>
      <c r="S16" s="489"/>
      <c r="T16" s="489"/>
      <c r="U16" s="489"/>
      <c r="V16" s="489"/>
      <c r="W16" s="489"/>
      <c r="X16" s="489"/>
      <c r="Y16" s="489"/>
      <c r="Z16" s="489">
        <v>3908000</v>
      </c>
      <c r="AB16" s="1643"/>
    </row>
    <row r="17" spans="1:28">
      <c r="A17" s="349" t="s">
        <v>916</v>
      </c>
      <c r="B17" s="489">
        <v>276404</v>
      </c>
      <c r="C17" s="489"/>
      <c r="D17" s="489">
        <v>28970</v>
      </c>
      <c r="E17" s="489"/>
      <c r="F17" s="489">
        <v>4624007</v>
      </c>
      <c r="G17" s="489"/>
      <c r="H17" s="489">
        <f t="shared" si="0"/>
        <v>67800</v>
      </c>
      <c r="I17" s="489"/>
      <c r="J17" s="489"/>
      <c r="K17" s="489"/>
      <c r="L17" s="489"/>
      <c r="M17" s="487"/>
      <c r="N17" s="489"/>
      <c r="O17" s="489"/>
      <c r="P17" s="489"/>
      <c r="Q17" s="489"/>
      <c r="R17" s="489"/>
      <c r="S17" s="489"/>
      <c r="T17" s="489"/>
      <c r="U17" s="489"/>
      <c r="V17" s="489"/>
      <c r="W17" s="489"/>
      <c r="X17" s="489"/>
      <c r="Y17" s="489"/>
      <c r="Z17" s="489">
        <v>4997181</v>
      </c>
      <c r="AB17" s="1643"/>
    </row>
    <row r="18" spans="1:28">
      <c r="A18" s="349" t="s">
        <v>917</v>
      </c>
      <c r="B18" s="489">
        <v>2590112</v>
      </c>
      <c r="C18" s="489"/>
      <c r="D18" s="489">
        <v>2480948</v>
      </c>
      <c r="E18" s="489"/>
      <c r="F18" s="489">
        <v>3634998</v>
      </c>
      <c r="G18" s="489"/>
      <c r="H18" s="489">
        <f t="shared" si="0"/>
        <v>4256581</v>
      </c>
      <c r="I18" s="489"/>
      <c r="J18" s="489"/>
      <c r="K18" s="489"/>
      <c r="L18" s="489"/>
      <c r="M18" s="487"/>
      <c r="N18" s="489"/>
      <c r="O18" s="489"/>
      <c r="P18" s="489"/>
      <c r="Q18" s="489"/>
      <c r="R18" s="489"/>
      <c r="S18" s="489"/>
      <c r="T18" s="489"/>
      <c r="U18" s="489"/>
      <c r="V18" s="489"/>
      <c r="W18" s="489"/>
      <c r="X18" s="489"/>
      <c r="Y18" s="489"/>
      <c r="Z18" s="489">
        <v>12962639</v>
      </c>
      <c r="AB18" s="1643"/>
    </row>
    <row r="19" spans="1:28">
      <c r="A19" s="349" t="s">
        <v>918</v>
      </c>
      <c r="B19" s="489">
        <v>563672523</v>
      </c>
      <c r="C19" s="489"/>
      <c r="D19" s="489">
        <v>689410854</v>
      </c>
      <c r="E19" s="489"/>
      <c r="F19" s="489">
        <v>801529660</v>
      </c>
      <c r="G19" s="489"/>
      <c r="H19" s="489">
        <f t="shared" si="0"/>
        <v>685172426</v>
      </c>
      <c r="I19" s="489"/>
      <c r="J19" s="489"/>
      <c r="K19" s="489"/>
      <c r="L19" s="489"/>
      <c r="M19" s="487"/>
      <c r="N19" s="489"/>
      <c r="O19" s="489"/>
      <c r="P19" s="489"/>
      <c r="Q19" s="489"/>
      <c r="R19" s="489"/>
      <c r="S19" s="489"/>
      <c r="T19" s="489"/>
      <c r="U19" s="489"/>
      <c r="V19" s="489"/>
      <c r="W19" s="489"/>
      <c r="X19" s="489"/>
      <c r="Y19" s="489"/>
      <c r="Z19" s="489">
        <v>2739785463</v>
      </c>
      <c r="AB19" s="1643"/>
    </row>
    <row r="20" spans="1:28">
      <c r="A20" s="349" t="s">
        <v>919</v>
      </c>
      <c r="B20" s="489">
        <v>30000</v>
      </c>
      <c r="C20" s="491"/>
      <c r="D20" s="489">
        <v>15600</v>
      </c>
      <c r="E20" s="489"/>
      <c r="F20" s="489">
        <v>118900</v>
      </c>
      <c r="G20" s="489"/>
      <c r="H20" s="489">
        <f t="shared" si="0"/>
        <v>2498000</v>
      </c>
      <c r="I20" s="489"/>
      <c r="J20" s="489"/>
      <c r="K20" s="493"/>
      <c r="L20" s="489"/>
      <c r="M20" s="487"/>
      <c r="N20" s="489"/>
      <c r="O20" s="489"/>
      <c r="P20" s="489"/>
      <c r="Q20" s="489"/>
      <c r="R20" s="489"/>
      <c r="S20" s="489"/>
      <c r="T20" s="489"/>
      <c r="U20" s="489"/>
      <c r="V20" s="489"/>
      <c r="W20" s="491"/>
      <c r="X20" s="489"/>
      <c r="Y20" s="489"/>
      <c r="Z20" s="489">
        <v>2662500</v>
      </c>
      <c r="AB20" s="1643"/>
    </row>
    <row r="21" spans="1:28">
      <c r="A21" s="349" t="s">
        <v>920</v>
      </c>
      <c r="B21" s="489">
        <v>1106421</v>
      </c>
      <c r="C21" s="491"/>
      <c r="D21" s="489">
        <v>57085</v>
      </c>
      <c r="E21" s="489"/>
      <c r="F21" s="489">
        <v>2822000</v>
      </c>
      <c r="G21" s="489"/>
      <c r="H21" s="489">
        <f t="shared" si="0"/>
        <v>3693774</v>
      </c>
      <c r="I21" s="489"/>
      <c r="J21" s="489"/>
      <c r="K21" s="493"/>
      <c r="L21" s="489"/>
      <c r="M21" s="487"/>
      <c r="N21" s="489"/>
      <c r="O21" s="489"/>
      <c r="P21" s="489"/>
      <c r="Q21" s="489"/>
      <c r="R21" s="489"/>
      <c r="S21" s="489"/>
      <c r="T21" s="489"/>
      <c r="U21" s="489"/>
      <c r="V21" s="489"/>
      <c r="W21" s="491"/>
      <c r="X21" s="489"/>
      <c r="Y21" s="489"/>
      <c r="Z21" s="489">
        <v>7679280</v>
      </c>
      <c r="AB21" s="1643"/>
    </row>
    <row r="22" spans="1:28">
      <c r="A22" s="349" t="s">
        <v>921</v>
      </c>
      <c r="B22" s="489">
        <v>0</v>
      </c>
      <c r="C22" s="491"/>
      <c r="D22" s="489">
        <v>0</v>
      </c>
      <c r="E22" s="489"/>
      <c r="F22" s="489">
        <v>0</v>
      </c>
      <c r="G22" s="489"/>
      <c r="H22" s="489">
        <f t="shared" si="0"/>
        <v>0</v>
      </c>
      <c r="I22" s="489"/>
      <c r="J22" s="489"/>
      <c r="K22" s="493"/>
      <c r="L22" s="489"/>
      <c r="M22" s="487"/>
      <c r="N22" s="489"/>
      <c r="O22" s="489"/>
      <c r="P22" s="489"/>
      <c r="Q22" s="489"/>
      <c r="R22" s="489"/>
      <c r="S22" s="489"/>
      <c r="T22" s="489"/>
      <c r="U22" s="489"/>
      <c r="V22" s="489"/>
      <c r="W22" s="491"/>
      <c r="X22" s="489"/>
      <c r="Y22" s="489"/>
      <c r="Z22" s="489">
        <v>0</v>
      </c>
      <c r="AB22" s="1643"/>
    </row>
    <row r="23" spans="1:28">
      <c r="A23" s="350" t="s">
        <v>922</v>
      </c>
      <c r="B23" s="489">
        <v>0</v>
      </c>
      <c r="C23" s="491"/>
      <c r="D23" s="489">
        <v>0</v>
      </c>
      <c r="E23" s="489"/>
      <c r="F23" s="489">
        <v>0</v>
      </c>
      <c r="G23" s="489"/>
      <c r="H23" s="489">
        <f t="shared" si="0"/>
        <v>0</v>
      </c>
      <c r="I23" s="489"/>
      <c r="J23" s="489"/>
      <c r="K23" s="493"/>
      <c r="L23" s="489"/>
      <c r="M23" s="487"/>
      <c r="N23" s="489"/>
      <c r="O23" s="489"/>
      <c r="P23" s="489"/>
      <c r="Q23" s="489"/>
      <c r="R23" s="489"/>
      <c r="S23" s="489"/>
      <c r="T23" s="489"/>
      <c r="U23" s="489"/>
      <c r="V23" s="489"/>
      <c r="W23" s="491"/>
      <c r="X23" s="489"/>
      <c r="Y23" s="489"/>
      <c r="Z23" s="489">
        <v>0</v>
      </c>
      <c r="AB23" s="1643"/>
    </row>
    <row r="24" spans="1:28">
      <c r="A24" s="349" t="s">
        <v>923</v>
      </c>
      <c r="B24" s="489">
        <v>0</v>
      </c>
      <c r="C24" s="493"/>
      <c r="D24" s="489">
        <v>0</v>
      </c>
      <c r="E24" s="489"/>
      <c r="F24" s="489">
        <v>0</v>
      </c>
      <c r="G24" s="489"/>
      <c r="H24" s="489">
        <f t="shared" si="0"/>
        <v>41653</v>
      </c>
      <c r="I24" s="489"/>
      <c r="J24" s="489"/>
      <c r="K24" s="489"/>
      <c r="L24" s="489"/>
      <c r="M24" s="487"/>
      <c r="N24" s="489"/>
      <c r="O24" s="489"/>
      <c r="P24" s="489"/>
      <c r="Q24" s="489"/>
      <c r="R24" s="489"/>
      <c r="S24" s="489"/>
      <c r="T24" s="489"/>
      <c r="U24" s="489"/>
      <c r="V24" s="489"/>
      <c r="W24" s="489"/>
      <c r="X24" s="489"/>
      <c r="Y24" s="489"/>
      <c r="Z24" s="1663">
        <v>41653</v>
      </c>
      <c r="AB24" s="1643"/>
    </row>
    <row r="25" spans="1:28" s="182" customFormat="1">
      <c r="A25" s="183" t="s">
        <v>427</v>
      </c>
      <c r="B25" s="593">
        <f>ROUND(SUM(B15:B24),0)</f>
        <v>621653689</v>
      </c>
      <c r="C25" s="184"/>
      <c r="D25" s="593">
        <f>ROUND(SUM(D15:D24),0)</f>
        <v>732276242</v>
      </c>
      <c r="E25" s="184"/>
      <c r="F25" s="1193">
        <f>ROUND(SUM(F15:F24),0)</f>
        <v>862238940</v>
      </c>
      <c r="G25" s="184"/>
      <c r="H25" s="1193">
        <f>ROUND(SUM(H15:H24),0)</f>
        <v>742325314</v>
      </c>
      <c r="I25" s="184"/>
      <c r="J25" s="593">
        <f>ROUND(SUM(J15:J24),0)</f>
        <v>0</v>
      </c>
      <c r="K25" s="184"/>
      <c r="L25" s="593">
        <f>ROUND(SUM(L15:L24),0)</f>
        <v>0</v>
      </c>
      <c r="M25" s="179"/>
      <c r="N25" s="593">
        <f>ROUND(SUM(N15:N24),0)</f>
        <v>0</v>
      </c>
      <c r="O25" s="184"/>
      <c r="P25" s="593">
        <f>ROUND(SUM(P15:P24),0)</f>
        <v>0</v>
      </c>
      <c r="Q25" s="184"/>
      <c r="R25" s="593">
        <f>ROUND(SUM(R15:R24),0)</f>
        <v>0</v>
      </c>
      <c r="S25" s="184"/>
      <c r="T25" s="593">
        <f>ROUND(SUM(T15:T24),0)</f>
        <v>0</v>
      </c>
      <c r="U25" s="184"/>
      <c r="V25" s="593">
        <f>ROUND(SUM(V15:V24),0)</f>
        <v>0</v>
      </c>
      <c r="W25" s="184"/>
      <c r="X25" s="593">
        <f>ROUND(SUM(X15:X24),0)</f>
        <v>0</v>
      </c>
      <c r="Y25" s="184"/>
      <c r="Z25" s="593">
        <f>ROUND(SUM(Z15:Z24),0)</f>
        <v>2958494185</v>
      </c>
      <c r="AA25" s="880"/>
      <c r="AB25" s="1644"/>
    </row>
    <row r="26" spans="1:28">
      <c r="A26" s="486"/>
      <c r="B26" s="489"/>
      <c r="C26" s="489"/>
      <c r="D26" s="489"/>
      <c r="E26" s="489"/>
      <c r="F26" s="489"/>
      <c r="G26" s="489"/>
      <c r="H26" s="489"/>
      <c r="I26" s="489"/>
      <c r="J26" s="489"/>
      <c r="K26" s="489"/>
      <c r="L26" s="489"/>
      <c r="M26" s="487"/>
      <c r="N26" s="489"/>
      <c r="O26" s="489"/>
      <c r="P26" s="489"/>
      <c r="Q26" s="489"/>
      <c r="R26" s="489"/>
      <c r="S26" s="489"/>
      <c r="T26" s="489"/>
      <c r="U26" s="489"/>
      <c r="V26" s="489"/>
      <c r="W26" s="489"/>
      <c r="X26" s="489"/>
      <c r="Y26" s="489"/>
      <c r="Z26" s="490"/>
      <c r="AB26" s="1643"/>
    </row>
    <row r="27" spans="1:28">
      <c r="A27" s="183" t="s">
        <v>122</v>
      </c>
      <c r="B27" s="489"/>
      <c r="C27" s="489"/>
      <c r="D27" s="489"/>
      <c r="E27" s="489"/>
      <c r="F27" s="489"/>
      <c r="G27" s="489"/>
      <c r="H27" s="489"/>
      <c r="I27" s="489"/>
      <c r="J27" s="489"/>
      <c r="K27" s="489"/>
      <c r="L27" s="489"/>
      <c r="M27" s="487"/>
      <c r="N27" s="489"/>
      <c r="O27" s="489"/>
      <c r="P27" s="489"/>
      <c r="Q27" s="489"/>
      <c r="R27" s="489"/>
      <c r="S27" s="489"/>
      <c r="T27" s="489"/>
      <c r="U27" s="489"/>
      <c r="V27" s="489"/>
      <c r="W27" s="489"/>
      <c r="X27" s="489"/>
      <c r="Y27" s="489"/>
      <c r="Z27" s="490"/>
      <c r="AB27" s="1643"/>
    </row>
    <row r="28" spans="1:28">
      <c r="A28" s="349" t="s">
        <v>924</v>
      </c>
      <c r="B28" s="489">
        <v>430848373</v>
      </c>
      <c r="C28" s="489"/>
      <c r="D28" s="489">
        <v>377864054</v>
      </c>
      <c r="E28" s="489"/>
      <c r="F28" s="489">
        <v>734651878</v>
      </c>
      <c r="G28" s="489"/>
      <c r="H28" s="489">
        <f>$Z28-F28-D28-B28</f>
        <v>439821544</v>
      </c>
      <c r="I28" s="489"/>
      <c r="J28" s="489"/>
      <c r="K28" s="489"/>
      <c r="L28" s="489"/>
      <c r="M28" s="487"/>
      <c r="N28" s="489"/>
      <c r="O28" s="489"/>
      <c r="P28" s="489"/>
      <c r="Q28" s="489"/>
      <c r="R28" s="489"/>
      <c r="S28" s="489"/>
      <c r="T28" s="489"/>
      <c r="U28" s="489"/>
      <c r="V28" s="489"/>
      <c r="W28" s="489"/>
      <c r="X28" s="489"/>
      <c r="Y28" s="489"/>
      <c r="Z28" s="489">
        <v>1983185849</v>
      </c>
      <c r="AB28" s="1643"/>
    </row>
    <row r="29" spans="1:28">
      <c r="A29" s="349" t="s">
        <v>925</v>
      </c>
      <c r="B29" s="489">
        <v>2862</v>
      </c>
      <c r="C29" s="489"/>
      <c r="D29" s="489">
        <v>327</v>
      </c>
      <c r="E29" s="489"/>
      <c r="F29" s="489">
        <v>46056</v>
      </c>
      <c r="G29" s="489"/>
      <c r="H29" s="489">
        <f t="shared" ref="H29:H32" si="1">$Z29-F29-D29-B29</f>
        <v>5800</v>
      </c>
      <c r="I29" s="489"/>
      <c r="J29" s="489"/>
      <c r="K29" s="489"/>
      <c r="L29" s="489"/>
      <c r="M29" s="487"/>
      <c r="N29" s="489"/>
      <c r="O29" s="489"/>
      <c r="P29" s="489"/>
      <c r="Q29" s="489"/>
      <c r="R29" s="489"/>
      <c r="S29" s="489"/>
      <c r="T29" s="489"/>
      <c r="U29" s="489"/>
      <c r="V29" s="489"/>
      <c r="W29" s="489"/>
      <c r="X29" s="489"/>
      <c r="Y29" s="489"/>
      <c r="Z29" s="489">
        <v>55045</v>
      </c>
      <c r="AB29" s="1644"/>
    </row>
    <row r="30" spans="1:28">
      <c r="A30" s="349" t="s">
        <v>926</v>
      </c>
      <c r="B30" s="489">
        <v>2088362</v>
      </c>
      <c r="C30" s="489"/>
      <c r="D30" s="489">
        <v>1340589</v>
      </c>
      <c r="E30" s="489"/>
      <c r="F30" s="489">
        <v>872695</v>
      </c>
      <c r="G30" s="489"/>
      <c r="H30" s="489">
        <f t="shared" si="1"/>
        <v>1917734</v>
      </c>
      <c r="I30" s="489"/>
      <c r="J30" s="489"/>
      <c r="K30" s="489"/>
      <c r="L30" s="489"/>
      <c r="M30" s="487"/>
      <c r="N30" s="489"/>
      <c r="O30" s="489"/>
      <c r="P30" s="489"/>
      <c r="Q30" s="489"/>
      <c r="R30" s="489"/>
      <c r="S30" s="489"/>
      <c r="T30" s="489"/>
      <c r="U30" s="489"/>
      <c r="V30" s="489"/>
      <c r="W30" s="489"/>
      <c r="X30" s="489"/>
      <c r="Y30" s="489"/>
      <c r="Z30" s="489">
        <v>6219380</v>
      </c>
      <c r="AB30" s="1643"/>
    </row>
    <row r="31" spans="1:28">
      <c r="A31" s="349" t="s">
        <v>927</v>
      </c>
      <c r="B31" s="489">
        <v>1226927</v>
      </c>
      <c r="C31" s="489"/>
      <c r="D31" s="489">
        <v>1378140</v>
      </c>
      <c r="E31" s="489"/>
      <c r="F31" s="489">
        <v>10639616</v>
      </c>
      <c r="G31" s="489"/>
      <c r="H31" s="489">
        <f t="shared" si="1"/>
        <v>2903754</v>
      </c>
      <c r="I31" s="489"/>
      <c r="J31" s="489"/>
      <c r="K31" s="489"/>
      <c r="L31" s="489"/>
      <c r="M31" s="487"/>
      <c r="N31" s="489"/>
      <c r="O31" s="489"/>
      <c r="P31" s="489"/>
      <c r="Q31" s="489"/>
      <c r="R31" s="489"/>
      <c r="S31" s="489"/>
      <c r="T31" s="489"/>
      <c r="U31" s="489"/>
      <c r="V31" s="489"/>
      <c r="W31" s="489"/>
      <c r="X31" s="489"/>
      <c r="Y31" s="489"/>
      <c r="Z31" s="489">
        <v>16148437</v>
      </c>
      <c r="AB31" s="1643"/>
    </row>
    <row r="32" spans="1:28">
      <c r="A32" s="349" t="s">
        <v>928</v>
      </c>
      <c r="B32" s="489">
        <v>0</v>
      </c>
      <c r="C32" s="489"/>
      <c r="D32" s="489">
        <v>0</v>
      </c>
      <c r="E32" s="489"/>
      <c r="F32" s="489">
        <v>2246591</v>
      </c>
      <c r="G32" s="489"/>
      <c r="H32" s="489">
        <f t="shared" si="1"/>
        <v>781574</v>
      </c>
      <c r="I32" s="489"/>
      <c r="J32" s="489"/>
      <c r="K32" s="489"/>
      <c r="L32" s="489"/>
      <c r="M32" s="487"/>
      <c r="N32" s="489"/>
      <c r="O32" s="489"/>
      <c r="P32" s="489"/>
      <c r="Q32" s="489"/>
      <c r="R32" s="489"/>
      <c r="S32" s="489"/>
      <c r="T32" s="489"/>
      <c r="U32" s="489"/>
      <c r="V32" s="489"/>
      <c r="W32" s="489"/>
      <c r="X32" s="489"/>
      <c r="Y32" s="489"/>
      <c r="Z32" s="489">
        <v>3028165</v>
      </c>
      <c r="AB32" s="1643"/>
    </row>
    <row r="33" spans="1:28">
      <c r="A33" s="183" t="s">
        <v>457</v>
      </c>
      <c r="B33" s="593">
        <f>ROUND(SUM(B28:B32),0)</f>
        <v>434166524</v>
      </c>
      <c r="C33" s="489"/>
      <c r="D33" s="593">
        <f>ROUND(SUM(D28:D32),0)</f>
        <v>380583110</v>
      </c>
      <c r="E33" s="489"/>
      <c r="F33" s="593">
        <f>ROUND(SUM(F28:F32),0)</f>
        <v>748456836</v>
      </c>
      <c r="G33" s="489"/>
      <c r="H33" s="593">
        <f>ROUND(SUM(H28:H32),0)</f>
        <v>445430406</v>
      </c>
      <c r="I33" s="489"/>
      <c r="J33" s="593">
        <f>ROUND(SUM(J28:J32),0)</f>
        <v>0</v>
      </c>
      <c r="K33" s="489"/>
      <c r="L33" s="593">
        <f>ROUND(SUM(L28:L32),0)</f>
        <v>0</v>
      </c>
      <c r="M33" s="487"/>
      <c r="N33" s="593">
        <f>ROUND(SUM(N28:N32),0)</f>
        <v>0</v>
      </c>
      <c r="O33" s="489"/>
      <c r="P33" s="593">
        <f>ROUND(SUM(P28:P32),0)</f>
        <v>0</v>
      </c>
      <c r="Q33" s="489"/>
      <c r="R33" s="593">
        <f>ROUND(SUM(R28:R32),0)</f>
        <v>0</v>
      </c>
      <c r="S33" s="489"/>
      <c r="T33" s="593">
        <f>ROUND(SUM(T28:T32),0)</f>
        <v>0</v>
      </c>
      <c r="U33" s="489"/>
      <c r="V33" s="593">
        <f>ROUND(SUM(V28:V32),0)</f>
        <v>0</v>
      </c>
      <c r="W33" s="489"/>
      <c r="X33" s="593">
        <f>ROUND(SUM(X28:X32),0)</f>
        <v>0</v>
      </c>
      <c r="Y33" s="489"/>
      <c r="Z33" s="593">
        <f>ROUND(SUM(Z28:Z32),0)</f>
        <v>2008636876</v>
      </c>
      <c r="AB33" s="1643"/>
    </row>
    <row r="34" spans="1:28">
      <c r="A34" s="183"/>
      <c r="B34" s="489"/>
      <c r="C34" s="489"/>
      <c r="D34" s="489"/>
      <c r="E34" s="489"/>
      <c r="F34" s="491"/>
      <c r="G34" s="489"/>
      <c r="H34" s="491"/>
      <c r="I34" s="489"/>
      <c r="J34" s="489"/>
      <c r="K34" s="489"/>
      <c r="L34" s="489"/>
      <c r="M34" s="487"/>
      <c r="N34" s="489"/>
      <c r="O34" s="489"/>
      <c r="P34" s="489"/>
      <c r="Q34" s="489"/>
      <c r="R34" s="489"/>
      <c r="S34" s="489"/>
      <c r="T34" s="489"/>
      <c r="U34" s="489"/>
      <c r="V34" s="489"/>
      <c r="W34" s="489"/>
      <c r="X34" s="489"/>
      <c r="Y34" s="489"/>
      <c r="Z34" s="490"/>
      <c r="AB34" s="1643"/>
    </row>
    <row r="35" spans="1:28">
      <c r="A35" s="185" t="s">
        <v>929</v>
      </c>
      <c r="B35" s="491"/>
      <c r="C35" s="491"/>
      <c r="D35" s="491"/>
      <c r="E35" s="489"/>
      <c r="F35" s="494"/>
      <c r="G35" s="489"/>
      <c r="H35" s="491"/>
      <c r="I35" s="489"/>
      <c r="K35" s="489"/>
      <c r="L35" s="491"/>
      <c r="M35" s="487"/>
      <c r="N35" s="491"/>
      <c r="O35" s="489"/>
      <c r="P35" s="491"/>
      <c r="Q35" s="489"/>
      <c r="R35" s="491"/>
      <c r="S35" s="489"/>
      <c r="T35" s="491"/>
      <c r="U35" s="489"/>
      <c r="V35" s="491"/>
      <c r="W35" s="489"/>
      <c r="X35" s="491"/>
      <c r="Y35" s="489"/>
      <c r="Z35" s="490"/>
      <c r="AB35" s="1643"/>
    </row>
    <row r="36" spans="1:28">
      <c r="A36" s="349" t="s">
        <v>1444</v>
      </c>
      <c r="B36" s="491">
        <v>0</v>
      </c>
      <c r="C36" s="491"/>
      <c r="D36" s="613">
        <v>0</v>
      </c>
      <c r="E36" s="489"/>
      <c r="F36" s="494">
        <v>0</v>
      </c>
      <c r="G36" s="489"/>
      <c r="H36" s="491">
        <f>$Z36-F36-D36-B36</f>
        <v>0</v>
      </c>
      <c r="I36" s="489"/>
      <c r="J36" s="489"/>
      <c r="K36" s="489"/>
      <c r="L36" s="491"/>
      <c r="M36" s="487"/>
      <c r="N36" s="491"/>
      <c r="O36" s="489"/>
      <c r="P36" s="491"/>
      <c r="Q36" s="489"/>
      <c r="R36" s="491"/>
      <c r="S36" s="489"/>
      <c r="T36" s="491"/>
      <c r="U36" s="489"/>
      <c r="V36" s="491"/>
      <c r="W36" s="489"/>
      <c r="X36" s="491"/>
      <c r="Y36" s="489"/>
      <c r="Z36" s="829">
        <v>0</v>
      </c>
      <c r="AB36" s="1643"/>
    </row>
    <row r="37" spans="1:28">
      <c r="A37" s="349" t="s">
        <v>930</v>
      </c>
      <c r="B37" s="491">
        <v>0</v>
      </c>
      <c r="C37" s="491"/>
      <c r="D37" s="613">
        <v>0</v>
      </c>
      <c r="E37" s="489"/>
      <c r="F37" s="494">
        <v>0</v>
      </c>
      <c r="G37" s="489"/>
      <c r="H37" s="491">
        <f t="shared" ref="H37:H42" si="2">$Z37-F37-D37-B37</f>
        <v>0</v>
      </c>
      <c r="I37" s="489"/>
      <c r="J37" s="489"/>
      <c r="K37" s="489"/>
      <c r="L37" s="491"/>
      <c r="M37" s="487"/>
      <c r="N37" s="491"/>
      <c r="O37" s="489"/>
      <c r="P37" s="491"/>
      <c r="Q37" s="489"/>
      <c r="R37" s="491"/>
      <c r="S37" s="489"/>
      <c r="T37" s="491"/>
      <c r="U37" s="489"/>
      <c r="V37" s="491"/>
      <c r="W37" s="489"/>
      <c r="X37" s="491"/>
      <c r="Y37" s="489"/>
      <c r="Z37" s="489">
        <v>0</v>
      </c>
      <c r="AB37" s="1643"/>
    </row>
    <row r="38" spans="1:28">
      <c r="A38" s="349" t="s">
        <v>931</v>
      </c>
      <c r="B38" s="491">
        <v>0</v>
      </c>
      <c r="C38" s="491"/>
      <c r="D38" s="613">
        <v>0</v>
      </c>
      <c r="E38" s="489"/>
      <c r="F38" s="494">
        <v>0</v>
      </c>
      <c r="G38" s="489"/>
      <c r="H38" s="491">
        <f t="shared" si="2"/>
        <v>-2447286</v>
      </c>
      <c r="I38" s="489"/>
      <c r="J38" s="489"/>
      <c r="K38" s="489"/>
      <c r="L38" s="491"/>
      <c r="M38" s="487"/>
      <c r="N38" s="491"/>
      <c r="O38" s="489"/>
      <c r="P38" s="491"/>
      <c r="Q38" s="489"/>
      <c r="R38" s="491"/>
      <c r="S38" s="489"/>
      <c r="T38" s="491"/>
      <c r="U38" s="489"/>
      <c r="V38" s="491"/>
      <c r="W38" s="489"/>
      <c r="X38" s="491"/>
      <c r="Y38" s="489"/>
      <c r="Z38" s="489">
        <v>-2447286</v>
      </c>
      <c r="AB38" s="1643"/>
    </row>
    <row r="39" spans="1:28">
      <c r="A39" s="349" t="s">
        <v>932</v>
      </c>
      <c r="B39" s="491" t="s">
        <v>103</v>
      </c>
      <c r="C39" s="599"/>
      <c r="D39" s="613"/>
      <c r="E39" s="599"/>
      <c r="F39" s="494"/>
      <c r="G39" s="599"/>
      <c r="H39" s="491"/>
      <c r="I39" s="599"/>
      <c r="K39" s="599"/>
      <c r="L39" s="491"/>
      <c r="M39" s="487"/>
      <c r="N39" s="491"/>
      <c r="O39" s="599"/>
      <c r="P39" s="491"/>
      <c r="Q39" s="599"/>
      <c r="R39" s="491"/>
      <c r="S39" s="599"/>
      <c r="T39" s="491"/>
      <c r="U39" s="599"/>
      <c r="V39" s="491"/>
      <c r="W39" s="599"/>
      <c r="X39" s="491"/>
      <c r="Y39" s="599"/>
      <c r="Z39" s="599" t="s">
        <v>103</v>
      </c>
      <c r="AB39" s="1643"/>
    </row>
    <row r="40" spans="1:28">
      <c r="A40" s="349" t="s">
        <v>933</v>
      </c>
      <c r="B40" s="491">
        <v>0</v>
      </c>
      <c r="C40" s="491"/>
      <c r="D40" s="613">
        <v>0</v>
      </c>
      <c r="E40" s="489"/>
      <c r="F40" s="494">
        <v>0</v>
      </c>
      <c r="G40" s="489"/>
      <c r="H40" s="491">
        <f t="shared" si="2"/>
        <v>-952307</v>
      </c>
      <c r="I40" s="489"/>
      <c r="J40" s="489"/>
      <c r="K40" s="489"/>
      <c r="L40" s="491"/>
      <c r="M40" s="487"/>
      <c r="N40" s="491"/>
      <c r="O40" s="489"/>
      <c r="P40" s="491"/>
      <c r="Q40" s="489"/>
      <c r="R40" s="491"/>
      <c r="S40" s="489"/>
      <c r="T40" s="491"/>
      <c r="U40" s="489"/>
      <c r="V40" s="491"/>
      <c r="W40" s="489"/>
      <c r="X40" s="491"/>
      <c r="Y40" s="489"/>
      <c r="Z40" s="489">
        <v>-952307</v>
      </c>
      <c r="AB40" s="1643"/>
    </row>
    <row r="41" spans="1:28">
      <c r="A41" s="349" t="s">
        <v>934</v>
      </c>
      <c r="B41" s="491">
        <v>0</v>
      </c>
      <c r="C41" s="491"/>
      <c r="D41" s="613">
        <v>0</v>
      </c>
      <c r="E41" s="489"/>
      <c r="F41" s="494">
        <v>0</v>
      </c>
      <c r="G41" s="489"/>
      <c r="H41" s="491">
        <f t="shared" si="2"/>
        <v>0</v>
      </c>
      <c r="I41" s="489"/>
      <c r="J41" s="489"/>
      <c r="K41" s="489"/>
      <c r="L41" s="491"/>
      <c r="M41" s="487"/>
      <c r="N41" s="491"/>
      <c r="O41" s="489"/>
      <c r="P41" s="491"/>
      <c r="Q41" s="489"/>
      <c r="R41" s="491"/>
      <c r="S41" s="489"/>
      <c r="T41" s="491"/>
      <c r="U41" s="489"/>
      <c r="V41" s="491"/>
      <c r="W41" s="489"/>
      <c r="X41" s="491"/>
      <c r="Y41" s="489"/>
      <c r="Z41" s="489">
        <v>0</v>
      </c>
      <c r="AB41" s="1643"/>
    </row>
    <row r="42" spans="1:28">
      <c r="A42" s="349" t="s">
        <v>935</v>
      </c>
      <c r="B42" s="491">
        <v>3321324</v>
      </c>
      <c r="C42" s="491"/>
      <c r="D42" s="613">
        <v>0</v>
      </c>
      <c r="E42" s="489"/>
      <c r="F42" s="494">
        <v>0</v>
      </c>
      <c r="G42" s="489"/>
      <c r="H42" s="491">
        <f t="shared" si="2"/>
        <v>0</v>
      </c>
      <c r="I42" s="489"/>
      <c r="J42" s="489"/>
      <c r="K42" s="489"/>
      <c r="L42" s="491"/>
      <c r="M42" s="487"/>
      <c r="N42" s="491"/>
      <c r="O42" s="489"/>
      <c r="P42" s="491"/>
      <c r="Q42" s="489"/>
      <c r="R42" s="491"/>
      <c r="S42" s="489"/>
      <c r="T42" s="491"/>
      <c r="U42" s="489"/>
      <c r="V42" s="491"/>
      <c r="W42" s="489"/>
      <c r="X42" s="491"/>
      <c r="Y42" s="489"/>
      <c r="Z42" s="489">
        <v>3321324</v>
      </c>
      <c r="AB42" s="1643"/>
    </row>
    <row r="43" spans="1:28">
      <c r="A43" s="183" t="s">
        <v>936</v>
      </c>
      <c r="B43" s="600">
        <f>ROUND(SUM(B36:B42),0)</f>
        <v>3321324</v>
      </c>
      <c r="C43" s="491"/>
      <c r="D43" s="600">
        <f>ROUND(SUM(D36:D42),0)</f>
        <v>0</v>
      </c>
      <c r="E43" s="489"/>
      <c r="F43" s="600">
        <f>ROUND(SUM(F36:F42),0)</f>
        <v>0</v>
      </c>
      <c r="G43" s="489"/>
      <c r="H43" s="600">
        <f>ROUND(SUM(H36:H42),0)</f>
        <v>-3399593</v>
      </c>
      <c r="I43" s="489"/>
      <c r="J43" s="600">
        <f>ROUND(SUM(J36:J42),0)</f>
        <v>0</v>
      </c>
      <c r="K43" s="489"/>
      <c r="L43" s="600">
        <f>ROUND(SUM(L36:L42),0)</f>
        <v>0</v>
      </c>
      <c r="M43" s="487"/>
      <c r="N43" s="600">
        <f>ROUND(SUM(N36:N42),0)</f>
        <v>0</v>
      </c>
      <c r="O43" s="489"/>
      <c r="P43" s="600">
        <f>ROUND(SUM(P36:P42),0)</f>
        <v>0</v>
      </c>
      <c r="Q43" s="489"/>
      <c r="R43" s="600">
        <f>ROUND(SUM(R36:R42),0)</f>
        <v>0</v>
      </c>
      <c r="S43" s="489"/>
      <c r="T43" s="600">
        <f>ROUND(SUM(T36:T42),0)</f>
        <v>0</v>
      </c>
      <c r="U43" s="489"/>
      <c r="V43" s="600">
        <f>ROUND(SUM(V36:V42),0)</f>
        <v>0</v>
      </c>
      <c r="W43" s="489"/>
      <c r="X43" s="600">
        <f>ROUND(SUM(X36:X42),0)</f>
        <v>0</v>
      </c>
      <c r="Y43" s="489"/>
      <c r="Z43" s="600">
        <f>ROUND(SUM(Z36:Z42),0)</f>
        <v>-78269</v>
      </c>
      <c r="AB43" s="1643"/>
    </row>
    <row r="44" spans="1:28">
      <c r="B44" s="614"/>
      <c r="C44" s="491"/>
      <c r="D44" s="614"/>
      <c r="E44" s="489"/>
      <c r="F44" s="1167"/>
      <c r="G44" s="489"/>
      <c r="H44" s="1167"/>
      <c r="I44" s="489"/>
      <c r="J44" s="614"/>
      <c r="K44" s="489"/>
      <c r="L44" s="614"/>
      <c r="M44" s="487"/>
      <c r="N44" s="614"/>
      <c r="O44" s="489"/>
      <c r="P44" s="614"/>
      <c r="Q44" s="489"/>
      <c r="R44" s="614"/>
      <c r="S44" s="489"/>
      <c r="T44" s="614"/>
      <c r="U44" s="489"/>
      <c r="V44" s="614"/>
      <c r="W44" s="489"/>
      <c r="X44" s="614"/>
      <c r="Y44" s="489"/>
      <c r="Z44" s="1081"/>
      <c r="AB44" s="1643"/>
    </row>
    <row r="45" spans="1:28" s="182" customFormat="1">
      <c r="A45" s="183" t="s">
        <v>937</v>
      </c>
      <c r="B45" s="1082">
        <f>ROUND(B33-B43,0)</f>
        <v>430845200</v>
      </c>
      <c r="C45" s="184"/>
      <c r="D45" s="1082">
        <f>ROUND(D33-D43,0)</f>
        <v>380583110</v>
      </c>
      <c r="E45" s="184"/>
      <c r="F45" s="1082">
        <f>ROUND(F33-F43,0)</f>
        <v>748456836</v>
      </c>
      <c r="G45" s="184"/>
      <c r="H45" s="1082">
        <f>ROUND(H33-H43,0)</f>
        <v>448829999</v>
      </c>
      <c r="I45" s="184"/>
      <c r="J45" s="1082">
        <f>ROUND(J33-J43,0)</f>
        <v>0</v>
      </c>
      <c r="K45" s="184"/>
      <c r="L45" s="1082">
        <f>ROUND(L33-L43,0)</f>
        <v>0</v>
      </c>
      <c r="M45" s="179"/>
      <c r="N45" s="1082">
        <f>ROUND(N33-N43,0)</f>
        <v>0</v>
      </c>
      <c r="O45" s="184"/>
      <c r="P45" s="1082">
        <f>ROUND(P33-P43,0)</f>
        <v>0</v>
      </c>
      <c r="Q45" s="184"/>
      <c r="R45" s="1082">
        <f>ROUND(R33-R43,0)</f>
        <v>0</v>
      </c>
      <c r="S45" s="184"/>
      <c r="T45" s="1082">
        <f>ROUND(T33-T43,0)</f>
        <v>0</v>
      </c>
      <c r="U45" s="184"/>
      <c r="V45" s="1082">
        <f>ROUND(V33-V43,0)</f>
        <v>0</v>
      </c>
      <c r="W45" s="184"/>
      <c r="X45" s="1082">
        <f>ROUND(X33-X43,0)</f>
        <v>0</v>
      </c>
      <c r="Y45" s="184"/>
      <c r="Z45" s="1082">
        <f>ROUND(Z33-Z43,0)</f>
        <v>2008715145</v>
      </c>
      <c r="AA45" s="880"/>
      <c r="AB45" s="1644"/>
    </row>
    <row r="46" spans="1:28">
      <c r="A46" s="486"/>
      <c r="B46" s="487"/>
      <c r="C46" s="487"/>
      <c r="D46" s="487"/>
      <c r="E46" s="487"/>
      <c r="F46" s="487"/>
      <c r="G46" s="487"/>
      <c r="H46" s="487"/>
      <c r="I46" s="487"/>
      <c r="J46" s="487"/>
      <c r="K46" s="487"/>
      <c r="L46" s="487"/>
      <c r="M46" s="487"/>
      <c r="N46" s="487"/>
      <c r="O46" s="487"/>
      <c r="P46" s="487"/>
      <c r="Q46" s="487"/>
      <c r="R46" s="487"/>
      <c r="S46" s="487"/>
      <c r="T46" s="487"/>
      <c r="U46" s="487"/>
      <c r="V46" s="487"/>
      <c r="W46" s="487"/>
      <c r="X46" s="487"/>
      <c r="Y46" s="487"/>
      <c r="Z46" s="601"/>
      <c r="AB46" s="1643"/>
    </row>
    <row r="47" spans="1:28" s="182" customFormat="1" ht="16" thickBot="1">
      <c r="A47" s="185" t="s">
        <v>938</v>
      </c>
      <c r="B47" s="818">
        <f>ROUND(B12+B25-B45,0)</f>
        <v>639929644</v>
      </c>
      <c r="C47" s="181"/>
      <c r="D47" s="818">
        <f>ROUND(D12+D25-D45,0)</f>
        <v>991622776</v>
      </c>
      <c r="E47" s="485"/>
      <c r="F47" s="818">
        <f>ROUND(F12+F25-F45,0)</f>
        <v>1105404880</v>
      </c>
      <c r="G47" s="485"/>
      <c r="H47" s="818">
        <f>ROUND(H12+H25-H45,0)</f>
        <v>1398900195</v>
      </c>
      <c r="I47" s="485"/>
      <c r="J47" s="818">
        <f>ROUND(J12+J25-J45,0)</f>
        <v>0</v>
      </c>
      <c r="K47" s="181"/>
      <c r="L47" s="818">
        <f>ROUND(L12+L25-L45,0)</f>
        <v>0</v>
      </c>
      <c r="M47" s="179"/>
      <c r="N47" s="818">
        <f>ROUND(N12+N25-N45,0)</f>
        <v>0</v>
      </c>
      <c r="O47" s="181"/>
      <c r="P47" s="818">
        <f>ROUND(P12+P25-P45,0)</f>
        <v>0</v>
      </c>
      <c r="Q47" s="181"/>
      <c r="R47" s="818">
        <f>ROUND(R12+R25-R45,0)</f>
        <v>0</v>
      </c>
      <c r="S47" s="181"/>
      <c r="T47" s="818">
        <f>ROUND(T12+T25-T45,0)</f>
        <v>0</v>
      </c>
      <c r="U47" s="181"/>
      <c r="V47" s="818">
        <f>ROUND(V12+V25-V45,0)</f>
        <v>0</v>
      </c>
      <c r="W47" s="181"/>
      <c r="X47" s="818">
        <f>ROUND(X12+X25-X45,0)</f>
        <v>0</v>
      </c>
      <c r="Y47" s="181"/>
      <c r="Z47" s="818">
        <f>ROUND(Z12+Z25-Z45,0)</f>
        <v>1398900195</v>
      </c>
      <c r="AA47" s="880"/>
      <c r="AB47" s="1643"/>
    </row>
    <row r="48" spans="1:28" ht="16" thickTop="1">
      <c r="A48" s="486"/>
      <c r="B48" s="483"/>
      <c r="C48" s="483"/>
      <c r="D48" s="483"/>
      <c r="E48" s="484"/>
      <c r="G48" s="484"/>
      <c r="H48" s="483"/>
      <c r="I48" s="484"/>
      <c r="J48" s="483"/>
      <c r="K48" s="483"/>
      <c r="L48" s="483"/>
      <c r="M48" s="484"/>
      <c r="N48" s="483"/>
      <c r="O48" s="484"/>
      <c r="P48" s="483"/>
      <c r="Q48" s="484"/>
      <c r="R48" s="483"/>
      <c r="S48" s="484"/>
      <c r="T48" s="483"/>
      <c r="U48" s="484"/>
      <c r="V48" s="483"/>
      <c r="W48" s="484"/>
      <c r="X48" s="483"/>
      <c r="Y48" s="484"/>
      <c r="Z48" s="601"/>
    </row>
    <row r="49" spans="1:26">
      <c r="A49" s="186"/>
      <c r="B49" s="483"/>
      <c r="C49" s="483"/>
      <c r="D49" s="483"/>
      <c r="E49" s="484"/>
      <c r="F49" s="483"/>
      <c r="G49" s="484"/>
      <c r="H49" s="483"/>
      <c r="I49" s="484"/>
      <c r="J49" s="483"/>
      <c r="K49" s="483"/>
      <c r="L49" s="483"/>
      <c r="M49" s="484"/>
      <c r="N49" s="483"/>
      <c r="O49" s="484"/>
      <c r="P49" s="483"/>
      <c r="Q49" s="484"/>
      <c r="R49" s="483"/>
      <c r="S49" s="484"/>
      <c r="T49" s="483"/>
      <c r="U49" s="484"/>
      <c r="V49" s="483"/>
      <c r="W49" s="484"/>
      <c r="X49" s="483"/>
      <c r="Y49" s="484"/>
      <c r="Z49" s="182"/>
    </row>
    <row r="50" spans="1:26">
      <c r="Z50" s="605" t="s">
        <v>103</v>
      </c>
    </row>
    <row r="51" spans="1:26" ht="17.5">
      <c r="A51" s="602"/>
      <c r="B51" s="479"/>
      <c r="C51" s="479"/>
      <c r="D51" s="479"/>
      <c r="E51" s="166"/>
      <c r="F51" s="479"/>
      <c r="G51" s="166"/>
      <c r="H51" s="479"/>
      <c r="I51" s="166"/>
      <c r="J51" s="479"/>
      <c r="K51" s="479"/>
      <c r="L51" s="479"/>
      <c r="M51" s="484"/>
      <c r="N51" s="479"/>
      <c r="O51" s="166"/>
      <c r="P51" s="479"/>
      <c r="Q51" s="166"/>
      <c r="R51" s="479"/>
      <c r="S51" s="166"/>
      <c r="T51" s="479"/>
      <c r="U51" s="166"/>
      <c r="V51" s="479"/>
      <c r="W51" s="166"/>
      <c r="X51" s="479"/>
      <c r="Y51" s="166"/>
      <c r="Z51" s="597" t="s">
        <v>103</v>
      </c>
    </row>
    <row r="52" spans="1:26">
      <c r="A52" s="482"/>
      <c r="B52" s="483"/>
      <c r="C52" s="483"/>
      <c r="D52" s="483"/>
      <c r="E52" s="484"/>
      <c r="F52" s="483"/>
      <c r="G52" s="484"/>
      <c r="H52" s="483"/>
      <c r="I52" s="484"/>
      <c r="J52" s="483"/>
      <c r="K52" s="483"/>
      <c r="L52" s="483"/>
      <c r="M52" s="484"/>
      <c r="N52" s="483"/>
      <c r="O52" s="484"/>
      <c r="P52" s="483"/>
      <c r="Q52" s="484"/>
      <c r="R52" s="483"/>
      <c r="S52" s="484"/>
      <c r="T52" s="483"/>
      <c r="U52" s="484"/>
      <c r="V52" s="483"/>
      <c r="W52" s="484"/>
      <c r="X52" s="483"/>
      <c r="Y52" s="484"/>
      <c r="Z52" s="598" t="s">
        <v>103</v>
      </c>
    </row>
    <row r="53" spans="1:26">
      <c r="A53" s="482"/>
      <c r="B53" s="483"/>
      <c r="C53" s="483"/>
      <c r="D53" s="483"/>
      <c r="E53" s="484"/>
      <c r="F53" s="483"/>
      <c r="G53" s="484"/>
      <c r="H53" s="483"/>
      <c r="I53" s="484"/>
      <c r="J53" s="483"/>
      <c r="K53" s="483"/>
      <c r="L53" s="483"/>
      <c r="M53" s="484"/>
      <c r="N53" s="483"/>
      <c r="O53" s="484"/>
      <c r="P53" s="483"/>
      <c r="Q53" s="484"/>
      <c r="R53" s="483"/>
      <c r="S53" s="484"/>
      <c r="T53" s="483"/>
      <c r="U53" s="484"/>
      <c r="V53" s="483"/>
      <c r="W53" s="484"/>
      <c r="X53" s="483"/>
      <c r="Y53" s="484"/>
      <c r="Z53" s="598" t="s">
        <v>103</v>
      </c>
    </row>
    <row r="54" spans="1:26">
      <c r="A54" s="163"/>
      <c r="B54" s="165"/>
      <c r="C54" s="165"/>
      <c r="D54" s="165"/>
      <c r="E54" s="166"/>
      <c r="F54" s="165"/>
      <c r="G54" s="166"/>
      <c r="H54" s="165"/>
      <c r="I54" s="166"/>
      <c r="J54" s="165"/>
      <c r="K54" s="165"/>
      <c r="L54" s="165"/>
      <c r="M54" s="166"/>
      <c r="N54" s="165"/>
      <c r="O54" s="166"/>
      <c r="P54" s="165"/>
      <c r="Q54" s="166"/>
      <c r="R54" s="165"/>
      <c r="S54" s="166"/>
      <c r="T54" s="165"/>
      <c r="U54" s="166"/>
      <c r="V54" s="165"/>
      <c r="W54" s="166"/>
      <c r="X54" s="165"/>
      <c r="Y54" s="166"/>
      <c r="Z54" s="603" t="s">
        <v>103</v>
      </c>
    </row>
    <row r="55" spans="1:26">
      <c r="A55" s="163"/>
      <c r="B55" s="165"/>
      <c r="C55" s="165"/>
      <c r="D55" s="165"/>
      <c r="E55" s="166"/>
      <c r="F55" s="165"/>
      <c r="G55" s="166"/>
      <c r="H55" s="165"/>
      <c r="I55" s="166"/>
      <c r="J55" s="165"/>
      <c r="K55" s="165"/>
      <c r="L55" s="165"/>
      <c r="M55" s="166"/>
      <c r="N55" s="165"/>
      <c r="O55" s="166"/>
      <c r="P55" s="165"/>
      <c r="Q55" s="166"/>
      <c r="R55" s="165"/>
      <c r="S55" s="166"/>
      <c r="T55" s="165"/>
      <c r="U55" s="166"/>
      <c r="V55" s="165"/>
      <c r="W55" s="166"/>
      <c r="X55" s="165"/>
      <c r="Y55" s="166"/>
      <c r="Z55" s="603"/>
    </row>
    <row r="56" spans="1:26">
      <c r="A56" s="163"/>
      <c r="B56" s="165"/>
      <c r="C56" s="165"/>
      <c r="D56" s="165"/>
      <c r="E56" s="166"/>
      <c r="F56" s="165"/>
      <c r="G56" s="166"/>
      <c r="H56" s="165"/>
      <c r="I56" s="166"/>
      <c r="J56" s="165"/>
      <c r="K56" s="165"/>
      <c r="L56" s="165"/>
      <c r="M56" s="166"/>
      <c r="N56" s="165"/>
      <c r="O56" s="166"/>
      <c r="P56" s="165"/>
      <c r="Q56" s="166"/>
      <c r="R56" s="165"/>
      <c r="S56" s="166"/>
      <c r="T56" s="165"/>
      <c r="U56" s="166"/>
      <c r="V56" s="165"/>
      <c r="W56" s="166"/>
      <c r="X56" s="165"/>
      <c r="Y56" s="166"/>
      <c r="Z56" s="603"/>
    </row>
    <row r="57" spans="1:26">
      <c r="A57" s="163"/>
      <c r="B57" s="165"/>
      <c r="C57" s="165"/>
      <c r="D57" s="165"/>
      <c r="E57" s="166"/>
      <c r="F57" s="165"/>
      <c r="G57" s="166"/>
      <c r="H57" s="165"/>
      <c r="I57" s="166"/>
      <c r="J57" s="165"/>
      <c r="K57" s="165"/>
      <c r="L57" s="165"/>
      <c r="M57" s="166"/>
      <c r="N57" s="165"/>
      <c r="O57" s="166"/>
      <c r="P57" s="165"/>
      <c r="Q57" s="166"/>
      <c r="R57" s="165"/>
      <c r="S57" s="166"/>
      <c r="T57" s="165"/>
      <c r="U57" s="166"/>
      <c r="V57" s="165"/>
      <c r="W57" s="166"/>
      <c r="X57" s="165"/>
      <c r="Y57" s="166"/>
      <c r="Z57" s="603"/>
    </row>
    <row r="58" spans="1:26">
      <c r="A58" s="163"/>
      <c r="B58" s="165"/>
      <c r="C58" s="165"/>
      <c r="D58" s="165"/>
      <c r="E58" s="166"/>
      <c r="F58" s="165"/>
      <c r="G58" s="166"/>
      <c r="H58" s="165"/>
      <c r="I58" s="166"/>
      <c r="J58" s="165"/>
      <c r="K58" s="165"/>
      <c r="L58" s="165"/>
      <c r="M58" s="166"/>
      <c r="N58" s="165"/>
      <c r="O58" s="166"/>
      <c r="P58" s="165"/>
      <c r="Q58" s="166"/>
      <c r="R58" s="165"/>
      <c r="S58" s="166"/>
      <c r="T58" s="165"/>
      <c r="U58" s="166"/>
      <c r="V58" s="165"/>
      <c r="W58" s="166"/>
      <c r="X58" s="165"/>
      <c r="Y58" s="166"/>
      <c r="Z58" s="603"/>
    </row>
    <row r="59" spans="1:26">
      <c r="A59" s="163"/>
      <c r="B59" s="165"/>
      <c r="C59" s="165"/>
      <c r="D59" s="165"/>
      <c r="E59" s="166"/>
      <c r="F59" s="165"/>
      <c r="G59" s="166"/>
      <c r="H59" s="165"/>
      <c r="I59" s="166"/>
      <c r="J59" s="165"/>
      <c r="K59" s="165"/>
      <c r="L59" s="165"/>
      <c r="M59" s="166"/>
      <c r="N59" s="165"/>
      <c r="O59" s="166"/>
      <c r="P59" s="165"/>
      <c r="Q59" s="166"/>
      <c r="R59" s="165"/>
      <c r="S59" s="166"/>
      <c r="T59" s="165"/>
      <c r="U59" s="166"/>
      <c r="V59" s="165"/>
      <c r="W59" s="166"/>
      <c r="X59" s="165"/>
      <c r="Y59" s="166"/>
      <c r="Z59" s="603"/>
    </row>
    <row r="60" spans="1:26">
      <c r="A60" s="163"/>
      <c r="B60" s="165"/>
      <c r="C60" s="165"/>
      <c r="D60" s="165"/>
      <c r="E60" s="166"/>
      <c r="F60" s="165"/>
      <c r="G60" s="166"/>
      <c r="H60" s="165"/>
      <c r="I60" s="166"/>
      <c r="J60" s="165"/>
      <c r="K60" s="165"/>
      <c r="L60" s="165"/>
      <c r="M60" s="166"/>
      <c r="N60" s="165"/>
      <c r="O60" s="166"/>
      <c r="P60" s="165"/>
      <c r="Q60" s="166"/>
      <c r="R60" s="165"/>
      <c r="S60" s="166"/>
      <c r="T60" s="165"/>
      <c r="U60" s="166"/>
      <c r="V60" s="165"/>
      <c r="W60" s="166"/>
      <c r="X60" s="165"/>
      <c r="Y60" s="166"/>
      <c r="Z60" s="603"/>
    </row>
    <row r="61" spans="1:26">
      <c r="A61" s="163"/>
      <c r="B61" s="165"/>
      <c r="C61" s="165"/>
      <c r="D61" s="165"/>
      <c r="E61" s="166"/>
      <c r="F61" s="165"/>
      <c r="G61" s="166"/>
      <c r="H61" s="165"/>
      <c r="I61" s="166"/>
      <c r="J61" s="165"/>
      <c r="K61" s="165"/>
      <c r="L61" s="165"/>
      <c r="M61" s="166"/>
      <c r="N61" s="165"/>
      <c r="O61" s="166"/>
      <c r="P61" s="165"/>
      <c r="Q61" s="166"/>
      <c r="R61" s="165"/>
      <c r="S61" s="166"/>
      <c r="T61" s="165"/>
      <c r="U61" s="166"/>
      <c r="V61" s="165"/>
      <c r="W61" s="166"/>
      <c r="X61" s="165"/>
      <c r="Y61" s="166"/>
      <c r="Z61" s="603"/>
    </row>
    <row r="62" spans="1:26">
      <c r="A62" s="163"/>
      <c r="B62" s="165"/>
      <c r="C62" s="165"/>
      <c r="D62" s="165"/>
      <c r="E62" s="166"/>
      <c r="F62" s="165"/>
      <c r="G62" s="166"/>
      <c r="H62" s="165"/>
      <c r="I62" s="166"/>
      <c r="J62" s="165"/>
      <c r="K62" s="165"/>
      <c r="L62" s="165"/>
      <c r="M62" s="166"/>
      <c r="N62" s="165"/>
      <c r="O62" s="166"/>
      <c r="P62" s="165"/>
      <c r="Q62" s="166"/>
      <c r="R62" s="165"/>
      <c r="S62" s="166"/>
      <c r="T62" s="165"/>
      <c r="U62" s="166"/>
      <c r="V62" s="165"/>
      <c r="W62" s="166"/>
      <c r="X62" s="165"/>
      <c r="Y62" s="166"/>
      <c r="Z62" s="603"/>
    </row>
    <row r="63" spans="1:26">
      <c r="A63" s="163"/>
      <c r="B63" s="165"/>
      <c r="C63" s="165"/>
      <c r="D63" s="165"/>
      <c r="E63" s="166"/>
      <c r="F63" s="165"/>
      <c r="G63" s="166"/>
      <c r="H63" s="165"/>
      <c r="I63" s="166"/>
      <c r="J63" s="165"/>
      <c r="K63" s="165"/>
      <c r="L63" s="165"/>
      <c r="M63" s="166"/>
      <c r="N63" s="165"/>
      <c r="O63" s="166"/>
      <c r="P63" s="165"/>
      <c r="Q63" s="166"/>
      <c r="R63" s="165"/>
      <c r="S63" s="166"/>
      <c r="T63" s="165"/>
      <c r="U63" s="166"/>
      <c r="V63" s="165"/>
      <c r="W63" s="166"/>
      <c r="X63" s="165"/>
      <c r="Y63" s="166"/>
      <c r="Z63" s="603"/>
    </row>
    <row r="64" spans="1:26">
      <c r="A64" s="163"/>
      <c r="B64" s="165"/>
      <c r="C64" s="165"/>
      <c r="D64" s="165"/>
      <c r="E64" s="166"/>
      <c r="F64" s="165"/>
      <c r="G64" s="166"/>
      <c r="H64" s="165"/>
      <c r="I64" s="166"/>
      <c r="J64" s="165"/>
      <c r="K64" s="165"/>
      <c r="L64" s="165"/>
      <c r="M64" s="166"/>
      <c r="N64" s="165"/>
      <c r="O64" s="166"/>
      <c r="P64" s="165"/>
      <c r="Q64" s="166"/>
      <c r="R64" s="165"/>
      <c r="S64" s="166"/>
      <c r="T64" s="165"/>
      <c r="U64" s="166"/>
      <c r="V64" s="165"/>
      <c r="W64" s="166"/>
      <c r="X64" s="165"/>
      <c r="Y64" s="166"/>
      <c r="Z64" s="603"/>
    </row>
    <row r="65" spans="1:26">
      <c r="A65" s="163"/>
      <c r="B65" s="165"/>
      <c r="C65" s="165"/>
      <c r="D65" s="165"/>
      <c r="E65" s="166"/>
      <c r="F65" s="165"/>
      <c r="G65" s="166"/>
      <c r="H65" s="165"/>
      <c r="I65" s="166"/>
      <c r="J65" s="165"/>
      <c r="K65" s="165"/>
      <c r="L65" s="165"/>
      <c r="M65" s="166"/>
      <c r="N65" s="165"/>
      <c r="O65" s="166"/>
      <c r="P65" s="165"/>
      <c r="Q65" s="166"/>
      <c r="R65" s="165"/>
      <c r="S65" s="166"/>
      <c r="T65" s="165"/>
      <c r="U65" s="166"/>
      <c r="V65" s="165"/>
      <c r="W65" s="166"/>
      <c r="X65" s="165"/>
      <c r="Y65" s="166"/>
      <c r="Z65" s="603"/>
    </row>
    <row r="66" spans="1:26">
      <c r="A66" s="163"/>
      <c r="B66" s="165"/>
      <c r="C66" s="165"/>
      <c r="D66" s="165"/>
      <c r="E66" s="166"/>
      <c r="F66" s="165"/>
      <c r="G66" s="166"/>
      <c r="H66" s="165"/>
      <c r="I66" s="166"/>
      <c r="J66" s="165"/>
      <c r="K66" s="165"/>
      <c r="L66" s="165"/>
      <c r="M66" s="166"/>
      <c r="N66" s="165"/>
      <c r="O66" s="166"/>
      <c r="P66" s="165"/>
      <c r="Q66" s="166"/>
      <c r="R66" s="165"/>
      <c r="S66" s="166"/>
      <c r="T66" s="165"/>
      <c r="U66" s="166"/>
      <c r="V66" s="165"/>
      <c r="W66" s="166"/>
      <c r="X66" s="165"/>
      <c r="Y66" s="166"/>
      <c r="Z66" s="603"/>
    </row>
    <row r="67" spans="1:26">
      <c r="A67" s="163"/>
      <c r="B67" s="165"/>
      <c r="C67" s="165"/>
      <c r="D67" s="165"/>
      <c r="E67" s="166"/>
      <c r="F67" s="165"/>
      <c r="G67" s="166"/>
      <c r="H67" s="165"/>
      <c r="I67" s="166"/>
      <c r="J67" s="165"/>
      <c r="K67" s="165"/>
      <c r="L67" s="165"/>
      <c r="M67" s="166"/>
      <c r="N67" s="165"/>
      <c r="O67" s="166"/>
      <c r="P67" s="165"/>
      <c r="Q67" s="166"/>
      <c r="R67" s="165"/>
      <c r="S67" s="166"/>
      <c r="T67" s="165"/>
      <c r="U67" s="166"/>
      <c r="V67" s="165"/>
      <c r="W67" s="166"/>
      <c r="X67" s="165"/>
      <c r="Y67" s="166"/>
      <c r="Z67" s="603"/>
    </row>
    <row r="68" spans="1:26">
      <c r="A68" s="163"/>
      <c r="B68" s="165"/>
      <c r="C68" s="165"/>
      <c r="D68" s="165"/>
      <c r="E68" s="166"/>
      <c r="F68" s="165"/>
      <c r="G68" s="166"/>
      <c r="H68" s="165"/>
      <c r="I68" s="166"/>
      <c r="J68" s="165"/>
      <c r="K68" s="165"/>
      <c r="L68" s="165"/>
      <c r="M68" s="166"/>
      <c r="N68" s="165"/>
      <c r="O68" s="166"/>
      <c r="P68" s="165"/>
      <c r="Q68" s="166"/>
      <c r="R68" s="165"/>
      <c r="S68" s="166"/>
      <c r="T68" s="165"/>
      <c r="U68" s="166"/>
      <c r="V68" s="165"/>
      <c r="W68" s="166"/>
      <c r="X68" s="165"/>
      <c r="Y68" s="166"/>
      <c r="Z68" s="603"/>
    </row>
    <row r="69" spans="1:26">
      <c r="A69" s="163"/>
      <c r="B69" s="165"/>
      <c r="C69" s="165"/>
      <c r="D69" s="165"/>
      <c r="E69" s="166"/>
      <c r="F69" s="165"/>
      <c r="G69" s="166"/>
      <c r="H69" s="165"/>
      <c r="I69" s="166"/>
      <c r="J69" s="165"/>
      <c r="K69" s="165"/>
      <c r="L69" s="165"/>
      <c r="M69" s="166"/>
      <c r="N69" s="165"/>
      <c r="O69" s="166"/>
      <c r="P69" s="165"/>
      <c r="Q69" s="166"/>
      <c r="R69" s="165"/>
      <c r="S69" s="166"/>
      <c r="T69" s="165"/>
      <c r="U69" s="166"/>
      <c r="V69" s="165"/>
      <c r="W69" s="166"/>
      <c r="X69" s="165"/>
      <c r="Y69" s="166"/>
      <c r="Z69" s="603"/>
    </row>
    <row r="70" spans="1:26">
      <c r="A70" s="163"/>
      <c r="B70" s="165"/>
      <c r="C70" s="165"/>
      <c r="D70" s="165"/>
      <c r="E70" s="166"/>
      <c r="F70" s="165"/>
      <c r="G70" s="166"/>
      <c r="H70" s="165"/>
      <c r="I70" s="166"/>
      <c r="J70" s="165"/>
      <c r="K70" s="165"/>
      <c r="L70" s="165"/>
      <c r="M70" s="166"/>
      <c r="N70" s="165"/>
      <c r="O70" s="166"/>
      <c r="P70" s="165"/>
      <c r="Q70" s="166"/>
      <c r="R70" s="165"/>
      <c r="S70" s="166"/>
      <c r="T70" s="165"/>
      <c r="U70" s="166"/>
      <c r="V70" s="165"/>
      <c r="W70" s="166"/>
      <c r="X70" s="165"/>
      <c r="Y70" s="166"/>
      <c r="Z70" s="603"/>
    </row>
    <row r="71" spans="1:26">
      <c r="A71" s="163"/>
      <c r="B71" s="165"/>
      <c r="C71" s="165"/>
      <c r="D71" s="165"/>
      <c r="E71" s="166"/>
      <c r="F71" s="165"/>
      <c r="G71" s="166"/>
      <c r="H71" s="165"/>
      <c r="I71" s="166"/>
      <c r="J71" s="165"/>
      <c r="K71" s="165"/>
      <c r="L71" s="165"/>
      <c r="M71" s="166"/>
      <c r="N71" s="165"/>
      <c r="O71" s="166"/>
      <c r="P71" s="165"/>
      <c r="Q71" s="166"/>
      <c r="R71" s="165"/>
      <c r="S71" s="166"/>
      <c r="T71" s="165"/>
      <c r="U71" s="166"/>
      <c r="V71" s="165"/>
      <c r="W71" s="166"/>
      <c r="X71" s="165"/>
      <c r="Y71" s="166"/>
      <c r="Z71" s="603"/>
    </row>
    <row r="72" spans="1:26">
      <c r="A72" s="163"/>
      <c r="B72" s="165"/>
      <c r="C72" s="165"/>
      <c r="D72" s="165"/>
      <c r="E72" s="166"/>
      <c r="F72" s="165"/>
      <c r="G72" s="166"/>
      <c r="H72" s="165"/>
      <c r="I72" s="166"/>
      <c r="J72" s="165"/>
      <c r="K72" s="165"/>
      <c r="L72" s="165"/>
      <c r="M72" s="166"/>
      <c r="N72" s="165"/>
      <c r="O72" s="166"/>
      <c r="P72" s="165"/>
      <c r="Q72" s="166"/>
      <c r="R72" s="165"/>
      <c r="S72" s="166"/>
      <c r="T72" s="165"/>
      <c r="U72" s="166"/>
      <c r="V72" s="165"/>
      <c r="W72" s="166"/>
      <c r="X72" s="165"/>
      <c r="Y72" s="166"/>
      <c r="Z72" s="603"/>
    </row>
    <row r="73" spans="1:26">
      <c r="A73" s="163"/>
      <c r="B73" s="165"/>
      <c r="C73" s="165"/>
      <c r="D73" s="165"/>
      <c r="E73" s="166"/>
      <c r="F73" s="165"/>
      <c r="G73" s="166"/>
      <c r="H73" s="165"/>
      <c r="I73" s="166"/>
      <c r="J73" s="165"/>
      <c r="K73" s="165"/>
      <c r="L73" s="165"/>
      <c r="M73" s="166"/>
      <c r="N73" s="165"/>
      <c r="O73" s="166"/>
      <c r="P73" s="165"/>
      <c r="Q73" s="166"/>
      <c r="R73" s="165"/>
      <c r="S73" s="166"/>
      <c r="T73" s="165"/>
      <c r="U73" s="166"/>
      <c r="V73" s="165"/>
      <c r="W73" s="166"/>
      <c r="X73" s="165"/>
      <c r="Y73" s="166"/>
      <c r="Z73" s="603"/>
    </row>
    <row r="74" spans="1:26">
      <c r="A74" s="163"/>
      <c r="B74" s="165"/>
      <c r="C74" s="165"/>
      <c r="D74" s="165"/>
      <c r="E74" s="166"/>
      <c r="F74" s="165"/>
      <c r="G74" s="166"/>
      <c r="H74" s="165"/>
      <c r="I74" s="166"/>
      <c r="J74" s="165"/>
      <c r="K74" s="165"/>
      <c r="L74" s="165"/>
      <c r="M74" s="166"/>
      <c r="N74" s="165"/>
      <c r="O74" s="166"/>
      <c r="P74" s="165"/>
      <c r="Q74" s="166"/>
      <c r="R74" s="165"/>
      <c r="S74" s="166"/>
      <c r="T74" s="165"/>
      <c r="U74" s="166"/>
      <c r="V74" s="165"/>
      <c r="W74" s="166"/>
      <c r="X74" s="165"/>
      <c r="Y74" s="166"/>
      <c r="Z74" s="603"/>
    </row>
    <row r="75" spans="1:26">
      <c r="A75" s="163"/>
      <c r="B75" s="165"/>
      <c r="C75" s="165"/>
      <c r="D75" s="165"/>
      <c r="E75" s="166"/>
      <c r="F75" s="165"/>
      <c r="G75" s="166"/>
      <c r="H75" s="165"/>
      <c r="I75" s="166"/>
      <c r="J75" s="165"/>
      <c r="K75" s="165"/>
      <c r="L75" s="165"/>
      <c r="M75" s="166"/>
      <c r="N75" s="165"/>
      <c r="O75" s="166"/>
      <c r="P75" s="165"/>
      <c r="Q75" s="166"/>
      <c r="R75" s="165"/>
      <c r="S75" s="166"/>
      <c r="T75" s="165"/>
      <c r="U75" s="166"/>
      <c r="V75" s="165"/>
      <c r="W75" s="166"/>
      <c r="X75" s="165"/>
      <c r="Y75" s="166"/>
      <c r="Z75" s="603"/>
    </row>
    <row r="76" spans="1:26">
      <c r="A76" s="163"/>
      <c r="B76" s="165"/>
      <c r="C76" s="165"/>
      <c r="D76" s="165"/>
      <c r="E76" s="166"/>
      <c r="F76" s="165"/>
      <c r="G76" s="166"/>
      <c r="H76" s="165"/>
      <c r="I76" s="166"/>
      <c r="J76" s="165"/>
      <c r="K76" s="165"/>
      <c r="L76" s="165"/>
      <c r="M76" s="166"/>
      <c r="N76" s="165"/>
      <c r="O76" s="166"/>
      <c r="P76" s="165"/>
      <c r="Q76" s="166"/>
      <c r="R76" s="165"/>
      <c r="S76" s="166"/>
      <c r="T76" s="165"/>
      <c r="U76" s="166"/>
      <c r="V76" s="165"/>
      <c r="W76" s="166"/>
      <c r="X76" s="165"/>
      <c r="Y76" s="166"/>
      <c r="Z76" s="603"/>
    </row>
    <row r="77" spans="1:26">
      <c r="A77" s="163"/>
      <c r="B77" s="165"/>
      <c r="C77" s="165"/>
      <c r="D77" s="165"/>
      <c r="E77" s="166"/>
      <c r="F77" s="165"/>
      <c r="G77" s="166"/>
      <c r="H77" s="165"/>
      <c r="I77" s="166"/>
      <c r="J77" s="165"/>
      <c r="K77" s="165"/>
      <c r="L77" s="165"/>
      <c r="M77" s="166"/>
      <c r="N77" s="165"/>
      <c r="O77" s="166"/>
      <c r="P77" s="165"/>
      <c r="Q77" s="166"/>
      <c r="R77" s="165"/>
      <c r="S77" s="166"/>
      <c r="T77" s="165"/>
      <c r="U77" s="166"/>
      <c r="V77" s="165"/>
      <c r="W77" s="166"/>
      <c r="X77" s="165"/>
      <c r="Y77" s="166"/>
      <c r="Z77" s="603"/>
    </row>
    <row r="78" spans="1:26">
      <c r="A78" s="163"/>
      <c r="B78" s="165"/>
      <c r="C78" s="165"/>
      <c r="D78" s="165"/>
      <c r="E78" s="166"/>
      <c r="F78" s="165"/>
      <c r="G78" s="166"/>
      <c r="H78" s="165"/>
      <c r="I78" s="166"/>
      <c r="J78" s="165"/>
      <c r="K78" s="165"/>
      <c r="L78" s="165"/>
      <c r="M78" s="166"/>
      <c r="N78" s="165"/>
      <c r="O78" s="166"/>
      <c r="P78" s="165"/>
      <c r="Q78" s="166"/>
      <c r="R78" s="165"/>
      <c r="S78" s="166"/>
      <c r="T78" s="165"/>
      <c r="U78" s="166"/>
      <c r="V78" s="165"/>
      <c r="W78" s="166"/>
      <c r="X78" s="165"/>
      <c r="Y78" s="166"/>
      <c r="Z78" s="603"/>
    </row>
    <row r="79" spans="1:26">
      <c r="A79" s="163"/>
      <c r="B79" s="165"/>
      <c r="C79" s="165"/>
      <c r="D79" s="165"/>
      <c r="E79" s="166"/>
      <c r="F79" s="165"/>
      <c r="G79" s="166"/>
      <c r="H79" s="165"/>
      <c r="I79" s="166"/>
      <c r="J79" s="165"/>
      <c r="K79" s="165"/>
      <c r="L79" s="165"/>
      <c r="M79" s="166"/>
      <c r="N79" s="165"/>
      <c r="O79" s="166"/>
      <c r="P79" s="165"/>
      <c r="Q79" s="166"/>
      <c r="R79" s="165"/>
      <c r="S79" s="166"/>
      <c r="T79" s="165"/>
      <c r="U79" s="166"/>
      <c r="V79" s="165"/>
      <c r="W79" s="166"/>
      <c r="X79" s="165"/>
      <c r="Y79" s="166"/>
      <c r="Z79" s="603"/>
    </row>
    <row r="80" spans="1:26">
      <c r="A80" s="163"/>
      <c r="B80" s="165"/>
      <c r="C80" s="165"/>
      <c r="D80" s="165"/>
      <c r="E80" s="166"/>
      <c r="F80" s="165"/>
      <c r="G80" s="166"/>
      <c r="H80" s="165"/>
      <c r="I80" s="166"/>
      <c r="J80" s="165"/>
      <c r="K80" s="165"/>
      <c r="L80" s="165"/>
      <c r="M80" s="166"/>
      <c r="N80" s="165"/>
      <c r="O80" s="166"/>
      <c r="P80" s="165"/>
      <c r="Q80" s="166"/>
      <c r="R80" s="165"/>
      <c r="S80" s="166"/>
      <c r="T80" s="165"/>
      <c r="U80" s="166"/>
      <c r="V80" s="165"/>
      <c r="W80" s="166"/>
      <c r="X80" s="165"/>
      <c r="Y80" s="166"/>
      <c r="Z80" s="603"/>
    </row>
    <row r="81" spans="1:26">
      <c r="A81" s="163"/>
      <c r="B81" s="165"/>
      <c r="C81" s="165"/>
      <c r="D81" s="165"/>
      <c r="E81" s="166"/>
      <c r="F81" s="165"/>
      <c r="G81" s="166"/>
      <c r="H81" s="165"/>
      <c r="I81" s="166"/>
      <c r="J81" s="165"/>
      <c r="K81" s="165"/>
      <c r="L81" s="165"/>
      <c r="M81" s="166"/>
      <c r="N81" s="165"/>
      <c r="O81" s="166"/>
      <c r="P81" s="165"/>
      <c r="Q81" s="166"/>
      <c r="R81" s="165"/>
      <c r="S81" s="166"/>
      <c r="T81" s="165"/>
      <c r="U81" s="166"/>
      <c r="V81" s="165"/>
      <c r="W81" s="166"/>
      <c r="X81" s="165"/>
      <c r="Y81" s="166"/>
      <c r="Z81" s="603"/>
    </row>
    <row r="82" spans="1:26">
      <c r="A82" s="163"/>
      <c r="B82" s="165"/>
      <c r="C82" s="165"/>
      <c r="D82" s="165"/>
      <c r="E82" s="166"/>
      <c r="F82" s="165"/>
      <c r="G82" s="166"/>
      <c r="H82" s="165"/>
      <c r="I82" s="166"/>
      <c r="J82" s="165"/>
      <c r="K82" s="165"/>
      <c r="L82" s="165"/>
      <c r="M82" s="166"/>
      <c r="N82" s="165"/>
      <c r="O82" s="166"/>
      <c r="P82" s="165"/>
      <c r="Q82" s="166"/>
      <c r="R82" s="165"/>
      <c r="S82" s="166"/>
      <c r="T82" s="165"/>
      <c r="U82" s="166"/>
      <c r="V82" s="165"/>
      <c r="W82" s="166"/>
      <c r="X82" s="165"/>
      <c r="Y82" s="166"/>
      <c r="Z82" s="603"/>
    </row>
    <row r="83" spans="1:26">
      <c r="A83" s="163"/>
      <c r="B83" s="165"/>
      <c r="C83" s="165"/>
      <c r="D83" s="165"/>
      <c r="E83" s="166"/>
      <c r="F83" s="165"/>
      <c r="G83" s="166"/>
      <c r="H83" s="165"/>
      <c r="I83" s="166"/>
      <c r="J83" s="165"/>
      <c r="K83" s="165"/>
      <c r="L83" s="165"/>
      <c r="M83" s="166"/>
      <c r="N83" s="165"/>
      <c r="O83" s="166"/>
      <c r="P83" s="165"/>
      <c r="Q83" s="166"/>
      <c r="R83" s="165"/>
      <c r="S83" s="166"/>
      <c r="T83" s="165"/>
      <c r="U83" s="166"/>
      <c r="V83" s="165"/>
      <c r="W83" s="166"/>
      <c r="X83" s="165"/>
      <c r="Y83" s="166"/>
      <c r="Z83" s="603"/>
    </row>
    <row r="84" spans="1:26">
      <c r="A84" s="163"/>
      <c r="B84" s="165"/>
      <c r="C84" s="165"/>
      <c r="D84" s="165"/>
      <c r="E84" s="166"/>
      <c r="F84" s="165"/>
      <c r="G84" s="166"/>
      <c r="H84" s="165"/>
      <c r="I84" s="166"/>
      <c r="J84" s="165"/>
      <c r="K84" s="165"/>
      <c r="L84" s="165"/>
      <c r="M84" s="166"/>
      <c r="N84" s="165"/>
      <c r="O84" s="166"/>
      <c r="P84" s="165"/>
      <c r="Q84" s="166"/>
      <c r="R84" s="165"/>
      <c r="S84" s="166"/>
      <c r="T84" s="165"/>
      <c r="U84" s="166"/>
      <c r="V84" s="165"/>
      <c r="W84" s="166"/>
      <c r="X84" s="165"/>
      <c r="Y84" s="166"/>
      <c r="Z84" s="603"/>
    </row>
    <row r="85" spans="1:26">
      <c r="A85" s="163"/>
      <c r="B85" s="165"/>
      <c r="C85" s="165"/>
      <c r="D85" s="165"/>
      <c r="E85" s="166"/>
      <c r="F85" s="165"/>
      <c r="G85" s="166"/>
      <c r="H85" s="165"/>
      <c r="I85" s="166"/>
      <c r="J85" s="165"/>
      <c r="K85" s="165"/>
      <c r="L85" s="165"/>
      <c r="M85" s="166"/>
      <c r="N85" s="165"/>
      <c r="O85" s="166"/>
      <c r="P85" s="165"/>
      <c r="Q85" s="166"/>
      <c r="R85" s="165"/>
      <c r="S85" s="166"/>
      <c r="T85" s="165"/>
      <c r="U85" s="166"/>
      <c r="V85" s="165"/>
      <c r="W85" s="166"/>
      <c r="X85" s="165"/>
      <c r="Y85" s="166"/>
      <c r="Z85" s="603"/>
    </row>
    <row r="86" spans="1:26">
      <c r="A86" s="163"/>
      <c r="B86" s="165"/>
      <c r="C86" s="165"/>
      <c r="D86" s="165"/>
      <c r="E86" s="166"/>
      <c r="F86" s="165"/>
      <c r="G86" s="166"/>
      <c r="H86" s="165"/>
      <c r="I86" s="166"/>
      <c r="J86" s="165"/>
      <c r="K86" s="165"/>
      <c r="L86" s="165"/>
      <c r="M86" s="166"/>
      <c r="N86" s="165"/>
      <c r="O86" s="166"/>
      <c r="P86" s="165"/>
      <c r="Q86" s="166"/>
      <c r="R86" s="165"/>
      <c r="S86" s="166"/>
      <c r="T86" s="165"/>
      <c r="U86" s="166"/>
      <c r="V86" s="165"/>
      <c r="W86" s="166"/>
      <c r="X86" s="165"/>
      <c r="Y86" s="166"/>
      <c r="Z86" s="603"/>
    </row>
    <row r="87" spans="1:26">
      <c r="A87" s="163"/>
      <c r="B87" s="165"/>
      <c r="C87" s="165"/>
      <c r="D87" s="165"/>
      <c r="E87" s="166"/>
      <c r="F87" s="165"/>
      <c r="G87" s="166"/>
      <c r="H87" s="165"/>
      <c r="I87" s="166"/>
      <c r="J87" s="165"/>
      <c r="K87" s="165"/>
      <c r="L87" s="165"/>
      <c r="M87" s="166"/>
      <c r="N87" s="165"/>
      <c r="O87" s="166"/>
      <c r="P87" s="165"/>
      <c r="Q87" s="166"/>
      <c r="R87" s="165"/>
      <c r="S87" s="166"/>
      <c r="T87" s="165"/>
      <c r="U87" s="166"/>
      <c r="V87" s="165"/>
      <c r="W87" s="166"/>
      <c r="X87" s="165"/>
      <c r="Y87" s="166"/>
      <c r="Z87" s="603"/>
    </row>
    <row r="88" spans="1:26">
      <c r="A88" s="163"/>
      <c r="B88" s="165"/>
      <c r="C88" s="165"/>
      <c r="D88" s="165"/>
      <c r="E88" s="166"/>
      <c r="F88" s="165"/>
      <c r="G88" s="166"/>
      <c r="H88" s="165"/>
      <c r="I88" s="166"/>
      <c r="J88" s="165"/>
      <c r="K88" s="165"/>
      <c r="L88" s="165"/>
      <c r="M88" s="166"/>
      <c r="N88" s="165"/>
      <c r="O88" s="166"/>
      <c r="P88" s="165"/>
      <c r="Q88" s="166"/>
      <c r="R88" s="165"/>
      <c r="S88" s="166"/>
      <c r="T88" s="165"/>
      <c r="U88" s="166"/>
      <c r="V88" s="165"/>
      <c r="W88" s="166"/>
      <c r="X88" s="165"/>
      <c r="Y88" s="166"/>
      <c r="Z88" s="603"/>
    </row>
    <row r="89" spans="1:26">
      <c r="A89" s="163"/>
      <c r="B89" s="165"/>
      <c r="C89" s="165"/>
      <c r="D89" s="165"/>
      <c r="E89" s="166"/>
      <c r="F89" s="165"/>
      <c r="G89" s="166"/>
      <c r="H89" s="165"/>
      <c r="I89" s="166"/>
      <c r="J89" s="165"/>
      <c r="K89" s="165"/>
      <c r="L89" s="165"/>
      <c r="M89" s="166"/>
      <c r="N89" s="165"/>
      <c r="O89" s="166"/>
      <c r="P89" s="165"/>
      <c r="Q89" s="166"/>
      <c r="R89" s="165"/>
      <c r="S89" s="166"/>
      <c r="T89" s="165"/>
      <c r="U89" s="166"/>
      <c r="V89" s="165"/>
      <c r="W89" s="166"/>
      <c r="X89" s="165"/>
      <c r="Y89" s="166"/>
      <c r="Z89" s="603"/>
    </row>
    <row r="90" spans="1:26">
      <c r="A90" s="163"/>
      <c r="B90" s="165"/>
      <c r="C90" s="165"/>
      <c r="D90" s="165"/>
      <c r="E90" s="166"/>
      <c r="F90" s="165"/>
      <c r="G90" s="166"/>
      <c r="H90" s="165"/>
      <c r="I90" s="166"/>
      <c r="J90" s="165"/>
      <c r="K90" s="165"/>
      <c r="L90" s="165"/>
      <c r="M90" s="166"/>
      <c r="N90" s="165"/>
      <c r="O90" s="166"/>
      <c r="P90" s="165"/>
      <c r="Q90" s="166"/>
      <c r="R90" s="165"/>
      <c r="S90" s="166"/>
      <c r="T90" s="165"/>
      <c r="U90" s="166"/>
      <c r="V90" s="165"/>
      <c r="W90" s="166"/>
      <c r="X90" s="165"/>
      <c r="Y90" s="166"/>
      <c r="Z90" s="603"/>
    </row>
    <row r="91" spans="1:26">
      <c r="A91" s="163"/>
      <c r="B91" s="165"/>
      <c r="C91" s="165"/>
      <c r="D91" s="165"/>
      <c r="E91" s="166"/>
      <c r="F91" s="165"/>
      <c r="G91" s="166"/>
      <c r="H91" s="165"/>
      <c r="I91" s="166"/>
      <c r="J91" s="165"/>
      <c r="K91" s="165"/>
      <c r="L91" s="165"/>
      <c r="M91" s="166"/>
      <c r="N91" s="165"/>
      <c r="O91" s="166"/>
      <c r="P91" s="165"/>
      <c r="Q91" s="166"/>
      <c r="R91" s="165"/>
      <c r="S91" s="166"/>
      <c r="T91" s="165"/>
      <c r="U91" s="166"/>
      <c r="V91" s="165"/>
      <c r="W91" s="166"/>
      <c r="X91" s="165"/>
      <c r="Y91" s="166"/>
      <c r="Z91" s="603"/>
    </row>
    <row r="92" spans="1:26">
      <c r="A92" s="163"/>
      <c r="B92" s="165"/>
      <c r="C92" s="165"/>
      <c r="D92" s="165"/>
      <c r="E92" s="166"/>
      <c r="F92" s="165"/>
      <c r="G92" s="166"/>
      <c r="H92" s="165"/>
      <c r="I92" s="166"/>
      <c r="J92" s="165"/>
      <c r="K92" s="165"/>
      <c r="L92" s="165"/>
      <c r="M92" s="166"/>
      <c r="N92" s="165"/>
      <c r="O92" s="166"/>
      <c r="P92" s="165"/>
      <c r="Q92" s="166"/>
      <c r="R92" s="165"/>
      <c r="S92" s="166"/>
      <c r="T92" s="165"/>
      <c r="U92" s="166"/>
      <c r="V92" s="165"/>
      <c r="W92" s="166"/>
      <c r="X92" s="165"/>
      <c r="Y92" s="166"/>
      <c r="Z92" s="603"/>
    </row>
    <row r="93" spans="1:26">
      <c r="A93" s="163"/>
      <c r="B93" s="165"/>
      <c r="C93" s="165"/>
      <c r="D93" s="165"/>
      <c r="E93" s="166"/>
      <c r="F93" s="165"/>
      <c r="G93" s="166"/>
      <c r="H93" s="165"/>
      <c r="I93" s="166"/>
      <c r="J93" s="165"/>
      <c r="K93" s="165"/>
      <c r="L93" s="165"/>
      <c r="M93" s="166"/>
      <c r="N93" s="165"/>
      <c r="O93" s="166"/>
      <c r="P93" s="165"/>
      <c r="Q93" s="166"/>
      <c r="R93" s="165"/>
      <c r="S93" s="166"/>
      <c r="T93" s="165"/>
      <c r="U93" s="166"/>
      <c r="V93" s="165"/>
      <c r="W93" s="166"/>
      <c r="X93" s="165"/>
      <c r="Y93" s="166"/>
      <c r="Z93" s="603"/>
    </row>
    <row r="94" spans="1:26">
      <c r="A94" s="163"/>
      <c r="B94" s="165"/>
      <c r="C94" s="165"/>
      <c r="D94" s="165"/>
      <c r="E94" s="166"/>
      <c r="F94" s="165"/>
      <c r="G94" s="166"/>
      <c r="H94" s="165"/>
      <c r="I94" s="166"/>
      <c r="J94" s="165"/>
      <c r="K94" s="165"/>
      <c r="L94" s="165"/>
      <c r="M94" s="166"/>
      <c r="N94" s="165"/>
      <c r="O94" s="166"/>
      <c r="P94" s="165"/>
      <c r="Q94" s="166"/>
      <c r="R94" s="165"/>
      <c r="S94" s="166"/>
      <c r="T94" s="165"/>
      <c r="U94" s="166"/>
      <c r="V94" s="165"/>
      <c r="W94" s="166"/>
      <c r="X94" s="165"/>
      <c r="Y94" s="166"/>
      <c r="Z94" s="603"/>
    </row>
    <row r="95" spans="1:26">
      <c r="A95" s="163"/>
      <c r="B95" s="165"/>
      <c r="C95" s="165"/>
      <c r="D95" s="165"/>
      <c r="E95" s="166"/>
      <c r="F95" s="165"/>
      <c r="G95" s="166"/>
      <c r="H95" s="165"/>
      <c r="I95" s="166"/>
      <c r="J95" s="165"/>
      <c r="K95" s="165"/>
      <c r="L95" s="165"/>
      <c r="M95" s="166"/>
      <c r="N95" s="165"/>
      <c r="O95" s="166"/>
      <c r="P95" s="165"/>
      <c r="Q95" s="166"/>
      <c r="R95" s="165"/>
      <c r="S95" s="166"/>
      <c r="T95" s="165"/>
      <c r="U95" s="166"/>
      <c r="V95" s="165"/>
      <c r="W95" s="166"/>
      <c r="X95" s="165"/>
      <c r="Y95" s="166"/>
      <c r="Z95" s="603"/>
    </row>
    <row r="96" spans="1:26">
      <c r="A96" s="163"/>
      <c r="B96" s="165"/>
      <c r="C96" s="165"/>
      <c r="D96" s="165"/>
      <c r="E96" s="166"/>
      <c r="F96" s="165"/>
      <c r="G96" s="166"/>
      <c r="H96" s="165"/>
      <c r="I96" s="166"/>
      <c r="J96" s="165"/>
      <c r="K96" s="165"/>
      <c r="L96" s="165"/>
      <c r="M96" s="166"/>
      <c r="N96" s="165"/>
      <c r="O96" s="166"/>
      <c r="P96" s="165"/>
      <c r="Q96" s="166"/>
      <c r="R96" s="165"/>
      <c r="S96" s="166"/>
      <c r="T96" s="165"/>
      <c r="U96" s="166"/>
      <c r="V96" s="165"/>
      <c r="W96" s="166"/>
      <c r="X96" s="165"/>
      <c r="Y96" s="166"/>
      <c r="Z96" s="603"/>
    </row>
  </sheetData>
  <printOptions horizontalCentered="1"/>
  <pageMargins left="0.25" right="0.25" top="0.5" bottom="0.25" header="0" footer="0.25"/>
  <pageSetup scale="38" firstPageNumber="47" orientation="landscape" useFirstPageNumber="1" r:id="rId1"/>
  <headerFooter scaleWithDoc="0" alignWithMargins="0">
    <oddHeader xml:space="preserve">&amp;L&amp;14 </oddHeader>
    <oddFooter>&amp;C&amp;8&amp;P</oddFooter>
  </headerFooter>
  <colBreaks count="1" manualBreakCount="1">
    <brk id="30" max="54" man="1"/>
  </colBreaks>
  <customProperties>
    <customPr name="SheetOptions" r:id="rId2"/>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6">
    <pageSetUpPr autoPageBreaks="0"/>
  </sheetPr>
  <dimension ref="A1:F78"/>
  <sheetViews>
    <sheetView showGridLines="0" workbookViewId="0"/>
  </sheetViews>
  <sheetFormatPr defaultColWidth="8.84375" defaultRowHeight="12.5"/>
  <cols>
    <col min="1" max="1" width="54.84375" style="375" customWidth="1"/>
    <col min="2" max="2" width="22.07421875" style="375" customWidth="1"/>
    <col min="3" max="3" width="24.84375" style="375" customWidth="1"/>
    <col min="4" max="4" width="30.84375" style="375" customWidth="1"/>
    <col min="5" max="5" width="2" style="375" customWidth="1"/>
    <col min="6" max="6" width="13" style="660" bestFit="1" customWidth="1"/>
    <col min="7" max="16384" width="8.84375" style="375"/>
  </cols>
  <sheetData>
    <row r="1" spans="1:6">
      <c r="A1" s="840" t="s">
        <v>97</v>
      </c>
      <c r="B1" s="566"/>
      <c r="C1" s="566"/>
      <c r="D1" s="566"/>
      <c r="E1" s="376"/>
    </row>
    <row r="2" spans="1:6">
      <c r="A2" s="841"/>
      <c r="B2" s="566"/>
      <c r="C2" s="566"/>
      <c r="D2" s="546"/>
      <c r="E2" s="376"/>
    </row>
    <row r="3" spans="1:6" s="259" customFormat="1" ht="15.5">
      <c r="A3" s="261" t="s">
        <v>939</v>
      </c>
      <c r="B3" s="566"/>
      <c r="C3" s="566"/>
      <c r="D3" s="872" t="s">
        <v>940</v>
      </c>
      <c r="E3" s="829"/>
      <c r="F3" s="661"/>
    </row>
    <row r="4" spans="1:6" s="259" customFormat="1" ht="15.5">
      <c r="A4" s="261" t="s">
        <v>941</v>
      </c>
      <c r="B4" s="566"/>
      <c r="C4" s="566"/>
      <c r="D4" s="566"/>
      <c r="E4" s="829"/>
      <c r="F4" s="661"/>
    </row>
    <row r="5" spans="1:6" s="259" customFormat="1" ht="15.5">
      <c r="A5" s="261" t="s">
        <v>942</v>
      </c>
      <c r="B5" s="566"/>
      <c r="C5" s="566"/>
      <c r="D5" s="566"/>
      <c r="E5" s="829"/>
      <c r="F5" s="661"/>
    </row>
    <row r="6" spans="1:6" s="259" customFormat="1" ht="15.5">
      <c r="A6" s="557" t="str">
        <f>'HCRA '!A6</f>
        <v>FISCAL YEAR 2026-2027</v>
      </c>
      <c r="B6" s="566"/>
      <c r="C6" s="566"/>
      <c r="D6" s="566"/>
      <c r="E6" s="829"/>
      <c r="F6" s="661"/>
    </row>
    <row r="7" spans="1:6" ht="13">
      <c r="A7" s="557"/>
      <c r="B7" s="566"/>
      <c r="C7" s="566"/>
      <c r="D7" s="566"/>
      <c r="E7" s="376"/>
    </row>
    <row r="8" spans="1:6" ht="27" customHeight="1">
      <c r="A8" s="901" t="s">
        <v>943</v>
      </c>
      <c r="B8" s="901" t="s">
        <v>944</v>
      </c>
      <c r="C8" s="1647" t="str">
        <f>PROPER('Sch 5 '!E12)</f>
        <v>July</v>
      </c>
      <c r="D8" s="1264" t="str">
        <f>PROPER('Cashflow Governmental'!AB12)&amp; ", 2026"&amp; " (**)"</f>
        <v>4 Months Ended July 31, 2026 (**)</v>
      </c>
      <c r="E8" s="830"/>
    </row>
    <row r="9" spans="1:6" s="259" customFormat="1">
      <c r="E9" s="584"/>
      <c r="F9" s="661"/>
    </row>
    <row r="10" spans="1:6" s="259" customFormat="1" ht="15.5">
      <c r="A10" s="912" t="s">
        <v>945</v>
      </c>
      <c r="B10" s="917">
        <v>7680000</v>
      </c>
      <c r="C10" s="917">
        <v>293604.87</v>
      </c>
      <c r="D10" s="917">
        <v>978199.16999999993</v>
      </c>
      <c r="E10" s="831"/>
      <c r="F10" s="661"/>
    </row>
    <row r="11" spans="1:6" s="259" customFormat="1">
      <c r="A11" s="908" t="s">
        <v>946</v>
      </c>
      <c r="B11" s="342">
        <v>7680000</v>
      </c>
      <c r="C11" s="342">
        <v>293604.87</v>
      </c>
      <c r="D11" s="342">
        <v>978199.16999999993</v>
      </c>
      <c r="E11" s="584"/>
      <c r="F11" s="661"/>
    </row>
    <row r="12" spans="1:6" s="259" customFormat="1" ht="13">
      <c r="A12" s="912" t="s">
        <v>947</v>
      </c>
      <c r="B12" s="913">
        <v>4678842000</v>
      </c>
      <c r="C12" s="913">
        <v>70754565.160000011</v>
      </c>
      <c r="D12" s="913">
        <v>387186486.79000002</v>
      </c>
      <c r="E12" s="584"/>
      <c r="F12" s="661"/>
    </row>
    <row r="13" spans="1:6" s="259" customFormat="1">
      <c r="A13" s="908" t="s">
        <v>948</v>
      </c>
      <c r="B13" s="342">
        <v>4678842000</v>
      </c>
      <c r="C13" s="342">
        <v>70754565.160000011</v>
      </c>
      <c r="D13" s="342">
        <v>387186486.79000002</v>
      </c>
      <c r="E13" s="584"/>
      <c r="F13" s="661"/>
    </row>
    <row r="14" spans="1:6" s="259" customFormat="1" ht="13">
      <c r="A14" s="912" t="s">
        <v>949</v>
      </c>
      <c r="B14" s="913">
        <v>397096000</v>
      </c>
      <c r="C14" s="913">
        <v>2391938.38</v>
      </c>
      <c r="D14" s="913">
        <v>9222248.4600000009</v>
      </c>
      <c r="E14" s="584"/>
      <c r="F14" s="661"/>
    </row>
    <row r="15" spans="1:6" s="259" customFormat="1">
      <c r="A15" s="908" t="s">
        <v>950</v>
      </c>
      <c r="B15" s="342">
        <v>397096000</v>
      </c>
      <c r="C15" s="342">
        <v>2391938.38</v>
      </c>
      <c r="D15" s="342">
        <v>9222248.4600000009</v>
      </c>
      <c r="E15" s="584"/>
      <c r="F15" s="661"/>
    </row>
    <row r="16" spans="1:6" s="259" customFormat="1" ht="13">
      <c r="A16" s="912" t="s">
        <v>951</v>
      </c>
      <c r="B16" s="913">
        <v>2516605059.0299997</v>
      </c>
      <c r="C16" s="913">
        <v>18222029.91</v>
      </c>
      <c r="D16" s="913">
        <v>193922261.29999998</v>
      </c>
      <c r="E16" s="584"/>
      <c r="F16" s="661"/>
    </row>
    <row r="17" spans="1:6" s="259" customFormat="1">
      <c r="A17" s="908" t="s">
        <v>952</v>
      </c>
      <c r="B17" s="342">
        <v>214850000</v>
      </c>
      <c r="C17" s="342">
        <v>0</v>
      </c>
      <c r="D17" s="342">
        <v>0</v>
      </c>
      <c r="E17" s="584"/>
      <c r="F17" s="661"/>
    </row>
    <row r="18" spans="1:6" s="259" customFormat="1" ht="13">
      <c r="A18" s="912" t="s">
        <v>953</v>
      </c>
      <c r="B18" s="913">
        <v>3537000</v>
      </c>
      <c r="C18" s="913">
        <v>0</v>
      </c>
      <c r="D18" s="913">
        <v>0</v>
      </c>
      <c r="E18" s="584"/>
      <c r="F18" s="661"/>
    </row>
    <row r="19" spans="1:6" s="259" customFormat="1">
      <c r="A19" s="908" t="s">
        <v>954</v>
      </c>
      <c r="B19" s="342">
        <v>14662000</v>
      </c>
      <c r="C19" s="342">
        <v>469478.44</v>
      </c>
      <c r="D19" s="342">
        <v>606191.75</v>
      </c>
      <c r="E19" s="584"/>
      <c r="F19" s="661"/>
    </row>
    <row r="20" spans="1:6" s="259" customFormat="1">
      <c r="A20" s="908" t="s">
        <v>955</v>
      </c>
      <c r="B20" s="342">
        <v>51840600</v>
      </c>
      <c r="C20" s="342">
        <v>0</v>
      </c>
      <c r="D20" s="342">
        <v>0</v>
      </c>
      <c r="E20" s="584"/>
      <c r="F20" s="661"/>
    </row>
    <row r="21" spans="1:6" s="259" customFormat="1">
      <c r="A21" s="908" t="s">
        <v>956</v>
      </c>
      <c r="B21" s="342">
        <v>163200000</v>
      </c>
      <c r="C21" s="342">
        <v>0</v>
      </c>
      <c r="D21" s="342">
        <v>0</v>
      </c>
      <c r="E21" s="584"/>
      <c r="F21" s="661"/>
    </row>
    <row r="22" spans="1:6" s="259" customFormat="1">
      <c r="A22" s="908" t="s">
        <v>957</v>
      </c>
      <c r="B22" s="342">
        <v>7482000</v>
      </c>
      <c r="C22" s="342">
        <v>933000</v>
      </c>
      <c r="D22" s="342">
        <v>981636.28</v>
      </c>
      <c r="E22" s="584"/>
      <c r="F22" s="661"/>
    </row>
    <row r="23" spans="1:6" s="259" customFormat="1">
      <c r="A23" s="908" t="s">
        <v>958</v>
      </c>
      <c r="B23" s="342">
        <v>13780000</v>
      </c>
      <c r="C23" s="342">
        <v>0</v>
      </c>
      <c r="D23" s="342">
        <v>0</v>
      </c>
      <c r="E23" s="584"/>
      <c r="F23" s="661"/>
    </row>
    <row r="24" spans="1:6" s="259" customFormat="1">
      <c r="A24" s="908" t="s">
        <v>959</v>
      </c>
      <c r="B24" s="342">
        <v>9840000</v>
      </c>
      <c r="C24" s="342">
        <v>116640.62</v>
      </c>
      <c r="D24" s="342">
        <v>2968165.17</v>
      </c>
      <c r="E24" s="584"/>
      <c r="F24" s="661"/>
    </row>
    <row r="25" spans="1:6" s="259" customFormat="1">
      <c r="A25" s="908" t="s">
        <v>960</v>
      </c>
      <c r="B25" s="342">
        <v>158800000</v>
      </c>
      <c r="C25" s="342">
        <v>0</v>
      </c>
      <c r="D25" s="342">
        <v>0</v>
      </c>
      <c r="E25" s="584"/>
      <c r="F25" s="661"/>
    </row>
    <row r="26" spans="1:6" s="259" customFormat="1">
      <c r="A26" s="908" t="s">
        <v>961</v>
      </c>
      <c r="B26" s="342">
        <v>18320000</v>
      </c>
      <c r="C26" s="342">
        <v>0</v>
      </c>
      <c r="D26" s="342">
        <v>0</v>
      </c>
      <c r="E26" s="584"/>
      <c r="F26" s="661"/>
    </row>
    <row r="27" spans="1:6" s="259" customFormat="1">
      <c r="A27" s="908" t="s">
        <v>962</v>
      </c>
      <c r="B27" s="342">
        <v>11466000</v>
      </c>
      <c r="C27" s="342">
        <v>0</v>
      </c>
      <c r="D27" s="342">
        <v>62460.4</v>
      </c>
      <c r="E27" s="376"/>
      <c r="F27" s="661"/>
    </row>
    <row r="28" spans="1:6" s="259" customFormat="1">
      <c r="A28" s="908" t="s">
        <v>963</v>
      </c>
      <c r="B28" s="342">
        <v>528500000</v>
      </c>
      <c r="C28" s="342">
        <v>0</v>
      </c>
      <c r="D28" s="342">
        <v>155500000</v>
      </c>
      <c r="E28" s="376"/>
      <c r="F28" s="661"/>
    </row>
    <row r="29" spans="1:6">
      <c r="A29" s="908" t="s">
        <v>964</v>
      </c>
      <c r="B29" s="342">
        <v>14500000</v>
      </c>
      <c r="C29" s="342">
        <v>3658.2</v>
      </c>
      <c r="D29" s="342">
        <v>70823.31</v>
      </c>
      <c r="E29" s="376"/>
    </row>
    <row r="30" spans="1:6">
      <c r="A30" s="908" t="s">
        <v>965</v>
      </c>
      <c r="B30" s="342">
        <v>70306000</v>
      </c>
      <c r="C30" s="342">
        <v>205440.94</v>
      </c>
      <c r="D30" s="342">
        <v>979509.39999999991</v>
      </c>
      <c r="E30" s="376"/>
    </row>
    <row r="31" spans="1:6">
      <c r="A31" s="908" t="s">
        <v>966</v>
      </c>
      <c r="B31" s="342">
        <v>1150000</v>
      </c>
      <c r="C31" s="342">
        <v>0</v>
      </c>
      <c r="D31" s="342">
        <v>0</v>
      </c>
      <c r="E31" s="376"/>
    </row>
    <row r="32" spans="1:6">
      <c r="A32" s="908" t="s">
        <v>967</v>
      </c>
      <c r="B32" s="342">
        <v>340600000</v>
      </c>
      <c r="C32" s="342">
        <v>0</v>
      </c>
      <c r="D32" s="342">
        <v>0</v>
      </c>
      <c r="E32" s="376"/>
    </row>
    <row r="33" spans="1:5" ht="13">
      <c r="A33" s="908" t="s">
        <v>968</v>
      </c>
      <c r="B33" s="342">
        <v>115582000</v>
      </c>
      <c r="C33" s="342">
        <v>1476224.51</v>
      </c>
      <c r="D33" s="342">
        <v>2249599.67</v>
      </c>
      <c r="E33" s="832"/>
    </row>
    <row r="34" spans="1:5">
      <c r="A34" s="908" t="s">
        <v>969</v>
      </c>
      <c r="B34" s="342">
        <v>1461000</v>
      </c>
      <c r="C34" s="342">
        <v>0</v>
      </c>
      <c r="D34" s="342">
        <v>0</v>
      </c>
      <c r="E34" s="376"/>
    </row>
    <row r="35" spans="1:5">
      <c r="A35" s="908" t="s">
        <v>970</v>
      </c>
      <c r="B35" s="342">
        <v>15920000</v>
      </c>
      <c r="C35" s="342">
        <v>0</v>
      </c>
      <c r="D35" s="342">
        <v>0</v>
      </c>
      <c r="E35" s="376"/>
    </row>
    <row r="36" spans="1:5">
      <c r="A36" s="908" t="s">
        <v>971</v>
      </c>
      <c r="B36" s="342">
        <v>5698000</v>
      </c>
      <c r="C36" s="342">
        <v>324338.95</v>
      </c>
      <c r="D36" s="342">
        <v>727314.35</v>
      </c>
      <c r="E36" s="376"/>
    </row>
    <row r="37" spans="1:5">
      <c r="A37" s="908" t="s">
        <v>972</v>
      </c>
      <c r="B37" s="342">
        <v>166389000</v>
      </c>
      <c r="C37" s="342">
        <v>13865750</v>
      </c>
      <c r="D37" s="342">
        <v>27731500</v>
      </c>
      <c r="E37" s="376"/>
    </row>
    <row r="38" spans="1:5">
      <c r="A38" s="908" t="s">
        <v>973</v>
      </c>
      <c r="B38" s="342">
        <v>50000</v>
      </c>
      <c r="C38" s="342">
        <v>0</v>
      </c>
      <c r="D38" s="342">
        <v>0</v>
      </c>
      <c r="E38" s="376"/>
    </row>
    <row r="39" spans="1:5">
      <c r="A39" s="908" t="s">
        <v>974</v>
      </c>
      <c r="B39" s="342">
        <v>15950000</v>
      </c>
      <c r="C39" s="342">
        <v>0</v>
      </c>
      <c r="D39" s="342">
        <v>0</v>
      </c>
      <c r="E39" s="376"/>
    </row>
    <row r="40" spans="1:5">
      <c r="A40" s="908" t="s">
        <v>975</v>
      </c>
      <c r="B40" s="342">
        <v>47050000</v>
      </c>
      <c r="C40" s="342">
        <v>631591.49</v>
      </c>
      <c r="D40" s="342">
        <v>1849154.21</v>
      </c>
      <c r="E40" s="376"/>
    </row>
    <row r="41" spans="1:5">
      <c r="A41" s="908" t="s">
        <v>976</v>
      </c>
      <c r="B41" s="342">
        <v>5500400</v>
      </c>
      <c r="C41" s="342">
        <v>195906.75999999998</v>
      </c>
      <c r="D41" s="342">
        <v>195906.75999999998</v>
      </c>
      <c r="E41" s="376"/>
    </row>
    <row r="42" spans="1:5">
      <c r="A42" s="908" t="s">
        <v>977</v>
      </c>
      <c r="B42" s="342">
        <v>11610000</v>
      </c>
      <c r="C42" s="342">
        <v>0</v>
      </c>
      <c r="D42" s="342">
        <v>0</v>
      </c>
      <c r="E42" s="376"/>
    </row>
    <row r="43" spans="1:5">
      <c r="A43" s="908" t="s">
        <v>978</v>
      </c>
      <c r="B43" s="342">
        <v>6345000</v>
      </c>
      <c r="C43" s="342">
        <v>0</v>
      </c>
      <c r="D43" s="342">
        <v>0</v>
      </c>
      <c r="E43" s="376"/>
    </row>
    <row r="44" spans="1:5">
      <c r="A44" s="908" t="s">
        <v>979</v>
      </c>
      <c r="B44" s="342">
        <v>12690000</v>
      </c>
      <c r="C44" s="342">
        <v>0</v>
      </c>
      <c r="D44" s="342">
        <v>0</v>
      </c>
      <c r="E44" s="376"/>
    </row>
    <row r="45" spans="1:5">
      <c r="A45" s="908" t="s">
        <v>980</v>
      </c>
      <c r="B45" s="342">
        <v>489526059.02999997</v>
      </c>
      <c r="C45" s="342">
        <v>0</v>
      </c>
      <c r="D45" s="342">
        <v>0</v>
      </c>
      <c r="E45" s="376"/>
    </row>
    <row r="46" spans="1:5" ht="13">
      <c r="A46" s="912" t="s">
        <v>981</v>
      </c>
      <c r="B46" s="913">
        <v>16974721000</v>
      </c>
      <c r="C46" s="913">
        <v>350000000</v>
      </c>
      <c r="D46" s="913">
        <v>1400000000</v>
      </c>
      <c r="E46" s="376"/>
    </row>
    <row r="47" spans="1:5">
      <c r="A47" s="908" t="s">
        <v>982</v>
      </c>
      <c r="B47" s="342">
        <v>150000000</v>
      </c>
      <c r="C47" s="342">
        <v>0</v>
      </c>
      <c r="D47" s="342">
        <v>0</v>
      </c>
      <c r="E47" s="376"/>
    </row>
    <row r="48" spans="1:5">
      <c r="A48" s="908" t="s">
        <v>983</v>
      </c>
      <c r="B48" s="342">
        <v>1893300000</v>
      </c>
      <c r="C48" s="342">
        <v>0</v>
      </c>
      <c r="D48" s="342">
        <v>0</v>
      </c>
      <c r="E48" s="376"/>
    </row>
    <row r="49" spans="1:6">
      <c r="A49" s="908" t="s">
        <v>984</v>
      </c>
      <c r="B49" s="342">
        <v>14489821000</v>
      </c>
      <c r="C49" s="342">
        <v>350000000</v>
      </c>
      <c r="D49" s="342">
        <v>1400000000</v>
      </c>
      <c r="E49" s="376"/>
    </row>
    <row r="50" spans="1:6">
      <c r="A50" s="908" t="s">
        <v>985</v>
      </c>
      <c r="B50" s="342">
        <v>408000000</v>
      </c>
      <c r="C50" s="342">
        <v>0</v>
      </c>
      <c r="D50" s="342">
        <v>0</v>
      </c>
      <c r="E50" s="376"/>
    </row>
    <row r="51" spans="1:6">
      <c r="A51" s="908" t="s">
        <v>986</v>
      </c>
      <c r="B51" s="342">
        <v>33600000</v>
      </c>
      <c r="C51" s="342">
        <v>0</v>
      </c>
      <c r="D51" s="342">
        <v>0</v>
      </c>
      <c r="E51" s="376"/>
    </row>
    <row r="52" spans="1:6" ht="13">
      <c r="A52" s="912" t="s">
        <v>987</v>
      </c>
      <c r="B52" s="913">
        <v>72017000</v>
      </c>
      <c r="C52" s="913">
        <v>1654792.01</v>
      </c>
      <c r="D52" s="913">
        <v>5937457.9100000001</v>
      </c>
      <c r="E52" s="376"/>
    </row>
    <row r="53" spans="1:6">
      <c r="A53" s="908" t="s">
        <v>988</v>
      </c>
      <c r="B53" s="342">
        <v>72017000</v>
      </c>
      <c r="C53" s="342">
        <v>1654792.01</v>
      </c>
      <c r="D53" s="342">
        <v>5937457.9100000001</v>
      </c>
      <c r="E53" s="376"/>
    </row>
    <row r="54" spans="1:6" ht="13">
      <c r="A54" s="912" t="s">
        <v>989</v>
      </c>
      <c r="B54" s="913">
        <v>1834000</v>
      </c>
      <c r="C54" s="913">
        <v>0</v>
      </c>
      <c r="D54" s="913">
        <v>0</v>
      </c>
      <c r="E54" s="376"/>
    </row>
    <row r="55" spans="1:6">
      <c r="A55" s="908" t="s">
        <v>990</v>
      </c>
      <c r="B55" s="342">
        <v>1834000</v>
      </c>
      <c r="C55" s="342">
        <v>0</v>
      </c>
      <c r="D55" s="342">
        <v>0</v>
      </c>
      <c r="E55" s="376"/>
    </row>
    <row r="56" spans="1:6" ht="13">
      <c r="A56" s="912" t="s">
        <v>991</v>
      </c>
      <c r="B56" s="913">
        <v>126008000</v>
      </c>
      <c r="C56" s="913">
        <v>2112770.23</v>
      </c>
      <c r="D56" s="913">
        <v>7079625.5700000003</v>
      </c>
      <c r="E56" s="376"/>
    </row>
    <row r="57" spans="1:6">
      <c r="A57" s="908" t="s">
        <v>992</v>
      </c>
      <c r="B57" s="342">
        <v>126008000</v>
      </c>
      <c r="C57" s="342">
        <v>2112770.23</v>
      </c>
      <c r="D57" s="342">
        <v>7079625.5700000003</v>
      </c>
      <c r="E57" s="376"/>
    </row>
    <row r="58" spans="1:6" ht="13">
      <c r="A58" s="912" t="s">
        <v>993</v>
      </c>
      <c r="B58" s="913">
        <v>9050000</v>
      </c>
      <c r="C58" s="913">
        <v>0</v>
      </c>
      <c r="D58" s="913">
        <v>988829.04</v>
      </c>
      <c r="E58" s="376"/>
    </row>
    <row r="59" spans="1:6">
      <c r="A59" s="908" t="s">
        <v>993</v>
      </c>
      <c r="B59" s="342">
        <v>9050000</v>
      </c>
      <c r="C59" s="342">
        <v>0</v>
      </c>
      <c r="D59" s="342">
        <v>988829.04</v>
      </c>
      <c r="E59" s="376"/>
    </row>
    <row r="60" spans="1:6" ht="15" customHeight="1">
      <c r="A60" s="927" t="s">
        <v>994</v>
      </c>
      <c r="B60" s="929">
        <v>24783853059.029999</v>
      </c>
      <c r="C60" s="929">
        <v>445429700.56</v>
      </c>
      <c r="D60" s="929">
        <v>2005315108.24</v>
      </c>
      <c r="E60" s="376"/>
      <c r="F60" s="660" t="s">
        <v>103</v>
      </c>
    </row>
    <row r="61" spans="1:6" ht="15.65" customHeight="1">
      <c r="A61" s="909" t="s">
        <v>995</v>
      </c>
      <c r="B61" s="928"/>
      <c r="C61" s="902">
        <v>0</v>
      </c>
      <c r="D61" s="902">
        <v>3321324.27</v>
      </c>
      <c r="E61" s="376"/>
    </row>
    <row r="62" spans="1:6" ht="12.75" customHeight="1">
      <c r="A62" s="909" t="s">
        <v>996</v>
      </c>
      <c r="B62" s="928"/>
      <c r="C62" s="902">
        <v>0</v>
      </c>
      <c r="D62" s="902">
        <v>0</v>
      </c>
      <c r="E62" s="833"/>
    </row>
    <row r="63" spans="1:6" ht="25">
      <c r="A63" s="909" t="s">
        <v>997</v>
      </c>
      <c r="B63" s="902"/>
      <c r="C63" s="902">
        <v>0</v>
      </c>
      <c r="D63" s="902">
        <v>0</v>
      </c>
      <c r="E63" s="376"/>
    </row>
    <row r="64" spans="1:6">
      <c r="A64" s="909" t="s">
        <v>998</v>
      </c>
      <c r="B64" s="902"/>
      <c r="C64" s="902">
        <v>705.65</v>
      </c>
      <c r="D64" s="902">
        <v>443.55</v>
      </c>
      <c r="E64" s="376"/>
    </row>
    <row r="65" spans="1:5" ht="13.5" thickBot="1">
      <c r="A65" s="903" t="s">
        <v>999</v>
      </c>
      <c r="B65" s="1263">
        <v>24783853059.029999</v>
      </c>
      <c r="C65" s="1263">
        <v>445430406.20999998</v>
      </c>
      <c r="D65" s="1263">
        <v>2008636876.0599999</v>
      </c>
      <c r="E65" s="376"/>
    </row>
    <row r="66" spans="1:5" ht="13" thickTop="1">
      <c r="A66" s="566"/>
      <c r="B66" s="902"/>
      <c r="C66" s="902"/>
      <c r="D66" s="902"/>
      <c r="E66" s="376"/>
    </row>
    <row r="67" spans="1:5">
      <c r="A67" s="904" t="s">
        <v>1458</v>
      </c>
      <c r="B67" s="566"/>
      <c r="C67" s="566"/>
      <c r="D67" s="566"/>
      <c r="E67" s="376"/>
    </row>
    <row r="68" spans="1:5" ht="13.4" customHeight="1">
      <c r="A68" s="904" t="s">
        <v>1449</v>
      </c>
      <c r="B68" s="566"/>
      <c r="C68" s="566"/>
      <c r="D68" s="566"/>
    </row>
    <row r="69" spans="1:5" ht="12.75" customHeight="1">
      <c r="A69" s="905" t="s">
        <v>1000</v>
      </c>
      <c r="B69" s="566"/>
      <c r="C69" s="566"/>
      <c r="D69" s="566"/>
    </row>
    <row r="70" spans="1:5">
      <c r="A70" s="906" t="s">
        <v>1001</v>
      </c>
      <c r="B70" s="566"/>
      <c r="C70" s="566"/>
      <c r="D70" s="907"/>
    </row>
    <row r="71" spans="1:5">
      <c r="A71" s="906" t="s">
        <v>1002</v>
      </c>
      <c r="B71" s="566"/>
      <c r="C71" s="566"/>
      <c r="D71" s="902"/>
    </row>
    <row r="72" spans="1:5">
      <c r="C72" s="902"/>
      <c r="D72" s="902"/>
    </row>
    <row r="73" spans="1:5">
      <c r="C73" s="902"/>
      <c r="D73" s="902"/>
    </row>
    <row r="74" spans="1:5">
      <c r="C74" s="902"/>
      <c r="D74" s="902"/>
    </row>
    <row r="75" spans="1:5">
      <c r="C75" s="939"/>
      <c r="D75" s="939"/>
    </row>
    <row r="76" spans="1:5" ht="12.75" customHeight="1">
      <c r="C76" s="902"/>
      <c r="D76" s="902"/>
    </row>
    <row r="77" spans="1:5" ht="12.75" customHeight="1">
      <c r="C77" s="902" t="s">
        <v>103</v>
      </c>
    </row>
    <row r="78" spans="1:5" ht="12.75" customHeight="1"/>
  </sheetData>
  <printOptions horizontalCentered="1"/>
  <pageMargins left="0.5" right="0.25" top="0.5" bottom="0.25" header="0.5" footer="0.25"/>
  <pageSetup scale="55" firstPageNumber="48" fitToHeight="2" orientation="landscape" useFirstPageNumber="1" r:id="rId1"/>
  <headerFooter scaleWithDoc="0" alignWithMargins="0">
    <oddFooter>&amp;C&amp;8&amp;P</oddFooter>
  </headerFooter>
  <customProperties>
    <customPr name="SheetOptions" r:id="rId2"/>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8">
    <pageSetUpPr fitToPage="1"/>
  </sheetPr>
  <dimension ref="A1:K54"/>
  <sheetViews>
    <sheetView showGridLines="0" topLeftCell="A4" zoomScale="90" workbookViewId="0"/>
  </sheetViews>
  <sheetFormatPr defaultColWidth="8.84375" defaultRowHeight="15" customHeight="1"/>
  <cols>
    <col min="1" max="1" width="55.07421875" style="440" customWidth="1"/>
    <col min="2" max="2" width="4.84375" style="440" customWidth="1"/>
    <col min="3" max="3" width="1.84375" style="441" customWidth="1"/>
    <col min="4" max="4" width="20.84375" style="441" customWidth="1"/>
    <col min="5" max="5" width="1.84375" style="441" customWidth="1"/>
    <col min="6" max="6" width="20.84375" style="441" customWidth="1"/>
    <col min="7" max="8" width="1.84375" style="441" customWidth="1"/>
    <col min="9" max="9" width="20.84375" style="441" customWidth="1"/>
    <col min="10" max="10" width="8.84375" style="441"/>
    <col min="11" max="11" width="20.84375" style="440" customWidth="1"/>
    <col min="12" max="16384" width="8.84375" style="440"/>
  </cols>
  <sheetData>
    <row r="1" spans="1:11" ht="15" customHeight="1">
      <c r="A1" s="265" t="s">
        <v>97</v>
      </c>
    </row>
    <row r="2" spans="1:11" ht="15" customHeight="1">
      <c r="A2" s="463"/>
    </row>
    <row r="3" spans="1:11" ht="15" customHeight="1">
      <c r="I3" s="505" t="s">
        <v>1003</v>
      </c>
    </row>
    <row r="4" spans="1:11" ht="19.5" customHeight="1">
      <c r="A4" s="506" t="s">
        <v>939</v>
      </c>
      <c r="B4" s="455"/>
      <c r="C4" s="455"/>
      <c r="D4" s="455"/>
      <c r="E4" s="455"/>
      <c r="F4" s="455"/>
      <c r="G4" s="455"/>
      <c r="H4" s="507"/>
      <c r="I4" s="507"/>
    </row>
    <row r="5" spans="1:11" ht="19.5" customHeight="1">
      <c r="A5" s="506" t="s">
        <v>1004</v>
      </c>
      <c r="B5" s="506"/>
      <c r="C5" s="506"/>
      <c r="D5" s="506"/>
      <c r="E5" s="506"/>
      <c r="F5" s="506"/>
      <c r="G5" s="506"/>
      <c r="H5" s="506"/>
      <c r="I5" s="506"/>
    </row>
    <row r="6" spans="1:11" ht="19.5" customHeight="1">
      <c r="A6" s="506" t="str">
        <f>'HCRA PROG DISB'!A6</f>
        <v>FISCAL YEAR 2026-2027</v>
      </c>
      <c r="B6" s="662"/>
      <c r="C6" s="662"/>
      <c r="D6" s="662"/>
      <c r="E6" s="662"/>
      <c r="F6" s="662"/>
      <c r="G6" s="662"/>
      <c r="H6" s="506"/>
      <c r="I6" s="506"/>
    </row>
    <row r="7" spans="1:11" ht="15" customHeight="1">
      <c r="A7" s="663"/>
      <c r="B7" s="663"/>
      <c r="C7" s="663"/>
      <c r="D7" s="663"/>
      <c r="E7" s="663"/>
      <c r="F7" s="663"/>
      <c r="G7" s="663"/>
      <c r="H7" s="508"/>
      <c r="I7" s="508"/>
    </row>
    <row r="8" spans="1:11" ht="15" customHeight="1">
      <c r="A8" s="464"/>
      <c r="B8" s="465"/>
      <c r="C8" s="466"/>
      <c r="D8" s="446"/>
      <c r="E8" s="446"/>
      <c r="F8" s="446"/>
      <c r="G8" s="446"/>
      <c r="H8" s="509"/>
      <c r="I8" s="450"/>
    </row>
    <row r="9" spans="1:11" s="449" customFormat="1" ht="15" customHeight="1">
      <c r="A9" s="447"/>
      <c r="B9" s="447"/>
      <c r="C9" s="581"/>
      <c r="D9" s="581" t="s">
        <v>1525</v>
      </c>
      <c r="E9" s="581"/>
      <c r="F9" s="581">
        <v>2026</v>
      </c>
      <c r="G9" s="581"/>
      <c r="H9" s="448"/>
      <c r="I9" s="448"/>
      <c r="J9" s="448"/>
    </row>
    <row r="10" spans="1:11" ht="15" customHeight="1">
      <c r="C10" s="450"/>
      <c r="D10" s="1243" t="s">
        <v>1526</v>
      </c>
      <c r="E10" s="450"/>
      <c r="F10" s="1243" t="s">
        <v>332</v>
      </c>
      <c r="G10" s="450"/>
      <c r="I10" s="450" t="str">
        <f>RIGHT(A6,9)</f>
        <v>2026-2027</v>
      </c>
    </row>
    <row r="11" spans="1:11" ht="15" customHeight="1">
      <c r="I11" s="622"/>
    </row>
    <row r="12" spans="1:11" s="449" customFormat="1" ht="15" customHeight="1">
      <c r="A12" s="449" t="s">
        <v>913</v>
      </c>
      <c r="C12" s="451"/>
      <c r="D12" s="451">
        <v>504108620.02999997</v>
      </c>
      <c r="E12" s="451"/>
      <c r="F12" s="451">
        <f>D51</f>
        <v>521921079.35000002</v>
      </c>
      <c r="G12" s="451"/>
      <c r="H12" s="467"/>
      <c r="I12" s="451">
        <f>D12</f>
        <v>504108620.02999997</v>
      </c>
      <c r="J12" s="448"/>
    </row>
    <row r="13" spans="1:11" ht="15" customHeight="1">
      <c r="A13" s="449"/>
      <c r="H13" s="468"/>
      <c r="I13" s="454"/>
    </row>
    <row r="14" spans="1:11" ht="15" customHeight="1">
      <c r="A14" s="449" t="s">
        <v>114</v>
      </c>
      <c r="C14" s="454"/>
      <c r="D14" s="454"/>
      <c r="E14" s="454"/>
      <c r="F14" s="454"/>
      <c r="G14" s="454"/>
      <c r="H14" s="469"/>
      <c r="I14" s="454"/>
    </row>
    <row r="15" spans="1:11" ht="15" customHeight="1">
      <c r="A15" s="440" t="s">
        <v>1005</v>
      </c>
      <c r="C15" s="454"/>
      <c r="D15" s="2042">
        <v>1591257712.73</v>
      </c>
      <c r="E15" s="454"/>
      <c r="F15" s="2043">
        <v>558430464.60000002</v>
      </c>
      <c r="G15" s="454"/>
      <c r="H15" s="469"/>
      <c r="I15" s="454">
        <f t="shared" ref="I15:I22" si="0">SUM(D15:H15)</f>
        <v>2149688177.3299999</v>
      </c>
      <c r="K15" s="454"/>
    </row>
    <row r="16" spans="1:11" ht="15" customHeight="1">
      <c r="A16" s="440" t="s">
        <v>1006</v>
      </c>
      <c r="C16" s="454"/>
      <c r="D16" s="2042">
        <v>277846870.94999999</v>
      </c>
      <c r="E16" s="454"/>
      <c r="F16" s="2043">
        <v>92688631.070000008</v>
      </c>
      <c r="G16" s="454"/>
      <c r="H16" s="469"/>
      <c r="I16" s="454">
        <f t="shared" si="0"/>
        <v>370535502.01999998</v>
      </c>
      <c r="K16" s="454"/>
    </row>
    <row r="17" spans="1:11" ht="15" customHeight="1">
      <c r="A17" s="440" t="s">
        <v>1007</v>
      </c>
      <c r="C17" s="454"/>
      <c r="D17" s="2042">
        <v>44054893.25</v>
      </c>
      <c r="E17" s="454"/>
      <c r="F17" s="2043">
        <v>12765189.02</v>
      </c>
      <c r="G17" s="454"/>
      <c r="H17" s="469"/>
      <c r="I17" s="454">
        <f t="shared" si="0"/>
        <v>56820082.269999996</v>
      </c>
      <c r="K17" s="454"/>
    </row>
    <row r="18" spans="1:11" ht="15" customHeight="1">
      <c r="A18" s="440" t="s">
        <v>1008</v>
      </c>
      <c r="C18" s="454"/>
      <c r="D18" s="2042">
        <v>141828580</v>
      </c>
      <c r="E18" s="454"/>
      <c r="F18" s="2043">
        <v>54799240</v>
      </c>
      <c r="G18" s="454"/>
      <c r="H18" s="469"/>
      <c r="I18" s="454">
        <f t="shared" si="0"/>
        <v>196627820</v>
      </c>
      <c r="K18" s="454"/>
    </row>
    <row r="19" spans="1:11" ht="15.5">
      <c r="A19" s="440" t="s">
        <v>1009</v>
      </c>
      <c r="C19" s="332"/>
      <c r="D19" s="2042">
        <v>0</v>
      </c>
      <c r="E19" s="332"/>
      <c r="F19" s="2042">
        <v>0</v>
      </c>
      <c r="G19" s="332"/>
      <c r="H19" s="469"/>
      <c r="I19" s="454">
        <f t="shared" si="0"/>
        <v>0</v>
      </c>
      <c r="K19" s="454"/>
    </row>
    <row r="20" spans="1:11" ht="15" customHeight="1">
      <c r="A20" s="440" t="s">
        <v>1010</v>
      </c>
      <c r="C20" s="454"/>
      <c r="D20" s="2042">
        <v>1454091.53</v>
      </c>
      <c r="E20" s="454"/>
      <c r="F20" s="2043">
        <v>493640.67</v>
      </c>
      <c r="G20" s="454"/>
      <c r="H20" s="469"/>
      <c r="I20" s="454">
        <f t="shared" si="0"/>
        <v>1947732.2</v>
      </c>
      <c r="K20" s="454"/>
    </row>
    <row r="21" spans="1:11" ht="15" customHeight="1">
      <c r="A21" s="440" t="s">
        <v>1450</v>
      </c>
      <c r="C21" s="454"/>
      <c r="D21" s="2042">
        <v>-516.38</v>
      </c>
      <c r="E21" s="454"/>
      <c r="F21" s="2043">
        <v>-225.81</v>
      </c>
      <c r="G21" s="1326"/>
      <c r="H21" s="454"/>
      <c r="I21" s="454">
        <f t="shared" si="0"/>
        <v>-742.19</v>
      </c>
      <c r="K21" s="454"/>
    </row>
    <row r="22" spans="1:11" ht="15" customHeight="1">
      <c r="A22" s="440" t="s">
        <v>1011</v>
      </c>
      <c r="C22" s="458"/>
      <c r="D22" s="2042">
        <v>-1083777.7900000005</v>
      </c>
      <c r="E22" s="458"/>
      <c r="F22" s="2044">
        <v>145230.78</v>
      </c>
      <c r="G22" s="458"/>
      <c r="H22" s="470"/>
      <c r="I22" s="454">
        <f t="shared" si="0"/>
        <v>-938547.01000000047</v>
      </c>
      <c r="K22" s="454"/>
    </row>
    <row r="23" spans="1:11" s="449" customFormat="1" ht="15.5">
      <c r="A23" s="449" t="s">
        <v>427</v>
      </c>
      <c r="C23" s="472"/>
      <c r="D23" s="2048">
        <f>ROUND(SUM(D15:D22),2)</f>
        <v>2055357854.29</v>
      </c>
      <c r="E23" s="472"/>
      <c r="F23" s="1244">
        <f>ROUND(SUM(F15:F22),2)</f>
        <v>719322170.33000004</v>
      </c>
      <c r="G23" s="472"/>
      <c r="H23" s="471"/>
      <c r="I23" s="626">
        <f>ROUND(SUM(I15:I22),2)</f>
        <v>2774680024.6199999</v>
      </c>
      <c r="J23" s="441"/>
      <c r="K23" s="454"/>
    </row>
    <row r="24" spans="1:11" ht="15" customHeight="1">
      <c r="C24" s="454"/>
      <c r="D24" s="454"/>
      <c r="E24" s="454"/>
      <c r="F24" s="454"/>
      <c r="G24" s="454"/>
      <c r="H24" s="469"/>
      <c r="I24" s="454"/>
      <c r="K24" s="454"/>
    </row>
    <row r="25" spans="1:11" ht="15" customHeight="1">
      <c r="A25" s="449" t="s">
        <v>1012</v>
      </c>
      <c r="C25" s="473"/>
      <c r="D25" s="473"/>
      <c r="E25" s="473"/>
      <c r="F25" s="473"/>
      <c r="G25" s="473"/>
      <c r="H25" s="469"/>
      <c r="I25" s="454"/>
      <c r="K25" s="454"/>
    </row>
    <row r="26" spans="1:11" ht="15" customHeight="1">
      <c r="A26" s="445" t="s">
        <v>1013</v>
      </c>
      <c r="C26" s="454"/>
      <c r="D26" s="454">
        <v>0</v>
      </c>
      <c r="E26" s="454"/>
      <c r="F26" s="454">
        <v>0</v>
      </c>
      <c r="G26" s="454"/>
      <c r="H26" s="469"/>
      <c r="I26" s="454">
        <f>SUM(D26:H26)</f>
        <v>0</v>
      </c>
      <c r="K26" s="454"/>
    </row>
    <row r="27" spans="1:11" ht="15" customHeight="1">
      <c r="A27" s="445" t="s">
        <v>1014</v>
      </c>
      <c r="C27" s="454"/>
      <c r="D27" s="454">
        <v>0</v>
      </c>
      <c r="E27" s="454"/>
      <c r="F27" s="454">
        <v>0</v>
      </c>
      <c r="G27" s="454"/>
      <c r="H27" s="469"/>
      <c r="I27" s="454">
        <f>SUM(D27:H27)</f>
        <v>0</v>
      </c>
      <c r="K27" s="454"/>
    </row>
    <row r="28" spans="1:11" ht="15" customHeight="1">
      <c r="A28" s="445" t="s">
        <v>1015</v>
      </c>
      <c r="C28" s="454"/>
      <c r="D28" s="454">
        <v>0</v>
      </c>
      <c r="E28" s="454"/>
      <c r="F28" s="454">
        <v>0</v>
      </c>
      <c r="G28" s="454"/>
      <c r="H28" s="470"/>
      <c r="I28" s="454">
        <f>SUM(D28:H28)</f>
        <v>0</v>
      </c>
      <c r="K28" s="454"/>
    </row>
    <row r="29" spans="1:11" ht="15.5">
      <c r="A29" s="455" t="s">
        <v>1016</v>
      </c>
      <c r="B29" s="449"/>
      <c r="C29" s="472"/>
      <c r="D29" s="626">
        <f>ROUND(SUM(D26:D28),2)</f>
        <v>0</v>
      </c>
      <c r="E29" s="472"/>
      <c r="F29" s="626">
        <f>ROUND(SUM(F26:F28),2)</f>
        <v>0</v>
      </c>
      <c r="G29" s="472"/>
      <c r="H29" s="471"/>
      <c r="I29" s="626">
        <f>ROUND(SUM(I26:I28),2)</f>
        <v>0</v>
      </c>
      <c r="K29" s="454"/>
    </row>
    <row r="30" spans="1:11" ht="15" customHeight="1">
      <c r="C30" s="454"/>
      <c r="D30" s="454"/>
      <c r="E30" s="454"/>
      <c r="F30" s="454"/>
      <c r="G30" s="454"/>
      <c r="H30" s="469"/>
      <c r="I30" s="454"/>
      <c r="K30" s="454"/>
    </row>
    <row r="31" spans="1:11" ht="15" customHeight="1">
      <c r="A31" s="449" t="s">
        <v>1017</v>
      </c>
      <c r="B31" s="449"/>
      <c r="C31" s="472"/>
      <c r="D31" s="1244">
        <f>ROUND(+D23+D29,2)</f>
        <v>2055357854.29</v>
      </c>
      <c r="E31" s="472"/>
      <c r="F31" s="1244">
        <f>ROUND(+F23+F29,2)</f>
        <v>719322170.33000004</v>
      </c>
      <c r="G31" s="472"/>
      <c r="H31" s="474"/>
      <c r="I31" s="472">
        <f>ROUND(+I23+I29,2)</f>
        <v>2774680024.6199999</v>
      </c>
      <c r="K31" s="454"/>
    </row>
    <row r="32" spans="1:11" ht="15" customHeight="1">
      <c r="C32" s="454"/>
      <c r="D32" s="454"/>
      <c r="E32" s="454"/>
      <c r="F32" s="454"/>
      <c r="G32" s="454"/>
      <c r="H32" s="469"/>
      <c r="I32" s="624"/>
      <c r="K32" s="454"/>
    </row>
    <row r="33" spans="1:11" ht="15" customHeight="1">
      <c r="A33" s="449" t="s">
        <v>145</v>
      </c>
      <c r="C33" s="454"/>
      <c r="D33" s="454"/>
      <c r="E33" s="454"/>
      <c r="F33" s="454"/>
      <c r="G33" s="454"/>
      <c r="H33" s="469"/>
      <c r="I33" s="454"/>
      <c r="K33" s="454"/>
    </row>
    <row r="34" spans="1:11" ht="15" customHeight="1">
      <c r="A34" s="449" t="s">
        <v>1018</v>
      </c>
      <c r="C34" s="454"/>
      <c r="D34" s="454"/>
      <c r="E34" s="454"/>
      <c r="F34" s="454"/>
      <c r="G34" s="454"/>
      <c r="H34" s="469"/>
      <c r="I34" s="454"/>
      <c r="K34" s="454"/>
    </row>
    <row r="35" spans="1:11" ht="15" customHeight="1">
      <c r="A35" s="440" t="s">
        <v>1019</v>
      </c>
      <c r="C35" s="454"/>
      <c r="D35" s="454">
        <v>0</v>
      </c>
      <c r="E35" s="454"/>
      <c r="F35" s="454">
        <v>0</v>
      </c>
      <c r="G35" s="454"/>
      <c r="H35" s="469"/>
      <c r="I35" s="454">
        <f>SUM(D35:H35)</f>
        <v>0</v>
      </c>
      <c r="K35" s="454"/>
    </row>
    <row r="36" spans="1:11" ht="15" customHeight="1">
      <c r="A36" s="445" t="s">
        <v>1020</v>
      </c>
      <c r="C36" s="454"/>
      <c r="D36" s="454">
        <v>17067642</v>
      </c>
      <c r="E36" s="454"/>
      <c r="F36" s="454">
        <v>6014474</v>
      </c>
      <c r="G36" s="454"/>
      <c r="H36" s="469"/>
      <c r="I36" s="454">
        <f>SUM(D36:H36)</f>
        <v>23082116</v>
      </c>
      <c r="K36" s="454"/>
    </row>
    <row r="37" spans="1:11" ht="15" customHeight="1">
      <c r="A37" s="449" t="s">
        <v>1021</v>
      </c>
      <c r="C37" s="454"/>
      <c r="D37" s="454"/>
      <c r="E37" s="454"/>
      <c r="F37" s="454"/>
      <c r="G37" s="1326"/>
      <c r="H37" s="454"/>
      <c r="I37" s="454" t="s">
        <v>103</v>
      </c>
      <c r="K37" s="454"/>
    </row>
    <row r="38" spans="1:11" ht="15" customHeight="1">
      <c r="A38" s="445" t="s">
        <v>1022</v>
      </c>
      <c r="C38" s="454"/>
      <c r="D38" s="454">
        <v>0</v>
      </c>
      <c r="E38" s="454"/>
      <c r="F38" s="454">
        <v>0</v>
      </c>
      <c r="G38" s="1326"/>
      <c r="H38" s="454"/>
      <c r="I38" s="454">
        <f>SUM(D38:H38)</f>
        <v>0</v>
      </c>
      <c r="K38" s="454"/>
    </row>
    <row r="39" spans="1:11" s="449" customFormat="1" ht="15.5">
      <c r="A39" s="449" t="s">
        <v>1023</v>
      </c>
      <c r="C39" s="472"/>
      <c r="D39" s="626">
        <f>ROUND(SUM(D35:D38),2)</f>
        <v>17067642</v>
      </c>
      <c r="E39" s="472"/>
      <c r="F39" s="626">
        <f>ROUND(SUM(F35:F38),2)</f>
        <v>6014474</v>
      </c>
      <c r="G39" s="472"/>
      <c r="H39" s="471"/>
      <c r="I39" s="626">
        <f>ROUND(SUM(I35:I38),2)</f>
        <v>23082116</v>
      </c>
      <c r="J39" s="448"/>
      <c r="K39" s="454"/>
    </row>
    <row r="40" spans="1:11" ht="15" customHeight="1">
      <c r="C40" s="454"/>
      <c r="D40" s="454"/>
      <c r="E40" s="454"/>
      <c r="F40" s="454"/>
      <c r="G40" s="454"/>
      <c r="H40" s="469"/>
      <c r="I40" s="454"/>
      <c r="K40" s="454"/>
    </row>
    <row r="41" spans="1:11" ht="15" customHeight="1">
      <c r="A41" s="449" t="s">
        <v>1024</v>
      </c>
      <c r="C41" s="454"/>
      <c r="D41" s="454"/>
      <c r="E41" s="454"/>
      <c r="F41" s="454"/>
      <c r="G41" s="454"/>
      <c r="H41" s="469"/>
      <c r="I41" s="454"/>
      <c r="K41" s="454"/>
    </row>
    <row r="42" spans="1:11" ht="15" customHeight="1">
      <c r="A42" s="440" t="s">
        <v>1019</v>
      </c>
      <c r="C42" s="454"/>
      <c r="D42" s="454">
        <v>0</v>
      </c>
      <c r="E42" s="454"/>
      <c r="F42" s="454">
        <v>0</v>
      </c>
      <c r="G42" s="454"/>
      <c r="H42" s="469"/>
      <c r="I42" s="454">
        <f>SUM(D42:H42)</f>
        <v>0</v>
      </c>
      <c r="K42" s="454"/>
    </row>
    <row r="43" spans="1:11" ht="15" customHeight="1">
      <c r="A43" s="440" t="s">
        <v>1025</v>
      </c>
      <c r="C43" s="454"/>
      <c r="D43" s="454">
        <v>0</v>
      </c>
      <c r="E43" s="454"/>
      <c r="F43" s="454">
        <v>0</v>
      </c>
      <c r="G43" s="454"/>
      <c r="H43" s="469"/>
      <c r="I43" s="454">
        <f>SUM(D43:H43)</f>
        <v>0</v>
      </c>
      <c r="K43" s="454"/>
    </row>
    <row r="44" spans="1:11" ht="15" customHeight="1">
      <c r="A44" s="449" t="s">
        <v>1026</v>
      </c>
      <c r="C44" s="454"/>
      <c r="D44" s="454"/>
      <c r="E44" s="454"/>
      <c r="F44" s="454"/>
      <c r="G44" s="454"/>
      <c r="H44" s="469"/>
      <c r="I44" s="454"/>
      <c r="K44" s="454"/>
    </row>
    <row r="45" spans="1:11" ht="15" customHeight="1">
      <c r="A45" s="445" t="s">
        <v>1022</v>
      </c>
      <c r="C45" s="454"/>
      <c r="D45" s="454">
        <v>-2054613036.97</v>
      </c>
      <c r="E45" s="454"/>
      <c r="F45" s="454">
        <v>-685172426.09000003</v>
      </c>
      <c r="G45" s="454"/>
      <c r="H45" s="469"/>
      <c r="I45" s="454">
        <f>SUM(D45:H45)</f>
        <v>-2739785463.0599999</v>
      </c>
      <c r="K45" s="454"/>
    </row>
    <row r="46" spans="1:11" ht="15.5">
      <c r="A46" s="449" t="s">
        <v>1027</v>
      </c>
      <c r="B46" s="449"/>
      <c r="C46" s="472"/>
      <c r="D46" s="626">
        <f>ROUND(SUM(D42:D45),2)</f>
        <v>-2054613036.97</v>
      </c>
      <c r="E46" s="472"/>
      <c r="F46" s="626">
        <f>ROUND(SUM(F42:F45),2)</f>
        <v>-685172426.09000003</v>
      </c>
      <c r="G46" s="472"/>
      <c r="H46" s="471"/>
      <c r="I46" s="626">
        <f>ROUND(SUM(I42:I45),2)</f>
        <v>-2739785463.0599999</v>
      </c>
      <c r="K46" s="454"/>
    </row>
    <row r="47" spans="1:11" ht="15" customHeight="1">
      <c r="C47" s="454"/>
      <c r="D47" s="454"/>
      <c r="E47" s="454"/>
      <c r="F47" s="454"/>
      <c r="G47" s="454"/>
      <c r="H47" s="469"/>
      <c r="I47" s="454"/>
      <c r="K47" s="454"/>
    </row>
    <row r="48" spans="1:11" ht="15" customHeight="1">
      <c r="A48" s="449" t="s">
        <v>1028</v>
      </c>
      <c r="C48" s="454"/>
      <c r="D48" s="454"/>
      <c r="E48" s="454"/>
      <c r="F48" s="454"/>
      <c r="G48" s="454"/>
      <c r="H48" s="469"/>
      <c r="I48" s="454"/>
      <c r="K48" s="454"/>
    </row>
    <row r="49" spans="1:11" ht="15" customHeight="1">
      <c r="A49" s="449" t="s">
        <v>1029</v>
      </c>
      <c r="C49" s="472"/>
      <c r="D49" s="1244">
        <f>ROUND(+D31+D39+D46,2)</f>
        <v>17812459.32</v>
      </c>
      <c r="E49" s="472"/>
      <c r="F49" s="1244">
        <f>ROUND(+F31+F39+F46,2)</f>
        <v>40164218.240000002</v>
      </c>
      <c r="G49" s="472"/>
      <c r="H49" s="474"/>
      <c r="I49" s="695">
        <f>ROUND(+I31+I39+I46,2)</f>
        <v>57976677.560000002</v>
      </c>
      <c r="K49" s="454"/>
    </row>
    <row r="50" spans="1:11" ht="15" customHeight="1">
      <c r="H50" s="475"/>
      <c r="I50" s="454"/>
      <c r="K50" s="454"/>
    </row>
    <row r="51" spans="1:11" s="449" customFormat="1" ht="21" customHeight="1" thickBot="1">
      <c r="A51" s="449" t="s">
        <v>1030</v>
      </c>
      <c r="C51" s="451"/>
      <c r="D51" s="1245">
        <f>ROUND(D12+D49,2)</f>
        <v>521921079.35000002</v>
      </c>
      <c r="E51" s="451"/>
      <c r="F51" s="1245">
        <f>ROUND(F12+F49,2)</f>
        <v>562085297.59000003</v>
      </c>
      <c r="G51" s="451"/>
      <c r="H51" s="476"/>
      <c r="I51" s="451">
        <f>ROUND(I12+I49,2)</f>
        <v>562085297.59000003</v>
      </c>
      <c r="J51" s="448"/>
      <c r="K51" s="454"/>
    </row>
    <row r="52" spans="1:11" ht="15" customHeight="1" thickTop="1">
      <c r="A52" s="440" t="s">
        <v>103</v>
      </c>
      <c r="I52" s="477"/>
      <c r="K52" s="454"/>
    </row>
    <row r="53" spans="1:11" ht="15" customHeight="1">
      <c r="A53" s="445" t="s">
        <v>1031</v>
      </c>
      <c r="K53" s="454"/>
    </row>
    <row r="54" spans="1:11" ht="15" customHeight="1">
      <c r="A54" s="456"/>
      <c r="K54" s="454"/>
    </row>
  </sheetData>
  <printOptions horizontalCentered="1"/>
  <pageMargins left="0.24" right="0.24" top="0.5" bottom="0.5" header="0.18" footer="0.25"/>
  <pageSetup scale="62" firstPageNumber="49" orientation="landscape" useFirstPageNumber="1" r:id="rId1"/>
  <headerFooter scaleWithDoc="0" alignWithMargins="0">
    <oddFooter>&amp;C&amp;8&amp;P</oddFooter>
  </headerFooter>
  <customProperties>
    <customPr name="SheetOption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autoPageBreaks="0"/>
  </sheetPr>
  <dimension ref="A1:T110"/>
  <sheetViews>
    <sheetView showGridLines="0" zoomScale="90" zoomScaleNormal="90" workbookViewId="0"/>
  </sheetViews>
  <sheetFormatPr defaultColWidth="8.84375" defaultRowHeight="15.5"/>
  <cols>
    <col min="1" max="1" width="3.53515625" style="545" customWidth="1"/>
    <col min="2" max="2" width="8.4609375" style="545" customWidth="1"/>
    <col min="3" max="3" width="12.07421875" style="545" customWidth="1"/>
    <col min="4" max="4" width="15" style="544" customWidth="1"/>
    <col min="5" max="5" width="15.07421875" style="544" customWidth="1"/>
    <col min="6" max="6" width="12.07421875" style="545" customWidth="1"/>
    <col min="7" max="7" width="10.07421875" style="545" customWidth="1"/>
    <col min="8" max="8" width="9.07421875" style="215" customWidth="1"/>
    <col min="9" max="9" width="5.53515625" style="282" customWidth="1"/>
    <col min="10" max="10" width="9.07421875" style="282" customWidth="1"/>
    <col min="11" max="11" width="8.07421875" style="544" customWidth="1"/>
    <col min="12" max="12" width="16" style="544" customWidth="1"/>
    <col min="13" max="13" width="12.07421875" style="544" customWidth="1"/>
    <col min="14" max="14" width="7.84375" style="544" customWidth="1"/>
    <col min="15" max="15" width="18.84375" style="560" customWidth="1"/>
    <col min="16" max="16" width="4.84375" style="560" customWidth="1"/>
    <col min="17" max="17" width="8" style="560" customWidth="1"/>
    <col min="18" max="18" width="3.84375" style="560" customWidth="1"/>
    <col min="19" max="19" width="13.07421875" style="560" customWidth="1"/>
    <col min="20" max="21" width="12.07421875" style="560" customWidth="1"/>
    <col min="22" max="16384" width="8.84375" style="560"/>
  </cols>
  <sheetData>
    <row r="1" spans="1:20">
      <c r="A1" s="897" t="s">
        <v>97</v>
      </c>
    </row>
    <row r="2" spans="1:20">
      <c r="A2" s="212" t="s">
        <v>168</v>
      </c>
      <c r="B2" s="213"/>
      <c r="C2" s="214"/>
      <c r="D2" s="215"/>
      <c r="E2" s="215"/>
      <c r="F2" s="215"/>
      <c r="G2" s="215"/>
      <c r="I2" s="216"/>
      <c r="J2" s="216"/>
      <c r="K2" s="215"/>
      <c r="L2" s="215"/>
      <c r="M2" s="215"/>
      <c r="N2" s="217"/>
      <c r="O2" s="363" t="s">
        <v>169</v>
      </c>
      <c r="Q2" s="218"/>
      <c r="R2" s="218"/>
      <c r="S2" s="219"/>
      <c r="T2" s="220"/>
    </row>
    <row r="3" spans="1:20" ht="13.4" customHeight="1">
      <c r="A3" s="213"/>
      <c r="B3" s="213"/>
      <c r="C3" s="214"/>
      <c r="D3" s="215"/>
      <c r="E3" s="215"/>
      <c r="F3" s="215"/>
      <c r="G3" s="215"/>
      <c r="I3" s="545"/>
      <c r="J3" s="545"/>
      <c r="M3" s="545"/>
      <c r="N3" s="1479"/>
      <c r="O3" s="969" t="str">
        <f>UPPER(TEXT(DATE(YEAR(_xlfn.TEXTAFTER('Exh D Governmental  '!A6," ",4)),MONTH(_xlfn.TEXTAFTER('Exh D Governmental  '!A6," ",4)),DAY(_xlfn.TEXTAFTER('Exh D Governmental  '!A6," ",4))),"MMMM YYYY"))</f>
        <v>JULY 2026</v>
      </c>
      <c r="T3" s="220"/>
    </row>
    <row r="4" spans="1:20" ht="9" customHeight="1">
      <c r="T4" s="220"/>
    </row>
    <row r="5" spans="1:20" ht="13.5" customHeight="1">
      <c r="T5" s="220"/>
    </row>
    <row r="6" spans="1:20" ht="13.5" customHeight="1">
      <c r="A6" s="221" t="s">
        <v>170</v>
      </c>
      <c r="B6" s="215" t="s">
        <v>171</v>
      </c>
      <c r="C6" s="215"/>
      <c r="D6" s="215"/>
      <c r="E6" s="215"/>
      <c r="F6" s="215"/>
      <c r="G6" s="215"/>
      <c r="H6" s="223"/>
      <c r="J6" s="959" t="s">
        <v>172</v>
      </c>
    </row>
    <row r="7" spans="1:20" ht="13.5" customHeight="1">
      <c r="A7" s="221"/>
      <c r="B7" s="215" t="s">
        <v>173</v>
      </c>
      <c r="C7" s="215"/>
      <c r="D7" s="215"/>
      <c r="E7" s="215"/>
      <c r="F7" s="215"/>
      <c r="G7" s="215"/>
      <c r="H7" s="545"/>
      <c r="J7" s="943" t="s">
        <v>1523</v>
      </c>
    </row>
    <row r="8" spans="1:20" ht="13.4" customHeight="1">
      <c r="A8" s="221"/>
      <c r="B8" s="215" t="s">
        <v>174</v>
      </c>
      <c r="C8" s="215"/>
      <c r="D8" s="215"/>
      <c r="E8" s="215"/>
      <c r="F8" s="215"/>
      <c r="G8" s="215"/>
      <c r="H8" s="545"/>
      <c r="J8" s="215" t="s">
        <v>1443</v>
      </c>
      <c r="K8" s="674"/>
      <c r="L8" s="574"/>
      <c r="M8" s="215"/>
      <c r="N8" s="575"/>
    </row>
    <row r="9" spans="1:20" ht="12.75" customHeight="1">
      <c r="A9" s="221"/>
      <c r="B9" s="215" t="s">
        <v>1431</v>
      </c>
      <c r="C9" s="215"/>
      <c r="D9" s="215"/>
      <c r="E9" s="215"/>
      <c r="F9" s="215"/>
      <c r="G9" s="215"/>
      <c r="H9" s="221"/>
      <c r="J9" s="215" t="s">
        <v>1510</v>
      </c>
      <c r="K9" s="674"/>
      <c r="L9" s="574"/>
      <c r="M9" s="215"/>
      <c r="N9" s="575"/>
    </row>
    <row r="10" spans="1:20" ht="12.75" customHeight="1">
      <c r="K10" s="674"/>
      <c r="L10" s="574"/>
      <c r="M10" s="215"/>
      <c r="N10" s="575"/>
    </row>
    <row r="11" spans="1:20" ht="12.75" customHeight="1">
      <c r="A11" s="215"/>
      <c r="B11" s="215"/>
      <c r="C11" s="216" t="s">
        <v>175</v>
      </c>
      <c r="D11" s="574"/>
      <c r="E11" s="215"/>
      <c r="F11" s="574">
        <v>212.7</v>
      </c>
      <c r="G11" s="215" t="s">
        <v>176</v>
      </c>
      <c r="H11" s="221" t="s">
        <v>103</v>
      </c>
      <c r="J11" s="215" t="s">
        <v>1492</v>
      </c>
      <c r="K11" s="674"/>
      <c r="L11" s="574"/>
      <c r="M11" s="215"/>
      <c r="N11" s="575"/>
    </row>
    <row r="12" spans="1:20" ht="12.75" customHeight="1">
      <c r="A12" s="215"/>
      <c r="B12" s="216"/>
      <c r="C12" s="216" t="s">
        <v>177</v>
      </c>
      <c r="D12" s="577"/>
      <c r="E12" s="215"/>
      <c r="F12" s="975">
        <v>40.9</v>
      </c>
      <c r="G12" s="215"/>
      <c r="H12" s="215" t="s">
        <v>103</v>
      </c>
    </row>
    <row r="13" spans="1:20" ht="12.75" customHeight="1">
      <c r="A13" s="215"/>
      <c r="B13" s="216"/>
      <c r="C13" s="216" t="s">
        <v>178</v>
      </c>
      <c r="D13" s="577"/>
      <c r="E13" s="215"/>
      <c r="F13" s="948">
        <v>2217.9</v>
      </c>
      <c r="G13" s="215"/>
      <c r="H13" s="560" t="s">
        <v>103</v>
      </c>
      <c r="K13" s="216" t="s">
        <v>1508</v>
      </c>
      <c r="L13" s="574"/>
      <c r="M13" s="215"/>
      <c r="N13" s="587">
        <v>505.9</v>
      </c>
      <c r="O13" s="215" t="s">
        <v>176</v>
      </c>
      <c r="T13" s="215"/>
    </row>
    <row r="14" spans="1:20" ht="12.75" customHeight="1">
      <c r="A14" s="215"/>
      <c r="B14" s="216"/>
      <c r="C14" s="216" t="s">
        <v>179</v>
      </c>
      <c r="D14" s="577"/>
      <c r="E14" s="215"/>
      <c r="F14" s="948">
        <v>12.9</v>
      </c>
      <c r="H14" s="545" t="s">
        <v>103</v>
      </c>
      <c r="K14" s="216" t="s">
        <v>1509</v>
      </c>
      <c r="L14" s="574"/>
      <c r="M14" s="215"/>
      <c r="N14" s="575">
        <v>2.4</v>
      </c>
      <c r="T14" s="222"/>
    </row>
    <row r="15" spans="1:20" ht="12.75" customHeight="1">
      <c r="A15" s="215"/>
      <c r="B15" s="216"/>
      <c r="C15" s="216" t="s">
        <v>180</v>
      </c>
      <c r="D15" s="577"/>
      <c r="E15" s="215"/>
      <c r="F15" s="948">
        <v>834.6</v>
      </c>
      <c r="G15" s="215"/>
      <c r="H15" s="221" t="s">
        <v>103</v>
      </c>
      <c r="K15" s="216" t="s">
        <v>1507</v>
      </c>
      <c r="L15" s="574"/>
      <c r="M15" s="215"/>
      <c r="N15" s="575">
        <v>2.4</v>
      </c>
      <c r="T15" s="222"/>
    </row>
    <row r="16" spans="1:20" ht="12.75" customHeight="1">
      <c r="C16" s="216" t="s">
        <v>181</v>
      </c>
      <c r="F16" s="576">
        <v>1950.7</v>
      </c>
      <c r="K16" s="216" t="s">
        <v>1489</v>
      </c>
      <c r="L16" s="574"/>
      <c r="M16" s="215"/>
      <c r="N16" s="575">
        <v>15.9</v>
      </c>
      <c r="R16" s="215"/>
    </row>
    <row r="17" spans="1:17" ht="12.75" customHeight="1">
      <c r="A17" s="215"/>
      <c r="B17" s="216"/>
      <c r="C17" s="216" t="s">
        <v>182</v>
      </c>
      <c r="D17" s="578"/>
      <c r="E17" s="215"/>
      <c r="F17" s="975">
        <v>336.7</v>
      </c>
      <c r="G17" s="215"/>
      <c r="K17" s="216" t="s">
        <v>1504</v>
      </c>
      <c r="L17" s="574"/>
      <c r="M17" s="215"/>
      <c r="N17" s="575">
        <v>5.2</v>
      </c>
      <c r="P17" s="574"/>
    </row>
    <row r="18" spans="1:17" ht="12.75" customHeight="1">
      <c r="A18" s="215"/>
      <c r="B18" s="216"/>
      <c r="C18" s="216" t="s">
        <v>183</v>
      </c>
      <c r="D18" s="578"/>
      <c r="E18" s="215"/>
      <c r="F18" s="948">
        <v>337.9</v>
      </c>
      <c r="G18" s="215"/>
      <c r="K18" s="216" t="s">
        <v>1502</v>
      </c>
      <c r="L18" s="574"/>
      <c r="M18" s="215"/>
      <c r="N18" s="575">
        <v>2.2999999999999998</v>
      </c>
    </row>
    <row r="19" spans="1:17" ht="12.75" customHeight="1">
      <c r="A19" s="215"/>
      <c r="B19" s="216"/>
      <c r="G19" s="215"/>
      <c r="K19" s="216" t="s">
        <v>1506</v>
      </c>
      <c r="L19" s="574"/>
      <c r="M19" s="215"/>
      <c r="N19" s="575">
        <v>1.5</v>
      </c>
    </row>
    <row r="20" spans="1:17" ht="13.4" customHeight="1">
      <c r="A20" s="221" t="s">
        <v>186</v>
      </c>
      <c r="B20" s="215" t="s">
        <v>187</v>
      </c>
      <c r="C20" s="215"/>
      <c r="D20" s="215"/>
      <c r="E20" s="215"/>
      <c r="F20" s="215"/>
      <c r="G20" s="215"/>
      <c r="H20" s="221"/>
      <c r="K20" s="216" t="s">
        <v>1503</v>
      </c>
      <c r="L20" s="574"/>
      <c r="M20" s="215"/>
      <c r="N20" s="575">
        <v>2.2000000000000002</v>
      </c>
      <c r="Q20" s="973"/>
    </row>
    <row r="21" spans="1:17" ht="12.65" customHeight="1">
      <c r="A21" s="221"/>
      <c r="B21" s="215" t="s">
        <v>189</v>
      </c>
      <c r="C21" s="215"/>
      <c r="D21" s="215"/>
      <c r="E21" s="215"/>
      <c r="F21" s="215"/>
      <c r="G21" s="215"/>
      <c r="K21" s="216" t="s">
        <v>1490</v>
      </c>
      <c r="L21" s="574"/>
      <c r="M21" s="215"/>
      <c r="N21" s="575">
        <v>1.4</v>
      </c>
      <c r="Q21" s="949"/>
    </row>
    <row r="22" spans="1:17" ht="14.15" customHeight="1">
      <c r="A22" s="221"/>
      <c r="B22" s="215"/>
      <c r="C22" s="215"/>
      <c r="D22" s="215"/>
      <c r="E22" s="215"/>
      <c r="F22" s="215"/>
      <c r="G22" s="215"/>
      <c r="K22" s="216" t="s">
        <v>1491</v>
      </c>
      <c r="L22" s="574"/>
      <c r="M22" s="215"/>
      <c r="N22" s="575">
        <v>12.6</v>
      </c>
      <c r="Q22" s="973"/>
    </row>
    <row r="23" spans="1:17" ht="12.75" customHeight="1">
      <c r="A23" s="215"/>
      <c r="B23" s="579" t="s">
        <v>191</v>
      </c>
      <c r="C23" s="579"/>
      <c r="D23" s="215"/>
      <c r="E23" s="215"/>
      <c r="F23" s="972"/>
      <c r="G23" s="215"/>
      <c r="K23" s="216" t="s">
        <v>1505</v>
      </c>
      <c r="L23" s="574"/>
      <c r="M23" s="215"/>
      <c r="N23" s="575">
        <v>4.9000000000000004</v>
      </c>
    </row>
    <row r="24" spans="1:17" ht="12.75" customHeight="1">
      <c r="F24" s="545" t="s">
        <v>103</v>
      </c>
      <c r="G24" s="215"/>
    </row>
    <row r="25" spans="1:17" ht="13.4" customHeight="1">
      <c r="C25" s="216" t="s">
        <v>192</v>
      </c>
      <c r="F25" s="587">
        <v>852.4</v>
      </c>
      <c r="G25" s="215" t="s">
        <v>176</v>
      </c>
    </row>
    <row r="26" spans="1:17" ht="12.75" customHeight="1">
      <c r="C26" s="216" t="s">
        <v>193</v>
      </c>
      <c r="D26" s="574"/>
      <c r="E26" s="215"/>
      <c r="F26" s="971">
        <v>55.4</v>
      </c>
      <c r="G26" s="560"/>
      <c r="H26" s="545"/>
      <c r="J26" s="213" t="s">
        <v>1461</v>
      </c>
      <c r="K26" s="282"/>
      <c r="O26" s="545"/>
    </row>
    <row r="27" spans="1:17" ht="12.75" customHeight="1">
      <c r="C27" s="215" t="s">
        <v>194</v>
      </c>
      <c r="F27" s="971">
        <v>8.1</v>
      </c>
      <c r="G27" s="215"/>
    </row>
    <row r="28" spans="1:17" ht="12.75" customHeight="1">
      <c r="C28" s="215" t="s">
        <v>1488</v>
      </c>
      <c r="F28" s="971">
        <v>34.200000000000003</v>
      </c>
      <c r="H28" s="221"/>
      <c r="K28" s="216" t="s">
        <v>184</v>
      </c>
      <c r="L28" s="574"/>
      <c r="M28" s="215"/>
      <c r="N28" s="587">
        <v>15198.1</v>
      </c>
      <c r="O28" s="215" t="s">
        <v>176</v>
      </c>
    </row>
    <row r="29" spans="1:17" ht="13.4" customHeight="1">
      <c r="C29" s="215" t="s">
        <v>1498</v>
      </c>
      <c r="F29" s="971">
        <v>1.4</v>
      </c>
      <c r="J29" s="216"/>
      <c r="K29" s="216" t="s">
        <v>185</v>
      </c>
      <c r="L29" s="574"/>
      <c r="M29" s="215"/>
      <c r="N29" s="575">
        <v>3377.3</v>
      </c>
      <c r="O29" s="545"/>
    </row>
    <row r="30" spans="1:17" ht="13.4" customHeight="1">
      <c r="C30" s="215" t="s">
        <v>195</v>
      </c>
      <c r="F30" s="971">
        <v>74.599999999999994</v>
      </c>
      <c r="G30" s="1324" t="s">
        <v>103</v>
      </c>
      <c r="J30" s="216"/>
      <c r="K30" s="216" t="s">
        <v>188</v>
      </c>
      <c r="L30" s="574"/>
      <c r="M30" s="215"/>
      <c r="N30" s="575">
        <v>425</v>
      </c>
    </row>
    <row r="31" spans="1:17" ht="12.75" customHeight="1">
      <c r="C31" s="674" t="s">
        <v>1483</v>
      </c>
      <c r="D31" s="574"/>
      <c r="E31" s="215"/>
      <c r="F31" s="971">
        <v>16.5</v>
      </c>
      <c r="J31" s="216"/>
      <c r="K31" s="216" t="s">
        <v>190</v>
      </c>
      <c r="L31" s="686"/>
      <c r="M31" s="215"/>
      <c r="N31" s="576">
        <v>829.4</v>
      </c>
    </row>
    <row r="32" spans="1:17" ht="12.75" customHeight="1">
      <c r="C32" s="674" t="s">
        <v>1484</v>
      </c>
      <c r="D32" s="574"/>
      <c r="E32" s="215"/>
      <c r="F32" s="971">
        <v>1.3</v>
      </c>
    </row>
    <row r="33" spans="2:20" ht="12.75" customHeight="1">
      <c r="C33" s="674" t="s">
        <v>1485</v>
      </c>
      <c r="D33" s="574"/>
      <c r="E33" s="215"/>
      <c r="F33" s="971">
        <v>4.4000000000000004</v>
      </c>
      <c r="J33" s="215" t="s">
        <v>1414</v>
      </c>
      <c r="K33" s="216"/>
      <c r="L33" s="215"/>
      <c r="M33" s="215"/>
      <c r="N33" s="215"/>
    </row>
    <row r="34" spans="2:20" ht="12.75" customHeight="1">
      <c r="C34" s="674" t="s">
        <v>1445</v>
      </c>
      <c r="D34" s="574"/>
      <c r="E34" s="215"/>
      <c r="F34" s="971">
        <v>24.5</v>
      </c>
      <c r="G34" s="560"/>
      <c r="J34" s="215" t="s">
        <v>1427</v>
      </c>
      <c r="K34" s="216"/>
      <c r="L34" s="215"/>
      <c r="M34" s="215"/>
      <c r="N34" s="215"/>
      <c r="O34" s="223"/>
    </row>
    <row r="35" spans="2:20" ht="12.75" customHeight="1">
      <c r="C35" s="674" t="s">
        <v>1499</v>
      </c>
      <c r="D35" s="574"/>
      <c r="E35" s="215"/>
      <c r="F35" s="971">
        <v>4.5999999999999996</v>
      </c>
      <c r="G35" s="560"/>
      <c r="J35" s="215" t="s">
        <v>1521</v>
      </c>
      <c r="K35" s="223"/>
      <c r="L35" s="223"/>
      <c r="M35" s="223"/>
      <c r="N35" s="223"/>
      <c r="O35" s="545"/>
    </row>
    <row r="36" spans="2:20" ht="12.75" customHeight="1">
      <c r="C36" s="674" t="s">
        <v>1464</v>
      </c>
      <c r="D36" s="574"/>
      <c r="E36" s="215"/>
      <c r="F36" s="971">
        <v>97.7</v>
      </c>
      <c r="G36" s="949" t="s">
        <v>103</v>
      </c>
      <c r="J36" s="223"/>
      <c r="K36" s="545"/>
      <c r="N36" s="545"/>
      <c r="O36" s="545"/>
    </row>
    <row r="37" spans="2:20" ht="13.4" customHeight="1">
      <c r="C37" s="674" t="s">
        <v>1486</v>
      </c>
      <c r="D37" s="574"/>
      <c r="E37" s="215"/>
      <c r="F37" s="971">
        <v>19</v>
      </c>
      <c r="G37" s="223"/>
      <c r="J37" s="213" t="s">
        <v>1520</v>
      </c>
      <c r="K37" s="674"/>
      <c r="L37" s="686"/>
      <c r="M37" s="215"/>
      <c r="N37" s="576"/>
    </row>
    <row r="38" spans="2:20" ht="12.75" customHeight="1">
      <c r="C38" s="674" t="s">
        <v>1456</v>
      </c>
      <c r="D38" s="574"/>
      <c r="E38" s="215"/>
      <c r="F38" s="971">
        <v>53.1</v>
      </c>
      <c r="G38" s="215"/>
    </row>
    <row r="39" spans="2:20" ht="12.75" customHeight="1">
      <c r="C39" s="674" t="s">
        <v>1459</v>
      </c>
      <c r="D39" s="574"/>
      <c r="E39" s="215"/>
      <c r="F39" s="971">
        <v>2.2999999999999998</v>
      </c>
      <c r="G39" s="544"/>
      <c r="R39" s="215"/>
    </row>
    <row r="40" spans="2:20" ht="12.75" customHeight="1">
      <c r="C40" s="674" t="s">
        <v>1487</v>
      </c>
      <c r="D40" s="574"/>
      <c r="E40" s="215"/>
      <c r="F40" s="971">
        <v>2.6</v>
      </c>
      <c r="G40" s="560"/>
      <c r="P40" s="215"/>
      <c r="R40" s="222"/>
    </row>
    <row r="41" spans="2:20" ht="12.75" customHeight="1">
      <c r="C41" s="674" t="s">
        <v>1463</v>
      </c>
      <c r="D41" s="574"/>
      <c r="E41" s="215"/>
      <c r="F41" s="971">
        <v>1186.7</v>
      </c>
      <c r="G41" s="560"/>
      <c r="R41" s="222"/>
      <c r="T41" s="278"/>
    </row>
    <row r="42" spans="2:20" ht="12.75" customHeight="1">
      <c r="C42" s="674" t="s">
        <v>1460</v>
      </c>
      <c r="D42" s="574"/>
      <c r="E42" s="215"/>
      <c r="F42" s="971">
        <v>30</v>
      </c>
      <c r="T42" s="278"/>
    </row>
    <row r="43" spans="2:20" ht="13.4" customHeight="1">
      <c r="C43" s="674" t="s">
        <v>103</v>
      </c>
      <c r="D43" s="574"/>
      <c r="E43" s="215"/>
      <c r="F43" s="971" t="s">
        <v>103</v>
      </c>
      <c r="T43" s="278"/>
    </row>
    <row r="44" spans="2:20" ht="12.75" customHeight="1">
      <c r="C44" s="674" t="s">
        <v>103</v>
      </c>
      <c r="D44" s="574"/>
      <c r="E44" s="215"/>
      <c r="F44" s="971" t="s">
        <v>103</v>
      </c>
      <c r="Q44" s="949"/>
      <c r="T44" s="278"/>
    </row>
    <row r="45" spans="2:20" ht="12.75" customHeight="1">
      <c r="B45" s="216" t="s">
        <v>196</v>
      </c>
      <c r="C45" s="674"/>
      <c r="D45" s="574"/>
      <c r="E45" s="215"/>
      <c r="F45" s="971"/>
      <c r="Q45" s="974"/>
      <c r="T45" s="278"/>
    </row>
    <row r="46" spans="2:20" ht="12.75" customHeight="1">
      <c r="B46" s="215" t="s">
        <v>1524</v>
      </c>
      <c r="C46" s="674"/>
      <c r="D46" s="574"/>
      <c r="E46" s="215"/>
      <c r="F46" s="971"/>
      <c r="T46" s="278"/>
    </row>
    <row r="47" spans="2:20" ht="12.75" customHeight="1">
      <c r="B47" s="215" t="s">
        <v>1522</v>
      </c>
      <c r="C47" s="674"/>
      <c r="D47" s="574"/>
      <c r="E47" s="215"/>
      <c r="F47" s="575"/>
      <c r="T47" s="278"/>
    </row>
    <row r="48" spans="2:20" ht="12.75" customHeight="1">
      <c r="B48" s="282"/>
      <c r="C48" s="674"/>
      <c r="D48" s="574"/>
      <c r="E48" s="215"/>
      <c r="F48" s="575"/>
      <c r="P48" s="223"/>
      <c r="S48" s="949"/>
      <c r="T48" s="278"/>
    </row>
    <row r="49" spans="1:19" ht="13.5" customHeight="1">
      <c r="B49" s="215" t="s">
        <v>197</v>
      </c>
      <c r="C49" s="674"/>
      <c r="D49" s="574"/>
      <c r="E49" s="215"/>
      <c r="F49" s="575"/>
      <c r="P49" s="223"/>
      <c r="S49" s="949"/>
    </row>
    <row r="50" spans="1:19" ht="12.75" customHeight="1">
      <c r="B50" s="215" t="s">
        <v>198</v>
      </c>
      <c r="C50" s="674"/>
      <c r="D50" s="574"/>
      <c r="E50" s="215"/>
      <c r="F50" s="575"/>
      <c r="P50" s="223"/>
    </row>
    <row r="51" spans="1:19" ht="12.75" customHeight="1">
      <c r="B51" s="215" t="s">
        <v>1500</v>
      </c>
      <c r="C51" s="674"/>
      <c r="D51" s="574"/>
      <c r="E51" s="215"/>
      <c r="F51" s="575"/>
      <c r="P51" s="223"/>
    </row>
    <row r="52" spans="1:19" ht="12.75" customHeight="1">
      <c r="B52" s="215" t="s">
        <v>1501</v>
      </c>
      <c r="C52" s="674"/>
      <c r="D52" s="574"/>
      <c r="E52" s="215"/>
      <c r="F52" s="575"/>
      <c r="H52" s="576"/>
      <c r="P52" s="223"/>
      <c r="R52" s="227"/>
    </row>
    <row r="53" spans="1:19" ht="12.75" customHeight="1">
      <c r="B53" s="215" t="s">
        <v>103</v>
      </c>
      <c r="C53" s="674"/>
      <c r="D53" s="574"/>
      <c r="E53" s="215"/>
      <c r="F53" s="575"/>
      <c r="H53" s="576"/>
      <c r="P53" s="219"/>
      <c r="R53" s="215"/>
    </row>
    <row r="54" spans="1:19" ht="12.75" customHeight="1">
      <c r="H54" s="576"/>
      <c r="P54" s="219"/>
      <c r="R54" s="215"/>
    </row>
    <row r="55" spans="1:19" ht="12.75" customHeight="1">
      <c r="H55" s="576"/>
      <c r="P55" s="219"/>
      <c r="R55" s="215"/>
    </row>
    <row r="56" spans="1:19" ht="12.75" customHeight="1">
      <c r="H56" s="576"/>
      <c r="P56" s="219"/>
    </row>
    <row r="57" spans="1:19" ht="12.75" customHeight="1">
      <c r="H57" s="576"/>
      <c r="P57" s="219"/>
    </row>
    <row r="58" spans="1:19" ht="12.75" customHeight="1">
      <c r="J58" s="216"/>
      <c r="P58" s="219"/>
    </row>
    <row r="59" spans="1:19" ht="12.75" customHeight="1">
      <c r="I59" s="216"/>
      <c r="P59" s="219"/>
      <c r="Q59" s="215"/>
    </row>
    <row r="60" spans="1:19">
      <c r="I60" s="216"/>
      <c r="J60" s="216"/>
      <c r="K60" s="215"/>
      <c r="L60" s="224"/>
      <c r="M60" s="225"/>
      <c r="N60" s="225"/>
      <c r="O60" s="223"/>
      <c r="P60" s="219"/>
      <c r="Q60" s="215"/>
    </row>
    <row r="61" spans="1:19">
      <c r="A61" s="223"/>
      <c r="B61" s="215"/>
      <c r="E61" s="560"/>
      <c r="F61" s="560"/>
      <c r="G61" s="949" t="s">
        <v>103</v>
      </c>
      <c r="I61" s="216"/>
      <c r="J61" s="216"/>
      <c r="K61" s="215"/>
      <c r="L61" s="224"/>
      <c r="M61" s="225"/>
      <c r="N61" s="225"/>
      <c r="Q61" s="215"/>
    </row>
    <row r="62" spans="1:19">
      <c r="A62" s="560"/>
      <c r="B62" s="560"/>
      <c r="C62" s="560"/>
      <c r="D62" s="560"/>
      <c r="E62" s="560"/>
      <c r="F62" s="560"/>
      <c r="G62" s="560"/>
      <c r="I62" s="216"/>
      <c r="P62" s="218"/>
      <c r="Q62" s="215"/>
    </row>
    <row r="63" spans="1:19">
      <c r="B63" s="579"/>
      <c r="I63" s="221"/>
      <c r="J63" s="216"/>
      <c r="P63" s="218"/>
      <c r="Q63" s="215"/>
    </row>
    <row r="64" spans="1:19">
      <c r="J64" s="216"/>
      <c r="P64" s="218"/>
      <c r="Q64" s="215"/>
    </row>
    <row r="65" spans="1:17">
      <c r="C65" s="216"/>
      <c r="D65" s="574"/>
      <c r="E65" s="215"/>
      <c r="F65" s="575"/>
      <c r="J65" s="216"/>
      <c r="P65" s="218"/>
      <c r="Q65" s="215"/>
    </row>
    <row r="66" spans="1:17">
      <c r="C66" s="216"/>
      <c r="D66" s="574"/>
      <c r="E66" s="215"/>
      <c r="F66" s="575"/>
      <c r="P66" s="215"/>
      <c r="Q66" s="215"/>
    </row>
    <row r="67" spans="1:17">
      <c r="C67" s="216"/>
      <c r="D67" s="574"/>
      <c r="E67" s="215"/>
      <c r="F67" s="575"/>
      <c r="P67" s="215"/>
      <c r="Q67" s="215"/>
    </row>
    <row r="68" spans="1:17">
      <c r="C68" s="216"/>
      <c r="D68" s="574"/>
      <c r="E68" s="215"/>
      <c r="F68" s="575"/>
      <c r="I68" s="221"/>
      <c r="J68" s="216"/>
      <c r="P68" s="215"/>
      <c r="Q68" s="215"/>
    </row>
    <row r="69" spans="1:17">
      <c r="C69" s="216"/>
      <c r="D69" s="574"/>
      <c r="E69" s="215"/>
      <c r="F69" s="575"/>
      <c r="I69" s="216"/>
      <c r="J69" s="216"/>
      <c r="P69" s="215"/>
      <c r="Q69" s="215"/>
    </row>
    <row r="70" spans="1:17">
      <c r="C70" s="216"/>
      <c r="D70" s="574"/>
      <c r="E70" s="215"/>
      <c r="F70" s="575"/>
      <c r="I70" s="216"/>
      <c r="J70" s="216"/>
      <c r="P70" s="215"/>
      <c r="Q70" s="215"/>
    </row>
    <row r="71" spans="1:17">
      <c r="C71" s="216"/>
      <c r="D71" s="574"/>
      <c r="E71" s="215"/>
      <c r="F71" s="575"/>
      <c r="I71" s="216"/>
      <c r="J71" s="216"/>
      <c r="P71" s="215"/>
      <c r="Q71" s="215"/>
    </row>
    <row r="72" spans="1:17">
      <c r="G72" s="1324" t="s">
        <v>103</v>
      </c>
      <c r="I72" s="218"/>
      <c r="P72" s="215"/>
      <c r="Q72" s="215"/>
    </row>
    <row r="73" spans="1:17">
      <c r="I73" s="218"/>
      <c r="P73" s="215"/>
      <c r="Q73" s="215"/>
    </row>
    <row r="74" spans="1:17">
      <c r="A74" s="282"/>
      <c r="I74" s="218"/>
      <c r="O74" s="215"/>
      <c r="Q74" s="215"/>
    </row>
    <row r="75" spans="1:17">
      <c r="A75" s="282"/>
      <c r="I75" s="560"/>
      <c r="O75" s="215"/>
      <c r="P75" s="215"/>
      <c r="Q75" s="215"/>
    </row>
    <row r="76" spans="1:17">
      <c r="A76" s="282"/>
      <c r="I76" s="215"/>
      <c r="J76" s="216"/>
      <c r="K76" s="215"/>
      <c r="L76" s="224"/>
      <c r="M76" s="225"/>
      <c r="N76" s="225"/>
      <c r="O76" s="215"/>
      <c r="P76" s="226"/>
      <c r="Q76" s="215"/>
    </row>
    <row r="77" spans="1:17">
      <c r="A77" s="282"/>
      <c r="I77" s="216"/>
      <c r="J77" s="216"/>
      <c r="K77" s="215"/>
      <c r="L77" s="224"/>
      <c r="M77" s="225"/>
      <c r="N77" s="225"/>
      <c r="O77" s="215"/>
      <c r="P77" s="215"/>
      <c r="Q77" s="215"/>
    </row>
    <row r="78" spans="1:17">
      <c r="A78" s="282"/>
      <c r="I78" s="216"/>
      <c r="J78" s="545"/>
      <c r="K78" s="215"/>
      <c r="L78" s="224"/>
      <c r="M78" s="225"/>
      <c r="N78" s="225"/>
      <c r="O78" s="215"/>
      <c r="P78" s="228"/>
      <c r="Q78" s="215"/>
    </row>
    <row r="79" spans="1:17">
      <c r="A79" s="282"/>
      <c r="I79" s="216"/>
      <c r="J79" s="545"/>
      <c r="K79" s="215"/>
      <c r="L79" s="224"/>
      <c r="M79" s="225"/>
      <c r="N79" s="225"/>
      <c r="O79" s="215"/>
      <c r="P79" s="215"/>
    </row>
    <row r="80" spans="1:17">
      <c r="A80" s="282"/>
      <c r="I80" s="216"/>
      <c r="O80" s="215"/>
      <c r="P80" s="215"/>
      <c r="Q80" s="215"/>
    </row>
    <row r="81" spans="1:17">
      <c r="A81" s="282"/>
      <c r="I81" s="216"/>
      <c r="O81" s="215"/>
      <c r="P81" s="215"/>
      <c r="Q81" s="215"/>
    </row>
    <row r="82" spans="1:17">
      <c r="A82" s="282"/>
      <c r="I82" s="216"/>
      <c r="J82" s="216"/>
      <c r="K82" s="215"/>
      <c r="L82" s="215"/>
      <c r="M82" s="215"/>
      <c r="N82" s="215"/>
      <c r="O82" s="215"/>
      <c r="P82" s="215"/>
      <c r="Q82" s="215"/>
    </row>
    <row r="83" spans="1:17">
      <c r="A83" s="282"/>
      <c r="I83" s="216"/>
      <c r="J83" s="216"/>
      <c r="K83" s="215"/>
      <c r="L83" s="215"/>
      <c r="M83" s="215"/>
      <c r="N83" s="215"/>
      <c r="O83" s="215"/>
      <c r="P83" s="215"/>
      <c r="Q83" s="215"/>
    </row>
    <row r="84" spans="1:17">
      <c r="A84" s="282"/>
      <c r="I84" s="216"/>
      <c r="J84" s="216"/>
      <c r="K84" s="215"/>
      <c r="L84" s="215"/>
      <c r="M84" s="215"/>
      <c r="N84" s="215"/>
      <c r="O84" s="215"/>
      <c r="P84" s="227"/>
    </row>
    <row r="85" spans="1:17">
      <c r="A85" s="282"/>
      <c r="I85" s="215"/>
      <c r="J85" s="216"/>
      <c r="K85" s="215"/>
      <c r="L85" s="215"/>
      <c r="M85" s="215"/>
      <c r="N85" s="215"/>
    </row>
    <row r="86" spans="1:17">
      <c r="I86" s="215"/>
      <c r="J86" s="216"/>
      <c r="K86" s="215"/>
      <c r="L86" s="215"/>
      <c r="M86" s="215"/>
      <c r="N86" s="215"/>
      <c r="O86" s="215"/>
    </row>
    <row r="87" spans="1:17">
      <c r="D87" s="686"/>
      <c r="E87" s="215"/>
      <c r="F87" s="576"/>
      <c r="G87" s="223"/>
      <c r="I87" s="215"/>
      <c r="J87" s="216"/>
      <c r="K87" s="215"/>
      <c r="L87" s="215"/>
      <c r="M87" s="215"/>
      <c r="N87" s="215"/>
      <c r="O87" s="215"/>
    </row>
    <row r="88" spans="1:17">
      <c r="C88" s="674"/>
      <c r="D88" s="686"/>
      <c r="E88" s="215"/>
      <c r="F88" s="576"/>
      <c r="G88" s="223"/>
      <c r="I88" s="215"/>
      <c r="J88" s="216"/>
      <c r="K88" s="215"/>
      <c r="L88" s="215"/>
      <c r="M88" s="215"/>
      <c r="N88" s="215"/>
      <c r="O88" s="215"/>
    </row>
    <row r="89" spans="1:17">
      <c r="C89" s="674"/>
      <c r="D89" s="574"/>
      <c r="E89" s="215"/>
      <c r="F89" s="575"/>
      <c r="G89" s="223"/>
      <c r="I89" s="215"/>
      <c r="J89" s="216"/>
      <c r="K89" s="215"/>
      <c r="L89" s="215"/>
      <c r="M89" s="215"/>
      <c r="N89" s="215"/>
      <c r="O89" s="215"/>
    </row>
    <row r="90" spans="1:17">
      <c r="C90" s="216"/>
      <c r="J90" s="216"/>
      <c r="K90" s="215"/>
      <c r="L90" s="215"/>
      <c r="M90" s="215"/>
      <c r="N90" s="215"/>
    </row>
    <row r="91" spans="1:17">
      <c r="B91" s="560"/>
      <c r="C91" s="560"/>
      <c r="D91" s="560"/>
      <c r="E91" s="560"/>
      <c r="F91" s="560"/>
      <c r="G91" s="560"/>
      <c r="J91" s="216"/>
      <c r="K91" s="215"/>
      <c r="L91" s="215"/>
      <c r="M91" s="215"/>
      <c r="N91" s="215"/>
    </row>
    <row r="92" spans="1:17">
      <c r="B92" s="560"/>
      <c r="C92" s="560"/>
      <c r="D92" s="560"/>
      <c r="E92" s="560"/>
      <c r="F92" s="560"/>
      <c r="G92" s="560"/>
      <c r="J92" s="216"/>
      <c r="K92" s="215"/>
      <c r="L92" s="215"/>
      <c r="M92" s="215"/>
      <c r="N92" s="215"/>
    </row>
    <row r="93" spans="1:17">
      <c r="A93" s="560"/>
      <c r="B93" s="560"/>
      <c r="C93" s="560"/>
      <c r="D93" s="560"/>
      <c r="E93" s="560"/>
      <c r="F93" s="560"/>
      <c r="J93" s="216"/>
      <c r="K93" s="215"/>
      <c r="L93" s="215"/>
      <c r="M93" s="215"/>
      <c r="N93" s="215"/>
    </row>
    <row r="94" spans="1:17">
      <c r="A94" s="560"/>
      <c r="J94" s="216"/>
      <c r="K94" s="215"/>
      <c r="L94" s="215"/>
      <c r="M94" s="215"/>
      <c r="N94" s="215"/>
    </row>
    <row r="95" spans="1:17">
      <c r="A95" s="560"/>
      <c r="I95" s="560"/>
      <c r="J95" s="216"/>
      <c r="K95" s="215"/>
      <c r="L95" s="215"/>
      <c r="M95" s="215"/>
      <c r="N95" s="215"/>
    </row>
    <row r="96" spans="1:17">
      <c r="A96" s="560"/>
      <c r="I96" s="560"/>
      <c r="J96" s="216"/>
      <c r="K96" s="215"/>
      <c r="L96" s="215"/>
      <c r="M96" s="215"/>
      <c r="N96" s="215"/>
    </row>
    <row r="97" spans="10:14">
      <c r="J97" s="216"/>
      <c r="K97" s="215"/>
      <c r="L97" s="229"/>
    </row>
    <row r="98" spans="10:14">
      <c r="J98" s="216"/>
      <c r="K98" s="215"/>
      <c r="L98" s="229"/>
      <c r="M98" s="215"/>
      <c r="N98" s="224"/>
    </row>
    <row r="99" spans="10:14">
      <c r="J99" s="215"/>
      <c r="K99" s="229"/>
      <c r="L99" s="560"/>
      <c r="M99" s="560"/>
      <c r="N99" s="560"/>
    </row>
    <row r="100" spans="10:14">
      <c r="J100" s="215"/>
      <c r="K100" s="230"/>
      <c r="L100" s="560"/>
      <c r="M100" s="560"/>
      <c r="N100" s="560"/>
    </row>
    <row r="101" spans="10:14">
      <c r="J101" s="215"/>
      <c r="K101" s="215"/>
      <c r="L101" s="560"/>
      <c r="M101" s="560"/>
      <c r="N101" s="560"/>
    </row>
    <row r="102" spans="10:14">
      <c r="J102" s="215"/>
      <c r="K102" s="215"/>
      <c r="L102" s="560"/>
      <c r="M102" s="560"/>
      <c r="N102" s="560"/>
    </row>
    <row r="103" spans="10:14">
      <c r="J103" s="215"/>
      <c r="L103" s="560"/>
      <c r="M103" s="560"/>
      <c r="N103" s="560"/>
    </row>
    <row r="107" spans="10:14">
      <c r="J107" s="560"/>
      <c r="K107" s="560"/>
      <c r="L107" s="560"/>
      <c r="M107" s="560"/>
      <c r="N107" s="560"/>
    </row>
    <row r="108" spans="10:14">
      <c r="J108" s="560"/>
      <c r="K108" s="560"/>
      <c r="L108" s="560"/>
      <c r="M108" s="560"/>
      <c r="N108" s="560"/>
    </row>
    <row r="109" spans="10:14">
      <c r="J109" s="560"/>
      <c r="K109" s="560"/>
      <c r="L109" s="560"/>
      <c r="M109" s="560"/>
      <c r="N109" s="560"/>
    </row>
    <row r="110" spans="10:14">
      <c r="J110" s="560"/>
      <c r="K110" s="560"/>
      <c r="L110" s="560"/>
      <c r="M110" s="560"/>
      <c r="N110" s="560"/>
    </row>
  </sheetData>
  <printOptions horizontalCentered="1"/>
  <pageMargins left="0.6" right="0.25" top="0.6" bottom="0" header="0.5" footer="0.25"/>
  <pageSetup scale="66" firstPageNumber="4" orientation="landscape" useFirstPageNumber="1" r:id="rId1"/>
  <headerFooter scaleWithDoc="0" alignWithMargins="0">
    <oddFooter>&amp;C&amp;8&amp;P</oddFooter>
  </headerFooter>
  <rowBreaks count="1" manualBreakCount="1">
    <brk id="60" max="14" man="1"/>
  </rowBreaks>
  <customProperties>
    <customPr name="SheetOptions" r:id="rId2"/>
  </customProperties>
  <ignoredErrors>
    <ignoredError sqref="A6 A20"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9">
    <pageSetUpPr fitToPage="1"/>
  </sheetPr>
  <dimension ref="A1:AP61"/>
  <sheetViews>
    <sheetView showGridLines="0" zoomScale="90" workbookViewId="0"/>
  </sheetViews>
  <sheetFormatPr defaultColWidth="8.84375" defaultRowHeight="15.5"/>
  <cols>
    <col min="1" max="1" width="1.84375" style="440" customWidth="1"/>
    <col min="2" max="2" width="48" style="440" customWidth="1"/>
    <col min="3" max="3" width="4.53515625" style="441" customWidth="1"/>
    <col min="4" max="4" width="19" style="441" customWidth="1"/>
    <col min="5" max="5" width="1.84375" style="441" customWidth="1"/>
    <col min="6" max="6" width="19" style="441" customWidth="1"/>
    <col min="7" max="8" width="1.84375" style="441" customWidth="1"/>
    <col min="9" max="9" width="19" style="441" customWidth="1"/>
    <col min="10" max="10" width="8.84375" style="441"/>
    <col min="11" max="11" width="10.07421875" style="441" customWidth="1"/>
    <col min="12" max="12" width="1.84375" style="441" customWidth="1"/>
    <col min="13" max="16384" width="8.84375" style="440"/>
  </cols>
  <sheetData>
    <row r="1" spans="1:37">
      <c r="B1" s="265" t="s">
        <v>97</v>
      </c>
    </row>
    <row r="3" spans="1:37" ht="18">
      <c r="I3" s="505" t="s">
        <v>1032</v>
      </c>
    </row>
    <row r="4" spans="1:37" s="444" customFormat="1" ht="18.75" customHeight="1">
      <c r="A4" s="442"/>
      <c r="B4" s="506" t="s">
        <v>939</v>
      </c>
      <c r="C4" s="510"/>
      <c r="D4" s="510"/>
      <c r="E4" s="510"/>
      <c r="F4" s="510"/>
      <c r="G4" s="455"/>
      <c r="H4" s="507"/>
      <c r="I4" s="510"/>
      <c r="J4" s="443"/>
      <c r="K4" s="443"/>
      <c r="L4" s="443"/>
    </row>
    <row r="5" spans="1:37" s="444" customFormat="1" ht="18.75" customHeight="1">
      <c r="A5" s="442"/>
      <c r="B5" s="506" t="s">
        <v>1033</v>
      </c>
      <c r="C5" s="445"/>
      <c r="D5" s="445"/>
      <c r="E5" s="445"/>
      <c r="F5" s="445"/>
      <c r="G5" s="506"/>
      <c r="H5" s="506"/>
      <c r="I5" s="445"/>
      <c r="J5" s="443"/>
      <c r="K5" s="443"/>
      <c r="L5" s="443"/>
    </row>
    <row r="6" spans="1:37" s="444" customFormat="1" ht="18.75" customHeight="1">
      <c r="A6" s="442"/>
      <c r="B6" s="506" t="str">
        <f>'Public Goods '!A6</f>
        <v>FISCAL YEAR 2026-2027</v>
      </c>
      <c r="C6" s="510"/>
      <c r="D6" s="510"/>
      <c r="E6" s="510"/>
      <c r="F6" s="510"/>
      <c r="G6" s="662"/>
      <c r="H6" s="506"/>
      <c r="I6" s="510"/>
      <c r="J6" s="443"/>
      <c r="K6" s="443"/>
      <c r="L6" s="443"/>
    </row>
    <row r="7" spans="1:37" s="444" customFormat="1" ht="18" customHeight="1">
      <c r="A7" s="442"/>
      <c r="B7" s="664"/>
      <c r="C7" s="511"/>
      <c r="D7" s="511"/>
      <c r="E7" s="511"/>
      <c r="F7" s="511"/>
      <c r="G7" s="663"/>
      <c r="H7" s="508"/>
      <c r="I7" s="511"/>
      <c r="J7" s="443"/>
      <c r="K7" s="443"/>
      <c r="L7" s="443"/>
    </row>
    <row r="8" spans="1:37" s="444" customFormat="1" ht="18" customHeight="1">
      <c r="A8" s="442"/>
      <c r="B8" s="664"/>
      <c r="C8" s="446"/>
      <c r="D8" s="446"/>
      <c r="E8" s="446"/>
      <c r="F8" s="446"/>
      <c r="G8" s="466"/>
      <c r="H8" s="509"/>
      <c r="I8" s="446"/>
      <c r="J8" s="443"/>
      <c r="K8" s="443"/>
      <c r="L8" s="443"/>
    </row>
    <row r="9" spans="1:37" s="449" customFormat="1">
      <c r="A9" s="447"/>
      <c r="B9" s="447"/>
      <c r="C9" s="448"/>
      <c r="D9" s="581" t="s">
        <v>1525</v>
      </c>
      <c r="E9" s="581"/>
      <c r="F9" s="581">
        <v>2026</v>
      </c>
      <c r="G9" s="581"/>
      <c r="H9" s="448"/>
      <c r="I9" s="448"/>
      <c r="J9" s="448"/>
      <c r="K9" s="448"/>
      <c r="L9" s="448"/>
    </row>
    <row r="10" spans="1:37">
      <c r="D10" s="1243" t="s">
        <v>1526</v>
      </c>
      <c r="E10" s="450"/>
      <c r="F10" s="1243" t="s">
        <v>332</v>
      </c>
      <c r="G10" s="450"/>
      <c r="I10" s="450" t="str">
        <f>'Public Goods '!I10</f>
        <v>2026-2027</v>
      </c>
    </row>
    <row r="11" spans="1:37">
      <c r="I11" s="622"/>
    </row>
    <row r="12" spans="1:37" s="449" customFormat="1">
      <c r="B12" s="449" t="s">
        <v>913</v>
      </c>
      <c r="C12" s="448"/>
      <c r="D12" s="451">
        <v>2378.48</v>
      </c>
      <c r="E12" s="451"/>
      <c r="F12" s="451">
        <f>D48</f>
        <v>0</v>
      </c>
      <c r="G12" s="451"/>
      <c r="H12" s="467"/>
      <c r="I12" s="451">
        <f>D12</f>
        <v>2378.48</v>
      </c>
      <c r="J12" s="448"/>
      <c r="K12" s="448"/>
      <c r="L12" s="448"/>
      <c r="M12" s="452"/>
      <c r="N12" s="452"/>
      <c r="O12" s="452"/>
      <c r="P12" s="452"/>
      <c r="Q12" s="452"/>
      <c r="R12" s="452"/>
      <c r="S12" s="452"/>
      <c r="T12" s="452"/>
      <c r="U12" s="452"/>
      <c r="V12" s="452"/>
      <c r="W12" s="452"/>
      <c r="X12" s="453"/>
      <c r="Y12" s="453"/>
      <c r="Z12" s="453"/>
      <c r="AA12" s="453"/>
      <c r="AB12" s="453"/>
      <c r="AC12" s="453"/>
      <c r="AD12" s="453"/>
      <c r="AE12" s="453"/>
      <c r="AF12" s="453"/>
      <c r="AG12" s="453"/>
      <c r="AH12" s="453"/>
      <c r="AI12" s="453"/>
      <c r="AJ12" s="453"/>
      <c r="AK12" s="453"/>
    </row>
    <row r="13" spans="1:37" s="449" customFormat="1">
      <c r="C13" s="448"/>
      <c r="D13" s="451"/>
      <c r="E13" s="451"/>
      <c r="F13" s="451"/>
      <c r="G13" s="451"/>
      <c r="H13" s="468"/>
      <c r="I13" s="451"/>
      <c r="J13" s="448"/>
      <c r="K13" s="448"/>
      <c r="L13" s="448"/>
      <c r="M13" s="452"/>
      <c r="N13" s="452"/>
      <c r="O13" s="452"/>
      <c r="P13" s="452"/>
      <c r="Q13" s="452"/>
      <c r="R13" s="452"/>
      <c r="S13" s="452"/>
      <c r="T13" s="452"/>
      <c r="U13" s="452"/>
      <c r="V13" s="452"/>
      <c r="W13" s="452"/>
      <c r="X13" s="453"/>
      <c r="Y13" s="453"/>
      <c r="Z13" s="453"/>
      <c r="AA13" s="453"/>
      <c r="AB13" s="453"/>
      <c r="AC13" s="453"/>
      <c r="AD13" s="453"/>
      <c r="AE13" s="453"/>
      <c r="AF13" s="453"/>
      <c r="AG13" s="453"/>
      <c r="AH13" s="453"/>
      <c r="AI13" s="453"/>
      <c r="AJ13" s="453"/>
      <c r="AK13" s="453"/>
    </row>
    <row r="14" spans="1:37">
      <c r="B14" s="449" t="s">
        <v>114</v>
      </c>
      <c r="H14" s="469"/>
    </row>
    <row r="15" spans="1:37">
      <c r="B15" s="445" t="s">
        <v>1010</v>
      </c>
      <c r="D15" s="454">
        <v>0</v>
      </c>
      <c r="E15" s="454"/>
      <c r="F15" s="454">
        <v>0</v>
      </c>
      <c r="G15" s="454"/>
      <c r="H15" s="469"/>
      <c r="I15" s="454">
        <f>ROUND(SUM(D15:G15),2)</f>
        <v>0</v>
      </c>
    </row>
    <row r="16" spans="1:37" s="449" customFormat="1">
      <c r="B16" s="449" t="s">
        <v>427</v>
      </c>
      <c r="C16" s="448"/>
      <c r="D16" s="623">
        <f>ROUND(SUM(D15:D15),2)</f>
        <v>0</v>
      </c>
      <c r="E16" s="472"/>
      <c r="F16" s="623">
        <f>ROUND(SUM(F15:F15),2)</f>
        <v>0</v>
      </c>
      <c r="G16" s="472"/>
      <c r="H16" s="469"/>
      <c r="I16" s="623">
        <f>ROUND(SUM(I15:I15),2)</f>
        <v>0</v>
      </c>
      <c r="J16" s="448"/>
      <c r="K16" s="441"/>
      <c r="L16" s="448"/>
    </row>
    <row r="17" spans="2:12">
      <c r="D17" s="454"/>
      <c r="E17" s="454"/>
      <c r="F17" s="454"/>
      <c r="G17" s="454"/>
      <c r="H17" s="469"/>
      <c r="I17" s="624"/>
    </row>
    <row r="18" spans="2:12">
      <c r="B18" s="449" t="s">
        <v>1034</v>
      </c>
      <c r="D18" s="454"/>
      <c r="E18" s="454"/>
      <c r="F18" s="454"/>
      <c r="G18" s="454"/>
      <c r="H18" s="469"/>
      <c r="I18" s="454"/>
    </row>
    <row r="19" spans="2:12">
      <c r="B19" s="445" t="s">
        <v>1035</v>
      </c>
      <c r="D19" s="454">
        <v>0</v>
      </c>
      <c r="E19" s="454"/>
      <c r="F19" s="454">
        <v>0</v>
      </c>
      <c r="G19" s="454"/>
      <c r="H19" s="469"/>
      <c r="I19" s="454">
        <f>ROUND(SUM(D19:G19),2)</f>
        <v>0</v>
      </c>
    </row>
    <row r="20" spans="2:12">
      <c r="B20" s="445" t="s">
        <v>1036</v>
      </c>
      <c r="D20" s="454">
        <v>0</v>
      </c>
      <c r="E20" s="454"/>
      <c r="F20" s="454">
        <v>0</v>
      </c>
      <c r="G20" s="454"/>
      <c r="H20" s="469"/>
      <c r="I20" s="454">
        <f>ROUND(SUM(D20:G20),2)</f>
        <v>0</v>
      </c>
    </row>
    <row r="21" spans="2:12">
      <c r="B21" s="445" t="s">
        <v>1037</v>
      </c>
      <c r="D21" s="454">
        <v>0</v>
      </c>
      <c r="E21" s="454"/>
      <c r="F21" s="454">
        <v>0</v>
      </c>
      <c r="G21" s="454"/>
      <c r="H21" s="470"/>
      <c r="I21" s="454">
        <f>ROUND(SUM(D21:G21),2)</f>
        <v>0</v>
      </c>
    </row>
    <row r="22" spans="2:12" s="449" customFormat="1">
      <c r="B22" s="455" t="s">
        <v>1038</v>
      </c>
      <c r="C22" s="448"/>
      <c r="D22" s="625">
        <f>ROUND(SUM(D18:D21),2)</f>
        <v>0</v>
      </c>
      <c r="E22" s="472"/>
      <c r="F22" s="625">
        <f>ROUND(SUM(F18:F21),2)</f>
        <v>0</v>
      </c>
      <c r="G22" s="472"/>
      <c r="H22" s="471"/>
      <c r="I22" s="625">
        <f>ROUND(SUM(I18:I21),2)</f>
        <v>0</v>
      </c>
      <c r="J22" s="448"/>
      <c r="K22" s="441"/>
      <c r="L22" s="448"/>
    </row>
    <row r="23" spans="2:12">
      <c r="B23" s="456"/>
      <c r="D23" s="624"/>
      <c r="E23" s="454"/>
      <c r="F23" s="624"/>
      <c r="G23" s="454"/>
      <c r="H23" s="469"/>
      <c r="I23" s="624"/>
    </row>
    <row r="24" spans="2:12" s="449" customFormat="1">
      <c r="B24" s="449" t="s">
        <v>1039</v>
      </c>
      <c r="C24" s="448"/>
      <c r="D24" s="457">
        <f>ROUND(+D16+D22,2)</f>
        <v>0</v>
      </c>
      <c r="E24" s="457"/>
      <c r="F24" s="457">
        <f>ROUND(+F16+F22,2)</f>
        <v>0</v>
      </c>
      <c r="G24" s="457"/>
      <c r="H24" s="469"/>
      <c r="I24" s="457">
        <f>ROUND(+I16+I22,2)</f>
        <v>0</v>
      </c>
      <c r="J24" s="448"/>
      <c r="K24" s="441"/>
      <c r="L24" s="448"/>
    </row>
    <row r="25" spans="2:12">
      <c r="D25" s="624"/>
      <c r="E25" s="454"/>
      <c r="F25" s="624"/>
      <c r="G25" s="454"/>
      <c r="H25" s="469"/>
      <c r="I25" s="624"/>
    </row>
    <row r="26" spans="2:12">
      <c r="B26" s="449" t="s">
        <v>145</v>
      </c>
      <c r="D26" s="454"/>
      <c r="E26" s="454"/>
      <c r="F26" s="454"/>
      <c r="G26" s="454"/>
      <c r="H26" s="469"/>
      <c r="I26" s="454"/>
    </row>
    <row r="27" spans="2:12">
      <c r="B27" s="449" t="s">
        <v>1018</v>
      </c>
      <c r="D27" s="454"/>
      <c r="E27" s="454"/>
      <c r="F27" s="454"/>
      <c r="G27" s="454"/>
      <c r="H27" s="470"/>
      <c r="I27" s="454"/>
    </row>
    <row r="28" spans="2:12">
      <c r="B28" s="445" t="s">
        <v>1040</v>
      </c>
      <c r="D28" s="454">
        <v>0</v>
      </c>
      <c r="E28" s="454"/>
      <c r="F28" s="454">
        <v>0</v>
      </c>
      <c r="G28" s="454"/>
      <c r="H28" s="471"/>
      <c r="I28" s="454">
        <f>ROUND(SUM(D28:G28),2)</f>
        <v>0</v>
      </c>
    </row>
    <row r="29" spans="2:12">
      <c r="B29" s="445" t="s">
        <v>1025</v>
      </c>
      <c r="D29" s="454">
        <v>0</v>
      </c>
      <c r="E29" s="454"/>
      <c r="F29" s="454">
        <v>0</v>
      </c>
      <c r="G29" s="454"/>
      <c r="H29" s="469"/>
      <c r="I29" s="454">
        <f>ROUND(SUM(D29:G29),2)</f>
        <v>0</v>
      </c>
    </row>
    <row r="30" spans="2:12">
      <c r="B30" s="449" t="s">
        <v>1021</v>
      </c>
      <c r="D30" s="454"/>
      <c r="E30" s="454"/>
      <c r="F30" s="454"/>
      <c r="G30" s="454"/>
      <c r="H30" s="474"/>
      <c r="I30" s="454"/>
    </row>
    <row r="31" spans="2:12">
      <c r="B31" s="445" t="s">
        <v>1041</v>
      </c>
      <c r="D31" s="454">
        <v>0</v>
      </c>
      <c r="E31" s="454"/>
      <c r="F31" s="454">
        <v>0</v>
      </c>
      <c r="G31" s="454"/>
      <c r="H31" s="469"/>
      <c r="I31" s="454">
        <f>ROUND(SUM(D31:G31),2)</f>
        <v>0</v>
      </c>
    </row>
    <row r="32" spans="2:12">
      <c r="B32" s="445" t="s">
        <v>1042</v>
      </c>
      <c r="D32" s="454">
        <v>0</v>
      </c>
      <c r="E32" s="454"/>
      <c r="F32" s="454">
        <v>0</v>
      </c>
      <c r="G32" s="454"/>
      <c r="H32" s="469"/>
      <c r="I32" s="454">
        <f>ROUND(SUM(D32:G32),2)</f>
        <v>0</v>
      </c>
    </row>
    <row r="33" spans="2:42">
      <c r="B33" s="445" t="s">
        <v>1043</v>
      </c>
      <c r="D33" s="454">
        <v>0</v>
      </c>
      <c r="E33" s="454"/>
      <c r="F33" s="454">
        <v>0</v>
      </c>
      <c r="G33" s="454"/>
      <c r="H33" s="469"/>
      <c r="I33" s="454">
        <f>ROUND(SUM(D33:G33),2)</f>
        <v>0</v>
      </c>
    </row>
    <row r="34" spans="2:42">
      <c r="B34" s="445" t="s">
        <v>1037</v>
      </c>
      <c r="D34" s="1246">
        <v>0</v>
      </c>
      <c r="E34" s="454"/>
      <c r="F34" s="1246">
        <v>0</v>
      </c>
      <c r="G34" s="454"/>
      <c r="H34" s="469"/>
      <c r="I34" s="454">
        <f>ROUND(SUM(D34:D34),2)</f>
        <v>0</v>
      </c>
    </row>
    <row r="35" spans="2:42" s="449" customFormat="1">
      <c r="B35" s="449" t="s">
        <v>1023</v>
      </c>
      <c r="C35" s="448"/>
      <c r="D35" s="626">
        <f>ROUND(SUM(D28:D34),2)</f>
        <v>0</v>
      </c>
      <c r="E35" s="472"/>
      <c r="F35" s="626">
        <f>ROUND(SUM(F28:F34),2)</f>
        <v>0</v>
      </c>
      <c r="G35" s="472"/>
      <c r="H35" s="469"/>
      <c r="I35" s="626">
        <f>ROUND(SUM(I28:I34),2)</f>
        <v>0</v>
      </c>
      <c r="J35" s="448"/>
      <c r="K35" s="441"/>
      <c r="L35" s="448"/>
    </row>
    <row r="36" spans="2:42">
      <c r="D36" s="454"/>
      <c r="E36" s="454"/>
      <c r="F36" s="454"/>
      <c r="G36" s="454"/>
      <c r="H36" s="469"/>
      <c r="I36" s="454"/>
    </row>
    <row r="37" spans="2:42">
      <c r="B37" s="449" t="s">
        <v>1024</v>
      </c>
      <c r="D37" s="454"/>
      <c r="E37" s="454"/>
      <c r="F37" s="454"/>
      <c r="G37" s="454"/>
      <c r="H37" s="469"/>
      <c r="I37" s="454"/>
    </row>
    <row r="38" spans="2:42">
      <c r="B38" s="440" t="s">
        <v>1040</v>
      </c>
      <c r="D38" s="458">
        <v>0</v>
      </c>
      <c r="E38" s="458"/>
      <c r="F38" s="458">
        <v>0</v>
      </c>
      <c r="G38" s="458"/>
      <c r="H38" s="471"/>
      <c r="I38" s="454">
        <f>ROUND(SUM(D38:G38),2)</f>
        <v>0</v>
      </c>
    </row>
    <row r="39" spans="2:42">
      <c r="B39" s="440" t="s">
        <v>1025</v>
      </c>
      <c r="D39" s="454">
        <v>0</v>
      </c>
      <c r="E39" s="454"/>
      <c r="F39" s="454">
        <v>0</v>
      </c>
      <c r="G39" s="454"/>
      <c r="H39" s="469"/>
      <c r="I39" s="454">
        <f>ROUND(SUM(D39:G39),2)</f>
        <v>0</v>
      </c>
    </row>
    <row r="40" spans="2:42">
      <c r="B40" s="449" t="s">
        <v>1026</v>
      </c>
      <c r="D40" s="454"/>
      <c r="E40" s="454"/>
      <c r="F40" s="454"/>
      <c r="G40" s="454"/>
      <c r="H40" s="469"/>
      <c r="I40" s="454"/>
    </row>
    <row r="41" spans="2:42">
      <c r="B41" s="445" t="s">
        <v>1044</v>
      </c>
      <c r="D41" s="454">
        <v>-2378.48</v>
      </c>
      <c r="E41" s="454"/>
      <c r="F41" s="454">
        <v>0</v>
      </c>
      <c r="G41" s="454"/>
      <c r="H41" s="469"/>
      <c r="I41" s="454">
        <f>ROUND(SUM(D41:G41),2)</f>
        <v>-2378.48</v>
      </c>
    </row>
    <row r="42" spans="2:42">
      <c r="B42" s="936" t="s">
        <v>1045</v>
      </c>
      <c r="D42" s="1246">
        <v>0</v>
      </c>
      <c r="E42" s="454"/>
      <c r="F42" s="1246">
        <v>0</v>
      </c>
      <c r="G42" s="454"/>
      <c r="H42" s="469"/>
      <c r="I42" s="454">
        <f>ROUND(SUM(D42:G42),2)</f>
        <v>0</v>
      </c>
    </row>
    <row r="43" spans="2:42" s="449" customFormat="1">
      <c r="B43" s="449" t="s">
        <v>1027</v>
      </c>
      <c r="C43" s="448"/>
      <c r="D43" s="626">
        <f>SUM(D38:D42)</f>
        <v>-2378.48</v>
      </c>
      <c r="E43" s="472"/>
      <c r="F43" s="626">
        <f>SUM(F38:F42)</f>
        <v>0</v>
      </c>
      <c r="G43" s="472"/>
      <c r="H43" s="469"/>
      <c r="I43" s="626">
        <f>SUM(I38:I42)</f>
        <v>-2378.48</v>
      </c>
      <c r="J43" s="448"/>
      <c r="K43" s="441"/>
      <c r="L43" s="448"/>
    </row>
    <row r="44" spans="2:42">
      <c r="D44" s="454"/>
      <c r="E44" s="454"/>
      <c r="F44" s="454"/>
      <c r="G44" s="454"/>
      <c r="H44" s="469"/>
      <c r="I44" s="454"/>
    </row>
    <row r="45" spans="2:42">
      <c r="B45" s="449" t="s">
        <v>1046</v>
      </c>
      <c r="D45" s="454"/>
      <c r="E45" s="454"/>
      <c r="F45" s="454"/>
      <c r="G45" s="454"/>
      <c r="H45" s="469"/>
      <c r="I45" s="454"/>
    </row>
    <row r="46" spans="2:42">
      <c r="B46" s="449" t="s">
        <v>1047</v>
      </c>
      <c r="D46" s="1247">
        <f>ROUND(+D24+D35+D43,2)</f>
        <v>-2378.48</v>
      </c>
      <c r="E46" s="457"/>
      <c r="F46" s="1247">
        <f>ROUND(+F24+F35+F43,2)</f>
        <v>0</v>
      </c>
      <c r="G46" s="457"/>
      <c r="H46" s="469"/>
      <c r="I46" s="1083">
        <f>ROUND(+I24+I35+I43,2)</f>
        <v>-2378.48</v>
      </c>
    </row>
    <row r="47" spans="2:42">
      <c r="H47" s="471"/>
      <c r="I47" s="459"/>
    </row>
    <row r="48" spans="2:42" s="449" customFormat="1" ht="16" thickBot="1">
      <c r="B48" s="449" t="s">
        <v>1030</v>
      </c>
      <c r="C48" s="460"/>
      <c r="D48" s="1248">
        <f>ROUND(D12+D46,2)</f>
        <v>0</v>
      </c>
      <c r="E48" s="1325"/>
      <c r="F48" s="1248">
        <f>ROUND(F12+F46,2)</f>
        <v>0</v>
      </c>
      <c r="G48" s="1325"/>
      <c r="H48" s="469"/>
      <c r="I48" s="1084">
        <f>ROUND(I12+I46,2)</f>
        <v>0</v>
      </c>
      <c r="J48" s="448"/>
      <c r="K48" s="441"/>
      <c r="L48" s="448"/>
      <c r="M48" s="461"/>
      <c r="N48" s="461"/>
      <c r="O48" s="461"/>
      <c r="P48" s="461"/>
      <c r="Q48" s="461"/>
      <c r="R48" s="461"/>
      <c r="S48" s="461"/>
      <c r="T48" s="461"/>
      <c r="U48" s="461"/>
      <c r="V48" s="461"/>
      <c r="W48" s="461"/>
      <c r="X48" s="461"/>
      <c r="Y48" s="461"/>
      <c r="Z48" s="461"/>
      <c r="AA48" s="461"/>
      <c r="AB48" s="461"/>
      <c r="AC48" s="461"/>
      <c r="AD48" s="461"/>
      <c r="AE48" s="461"/>
      <c r="AF48" s="461"/>
      <c r="AG48" s="461"/>
      <c r="AH48" s="461"/>
      <c r="AI48" s="461"/>
      <c r="AJ48" s="461"/>
      <c r="AK48" s="461"/>
      <c r="AL48" s="461"/>
      <c r="AM48" s="461"/>
      <c r="AN48" s="461"/>
      <c r="AO48" s="461"/>
      <c r="AP48" s="461"/>
    </row>
    <row r="49" spans="2:8" ht="16" thickTop="1">
      <c r="B49" s="440" t="s">
        <v>103</v>
      </c>
      <c r="G49" s="454"/>
      <c r="H49" s="454"/>
    </row>
    <row r="50" spans="2:8">
      <c r="B50" s="445" t="s">
        <v>1031</v>
      </c>
      <c r="G50" s="472"/>
      <c r="H50" s="472"/>
    </row>
    <row r="51" spans="2:8">
      <c r="B51" s="456"/>
    </row>
    <row r="52" spans="2:8">
      <c r="G52" s="451"/>
      <c r="H52" s="451"/>
    </row>
    <row r="59" spans="2:8">
      <c r="B59" s="462"/>
      <c r="C59" s="448"/>
      <c r="D59" s="448"/>
      <c r="E59" s="448"/>
      <c r="F59" s="448"/>
    </row>
    <row r="61" spans="2:8">
      <c r="C61" s="448"/>
    </row>
  </sheetData>
  <printOptions horizontalCentered="1"/>
  <pageMargins left="0.24" right="0.24" top="0.5" bottom="0.5" header="0.18" footer="0.25"/>
  <pageSetup scale="70" firstPageNumber="50" orientation="landscape" useFirstPageNumber="1" r:id="rId1"/>
  <headerFooter scaleWithDoc="0" alignWithMargins="0">
    <oddFooter>&amp;C&amp;8&amp;P</oddFooter>
  </headerFooter>
  <customProperties>
    <customPr name="SheetOptions" r:id="rId2"/>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0">
    <pageSetUpPr fitToPage="1"/>
  </sheetPr>
  <dimension ref="A1:AC34"/>
  <sheetViews>
    <sheetView showGridLines="0" zoomScale="80" zoomScaleNormal="70" workbookViewId="0"/>
  </sheetViews>
  <sheetFormatPr defaultColWidth="8.84375" defaultRowHeight="12.5"/>
  <cols>
    <col min="1" max="1" width="54.84375" style="120" customWidth="1"/>
    <col min="2" max="2" width="1.84375" style="120" customWidth="1"/>
    <col min="3" max="3" width="11.84375" style="120" customWidth="1"/>
    <col min="4" max="4" width="1.84375" style="120" customWidth="1"/>
    <col min="5" max="5" width="11.84375" style="120" customWidth="1"/>
    <col min="6" max="6" width="1.84375" style="120" customWidth="1"/>
    <col min="7" max="7" width="11.84375" style="120" customWidth="1"/>
    <col min="8" max="8" width="1.84375" style="120" customWidth="1"/>
    <col min="9" max="9" width="11.84375" style="120" customWidth="1"/>
    <col min="10" max="10" width="1.84375" style="120" customWidth="1"/>
    <col min="11" max="11" width="11.84375" style="120" customWidth="1"/>
    <col min="12" max="12" width="1.84375" style="120" customWidth="1"/>
    <col min="13" max="13" width="14.84375" style="120" customWidth="1"/>
    <col min="14" max="14" width="1.84375" style="120" customWidth="1"/>
    <col min="15" max="15" width="14" style="120" customWidth="1"/>
    <col min="16" max="16" width="1.84375" style="120" customWidth="1"/>
    <col min="17" max="17" width="14.84375" style="120" customWidth="1"/>
    <col min="18" max="18" width="1.84375" style="120" customWidth="1"/>
    <col min="19" max="19" width="13.53515625" style="120" bestFit="1" customWidth="1"/>
    <col min="20" max="20" width="1.84375" style="120" customWidth="1"/>
    <col min="21" max="21" width="12.84375" style="120" customWidth="1"/>
    <col min="22" max="22" width="1.84375" style="120" customWidth="1"/>
    <col min="23" max="23" width="12.84375" style="120" customWidth="1"/>
    <col min="24" max="24" width="1.84375" style="120" customWidth="1"/>
    <col min="25" max="25" width="12.84375" style="120" customWidth="1"/>
    <col min="26" max="26" width="1.84375" style="120" customWidth="1"/>
    <col min="27" max="27" width="14.07421875" style="121" customWidth="1"/>
    <col min="28" max="28" width="3.84375" style="120" customWidth="1"/>
    <col min="29" max="29" width="5.84375" style="120" customWidth="1"/>
    <col min="30" max="30" width="10.07421875" style="120" customWidth="1"/>
    <col min="31" max="31" width="2.84375" style="120" customWidth="1"/>
    <col min="32" max="16384" width="8.84375" style="120"/>
  </cols>
  <sheetData>
    <row r="1" spans="1:29" ht="15.5">
      <c r="A1" s="265" t="s">
        <v>97</v>
      </c>
    </row>
    <row r="2" spans="1:29" ht="20">
      <c r="A2" s="117"/>
      <c r="B2" s="434"/>
      <c r="C2" s="434"/>
      <c r="D2" s="434"/>
      <c r="E2" s="434"/>
      <c r="F2" s="434"/>
      <c r="G2" s="434"/>
      <c r="H2" s="434"/>
      <c r="I2" s="434"/>
      <c r="J2" s="434"/>
      <c r="K2" s="434"/>
      <c r="L2" s="118"/>
      <c r="M2" s="118"/>
      <c r="N2" s="434"/>
      <c r="O2" s="434"/>
      <c r="P2" s="434"/>
      <c r="Q2" s="434"/>
      <c r="R2" s="434"/>
      <c r="S2" s="434"/>
      <c r="T2" s="434"/>
      <c r="U2" s="434"/>
      <c r="V2" s="434"/>
      <c r="W2" s="434"/>
      <c r="X2" s="434"/>
      <c r="Y2" s="434"/>
      <c r="Z2" s="434"/>
      <c r="AA2" s="435"/>
      <c r="AB2" s="434"/>
      <c r="AC2" s="119"/>
    </row>
    <row r="3" spans="1:29" ht="15.5">
      <c r="A3"/>
      <c r="B3" s="266"/>
      <c r="C3" s="266"/>
      <c r="D3" s="266"/>
      <c r="E3" s="266"/>
      <c r="F3" s="266"/>
      <c r="G3" s="266"/>
      <c r="H3" s="266"/>
      <c r="I3" s="266"/>
      <c r="J3" s="266"/>
      <c r="K3" s="266"/>
      <c r="L3"/>
      <c r="M3" s="266"/>
      <c r="N3" s="266"/>
      <c r="O3" s="266"/>
      <c r="P3" s="266"/>
      <c r="Q3" s="266"/>
      <c r="R3" s="266"/>
      <c r="S3" s="266"/>
      <c r="T3" s="266"/>
      <c r="U3" s="266"/>
      <c r="V3" s="266"/>
      <c r="W3" s="266"/>
      <c r="X3" s="266"/>
      <c r="Y3" s="266"/>
      <c r="Z3" s="266"/>
      <c r="AA3" s="120"/>
      <c r="AB3" s="434"/>
      <c r="AC3" s="119"/>
    </row>
    <row r="4" spans="1:29" ht="20">
      <c r="A4" s="270" t="s">
        <v>98</v>
      </c>
      <c r="B4" s="266"/>
      <c r="C4" s="266"/>
      <c r="D4" s="266"/>
      <c r="E4" s="266"/>
      <c r="F4" s="266"/>
      <c r="G4" s="266"/>
      <c r="H4" s="266"/>
      <c r="I4" s="266"/>
      <c r="J4" s="266"/>
      <c r="K4" s="266"/>
      <c r="L4"/>
      <c r="M4" s="266"/>
      <c r="N4" s="266"/>
      <c r="O4" s="266"/>
      <c r="P4" s="266"/>
      <c r="Q4" s="266"/>
      <c r="R4" s="266"/>
      <c r="S4" s="266"/>
      <c r="T4" s="266"/>
      <c r="U4" s="266"/>
      <c r="V4" s="266"/>
      <c r="W4" s="266"/>
      <c r="X4" s="266"/>
      <c r="Y4" s="266"/>
      <c r="Z4" s="266"/>
      <c r="AA4" s="436" t="s">
        <v>1048</v>
      </c>
      <c r="AB4" s="434"/>
      <c r="AC4" s="119"/>
    </row>
    <row r="5" spans="1:29" s="119" customFormat="1" ht="18">
      <c r="A5" s="270" t="s">
        <v>1049</v>
      </c>
      <c r="B5" s="266"/>
      <c r="C5" s="266"/>
      <c r="D5" s="266"/>
      <c r="E5" s="266"/>
      <c r="F5" s="266"/>
      <c r="G5" s="266"/>
      <c r="H5" s="266"/>
      <c r="I5" s="266"/>
      <c r="J5" s="266"/>
      <c r="K5" s="266"/>
      <c r="L5" s="266"/>
      <c r="M5" s="266"/>
      <c r="N5" s="266"/>
      <c r="O5" s="266"/>
      <c r="P5" s="266"/>
      <c r="Q5" s="266"/>
      <c r="R5" s="266"/>
      <c r="S5" s="266"/>
      <c r="T5" s="266"/>
      <c r="U5" s="266"/>
      <c r="V5" s="266"/>
      <c r="W5" s="266"/>
      <c r="X5" s="266"/>
      <c r="Y5" s="266"/>
      <c r="Z5" s="266"/>
      <c r="AA5" s="266"/>
      <c r="AB5" s="434"/>
    </row>
    <row r="6" spans="1:29" s="119" customFormat="1" ht="18">
      <c r="A6" s="270" t="str">
        <f>'Cashflow Governmental'!A6</f>
        <v>FISCAL YEAR 2026-2027</v>
      </c>
      <c r="B6" s="266"/>
      <c r="C6" s="266"/>
      <c r="D6" s="266"/>
      <c r="E6" s="266"/>
      <c r="F6" s="266"/>
      <c r="G6" s="266"/>
      <c r="H6" s="266"/>
      <c r="I6" s="266"/>
      <c r="J6" s="266"/>
      <c r="K6" s="266"/>
      <c r="L6" s="266"/>
      <c r="M6" s="266"/>
      <c r="N6" s="266"/>
      <c r="O6" s="266"/>
      <c r="P6" s="266"/>
      <c r="Q6" s="266"/>
      <c r="R6" s="266"/>
      <c r="S6" s="266"/>
      <c r="T6" s="266"/>
      <c r="U6" s="266"/>
      <c r="V6" s="266"/>
      <c r="W6" s="266"/>
      <c r="X6" s="266"/>
      <c r="Y6" s="266"/>
      <c r="Z6" s="266"/>
      <c r="AA6" s="266"/>
      <c r="AB6" s="434"/>
    </row>
    <row r="7" spans="1:29" s="119" customFormat="1" ht="18">
      <c r="A7" s="270" t="s">
        <v>1050</v>
      </c>
      <c r="B7" s="1209"/>
      <c r="C7" s="1209"/>
      <c r="D7" s="1209"/>
      <c r="E7" s="1209"/>
      <c r="F7" s="1209"/>
      <c r="G7" s="1209"/>
      <c r="H7" s="1209"/>
      <c r="I7" s="1209"/>
      <c r="J7"/>
      <c r="K7"/>
      <c r="L7"/>
      <c r="M7"/>
      <c r="N7"/>
      <c r="O7"/>
      <c r="P7"/>
      <c r="Q7"/>
      <c r="R7" s="266"/>
      <c r="S7" s="266"/>
      <c r="T7" s="266"/>
      <c r="U7" s="266"/>
      <c r="V7" s="266"/>
      <c r="W7" s="266"/>
      <c r="X7" s="266"/>
      <c r="Y7" s="266"/>
      <c r="Z7" s="266"/>
      <c r="AA7"/>
      <c r="AB7" s="434"/>
    </row>
    <row r="8" spans="1:29" s="119" customFormat="1" ht="15.5">
      <c r="A8" s="267"/>
      <c r="B8" s="1209"/>
      <c r="C8" s="324"/>
      <c r="D8" s="324"/>
      <c r="E8" s="324"/>
      <c r="F8" s="324"/>
      <c r="G8" s="324"/>
      <c r="H8" s="324"/>
      <c r="I8" s="324"/>
      <c r="J8" s="281"/>
      <c r="K8" s="281"/>
      <c r="L8" s="281"/>
      <c r="M8" s="281"/>
      <c r="N8" s="281"/>
      <c r="O8" s="281"/>
      <c r="P8" s="281"/>
      <c r="Q8" s="281"/>
      <c r="R8" s="281"/>
      <c r="S8" s="281"/>
      <c r="T8" s="281"/>
      <c r="U8" s="281"/>
      <c r="V8" s="281"/>
      <c r="W8" s="281"/>
      <c r="X8" s="281"/>
      <c r="Y8" s="281"/>
      <c r="Z8" s="281"/>
      <c r="AA8" s="281"/>
      <c r="AB8" s="434"/>
    </row>
    <row r="9" spans="1:29" s="119" customFormat="1" ht="15.5">
      <c r="A9" s="266"/>
      <c r="B9" s="266"/>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434"/>
    </row>
    <row r="10" spans="1:29" s="119" customFormat="1" ht="18">
      <c r="A10" s="266"/>
      <c r="B10" s="280"/>
      <c r="C10" s="325" t="str">
        <f>'Cashflow Governmental'!C13</f>
        <v>2026</v>
      </c>
      <c r="D10" s="325" t="s">
        <v>103</v>
      </c>
      <c r="E10" s="325" t="str">
        <f>C10</f>
        <v>2026</v>
      </c>
      <c r="F10" s="325" t="s">
        <v>103</v>
      </c>
      <c r="G10" s="325" t="str">
        <f>C10</f>
        <v>2026</v>
      </c>
      <c r="H10" s="325" t="s">
        <v>103</v>
      </c>
      <c r="I10" s="325" t="str">
        <f>C10</f>
        <v>2026</v>
      </c>
      <c r="J10" s="325" t="s">
        <v>103</v>
      </c>
      <c r="K10" s="325" t="str">
        <f>E10</f>
        <v>2026</v>
      </c>
      <c r="L10" s="325" t="s">
        <v>103</v>
      </c>
      <c r="M10" s="325" t="str">
        <f>G10</f>
        <v>2026</v>
      </c>
      <c r="N10" s="325" t="s">
        <v>103</v>
      </c>
      <c r="O10" s="325" t="str">
        <f>I10</f>
        <v>2026</v>
      </c>
      <c r="P10" s="325" t="s">
        <v>103</v>
      </c>
      <c r="Q10" s="325" t="str">
        <f>K10</f>
        <v>2026</v>
      </c>
      <c r="R10" s="325" t="s">
        <v>103</v>
      </c>
      <c r="S10" s="325" t="str">
        <f>M10</f>
        <v>2026</v>
      </c>
      <c r="T10" s="325"/>
      <c r="U10" s="325">
        <f>'Cashflow Governmental'!U13</f>
        <v>2027</v>
      </c>
      <c r="V10" s="325"/>
      <c r="W10" s="325">
        <f>U10</f>
        <v>2027</v>
      </c>
      <c r="X10" s="325"/>
      <c r="Y10" s="325">
        <f>W10</f>
        <v>2027</v>
      </c>
      <c r="Z10" s="270"/>
      <c r="AA10" s="326" t="str">
        <f>'Medicaid Disp Share'!I10</f>
        <v>2026-2027</v>
      </c>
      <c r="AB10" s="437"/>
    </row>
    <row r="11" spans="1:29" s="119" customFormat="1" ht="18">
      <c r="A11" s="266"/>
      <c r="B11" s="280"/>
      <c r="C11" s="1085" t="s">
        <v>329</v>
      </c>
      <c r="D11" s="326"/>
      <c r="E11" s="1085" t="s">
        <v>330</v>
      </c>
      <c r="F11" s="326"/>
      <c r="G11" s="1085" t="s">
        <v>331</v>
      </c>
      <c r="H11" s="326"/>
      <c r="I11" s="1085" t="s">
        <v>332</v>
      </c>
      <c r="J11" s="326"/>
      <c r="K11" s="1085" t="s">
        <v>333</v>
      </c>
      <c r="L11" s="326"/>
      <c r="M11" s="1085" t="s">
        <v>445</v>
      </c>
      <c r="N11" s="326"/>
      <c r="O11" s="1085" t="s">
        <v>446</v>
      </c>
      <c r="P11" s="326"/>
      <c r="Q11" s="1085" t="s">
        <v>336</v>
      </c>
      <c r="R11" s="326"/>
      <c r="S11" s="1085" t="s">
        <v>337</v>
      </c>
      <c r="T11" s="326"/>
      <c r="U11" s="1085" t="s">
        <v>338</v>
      </c>
      <c r="V11" s="326"/>
      <c r="W11" s="1085" t="s">
        <v>339</v>
      </c>
      <c r="X11" s="326"/>
      <c r="Y11" s="1085" t="s">
        <v>447</v>
      </c>
      <c r="Z11" s="270"/>
      <c r="AA11" s="1085" t="s">
        <v>994</v>
      </c>
      <c r="AB11" s="434"/>
    </row>
    <row r="12" spans="1:29" s="119" customFormat="1" ht="17.5">
      <c r="A12"/>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619"/>
      <c r="AC12" s="620"/>
    </row>
    <row r="13" spans="1:29" s="119" customFormat="1" ht="17.5">
      <c r="A13" s="281" t="s">
        <v>1051</v>
      </c>
      <c r="B13" s="280"/>
      <c r="C13" s="280"/>
      <c r="D13" s="280"/>
      <c r="E13" s="280"/>
      <c r="F13" s="280"/>
      <c r="G13" s="280"/>
      <c r="H13" s="280"/>
      <c r="I13" s="280"/>
      <c r="J13" s="280"/>
      <c r="K13" s="280"/>
      <c r="L13" s="280"/>
      <c r="M13" s="280"/>
      <c r="N13" s="280"/>
      <c r="O13" s="280"/>
      <c r="P13" s="280"/>
      <c r="Q13" s="280"/>
      <c r="R13" s="280"/>
      <c r="S13" s="280"/>
      <c r="T13" s="280"/>
      <c r="U13" s="280"/>
      <c r="V13" s="280"/>
      <c r="W13" s="280"/>
      <c r="X13" s="280"/>
      <c r="Y13" s="280"/>
      <c r="Z13" s="280"/>
      <c r="AA13" s="280"/>
      <c r="AB13" s="619"/>
      <c r="AC13" s="621"/>
    </row>
    <row r="14" spans="1:29" s="119" customFormat="1" ht="17.5">
      <c r="A14" s="266" t="s">
        <v>1052</v>
      </c>
      <c r="B14" s="280"/>
      <c r="C14" s="333">
        <v>0</v>
      </c>
      <c r="D14" s="333"/>
      <c r="E14" s="333">
        <v>0</v>
      </c>
      <c r="F14" s="333"/>
      <c r="G14" s="684">
        <v>0</v>
      </c>
      <c r="H14" s="333"/>
      <c r="I14" s="684">
        <v>0</v>
      </c>
      <c r="J14" s="334"/>
      <c r="K14" s="684"/>
      <c r="L14" s="333"/>
      <c r="M14" s="684"/>
      <c r="N14" s="334"/>
      <c r="O14" s="684"/>
      <c r="P14" s="334"/>
      <c r="Q14" s="684"/>
      <c r="R14" s="334"/>
      <c r="S14" s="684"/>
      <c r="T14" s="334"/>
      <c r="U14" s="684"/>
      <c r="V14" s="334"/>
      <c r="W14" s="684"/>
      <c r="X14" s="334"/>
      <c r="Y14" s="684"/>
      <c r="Z14" s="280"/>
      <c r="AA14" s="817">
        <f>SUM(C14:Z14)</f>
        <v>0</v>
      </c>
      <c r="AB14" s="619"/>
      <c r="AC14" s="621"/>
    </row>
    <row r="15" spans="1:29" s="119" customFormat="1" ht="17.5">
      <c r="A15" s="266" t="s">
        <v>1053</v>
      </c>
      <c r="B15" s="280"/>
      <c r="C15" s="335">
        <v>0</v>
      </c>
      <c r="D15" s="336"/>
      <c r="E15" s="336">
        <v>0</v>
      </c>
      <c r="F15" s="336"/>
      <c r="G15" s="339">
        <v>0</v>
      </c>
      <c r="H15" s="336"/>
      <c r="I15" s="339">
        <v>0</v>
      </c>
      <c r="J15" s="337"/>
      <c r="K15" s="339"/>
      <c r="L15" s="336"/>
      <c r="M15" s="339"/>
      <c r="N15" s="337"/>
      <c r="O15" s="339"/>
      <c r="P15" s="337"/>
      <c r="Q15" s="339"/>
      <c r="R15" s="337"/>
      <c r="S15" s="339"/>
      <c r="T15" s="337"/>
      <c r="U15" s="339"/>
      <c r="V15" s="337"/>
      <c r="W15" s="339"/>
      <c r="X15" s="337"/>
      <c r="Y15" s="339"/>
      <c r="Z15" s="280"/>
      <c r="AA15" s="541">
        <f>SUM(C15:Z15)</f>
        <v>0</v>
      </c>
      <c r="AB15" s="619"/>
      <c r="AC15" s="621"/>
    </row>
    <row r="16" spans="1:29" s="119" customFormat="1" ht="17.5">
      <c r="A16" s="266" t="s">
        <v>1054</v>
      </c>
      <c r="B16" s="280"/>
      <c r="C16" s="335">
        <v>0</v>
      </c>
      <c r="D16" s="336"/>
      <c r="E16" s="336">
        <v>0</v>
      </c>
      <c r="F16" s="336"/>
      <c r="G16" s="339">
        <v>0</v>
      </c>
      <c r="H16" s="336"/>
      <c r="I16" s="339">
        <v>0</v>
      </c>
      <c r="J16" s="337"/>
      <c r="K16" s="339"/>
      <c r="L16" s="336"/>
      <c r="M16" s="339"/>
      <c r="N16" s="337"/>
      <c r="O16" s="339"/>
      <c r="P16" s="337"/>
      <c r="Q16" s="339"/>
      <c r="R16" s="337"/>
      <c r="S16" s="339"/>
      <c r="T16" s="337"/>
      <c r="U16" s="339"/>
      <c r="V16" s="337"/>
      <c r="W16" s="339"/>
      <c r="X16" s="337"/>
      <c r="Y16" s="339"/>
      <c r="Z16" s="280"/>
      <c r="AA16" s="541">
        <f t="shared" ref="AA16:AA19" si="0">SUM(C16:Z16)</f>
        <v>0</v>
      </c>
      <c r="AB16" s="438"/>
      <c r="AC16" s="621"/>
    </row>
    <row r="17" spans="1:29" s="119" customFormat="1" ht="17.5">
      <c r="A17" s="266" t="s">
        <v>1055</v>
      </c>
      <c r="B17" s="280"/>
      <c r="C17" s="339">
        <v>0</v>
      </c>
      <c r="D17" s="336"/>
      <c r="E17" s="338">
        <v>0</v>
      </c>
      <c r="F17" s="336"/>
      <c r="G17" s="338">
        <v>0</v>
      </c>
      <c r="H17" s="336"/>
      <c r="I17" s="338">
        <v>0</v>
      </c>
      <c r="J17" s="337"/>
      <c r="K17" s="338"/>
      <c r="L17" s="336"/>
      <c r="M17" s="338"/>
      <c r="N17" s="337"/>
      <c r="O17" s="338"/>
      <c r="P17" s="337"/>
      <c r="Q17" s="338"/>
      <c r="R17" s="337"/>
      <c r="S17" s="338"/>
      <c r="T17" s="337"/>
      <c r="U17" s="338"/>
      <c r="V17" s="337"/>
      <c r="W17" s="338"/>
      <c r="X17" s="337"/>
      <c r="Y17" s="338"/>
      <c r="Z17" s="280"/>
      <c r="AA17" s="541">
        <f t="shared" si="0"/>
        <v>0</v>
      </c>
      <c r="AB17" s="438"/>
      <c r="AC17" s="621"/>
    </row>
    <row r="18" spans="1:29" s="119" customFormat="1" ht="17.5">
      <c r="A18" s="266" t="s">
        <v>1056</v>
      </c>
      <c r="B18" s="280"/>
      <c r="C18" s="335">
        <v>0</v>
      </c>
      <c r="D18" s="336"/>
      <c r="E18" s="336">
        <v>0</v>
      </c>
      <c r="F18" s="336"/>
      <c r="G18" s="339">
        <v>0</v>
      </c>
      <c r="H18" s="336"/>
      <c r="I18" s="339">
        <v>0</v>
      </c>
      <c r="J18" s="337"/>
      <c r="K18" s="339"/>
      <c r="L18" s="336"/>
      <c r="M18" s="339"/>
      <c r="N18" s="337"/>
      <c r="O18" s="339"/>
      <c r="P18" s="337"/>
      <c r="Q18" s="339"/>
      <c r="R18" s="337"/>
      <c r="S18" s="339"/>
      <c r="T18" s="337"/>
      <c r="U18" s="339"/>
      <c r="V18" s="337"/>
      <c r="W18" s="339"/>
      <c r="X18" s="337"/>
      <c r="Y18" s="339"/>
      <c r="Z18" s="280"/>
      <c r="AA18" s="541">
        <f t="shared" si="0"/>
        <v>0</v>
      </c>
      <c r="AB18" s="438"/>
      <c r="AC18" s="621"/>
    </row>
    <row r="19" spans="1:29" s="119" customFormat="1" ht="17.5">
      <c r="A19" s="266" t="s">
        <v>1057</v>
      </c>
      <c r="B19" s="280"/>
      <c r="C19" s="336">
        <v>0</v>
      </c>
      <c r="D19" s="336"/>
      <c r="E19" s="336">
        <v>0</v>
      </c>
      <c r="F19" s="336"/>
      <c r="G19" s="335">
        <v>0</v>
      </c>
      <c r="H19" s="336"/>
      <c r="I19" s="335">
        <v>0</v>
      </c>
      <c r="J19" s="337"/>
      <c r="K19" s="335"/>
      <c r="L19" s="336"/>
      <c r="M19" s="339"/>
      <c r="N19" s="337"/>
      <c r="O19" s="339"/>
      <c r="P19" s="337"/>
      <c r="Q19" s="339"/>
      <c r="R19" s="337"/>
      <c r="S19" s="339"/>
      <c r="T19" s="337"/>
      <c r="U19" s="339"/>
      <c r="V19" s="337"/>
      <c r="W19" s="339"/>
      <c r="X19" s="337"/>
      <c r="Y19" s="339"/>
      <c r="Z19" s="280"/>
      <c r="AA19" s="541">
        <f t="shared" si="0"/>
        <v>0</v>
      </c>
      <c r="AB19" s="438"/>
      <c r="AC19" s="621"/>
    </row>
    <row r="20" spans="1:29" s="119" customFormat="1" ht="17.5">
      <c r="A20" s="281" t="s">
        <v>1058</v>
      </c>
      <c r="B20" s="280"/>
      <c r="C20" s="1086">
        <f>ROUND(SUM(C14:C19),0)</f>
        <v>0</v>
      </c>
      <c r="D20" s="266"/>
      <c r="E20" s="1086">
        <f>ROUND(SUM(E14:E19),0)</f>
        <v>0</v>
      </c>
      <c r="F20" s="266"/>
      <c r="G20" s="1086">
        <f>ROUND(SUM(G14:G19),0)</f>
        <v>0</v>
      </c>
      <c r="H20" s="266"/>
      <c r="I20" s="1086">
        <f>ROUND(SUM(I14:I19),0)</f>
        <v>0</v>
      </c>
      <c r="J20" s="266"/>
      <c r="K20" s="1086">
        <f>ROUND(SUM(K14:K19),0)</f>
        <v>0</v>
      </c>
      <c r="L20" s="266"/>
      <c r="M20" s="1086">
        <f>ROUND(SUM(M14:M19),0)</f>
        <v>0</v>
      </c>
      <c r="N20" s="266"/>
      <c r="O20" s="1086">
        <f>ROUND(SUM(O14:O19),0)</f>
        <v>0</v>
      </c>
      <c r="P20" s="266"/>
      <c r="Q20" s="1086">
        <f>ROUND(SUM(Q14:Q19),0)</f>
        <v>0</v>
      </c>
      <c r="R20" s="266"/>
      <c r="S20" s="1086">
        <f>ROUND(SUM(S14:S19),0)</f>
        <v>0</v>
      </c>
      <c r="T20" s="266"/>
      <c r="U20" s="1086">
        <f>ROUND(SUM(U14:U19),0)</f>
        <v>0</v>
      </c>
      <c r="V20" s="266"/>
      <c r="W20" s="1086">
        <f>ROUND(SUM(W14:W19),0)</f>
        <v>0</v>
      </c>
      <c r="X20" s="266"/>
      <c r="Y20" s="1086">
        <f>ROUND(SUM(Y14:Y19),0)</f>
        <v>0</v>
      </c>
      <c r="Z20" s="266"/>
      <c r="AA20" s="1086">
        <f>ROUND(SUM(AA14:AA19),0)</f>
        <v>0</v>
      </c>
      <c r="AB20" s="438"/>
      <c r="AC20" s="621"/>
    </row>
    <row r="21" spans="1:29" s="119" customFormat="1" ht="17.5">
      <c r="A21"/>
      <c r="B21" s="280"/>
      <c r="C21" s="280"/>
      <c r="D21" s="280"/>
      <c r="E21" s="280"/>
      <c r="F21" s="280"/>
      <c r="G21" s="280"/>
      <c r="H21" s="280"/>
      <c r="I21" s="280"/>
      <c r="J21" s="280"/>
      <c r="K21" s="280"/>
      <c r="L21" s="280"/>
      <c r="M21" s="280"/>
      <c r="N21" s="280"/>
      <c r="O21" s="280"/>
      <c r="P21" s="280"/>
      <c r="Q21" s="280"/>
      <c r="R21" s="280"/>
      <c r="S21" s="280"/>
      <c r="T21" s="280"/>
      <c r="U21" s="280"/>
      <c r="V21" s="280"/>
      <c r="W21" s="280"/>
      <c r="X21" s="280"/>
      <c r="Y21" s="280"/>
      <c r="Z21" s="280"/>
      <c r="AA21" s="266"/>
      <c r="AB21" s="438"/>
      <c r="AC21" s="621"/>
    </row>
    <row r="22" spans="1:29" s="119" customFormat="1" ht="17.5">
      <c r="A22" s="266"/>
      <c r="B22" s="280"/>
      <c r="C22" s="280"/>
      <c r="D22" s="280"/>
      <c r="E22" s="280"/>
      <c r="F22" s="280"/>
      <c r="G22" s="280"/>
      <c r="H22" s="280"/>
      <c r="I22" s="280"/>
      <c r="J22" s="280"/>
      <c r="K22" s="280"/>
      <c r="L22" s="280"/>
      <c r="M22" s="280"/>
      <c r="N22" s="280"/>
      <c r="O22" s="280"/>
      <c r="P22" s="280"/>
      <c r="Q22" s="280"/>
      <c r="R22" s="280"/>
      <c r="S22" s="280"/>
      <c r="T22" s="280"/>
      <c r="U22" s="280"/>
      <c r="V22" s="280"/>
      <c r="W22" s="280"/>
      <c r="X22" s="280"/>
      <c r="Y22" s="280"/>
      <c r="Z22" s="280"/>
      <c r="AA22" s="266"/>
      <c r="AB22" s="438"/>
      <c r="AC22" s="621"/>
    </row>
    <row r="23" spans="1:29" ht="17.5">
      <c r="A23" s="266"/>
      <c r="B23" s="280"/>
      <c r="C23" s="280"/>
      <c r="D23" s="280"/>
      <c r="E23" s="280"/>
      <c r="F23" s="280"/>
      <c r="G23" s="280"/>
      <c r="H23" s="280"/>
      <c r="I23" s="280"/>
      <c r="J23" s="280"/>
      <c r="K23" s="280"/>
      <c r="L23" s="280"/>
      <c r="M23" s="280"/>
      <c r="N23" s="280"/>
      <c r="O23" s="280"/>
      <c r="P23" s="280"/>
      <c r="Q23" s="280"/>
      <c r="R23" s="280"/>
      <c r="S23" s="685"/>
      <c r="T23" s="280"/>
      <c r="U23" s="280"/>
      <c r="V23" s="280"/>
      <c r="W23" s="280"/>
      <c r="X23" s="280"/>
      <c r="Y23" s="280"/>
      <c r="Z23" s="280"/>
      <c r="AA23" s="266"/>
    </row>
    <row r="24" spans="1:29" s="122" customFormat="1" ht="18" thickBot="1">
      <c r="A24" s="281" t="s">
        <v>1059</v>
      </c>
      <c r="B24" s="280"/>
      <c r="C24" s="1087">
        <f>ROUND(C20,0)</f>
        <v>0</v>
      </c>
      <c r="D24" s="266"/>
      <c r="E24" s="1087">
        <f>ROUND(E20,0)</f>
        <v>0</v>
      </c>
      <c r="F24" s="266"/>
      <c r="G24" s="1087">
        <f>ROUND(G20,0)</f>
        <v>0</v>
      </c>
      <c r="H24" s="266"/>
      <c r="I24" s="1087">
        <f>ROUND(I20,0)</f>
        <v>0</v>
      </c>
      <c r="J24" s="266"/>
      <c r="K24" s="1087">
        <f>ROUND(K20,0)</f>
        <v>0</v>
      </c>
      <c r="L24" s="266"/>
      <c r="M24" s="1087">
        <f>ROUND(M20,0)</f>
        <v>0</v>
      </c>
      <c r="N24" s="266"/>
      <c r="O24" s="1087">
        <f>ROUND(O20,0)</f>
        <v>0</v>
      </c>
      <c r="P24" s="266"/>
      <c r="Q24" s="1087">
        <f>ROUND(Q20,0)</f>
        <v>0</v>
      </c>
      <c r="R24" s="266"/>
      <c r="S24" s="1087">
        <f>ROUND(S20,0)</f>
        <v>0</v>
      </c>
      <c r="T24" s="266"/>
      <c r="U24" s="1087">
        <f>ROUND(U20,0)</f>
        <v>0</v>
      </c>
      <c r="V24" s="266"/>
      <c r="W24" s="1087">
        <f>ROUND(W20,0)</f>
        <v>0</v>
      </c>
      <c r="X24" s="266"/>
      <c r="Y24" s="1087">
        <f>ROUND(Y20,0)</f>
        <v>0</v>
      </c>
      <c r="Z24" s="266"/>
      <c r="AA24" s="1087">
        <f>ROUND(AA20,0)</f>
        <v>0</v>
      </c>
    </row>
    <row r="25" spans="1:29" ht="16" thickTop="1">
      <c r="A25" s="439"/>
      <c r="C25" s="121"/>
      <c r="D25" s="121"/>
      <c r="E25" s="121"/>
      <c r="F25" s="121"/>
      <c r="G25" s="121"/>
      <c r="H25" s="121"/>
      <c r="I25" s="121"/>
      <c r="J25" s="121"/>
      <c r="K25" s="121"/>
      <c r="L25" s="121"/>
      <c r="M25" s="121"/>
      <c r="N25" s="121"/>
      <c r="O25" s="121"/>
      <c r="P25" s="121"/>
      <c r="Q25" s="121"/>
      <c r="R25" s="121"/>
      <c r="S25" s="121"/>
      <c r="T25" s="121"/>
      <c r="U25" s="121"/>
      <c r="V25" s="121"/>
      <c r="W25" s="121"/>
      <c r="X25" s="121"/>
      <c r="Y25" s="123"/>
    </row>
    <row r="26" spans="1:29" ht="13" thickBot="1"/>
    <row r="27" spans="1:29" ht="20.149999999999999" customHeight="1">
      <c r="A27" s="2074" t="s">
        <v>1429</v>
      </c>
      <c r="B27" s="2075"/>
      <c r="C27" s="2075"/>
      <c r="D27" s="2075"/>
      <c r="E27" s="2075"/>
      <c r="F27" s="2075"/>
      <c r="G27" s="2075"/>
      <c r="H27" s="2075"/>
      <c r="I27" s="2075"/>
      <c r="J27" s="2075"/>
      <c r="K27" s="2075"/>
      <c r="L27" s="2075"/>
      <c r="M27" s="2075"/>
      <c r="N27" s="2075"/>
      <c r="O27" s="2075"/>
      <c r="P27" s="2075"/>
      <c r="Q27" s="2075"/>
      <c r="R27" s="2075"/>
      <c r="S27" s="2075"/>
      <c r="T27" s="2075"/>
      <c r="U27" s="2075"/>
      <c r="V27" s="2075"/>
      <c r="W27" s="2075"/>
      <c r="X27" s="2075"/>
      <c r="Y27" s="2075"/>
      <c r="Z27" s="2075"/>
      <c r="AA27" s="2076"/>
    </row>
    <row r="28" spans="1:29" ht="20.149999999999999" customHeight="1">
      <c r="A28" s="2077"/>
      <c r="B28" s="2078"/>
      <c r="C28" s="2078"/>
      <c r="D28" s="2078"/>
      <c r="E28" s="2078"/>
      <c r="F28" s="2078"/>
      <c r="G28" s="2078"/>
      <c r="H28" s="2078"/>
      <c r="I28" s="2078"/>
      <c r="J28" s="2078"/>
      <c r="K28" s="2078"/>
      <c r="L28" s="2078"/>
      <c r="M28" s="2078"/>
      <c r="N28" s="2078"/>
      <c r="O28" s="2078"/>
      <c r="P28" s="2078"/>
      <c r="Q28" s="2078"/>
      <c r="R28" s="2078"/>
      <c r="S28" s="2078"/>
      <c r="T28" s="2078"/>
      <c r="U28" s="2078"/>
      <c r="V28" s="2078"/>
      <c r="W28" s="2078"/>
      <c r="X28" s="2078"/>
      <c r="Y28" s="2078"/>
      <c r="Z28" s="2078"/>
      <c r="AA28" s="2079"/>
    </row>
    <row r="29" spans="1:29" ht="22.5" customHeight="1" thickBot="1">
      <c r="A29" s="2080"/>
      <c r="B29" s="2081"/>
      <c r="C29" s="2081"/>
      <c r="D29" s="2081"/>
      <c r="E29" s="2081"/>
      <c r="F29" s="2081"/>
      <c r="G29" s="2081"/>
      <c r="H29" s="2081"/>
      <c r="I29" s="2081"/>
      <c r="J29" s="2081"/>
      <c r="K29" s="2081"/>
      <c r="L29" s="2081"/>
      <c r="M29" s="2081"/>
      <c r="N29" s="2081"/>
      <c r="O29" s="2081"/>
      <c r="P29" s="2081"/>
      <c r="Q29" s="2081"/>
      <c r="R29" s="2081"/>
      <c r="S29" s="2081"/>
      <c r="T29" s="2081"/>
      <c r="U29" s="2081"/>
      <c r="V29" s="2081"/>
      <c r="W29" s="2081"/>
      <c r="X29" s="2081"/>
      <c r="Y29" s="2081"/>
      <c r="Z29" s="2081"/>
      <c r="AA29" s="2082"/>
    </row>
    <row r="31" spans="1:29" ht="14.9" customHeight="1"/>
    <row r="34" ht="14.15" customHeight="1"/>
  </sheetData>
  <mergeCells count="1">
    <mergeCell ref="A27:AA29"/>
  </mergeCells>
  <printOptions horizontalCentered="1"/>
  <pageMargins left="0.25" right="0.25" top="0.5" bottom="0.25" header="0" footer="0.25"/>
  <pageSetup scale="45" firstPageNumber="51" orientation="landscape" useFirstPageNumber="1" r:id="rId1"/>
  <headerFooter scaleWithDoc="0" alignWithMargins="0">
    <oddFooter>&amp;C&amp;8&amp;P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1">
    <pageSetUpPr fitToPage="1"/>
  </sheetPr>
  <dimension ref="B1:AE268"/>
  <sheetViews>
    <sheetView showGridLines="0" zoomScale="90" workbookViewId="0"/>
  </sheetViews>
  <sheetFormatPr defaultRowHeight="14.5"/>
  <cols>
    <col min="1" max="1" width="2.07421875" style="757" customWidth="1"/>
    <col min="2" max="2" width="10.07421875" style="757" customWidth="1"/>
    <col min="3" max="3" width="2.07421875" style="757" customWidth="1"/>
    <col min="4" max="4" width="51.84375" style="757" customWidth="1"/>
    <col min="5" max="5" width="4.07421875" style="757" customWidth="1"/>
    <col min="6" max="6" width="2.07421875" style="815" customWidth="1"/>
    <col min="7" max="7" width="21.84375" style="1174" bestFit="1" customWidth="1"/>
    <col min="8" max="8" width="2.07421875" style="757" customWidth="1"/>
    <col min="9" max="9" width="21.53515625" style="757" bestFit="1" customWidth="1"/>
    <col min="10" max="10" width="2.07421875" style="757" customWidth="1"/>
    <col min="11" max="11" width="21.84375" style="757" bestFit="1" customWidth="1"/>
    <col min="12" max="12" width="2.07421875" style="757" customWidth="1"/>
    <col min="13" max="13" width="20.84375" style="757" customWidth="1"/>
    <col min="14" max="14" width="2.07421875" style="757" customWidth="1"/>
    <col min="15" max="15" width="22.07421875" style="757" bestFit="1" customWidth="1"/>
    <col min="16" max="16" width="6.07421875" style="757" bestFit="1" customWidth="1"/>
    <col min="17" max="17" width="13.07421875" style="757" bestFit="1" customWidth="1"/>
    <col min="18" max="255" width="8.84375" style="757"/>
    <col min="256" max="257" width="8.84375" style="757" customWidth="1"/>
    <col min="258" max="258" width="10.07421875" style="757" customWidth="1"/>
    <col min="259" max="259" width="2.07421875" style="757" customWidth="1"/>
    <col min="260" max="260" width="50.4609375" style="757" customWidth="1"/>
    <col min="261" max="261" width="8.84375" style="757"/>
    <col min="262" max="262" width="2.07421875" style="757" customWidth="1"/>
    <col min="263" max="263" width="23.84375" style="757" customWidth="1"/>
    <col min="264" max="264" width="2.07421875" style="757" customWidth="1"/>
    <col min="265" max="265" width="23.84375" style="757" customWidth="1"/>
    <col min="266" max="266" width="2.07421875" style="757" customWidth="1"/>
    <col min="267" max="267" width="23.84375" style="757" customWidth="1"/>
    <col min="268" max="268" width="2.07421875" style="757" customWidth="1"/>
    <col min="269" max="269" width="23.84375" style="757" customWidth="1"/>
    <col min="270" max="270" width="2.07421875" style="757" customWidth="1"/>
    <col min="271" max="271" width="23.84375" style="757" customWidth="1"/>
    <col min="272" max="272" width="2.84375" style="757" bestFit="1" customWidth="1"/>
    <col min="273" max="511" width="8.84375" style="757"/>
    <col min="512" max="513" width="8.84375" style="757" customWidth="1"/>
    <col min="514" max="514" width="10.07421875" style="757" customWidth="1"/>
    <col min="515" max="515" width="2.07421875" style="757" customWidth="1"/>
    <col min="516" max="516" width="50.4609375" style="757" customWidth="1"/>
    <col min="517" max="517" width="8.84375" style="757"/>
    <col min="518" max="518" width="2.07421875" style="757" customWidth="1"/>
    <col min="519" max="519" width="23.84375" style="757" customWidth="1"/>
    <col min="520" max="520" width="2.07421875" style="757" customWidth="1"/>
    <col min="521" max="521" width="23.84375" style="757" customWidth="1"/>
    <col min="522" max="522" width="2.07421875" style="757" customWidth="1"/>
    <col min="523" max="523" width="23.84375" style="757" customWidth="1"/>
    <col min="524" max="524" width="2.07421875" style="757" customWidth="1"/>
    <col min="525" max="525" width="23.84375" style="757" customWidth="1"/>
    <col min="526" max="526" width="2.07421875" style="757" customWidth="1"/>
    <col min="527" max="527" width="23.84375" style="757" customWidth="1"/>
    <col min="528" max="528" width="2.84375" style="757" bestFit="1" customWidth="1"/>
    <col min="529" max="767" width="8.84375" style="757"/>
    <col min="768" max="769" width="8.84375" style="757" customWidth="1"/>
    <col min="770" max="770" width="10.07421875" style="757" customWidth="1"/>
    <col min="771" max="771" width="2.07421875" style="757" customWidth="1"/>
    <col min="772" max="772" width="50.4609375" style="757" customWidth="1"/>
    <col min="773" max="773" width="8.84375" style="757"/>
    <col min="774" max="774" width="2.07421875" style="757" customWidth="1"/>
    <col min="775" max="775" width="23.84375" style="757" customWidth="1"/>
    <col min="776" max="776" width="2.07421875" style="757" customWidth="1"/>
    <col min="777" max="777" width="23.84375" style="757" customWidth="1"/>
    <col min="778" max="778" width="2.07421875" style="757" customWidth="1"/>
    <col min="779" max="779" width="23.84375" style="757" customWidth="1"/>
    <col min="780" max="780" width="2.07421875" style="757" customWidth="1"/>
    <col min="781" max="781" width="23.84375" style="757" customWidth="1"/>
    <col min="782" max="782" width="2.07421875" style="757" customWidth="1"/>
    <col min="783" max="783" width="23.84375" style="757" customWidth="1"/>
    <col min="784" max="784" width="2.84375" style="757" bestFit="1" customWidth="1"/>
    <col min="785" max="1023" width="8.84375" style="757"/>
    <col min="1024" max="1025" width="8.84375" style="757" customWidth="1"/>
    <col min="1026" max="1026" width="10.07421875" style="757" customWidth="1"/>
    <col min="1027" max="1027" width="2.07421875" style="757" customWidth="1"/>
    <col min="1028" max="1028" width="50.4609375" style="757" customWidth="1"/>
    <col min="1029" max="1029" width="8.84375" style="757"/>
    <col min="1030" max="1030" width="2.07421875" style="757" customWidth="1"/>
    <col min="1031" max="1031" width="23.84375" style="757" customWidth="1"/>
    <col min="1032" max="1032" width="2.07421875" style="757" customWidth="1"/>
    <col min="1033" max="1033" width="23.84375" style="757" customWidth="1"/>
    <col min="1034" max="1034" width="2.07421875" style="757" customWidth="1"/>
    <col min="1035" max="1035" width="23.84375" style="757" customWidth="1"/>
    <col min="1036" max="1036" width="2.07421875" style="757" customWidth="1"/>
    <col min="1037" max="1037" width="23.84375" style="757" customWidth="1"/>
    <col min="1038" max="1038" width="2.07421875" style="757" customWidth="1"/>
    <col min="1039" max="1039" width="23.84375" style="757" customWidth="1"/>
    <col min="1040" max="1040" width="2.84375" style="757" bestFit="1" customWidth="1"/>
    <col min="1041" max="1279" width="8.84375" style="757"/>
    <col min="1280" max="1281" width="8.84375" style="757" customWidth="1"/>
    <col min="1282" max="1282" width="10.07421875" style="757" customWidth="1"/>
    <col min="1283" max="1283" width="2.07421875" style="757" customWidth="1"/>
    <col min="1284" max="1284" width="50.4609375" style="757" customWidth="1"/>
    <col min="1285" max="1285" width="8.84375" style="757"/>
    <col min="1286" max="1286" width="2.07421875" style="757" customWidth="1"/>
    <col min="1287" max="1287" width="23.84375" style="757" customWidth="1"/>
    <col min="1288" max="1288" width="2.07421875" style="757" customWidth="1"/>
    <col min="1289" max="1289" width="23.84375" style="757" customWidth="1"/>
    <col min="1290" max="1290" width="2.07421875" style="757" customWidth="1"/>
    <col min="1291" max="1291" width="23.84375" style="757" customWidth="1"/>
    <col min="1292" max="1292" width="2.07421875" style="757" customWidth="1"/>
    <col min="1293" max="1293" width="23.84375" style="757" customWidth="1"/>
    <col min="1294" max="1294" width="2.07421875" style="757" customWidth="1"/>
    <col min="1295" max="1295" width="23.84375" style="757" customWidth="1"/>
    <col min="1296" max="1296" width="2.84375" style="757" bestFit="1" customWidth="1"/>
    <col min="1297" max="1535" width="8.84375" style="757"/>
    <col min="1536" max="1537" width="8.84375" style="757" customWidth="1"/>
    <col min="1538" max="1538" width="10.07421875" style="757" customWidth="1"/>
    <col min="1539" max="1539" width="2.07421875" style="757" customWidth="1"/>
    <col min="1540" max="1540" width="50.4609375" style="757" customWidth="1"/>
    <col min="1541" max="1541" width="8.84375" style="757"/>
    <col min="1542" max="1542" width="2.07421875" style="757" customWidth="1"/>
    <col min="1543" max="1543" width="23.84375" style="757" customWidth="1"/>
    <col min="1544" max="1544" width="2.07421875" style="757" customWidth="1"/>
    <col min="1545" max="1545" width="23.84375" style="757" customWidth="1"/>
    <col min="1546" max="1546" width="2.07421875" style="757" customWidth="1"/>
    <col min="1547" max="1547" width="23.84375" style="757" customWidth="1"/>
    <col min="1548" max="1548" width="2.07421875" style="757" customWidth="1"/>
    <col min="1549" max="1549" width="23.84375" style="757" customWidth="1"/>
    <col min="1550" max="1550" width="2.07421875" style="757" customWidth="1"/>
    <col min="1551" max="1551" width="23.84375" style="757" customWidth="1"/>
    <col min="1552" max="1552" width="2.84375" style="757" bestFit="1" customWidth="1"/>
    <col min="1553" max="1791" width="8.84375" style="757"/>
    <col min="1792" max="1793" width="8.84375" style="757" customWidth="1"/>
    <col min="1794" max="1794" width="10.07421875" style="757" customWidth="1"/>
    <col min="1795" max="1795" width="2.07421875" style="757" customWidth="1"/>
    <col min="1796" max="1796" width="50.4609375" style="757" customWidth="1"/>
    <col min="1797" max="1797" width="8.84375" style="757"/>
    <col min="1798" max="1798" width="2.07421875" style="757" customWidth="1"/>
    <col min="1799" max="1799" width="23.84375" style="757" customWidth="1"/>
    <col min="1800" max="1800" width="2.07421875" style="757" customWidth="1"/>
    <col min="1801" max="1801" width="23.84375" style="757" customWidth="1"/>
    <col min="1802" max="1802" width="2.07421875" style="757" customWidth="1"/>
    <col min="1803" max="1803" width="23.84375" style="757" customWidth="1"/>
    <col min="1804" max="1804" width="2.07421875" style="757" customWidth="1"/>
    <col min="1805" max="1805" width="23.84375" style="757" customWidth="1"/>
    <col min="1806" max="1806" width="2.07421875" style="757" customWidth="1"/>
    <col min="1807" max="1807" width="23.84375" style="757" customWidth="1"/>
    <col min="1808" max="1808" width="2.84375" style="757" bestFit="1" customWidth="1"/>
    <col min="1809" max="2047" width="8.84375" style="757"/>
    <col min="2048" max="2049" width="8.84375" style="757" customWidth="1"/>
    <col min="2050" max="2050" width="10.07421875" style="757" customWidth="1"/>
    <col min="2051" max="2051" width="2.07421875" style="757" customWidth="1"/>
    <col min="2052" max="2052" width="50.4609375" style="757" customWidth="1"/>
    <col min="2053" max="2053" width="8.84375" style="757"/>
    <col min="2054" max="2054" width="2.07421875" style="757" customWidth="1"/>
    <col min="2055" max="2055" width="23.84375" style="757" customWidth="1"/>
    <col min="2056" max="2056" width="2.07421875" style="757" customWidth="1"/>
    <col min="2057" max="2057" width="23.84375" style="757" customWidth="1"/>
    <col min="2058" max="2058" width="2.07421875" style="757" customWidth="1"/>
    <col min="2059" max="2059" width="23.84375" style="757" customWidth="1"/>
    <col min="2060" max="2060" width="2.07421875" style="757" customWidth="1"/>
    <col min="2061" max="2061" width="23.84375" style="757" customWidth="1"/>
    <col min="2062" max="2062" width="2.07421875" style="757" customWidth="1"/>
    <col min="2063" max="2063" width="23.84375" style="757" customWidth="1"/>
    <col min="2064" max="2064" width="2.84375" style="757" bestFit="1" customWidth="1"/>
    <col min="2065" max="2303" width="8.84375" style="757"/>
    <col min="2304" max="2305" width="8.84375" style="757" customWidth="1"/>
    <col min="2306" max="2306" width="10.07421875" style="757" customWidth="1"/>
    <col min="2307" max="2307" width="2.07421875" style="757" customWidth="1"/>
    <col min="2308" max="2308" width="50.4609375" style="757" customWidth="1"/>
    <col min="2309" max="2309" width="8.84375" style="757"/>
    <col min="2310" max="2310" width="2.07421875" style="757" customWidth="1"/>
    <col min="2311" max="2311" width="23.84375" style="757" customWidth="1"/>
    <col min="2312" max="2312" width="2.07421875" style="757" customWidth="1"/>
    <col min="2313" max="2313" width="23.84375" style="757" customWidth="1"/>
    <col min="2314" max="2314" width="2.07421875" style="757" customWidth="1"/>
    <col min="2315" max="2315" width="23.84375" style="757" customWidth="1"/>
    <col min="2316" max="2316" width="2.07421875" style="757" customWidth="1"/>
    <col min="2317" max="2317" width="23.84375" style="757" customWidth="1"/>
    <col min="2318" max="2318" width="2.07421875" style="757" customWidth="1"/>
    <col min="2319" max="2319" width="23.84375" style="757" customWidth="1"/>
    <col min="2320" max="2320" width="2.84375" style="757" bestFit="1" customWidth="1"/>
    <col min="2321" max="2559" width="8.84375" style="757"/>
    <col min="2560" max="2561" width="8.84375" style="757" customWidth="1"/>
    <col min="2562" max="2562" width="10.07421875" style="757" customWidth="1"/>
    <col min="2563" max="2563" width="2.07421875" style="757" customWidth="1"/>
    <col min="2564" max="2564" width="50.4609375" style="757" customWidth="1"/>
    <col min="2565" max="2565" width="8.84375" style="757"/>
    <col min="2566" max="2566" width="2.07421875" style="757" customWidth="1"/>
    <col min="2567" max="2567" width="23.84375" style="757" customWidth="1"/>
    <col min="2568" max="2568" width="2.07421875" style="757" customWidth="1"/>
    <col min="2569" max="2569" width="23.84375" style="757" customWidth="1"/>
    <col min="2570" max="2570" width="2.07421875" style="757" customWidth="1"/>
    <col min="2571" max="2571" width="23.84375" style="757" customWidth="1"/>
    <col min="2572" max="2572" width="2.07421875" style="757" customWidth="1"/>
    <col min="2573" max="2573" width="23.84375" style="757" customWidth="1"/>
    <col min="2574" max="2574" width="2.07421875" style="757" customWidth="1"/>
    <col min="2575" max="2575" width="23.84375" style="757" customWidth="1"/>
    <col min="2576" max="2576" width="2.84375" style="757" bestFit="1" customWidth="1"/>
    <col min="2577" max="2815" width="8.84375" style="757"/>
    <col min="2816" max="2817" width="8.84375" style="757" customWidth="1"/>
    <col min="2818" max="2818" width="10.07421875" style="757" customWidth="1"/>
    <col min="2819" max="2819" width="2.07421875" style="757" customWidth="1"/>
    <col min="2820" max="2820" width="50.4609375" style="757" customWidth="1"/>
    <col min="2821" max="2821" width="8.84375" style="757"/>
    <col min="2822" max="2822" width="2.07421875" style="757" customWidth="1"/>
    <col min="2823" max="2823" width="23.84375" style="757" customWidth="1"/>
    <col min="2824" max="2824" width="2.07421875" style="757" customWidth="1"/>
    <col min="2825" max="2825" width="23.84375" style="757" customWidth="1"/>
    <col min="2826" max="2826" width="2.07421875" style="757" customWidth="1"/>
    <col min="2827" max="2827" width="23.84375" style="757" customWidth="1"/>
    <col min="2828" max="2828" width="2.07421875" style="757" customWidth="1"/>
    <col min="2829" max="2829" width="23.84375" style="757" customWidth="1"/>
    <col min="2830" max="2830" width="2.07421875" style="757" customWidth="1"/>
    <col min="2831" max="2831" width="23.84375" style="757" customWidth="1"/>
    <col min="2832" max="2832" width="2.84375" style="757" bestFit="1" customWidth="1"/>
    <col min="2833" max="3071" width="8.84375" style="757"/>
    <col min="3072" max="3073" width="8.84375" style="757" customWidth="1"/>
    <col min="3074" max="3074" width="10.07421875" style="757" customWidth="1"/>
    <col min="3075" max="3075" width="2.07421875" style="757" customWidth="1"/>
    <col min="3076" max="3076" width="50.4609375" style="757" customWidth="1"/>
    <col min="3077" max="3077" width="8.84375" style="757"/>
    <col min="3078" max="3078" width="2.07421875" style="757" customWidth="1"/>
    <col min="3079" max="3079" width="23.84375" style="757" customWidth="1"/>
    <col min="3080" max="3080" width="2.07421875" style="757" customWidth="1"/>
    <col min="3081" max="3081" width="23.84375" style="757" customWidth="1"/>
    <col min="3082" max="3082" width="2.07421875" style="757" customWidth="1"/>
    <col min="3083" max="3083" width="23.84375" style="757" customWidth="1"/>
    <col min="3084" max="3084" width="2.07421875" style="757" customWidth="1"/>
    <col min="3085" max="3085" width="23.84375" style="757" customWidth="1"/>
    <col min="3086" max="3086" width="2.07421875" style="757" customWidth="1"/>
    <col min="3087" max="3087" width="23.84375" style="757" customWidth="1"/>
    <col min="3088" max="3088" width="2.84375" style="757" bestFit="1" customWidth="1"/>
    <col min="3089" max="3327" width="8.84375" style="757"/>
    <col min="3328" max="3329" width="8.84375" style="757" customWidth="1"/>
    <col min="3330" max="3330" width="10.07421875" style="757" customWidth="1"/>
    <col min="3331" max="3331" width="2.07421875" style="757" customWidth="1"/>
    <col min="3332" max="3332" width="50.4609375" style="757" customWidth="1"/>
    <col min="3333" max="3333" width="8.84375" style="757"/>
    <col min="3334" max="3334" width="2.07421875" style="757" customWidth="1"/>
    <col min="3335" max="3335" width="23.84375" style="757" customWidth="1"/>
    <col min="3336" max="3336" width="2.07421875" style="757" customWidth="1"/>
    <col min="3337" max="3337" width="23.84375" style="757" customWidth="1"/>
    <col min="3338" max="3338" width="2.07421875" style="757" customWidth="1"/>
    <col min="3339" max="3339" width="23.84375" style="757" customWidth="1"/>
    <col min="3340" max="3340" width="2.07421875" style="757" customWidth="1"/>
    <col min="3341" max="3341" width="23.84375" style="757" customWidth="1"/>
    <col min="3342" max="3342" width="2.07421875" style="757" customWidth="1"/>
    <col min="3343" max="3343" width="23.84375" style="757" customWidth="1"/>
    <col min="3344" max="3344" width="2.84375" style="757" bestFit="1" customWidth="1"/>
    <col min="3345" max="3583" width="8.84375" style="757"/>
    <col min="3584" max="3585" width="8.84375" style="757" customWidth="1"/>
    <col min="3586" max="3586" width="10.07421875" style="757" customWidth="1"/>
    <col min="3587" max="3587" width="2.07421875" style="757" customWidth="1"/>
    <col min="3588" max="3588" width="50.4609375" style="757" customWidth="1"/>
    <col min="3589" max="3589" width="8.84375" style="757"/>
    <col min="3590" max="3590" width="2.07421875" style="757" customWidth="1"/>
    <col min="3591" max="3591" width="23.84375" style="757" customWidth="1"/>
    <col min="3592" max="3592" width="2.07421875" style="757" customWidth="1"/>
    <col min="3593" max="3593" width="23.84375" style="757" customWidth="1"/>
    <col min="3594" max="3594" width="2.07421875" style="757" customWidth="1"/>
    <col min="3595" max="3595" width="23.84375" style="757" customWidth="1"/>
    <col min="3596" max="3596" width="2.07421875" style="757" customWidth="1"/>
    <col min="3597" max="3597" width="23.84375" style="757" customWidth="1"/>
    <col min="3598" max="3598" width="2.07421875" style="757" customWidth="1"/>
    <col min="3599" max="3599" width="23.84375" style="757" customWidth="1"/>
    <col min="3600" max="3600" width="2.84375" style="757" bestFit="1" customWidth="1"/>
    <col min="3601" max="3839" width="8.84375" style="757"/>
    <col min="3840" max="3841" width="8.84375" style="757" customWidth="1"/>
    <col min="3842" max="3842" width="10.07421875" style="757" customWidth="1"/>
    <col min="3843" max="3843" width="2.07421875" style="757" customWidth="1"/>
    <col min="3844" max="3844" width="50.4609375" style="757" customWidth="1"/>
    <col min="3845" max="3845" width="8.84375" style="757"/>
    <col min="3846" max="3846" width="2.07421875" style="757" customWidth="1"/>
    <col min="3847" max="3847" width="23.84375" style="757" customWidth="1"/>
    <col min="3848" max="3848" width="2.07421875" style="757" customWidth="1"/>
    <col min="3849" max="3849" width="23.84375" style="757" customWidth="1"/>
    <col min="3850" max="3850" width="2.07421875" style="757" customWidth="1"/>
    <col min="3851" max="3851" width="23.84375" style="757" customWidth="1"/>
    <col min="3852" max="3852" width="2.07421875" style="757" customWidth="1"/>
    <col min="3853" max="3853" width="23.84375" style="757" customWidth="1"/>
    <col min="3854" max="3854" width="2.07421875" style="757" customWidth="1"/>
    <col min="3855" max="3855" width="23.84375" style="757" customWidth="1"/>
    <col min="3856" max="3856" width="2.84375" style="757" bestFit="1" customWidth="1"/>
    <col min="3857" max="4095" width="8.84375" style="757"/>
    <col min="4096" max="4097" width="8.84375" style="757" customWidth="1"/>
    <col min="4098" max="4098" width="10.07421875" style="757" customWidth="1"/>
    <col min="4099" max="4099" width="2.07421875" style="757" customWidth="1"/>
    <col min="4100" max="4100" width="50.4609375" style="757" customWidth="1"/>
    <col min="4101" max="4101" width="8.84375" style="757"/>
    <col min="4102" max="4102" width="2.07421875" style="757" customWidth="1"/>
    <col min="4103" max="4103" width="23.84375" style="757" customWidth="1"/>
    <col min="4104" max="4104" width="2.07421875" style="757" customWidth="1"/>
    <col min="4105" max="4105" width="23.84375" style="757" customWidth="1"/>
    <col min="4106" max="4106" width="2.07421875" style="757" customWidth="1"/>
    <col min="4107" max="4107" width="23.84375" style="757" customWidth="1"/>
    <col min="4108" max="4108" width="2.07421875" style="757" customWidth="1"/>
    <col min="4109" max="4109" width="23.84375" style="757" customWidth="1"/>
    <col min="4110" max="4110" width="2.07421875" style="757" customWidth="1"/>
    <col min="4111" max="4111" width="23.84375" style="757" customWidth="1"/>
    <col min="4112" max="4112" width="2.84375" style="757" bestFit="1" customWidth="1"/>
    <col min="4113" max="4351" width="8.84375" style="757"/>
    <col min="4352" max="4353" width="8.84375" style="757" customWidth="1"/>
    <col min="4354" max="4354" width="10.07421875" style="757" customWidth="1"/>
    <col min="4355" max="4355" width="2.07421875" style="757" customWidth="1"/>
    <col min="4356" max="4356" width="50.4609375" style="757" customWidth="1"/>
    <col min="4357" max="4357" width="8.84375" style="757"/>
    <col min="4358" max="4358" width="2.07421875" style="757" customWidth="1"/>
    <col min="4359" max="4359" width="23.84375" style="757" customWidth="1"/>
    <col min="4360" max="4360" width="2.07421875" style="757" customWidth="1"/>
    <col min="4361" max="4361" width="23.84375" style="757" customWidth="1"/>
    <col min="4362" max="4362" width="2.07421875" style="757" customWidth="1"/>
    <col min="4363" max="4363" width="23.84375" style="757" customWidth="1"/>
    <col min="4364" max="4364" width="2.07421875" style="757" customWidth="1"/>
    <col min="4365" max="4365" width="23.84375" style="757" customWidth="1"/>
    <col min="4366" max="4366" width="2.07421875" style="757" customWidth="1"/>
    <col min="4367" max="4367" width="23.84375" style="757" customWidth="1"/>
    <col min="4368" max="4368" width="2.84375" style="757" bestFit="1" customWidth="1"/>
    <col min="4369" max="4607" width="8.84375" style="757"/>
    <col min="4608" max="4609" width="8.84375" style="757" customWidth="1"/>
    <col min="4610" max="4610" width="10.07421875" style="757" customWidth="1"/>
    <col min="4611" max="4611" width="2.07421875" style="757" customWidth="1"/>
    <col min="4612" max="4612" width="50.4609375" style="757" customWidth="1"/>
    <col min="4613" max="4613" width="8.84375" style="757"/>
    <col min="4614" max="4614" width="2.07421875" style="757" customWidth="1"/>
    <col min="4615" max="4615" width="23.84375" style="757" customWidth="1"/>
    <col min="4616" max="4616" width="2.07421875" style="757" customWidth="1"/>
    <col min="4617" max="4617" width="23.84375" style="757" customWidth="1"/>
    <col min="4618" max="4618" width="2.07421875" style="757" customWidth="1"/>
    <col min="4619" max="4619" width="23.84375" style="757" customWidth="1"/>
    <col min="4620" max="4620" width="2.07421875" style="757" customWidth="1"/>
    <col min="4621" max="4621" width="23.84375" style="757" customWidth="1"/>
    <col min="4622" max="4622" width="2.07421875" style="757" customWidth="1"/>
    <col min="4623" max="4623" width="23.84375" style="757" customWidth="1"/>
    <col min="4624" max="4624" width="2.84375" style="757" bestFit="1" customWidth="1"/>
    <col min="4625" max="4863" width="8.84375" style="757"/>
    <col min="4864" max="4865" width="8.84375" style="757" customWidth="1"/>
    <col min="4866" max="4866" width="10.07421875" style="757" customWidth="1"/>
    <col min="4867" max="4867" width="2.07421875" style="757" customWidth="1"/>
    <col min="4868" max="4868" width="50.4609375" style="757" customWidth="1"/>
    <col min="4869" max="4869" width="8.84375" style="757"/>
    <col min="4870" max="4870" width="2.07421875" style="757" customWidth="1"/>
    <col min="4871" max="4871" width="23.84375" style="757" customWidth="1"/>
    <col min="4872" max="4872" width="2.07421875" style="757" customWidth="1"/>
    <col min="4873" max="4873" width="23.84375" style="757" customWidth="1"/>
    <col min="4874" max="4874" width="2.07421875" style="757" customWidth="1"/>
    <col min="4875" max="4875" width="23.84375" style="757" customWidth="1"/>
    <col min="4876" max="4876" width="2.07421875" style="757" customWidth="1"/>
    <col min="4877" max="4877" width="23.84375" style="757" customWidth="1"/>
    <col min="4878" max="4878" width="2.07421875" style="757" customWidth="1"/>
    <col min="4879" max="4879" width="23.84375" style="757" customWidth="1"/>
    <col min="4880" max="4880" width="2.84375" style="757" bestFit="1" customWidth="1"/>
    <col min="4881" max="5119" width="8.84375" style="757"/>
    <col min="5120" max="5121" width="8.84375" style="757" customWidth="1"/>
    <col min="5122" max="5122" width="10.07421875" style="757" customWidth="1"/>
    <col min="5123" max="5123" width="2.07421875" style="757" customWidth="1"/>
    <col min="5124" max="5124" width="50.4609375" style="757" customWidth="1"/>
    <col min="5125" max="5125" width="8.84375" style="757"/>
    <col min="5126" max="5126" width="2.07421875" style="757" customWidth="1"/>
    <col min="5127" max="5127" width="23.84375" style="757" customWidth="1"/>
    <col min="5128" max="5128" width="2.07421875" style="757" customWidth="1"/>
    <col min="5129" max="5129" width="23.84375" style="757" customWidth="1"/>
    <col min="5130" max="5130" width="2.07421875" style="757" customWidth="1"/>
    <col min="5131" max="5131" width="23.84375" style="757" customWidth="1"/>
    <col min="5132" max="5132" width="2.07421875" style="757" customWidth="1"/>
    <col min="5133" max="5133" width="23.84375" style="757" customWidth="1"/>
    <col min="5134" max="5134" width="2.07421875" style="757" customWidth="1"/>
    <col min="5135" max="5135" width="23.84375" style="757" customWidth="1"/>
    <col min="5136" max="5136" width="2.84375" style="757" bestFit="1" customWidth="1"/>
    <col min="5137" max="5375" width="8.84375" style="757"/>
    <col min="5376" max="5377" width="8.84375" style="757" customWidth="1"/>
    <col min="5378" max="5378" width="10.07421875" style="757" customWidth="1"/>
    <col min="5379" max="5379" width="2.07421875" style="757" customWidth="1"/>
    <col min="5380" max="5380" width="50.4609375" style="757" customWidth="1"/>
    <col min="5381" max="5381" width="8.84375" style="757"/>
    <col min="5382" max="5382" width="2.07421875" style="757" customWidth="1"/>
    <col min="5383" max="5383" width="23.84375" style="757" customWidth="1"/>
    <col min="5384" max="5384" width="2.07421875" style="757" customWidth="1"/>
    <col min="5385" max="5385" width="23.84375" style="757" customWidth="1"/>
    <col min="5386" max="5386" width="2.07421875" style="757" customWidth="1"/>
    <col min="5387" max="5387" width="23.84375" style="757" customWidth="1"/>
    <col min="5388" max="5388" width="2.07421875" style="757" customWidth="1"/>
    <col min="5389" max="5389" width="23.84375" style="757" customWidth="1"/>
    <col min="5390" max="5390" width="2.07421875" style="757" customWidth="1"/>
    <col min="5391" max="5391" width="23.84375" style="757" customWidth="1"/>
    <col min="5392" max="5392" width="2.84375" style="757" bestFit="1" customWidth="1"/>
    <col min="5393" max="5631" width="8.84375" style="757"/>
    <col min="5632" max="5633" width="8.84375" style="757" customWidth="1"/>
    <col min="5634" max="5634" width="10.07421875" style="757" customWidth="1"/>
    <col min="5635" max="5635" width="2.07421875" style="757" customWidth="1"/>
    <col min="5636" max="5636" width="50.4609375" style="757" customWidth="1"/>
    <col min="5637" max="5637" width="8.84375" style="757"/>
    <col min="5638" max="5638" width="2.07421875" style="757" customWidth="1"/>
    <col min="5639" max="5639" width="23.84375" style="757" customWidth="1"/>
    <col min="5640" max="5640" width="2.07421875" style="757" customWidth="1"/>
    <col min="5641" max="5641" width="23.84375" style="757" customWidth="1"/>
    <col min="5642" max="5642" width="2.07421875" style="757" customWidth="1"/>
    <col min="5643" max="5643" width="23.84375" style="757" customWidth="1"/>
    <col min="5644" max="5644" width="2.07421875" style="757" customWidth="1"/>
    <col min="5645" max="5645" width="23.84375" style="757" customWidth="1"/>
    <col min="5646" max="5646" width="2.07421875" style="757" customWidth="1"/>
    <col min="5647" max="5647" width="23.84375" style="757" customWidth="1"/>
    <col min="5648" max="5648" width="2.84375" style="757" bestFit="1" customWidth="1"/>
    <col min="5649" max="5887" width="8.84375" style="757"/>
    <col min="5888" max="5889" width="8.84375" style="757" customWidth="1"/>
    <col min="5890" max="5890" width="10.07421875" style="757" customWidth="1"/>
    <col min="5891" max="5891" width="2.07421875" style="757" customWidth="1"/>
    <col min="5892" max="5892" width="50.4609375" style="757" customWidth="1"/>
    <col min="5893" max="5893" width="8.84375" style="757"/>
    <col min="5894" max="5894" width="2.07421875" style="757" customWidth="1"/>
    <col min="5895" max="5895" width="23.84375" style="757" customWidth="1"/>
    <col min="5896" max="5896" width="2.07421875" style="757" customWidth="1"/>
    <col min="5897" max="5897" width="23.84375" style="757" customWidth="1"/>
    <col min="5898" max="5898" width="2.07421875" style="757" customWidth="1"/>
    <col min="5899" max="5899" width="23.84375" style="757" customWidth="1"/>
    <col min="5900" max="5900" width="2.07421875" style="757" customWidth="1"/>
    <col min="5901" max="5901" width="23.84375" style="757" customWidth="1"/>
    <col min="5902" max="5902" width="2.07421875" style="757" customWidth="1"/>
    <col min="5903" max="5903" width="23.84375" style="757" customWidth="1"/>
    <col min="5904" max="5904" width="2.84375" style="757" bestFit="1" customWidth="1"/>
    <col min="5905" max="6143" width="8.84375" style="757"/>
    <col min="6144" max="6145" width="8.84375" style="757" customWidth="1"/>
    <col min="6146" max="6146" width="10.07421875" style="757" customWidth="1"/>
    <col min="6147" max="6147" width="2.07421875" style="757" customWidth="1"/>
    <col min="6148" max="6148" width="50.4609375" style="757" customWidth="1"/>
    <col min="6149" max="6149" width="8.84375" style="757"/>
    <col min="6150" max="6150" width="2.07421875" style="757" customWidth="1"/>
    <col min="6151" max="6151" width="23.84375" style="757" customWidth="1"/>
    <col min="6152" max="6152" width="2.07421875" style="757" customWidth="1"/>
    <col min="6153" max="6153" width="23.84375" style="757" customWidth="1"/>
    <col min="6154" max="6154" width="2.07421875" style="757" customWidth="1"/>
    <col min="6155" max="6155" width="23.84375" style="757" customWidth="1"/>
    <col min="6156" max="6156" width="2.07421875" style="757" customWidth="1"/>
    <col min="6157" max="6157" width="23.84375" style="757" customWidth="1"/>
    <col min="6158" max="6158" width="2.07421875" style="757" customWidth="1"/>
    <col min="6159" max="6159" width="23.84375" style="757" customWidth="1"/>
    <col min="6160" max="6160" width="2.84375" style="757" bestFit="1" customWidth="1"/>
    <col min="6161" max="6399" width="8.84375" style="757"/>
    <col min="6400" max="6401" width="8.84375" style="757" customWidth="1"/>
    <col min="6402" max="6402" width="10.07421875" style="757" customWidth="1"/>
    <col min="6403" max="6403" width="2.07421875" style="757" customWidth="1"/>
    <col min="6404" max="6404" width="50.4609375" style="757" customWidth="1"/>
    <col min="6405" max="6405" width="8.84375" style="757"/>
    <col min="6406" max="6406" width="2.07421875" style="757" customWidth="1"/>
    <col min="6407" max="6407" width="23.84375" style="757" customWidth="1"/>
    <col min="6408" max="6408" width="2.07421875" style="757" customWidth="1"/>
    <col min="6409" max="6409" width="23.84375" style="757" customWidth="1"/>
    <col min="6410" max="6410" width="2.07421875" style="757" customWidth="1"/>
    <col min="6411" max="6411" width="23.84375" style="757" customWidth="1"/>
    <col min="6412" max="6412" width="2.07421875" style="757" customWidth="1"/>
    <col min="6413" max="6413" width="23.84375" style="757" customWidth="1"/>
    <col min="6414" max="6414" width="2.07421875" style="757" customWidth="1"/>
    <col min="6415" max="6415" width="23.84375" style="757" customWidth="1"/>
    <col min="6416" max="6416" width="2.84375" style="757" bestFit="1" customWidth="1"/>
    <col min="6417" max="6655" width="8.84375" style="757"/>
    <col min="6656" max="6657" width="8.84375" style="757" customWidth="1"/>
    <col min="6658" max="6658" width="10.07421875" style="757" customWidth="1"/>
    <col min="6659" max="6659" width="2.07421875" style="757" customWidth="1"/>
    <col min="6660" max="6660" width="50.4609375" style="757" customWidth="1"/>
    <col min="6661" max="6661" width="8.84375" style="757"/>
    <col min="6662" max="6662" width="2.07421875" style="757" customWidth="1"/>
    <col min="6663" max="6663" width="23.84375" style="757" customWidth="1"/>
    <col min="6664" max="6664" width="2.07421875" style="757" customWidth="1"/>
    <col min="6665" max="6665" width="23.84375" style="757" customWidth="1"/>
    <col min="6666" max="6666" width="2.07421875" style="757" customWidth="1"/>
    <col min="6667" max="6667" width="23.84375" style="757" customWidth="1"/>
    <col min="6668" max="6668" width="2.07421875" style="757" customWidth="1"/>
    <col min="6669" max="6669" width="23.84375" style="757" customWidth="1"/>
    <col min="6670" max="6670" width="2.07421875" style="757" customWidth="1"/>
    <col min="6671" max="6671" width="23.84375" style="757" customWidth="1"/>
    <col min="6672" max="6672" width="2.84375" style="757" bestFit="1" customWidth="1"/>
    <col min="6673" max="6911" width="8.84375" style="757"/>
    <col min="6912" max="6913" width="8.84375" style="757" customWidth="1"/>
    <col min="6914" max="6914" width="10.07421875" style="757" customWidth="1"/>
    <col min="6915" max="6915" width="2.07421875" style="757" customWidth="1"/>
    <col min="6916" max="6916" width="50.4609375" style="757" customWidth="1"/>
    <col min="6917" max="6917" width="8.84375" style="757"/>
    <col min="6918" max="6918" width="2.07421875" style="757" customWidth="1"/>
    <col min="6919" max="6919" width="23.84375" style="757" customWidth="1"/>
    <col min="6920" max="6920" width="2.07421875" style="757" customWidth="1"/>
    <col min="6921" max="6921" width="23.84375" style="757" customWidth="1"/>
    <col min="6922" max="6922" width="2.07421875" style="757" customWidth="1"/>
    <col min="6923" max="6923" width="23.84375" style="757" customWidth="1"/>
    <col min="6924" max="6924" width="2.07421875" style="757" customWidth="1"/>
    <col min="6925" max="6925" width="23.84375" style="757" customWidth="1"/>
    <col min="6926" max="6926" width="2.07421875" style="757" customWidth="1"/>
    <col min="6927" max="6927" width="23.84375" style="757" customWidth="1"/>
    <col min="6928" max="6928" width="2.84375" style="757" bestFit="1" customWidth="1"/>
    <col min="6929" max="7167" width="8.84375" style="757"/>
    <col min="7168" max="7169" width="8.84375" style="757" customWidth="1"/>
    <col min="7170" max="7170" width="10.07421875" style="757" customWidth="1"/>
    <col min="7171" max="7171" width="2.07421875" style="757" customWidth="1"/>
    <col min="7172" max="7172" width="50.4609375" style="757" customWidth="1"/>
    <col min="7173" max="7173" width="8.84375" style="757"/>
    <col min="7174" max="7174" width="2.07421875" style="757" customWidth="1"/>
    <col min="7175" max="7175" width="23.84375" style="757" customWidth="1"/>
    <col min="7176" max="7176" width="2.07421875" style="757" customWidth="1"/>
    <col min="7177" max="7177" width="23.84375" style="757" customWidth="1"/>
    <col min="7178" max="7178" width="2.07421875" style="757" customWidth="1"/>
    <col min="7179" max="7179" width="23.84375" style="757" customWidth="1"/>
    <col min="7180" max="7180" width="2.07421875" style="757" customWidth="1"/>
    <col min="7181" max="7181" width="23.84375" style="757" customWidth="1"/>
    <col min="7182" max="7182" width="2.07421875" style="757" customWidth="1"/>
    <col min="7183" max="7183" width="23.84375" style="757" customWidth="1"/>
    <col min="7184" max="7184" width="2.84375" style="757" bestFit="1" customWidth="1"/>
    <col min="7185" max="7423" width="8.84375" style="757"/>
    <col min="7424" max="7425" width="8.84375" style="757" customWidth="1"/>
    <col min="7426" max="7426" width="10.07421875" style="757" customWidth="1"/>
    <col min="7427" max="7427" width="2.07421875" style="757" customWidth="1"/>
    <col min="7428" max="7428" width="50.4609375" style="757" customWidth="1"/>
    <col min="7429" max="7429" width="8.84375" style="757"/>
    <col min="7430" max="7430" width="2.07421875" style="757" customWidth="1"/>
    <col min="7431" max="7431" width="23.84375" style="757" customWidth="1"/>
    <col min="7432" max="7432" width="2.07421875" style="757" customWidth="1"/>
    <col min="7433" max="7433" width="23.84375" style="757" customWidth="1"/>
    <col min="7434" max="7434" width="2.07421875" style="757" customWidth="1"/>
    <col min="7435" max="7435" width="23.84375" style="757" customWidth="1"/>
    <col min="7436" max="7436" width="2.07421875" style="757" customWidth="1"/>
    <col min="7437" max="7437" width="23.84375" style="757" customWidth="1"/>
    <col min="7438" max="7438" width="2.07421875" style="757" customWidth="1"/>
    <col min="7439" max="7439" width="23.84375" style="757" customWidth="1"/>
    <col min="7440" max="7440" width="2.84375" style="757" bestFit="1" customWidth="1"/>
    <col min="7441" max="7679" width="8.84375" style="757"/>
    <col min="7680" max="7681" width="8.84375" style="757" customWidth="1"/>
    <col min="7682" max="7682" width="10.07421875" style="757" customWidth="1"/>
    <col min="7683" max="7683" width="2.07421875" style="757" customWidth="1"/>
    <col min="7684" max="7684" width="50.4609375" style="757" customWidth="1"/>
    <col min="7685" max="7685" width="8.84375" style="757"/>
    <col min="7686" max="7686" width="2.07421875" style="757" customWidth="1"/>
    <col min="7687" max="7687" width="23.84375" style="757" customWidth="1"/>
    <col min="7688" max="7688" width="2.07421875" style="757" customWidth="1"/>
    <col min="7689" max="7689" width="23.84375" style="757" customWidth="1"/>
    <col min="7690" max="7690" width="2.07421875" style="757" customWidth="1"/>
    <col min="7691" max="7691" width="23.84375" style="757" customWidth="1"/>
    <col min="7692" max="7692" width="2.07421875" style="757" customWidth="1"/>
    <col min="7693" max="7693" width="23.84375" style="757" customWidth="1"/>
    <col min="7694" max="7694" width="2.07421875" style="757" customWidth="1"/>
    <col min="7695" max="7695" width="23.84375" style="757" customWidth="1"/>
    <col min="7696" max="7696" width="2.84375" style="757" bestFit="1" customWidth="1"/>
    <col min="7697" max="7935" width="8.84375" style="757"/>
    <col min="7936" max="7937" width="8.84375" style="757" customWidth="1"/>
    <col min="7938" max="7938" width="10.07421875" style="757" customWidth="1"/>
    <col min="7939" max="7939" width="2.07421875" style="757" customWidth="1"/>
    <col min="7940" max="7940" width="50.4609375" style="757" customWidth="1"/>
    <col min="7941" max="7941" width="8.84375" style="757"/>
    <col min="7942" max="7942" width="2.07421875" style="757" customWidth="1"/>
    <col min="7943" max="7943" width="23.84375" style="757" customWidth="1"/>
    <col min="7944" max="7944" width="2.07421875" style="757" customWidth="1"/>
    <col min="7945" max="7945" width="23.84375" style="757" customWidth="1"/>
    <col min="7946" max="7946" width="2.07421875" style="757" customWidth="1"/>
    <col min="7947" max="7947" width="23.84375" style="757" customWidth="1"/>
    <col min="7948" max="7948" width="2.07421875" style="757" customWidth="1"/>
    <col min="7949" max="7949" width="23.84375" style="757" customWidth="1"/>
    <col min="7950" max="7950" width="2.07421875" style="757" customWidth="1"/>
    <col min="7951" max="7951" width="23.84375" style="757" customWidth="1"/>
    <col min="7952" max="7952" width="2.84375" style="757" bestFit="1" customWidth="1"/>
    <col min="7953" max="8191" width="8.84375" style="757"/>
    <col min="8192" max="8193" width="8.84375" style="757" customWidth="1"/>
    <col min="8194" max="8194" width="10.07421875" style="757" customWidth="1"/>
    <col min="8195" max="8195" width="2.07421875" style="757" customWidth="1"/>
    <col min="8196" max="8196" width="50.4609375" style="757" customWidth="1"/>
    <col min="8197" max="8197" width="8.84375" style="757"/>
    <col min="8198" max="8198" width="2.07421875" style="757" customWidth="1"/>
    <col min="8199" max="8199" width="23.84375" style="757" customWidth="1"/>
    <col min="8200" max="8200" width="2.07421875" style="757" customWidth="1"/>
    <col min="8201" max="8201" width="23.84375" style="757" customWidth="1"/>
    <col min="8202" max="8202" width="2.07421875" style="757" customWidth="1"/>
    <col min="8203" max="8203" width="23.84375" style="757" customWidth="1"/>
    <col min="8204" max="8204" width="2.07421875" style="757" customWidth="1"/>
    <col min="8205" max="8205" width="23.84375" style="757" customWidth="1"/>
    <col min="8206" max="8206" width="2.07421875" style="757" customWidth="1"/>
    <col min="8207" max="8207" width="23.84375" style="757" customWidth="1"/>
    <col min="8208" max="8208" width="2.84375" style="757" bestFit="1" customWidth="1"/>
    <col min="8209" max="8447" width="8.84375" style="757"/>
    <col min="8448" max="8449" width="8.84375" style="757" customWidth="1"/>
    <col min="8450" max="8450" width="10.07421875" style="757" customWidth="1"/>
    <col min="8451" max="8451" width="2.07421875" style="757" customWidth="1"/>
    <col min="8452" max="8452" width="50.4609375" style="757" customWidth="1"/>
    <col min="8453" max="8453" width="8.84375" style="757"/>
    <col min="8454" max="8454" width="2.07421875" style="757" customWidth="1"/>
    <col min="8455" max="8455" width="23.84375" style="757" customWidth="1"/>
    <col min="8456" max="8456" width="2.07421875" style="757" customWidth="1"/>
    <col min="8457" max="8457" width="23.84375" style="757" customWidth="1"/>
    <col min="8458" max="8458" width="2.07421875" style="757" customWidth="1"/>
    <col min="8459" max="8459" width="23.84375" style="757" customWidth="1"/>
    <col min="8460" max="8460" width="2.07421875" style="757" customWidth="1"/>
    <col min="8461" max="8461" width="23.84375" style="757" customWidth="1"/>
    <col min="8462" max="8462" width="2.07421875" style="757" customWidth="1"/>
    <col min="8463" max="8463" width="23.84375" style="757" customWidth="1"/>
    <col min="8464" max="8464" width="2.84375" style="757" bestFit="1" customWidth="1"/>
    <col min="8465" max="8703" width="8.84375" style="757"/>
    <col min="8704" max="8705" width="8.84375" style="757" customWidth="1"/>
    <col min="8706" max="8706" width="10.07421875" style="757" customWidth="1"/>
    <col min="8707" max="8707" width="2.07421875" style="757" customWidth="1"/>
    <col min="8708" max="8708" width="50.4609375" style="757" customWidth="1"/>
    <col min="8709" max="8709" width="8.84375" style="757"/>
    <col min="8710" max="8710" width="2.07421875" style="757" customWidth="1"/>
    <col min="8711" max="8711" width="23.84375" style="757" customWidth="1"/>
    <col min="8712" max="8712" width="2.07421875" style="757" customWidth="1"/>
    <col min="8713" max="8713" width="23.84375" style="757" customWidth="1"/>
    <col min="8714" max="8714" width="2.07421875" style="757" customWidth="1"/>
    <col min="8715" max="8715" width="23.84375" style="757" customWidth="1"/>
    <col min="8716" max="8716" width="2.07421875" style="757" customWidth="1"/>
    <col min="8717" max="8717" width="23.84375" style="757" customWidth="1"/>
    <col min="8718" max="8718" width="2.07421875" style="757" customWidth="1"/>
    <col min="8719" max="8719" width="23.84375" style="757" customWidth="1"/>
    <col min="8720" max="8720" width="2.84375" style="757" bestFit="1" customWidth="1"/>
    <col min="8721" max="8959" width="8.84375" style="757"/>
    <col min="8960" max="8961" width="8.84375" style="757" customWidth="1"/>
    <col min="8962" max="8962" width="10.07421875" style="757" customWidth="1"/>
    <col min="8963" max="8963" width="2.07421875" style="757" customWidth="1"/>
    <col min="8964" max="8964" width="50.4609375" style="757" customWidth="1"/>
    <col min="8965" max="8965" width="8.84375" style="757"/>
    <col min="8966" max="8966" width="2.07421875" style="757" customWidth="1"/>
    <col min="8967" max="8967" width="23.84375" style="757" customWidth="1"/>
    <col min="8968" max="8968" width="2.07421875" style="757" customWidth="1"/>
    <col min="8969" max="8969" width="23.84375" style="757" customWidth="1"/>
    <col min="8970" max="8970" width="2.07421875" style="757" customWidth="1"/>
    <col min="8971" max="8971" width="23.84375" style="757" customWidth="1"/>
    <col min="8972" max="8972" width="2.07421875" style="757" customWidth="1"/>
    <col min="8973" max="8973" width="23.84375" style="757" customWidth="1"/>
    <col min="8974" max="8974" width="2.07421875" style="757" customWidth="1"/>
    <col min="8975" max="8975" width="23.84375" style="757" customWidth="1"/>
    <col min="8976" max="8976" width="2.84375" style="757" bestFit="1" customWidth="1"/>
    <col min="8977" max="9215" width="8.84375" style="757"/>
    <col min="9216" max="9217" width="8.84375" style="757" customWidth="1"/>
    <col min="9218" max="9218" width="10.07421875" style="757" customWidth="1"/>
    <col min="9219" max="9219" width="2.07421875" style="757" customWidth="1"/>
    <col min="9220" max="9220" width="50.4609375" style="757" customWidth="1"/>
    <col min="9221" max="9221" width="8.84375" style="757"/>
    <col min="9222" max="9222" width="2.07421875" style="757" customWidth="1"/>
    <col min="9223" max="9223" width="23.84375" style="757" customWidth="1"/>
    <col min="9224" max="9224" width="2.07421875" style="757" customWidth="1"/>
    <col min="9225" max="9225" width="23.84375" style="757" customWidth="1"/>
    <col min="9226" max="9226" width="2.07421875" style="757" customWidth="1"/>
    <col min="9227" max="9227" width="23.84375" style="757" customWidth="1"/>
    <col min="9228" max="9228" width="2.07421875" style="757" customWidth="1"/>
    <col min="9229" max="9229" width="23.84375" style="757" customWidth="1"/>
    <col min="9230" max="9230" width="2.07421875" style="757" customWidth="1"/>
    <col min="9231" max="9231" width="23.84375" style="757" customWidth="1"/>
    <col min="9232" max="9232" width="2.84375" style="757" bestFit="1" customWidth="1"/>
    <col min="9233" max="9471" width="8.84375" style="757"/>
    <col min="9472" max="9473" width="8.84375" style="757" customWidth="1"/>
    <col min="9474" max="9474" width="10.07421875" style="757" customWidth="1"/>
    <col min="9475" max="9475" width="2.07421875" style="757" customWidth="1"/>
    <col min="9476" max="9476" width="50.4609375" style="757" customWidth="1"/>
    <col min="9477" max="9477" width="8.84375" style="757"/>
    <col min="9478" max="9478" width="2.07421875" style="757" customWidth="1"/>
    <col min="9479" max="9479" width="23.84375" style="757" customWidth="1"/>
    <col min="9480" max="9480" width="2.07421875" style="757" customWidth="1"/>
    <col min="9481" max="9481" width="23.84375" style="757" customWidth="1"/>
    <col min="9482" max="9482" width="2.07421875" style="757" customWidth="1"/>
    <col min="9483" max="9483" width="23.84375" style="757" customWidth="1"/>
    <col min="9484" max="9484" width="2.07421875" style="757" customWidth="1"/>
    <col min="9485" max="9485" width="23.84375" style="757" customWidth="1"/>
    <col min="9486" max="9486" width="2.07421875" style="757" customWidth="1"/>
    <col min="9487" max="9487" width="23.84375" style="757" customWidth="1"/>
    <col min="9488" max="9488" width="2.84375" style="757" bestFit="1" customWidth="1"/>
    <col min="9489" max="9727" width="8.84375" style="757"/>
    <col min="9728" max="9729" width="8.84375" style="757" customWidth="1"/>
    <col min="9730" max="9730" width="10.07421875" style="757" customWidth="1"/>
    <col min="9731" max="9731" width="2.07421875" style="757" customWidth="1"/>
    <col min="9732" max="9732" width="50.4609375" style="757" customWidth="1"/>
    <col min="9733" max="9733" width="8.84375" style="757"/>
    <col min="9734" max="9734" width="2.07421875" style="757" customWidth="1"/>
    <col min="9735" max="9735" width="23.84375" style="757" customWidth="1"/>
    <col min="9736" max="9736" width="2.07421875" style="757" customWidth="1"/>
    <col min="9737" max="9737" width="23.84375" style="757" customWidth="1"/>
    <col min="9738" max="9738" width="2.07421875" style="757" customWidth="1"/>
    <col min="9739" max="9739" width="23.84375" style="757" customWidth="1"/>
    <col min="9740" max="9740" width="2.07421875" style="757" customWidth="1"/>
    <col min="9741" max="9741" width="23.84375" style="757" customWidth="1"/>
    <col min="9742" max="9742" width="2.07421875" style="757" customWidth="1"/>
    <col min="9743" max="9743" width="23.84375" style="757" customWidth="1"/>
    <col min="9744" max="9744" width="2.84375" style="757" bestFit="1" customWidth="1"/>
    <col min="9745" max="9983" width="8.84375" style="757"/>
    <col min="9984" max="9985" width="8.84375" style="757" customWidth="1"/>
    <col min="9986" max="9986" width="10.07421875" style="757" customWidth="1"/>
    <col min="9987" max="9987" width="2.07421875" style="757" customWidth="1"/>
    <col min="9988" max="9988" width="50.4609375" style="757" customWidth="1"/>
    <col min="9989" max="9989" width="8.84375" style="757"/>
    <col min="9990" max="9990" width="2.07421875" style="757" customWidth="1"/>
    <col min="9991" max="9991" width="23.84375" style="757" customWidth="1"/>
    <col min="9992" max="9992" width="2.07421875" style="757" customWidth="1"/>
    <col min="9993" max="9993" width="23.84375" style="757" customWidth="1"/>
    <col min="9994" max="9994" width="2.07421875" style="757" customWidth="1"/>
    <col min="9995" max="9995" width="23.84375" style="757" customWidth="1"/>
    <col min="9996" max="9996" width="2.07421875" style="757" customWidth="1"/>
    <col min="9997" max="9997" width="23.84375" style="757" customWidth="1"/>
    <col min="9998" max="9998" width="2.07421875" style="757" customWidth="1"/>
    <col min="9999" max="9999" width="23.84375" style="757" customWidth="1"/>
    <col min="10000" max="10000" width="2.84375" style="757" bestFit="1" customWidth="1"/>
    <col min="10001" max="10239" width="8.84375" style="757"/>
    <col min="10240" max="10241" width="8.84375" style="757" customWidth="1"/>
    <col min="10242" max="10242" width="10.07421875" style="757" customWidth="1"/>
    <col min="10243" max="10243" width="2.07421875" style="757" customWidth="1"/>
    <col min="10244" max="10244" width="50.4609375" style="757" customWidth="1"/>
    <col min="10245" max="10245" width="8.84375" style="757"/>
    <col min="10246" max="10246" width="2.07421875" style="757" customWidth="1"/>
    <col min="10247" max="10247" width="23.84375" style="757" customWidth="1"/>
    <col min="10248" max="10248" width="2.07421875" style="757" customWidth="1"/>
    <col min="10249" max="10249" width="23.84375" style="757" customWidth="1"/>
    <col min="10250" max="10250" width="2.07421875" style="757" customWidth="1"/>
    <col min="10251" max="10251" width="23.84375" style="757" customWidth="1"/>
    <col min="10252" max="10252" width="2.07421875" style="757" customWidth="1"/>
    <col min="10253" max="10253" width="23.84375" style="757" customWidth="1"/>
    <col min="10254" max="10254" width="2.07421875" style="757" customWidth="1"/>
    <col min="10255" max="10255" width="23.84375" style="757" customWidth="1"/>
    <col min="10256" max="10256" width="2.84375" style="757" bestFit="1" customWidth="1"/>
    <col min="10257" max="10495" width="8.84375" style="757"/>
    <col min="10496" max="10497" width="8.84375" style="757" customWidth="1"/>
    <col min="10498" max="10498" width="10.07421875" style="757" customWidth="1"/>
    <col min="10499" max="10499" width="2.07421875" style="757" customWidth="1"/>
    <col min="10500" max="10500" width="50.4609375" style="757" customWidth="1"/>
    <col min="10501" max="10501" width="8.84375" style="757"/>
    <col min="10502" max="10502" width="2.07421875" style="757" customWidth="1"/>
    <col min="10503" max="10503" width="23.84375" style="757" customWidth="1"/>
    <col min="10504" max="10504" width="2.07421875" style="757" customWidth="1"/>
    <col min="10505" max="10505" width="23.84375" style="757" customWidth="1"/>
    <col min="10506" max="10506" width="2.07421875" style="757" customWidth="1"/>
    <col min="10507" max="10507" width="23.84375" style="757" customWidth="1"/>
    <col min="10508" max="10508" width="2.07421875" style="757" customWidth="1"/>
    <col min="10509" max="10509" width="23.84375" style="757" customWidth="1"/>
    <col min="10510" max="10510" width="2.07421875" style="757" customWidth="1"/>
    <col min="10511" max="10511" width="23.84375" style="757" customWidth="1"/>
    <col min="10512" max="10512" width="2.84375" style="757" bestFit="1" customWidth="1"/>
    <col min="10513" max="10751" width="8.84375" style="757"/>
    <col min="10752" max="10753" width="8.84375" style="757" customWidth="1"/>
    <col min="10754" max="10754" width="10.07421875" style="757" customWidth="1"/>
    <col min="10755" max="10755" width="2.07421875" style="757" customWidth="1"/>
    <col min="10756" max="10756" width="50.4609375" style="757" customWidth="1"/>
    <col min="10757" max="10757" width="8.84375" style="757"/>
    <col min="10758" max="10758" width="2.07421875" style="757" customWidth="1"/>
    <col min="10759" max="10759" width="23.84375" style="757" customWidth="1"/>
    <col min="10760" max="10760" width="2.07421875" style="757" customWidth="1"/>
    <col min="10761" max="10761" width="23.84375" style="757" customWidth="1"/>
    <col min="10762" max="10762" width="2.07421875" style="757" customWidth="1"/>
    <col min="10763" max="10763" width="23.84375" style="757" customWidth="1"/>
    <col min="10764" max="10764" width="2.07421875" style="757" customWidth="1"/>
    <col min="10765" max="10765" width="23.84375" style="757" customWidth="1"/>
    <col min="10766" max="10766" width="2.07421875" style="757" customWidth="1"/>
    <col min="10767" max="10767" width="23.84375" style="757" customWidth="1"/>
    <col min="10768" max="10768" width="2.84375" style="757" bestFit="1" customWidth="1"/>
    <col min="10769" max="11007" width="8.84375" style="757"/>
    <col min="11008" max="11009" width="8.84375" style="757" customWidth="1"/>
    <col min="11010" max="11010" width="10.07421875" style="757" customWidth="1"/>
    <col min="11011" max="11011" width="2.07421875" style="757" customWidth="1"/>
    <col min="11012" max="11012" width="50.4609375" style="757" customWidth="1"/>
    <col min="11013" max="11013" width="8.84375" style="757"/>
    <col min="11014" max="11014" width="2.07421875" style="757" customWidth="1"/>
    <col min="11015" max="11015" width="23.84375" style="757" customWidth="1"/>
    <col min="11016" max="11016" width="2.07421875" style="757" customWidth="1"/>
    <col min="11017" max="11017" width="23.84375" style="757" customWidth="1"/>
    <col min="11018" max="11018" width="2.07421875" style="757" customWidth="1"/>
    <col min="11019" max="11019" width="23.84375" style="757" customWidth="1"/>
    <col min="11020" max="11020" width="2.07421875" style="757" customWidth="1"/>
    <col min="11021" max="11021" width="23.84375" style="757" customWidth="1"/>
    <col min="11022" max="11022" width="2.07421875" style="757" customWidth="1"/>
    <col min="11023" max="11023" width="23.84375" style="757" customWidth="1"/>
    <col min="11024" max="11024" width="2.84375" style="757" bestFit="1" customWidth="1"/>
    <col min="11025" max="11263" width="8.84375" style="757"/>
    <col min="11264" max="11265" width="8.84375" style="757" customWidth="1"/>
    <col min="11266" max="11266" width="10.07421875" style="757" customWidth="1"/>
    <col min="11267" max="11267" width="2.07421875" style="757" customWidth="1"/>
    <col min="11268" max="11268" width="50.4609375" style="757" customWidth="1"/>
    <col min="11269" max="11269" width="8.84375" style="757"/>
    <col min="11270" max="11270" width="2.07421875" style="757" customWidth="1"/>
    <col min="11271" max="11271" width="23.84375" style="757" customWidth="1"/>
    <col min="11272" max="11272" width="2.07421875" style="757" customWidth="1"/>
    <col min="11273" max="11273" width="23.84375" style="757" customWidth="1"/>
    <col min="11274" max="11274" width="2.07421875" style="757" customWidth="1"/>
    <col min="11275" max="11275" width="23.84375" style="757" customWidth="1"/>
    <col min="11276" max="11276" width="2.07421875" style="757" customWidth="1"/>
    <col min="11277" max="11277" width="23.84375" style="757" customWidth="1"/>
    <col min="11278" max="11278" width="2.07421875" style="757" customWidth="1"/>
    <col min="11279" max="11279" width="23.84375" style="757" customWidth="1"/>
    <col min="11280" max="11280" width="2.84375" style="757" bestFit="1" customWidth="1"/>
    <col min="11281" max="11519" width="8.84375" style="757"/>
    <col min="11520" max="11521" width="8.84375" style="757" customWidth="1"/>
    <col min="11522" max="11522" width="10.07421875" style="757" customWidth="1"/>
    <col min="11523" max="11523" width="2.07421875" style="757" customWidth="1"/>
    <col min="11524" max="11524" width="50.4609375" style="757" customWidth="1"/>
    <col min="11525" max="11525" width="8.84375" style="757"/>
    <col min="11526" max="11526" width="2.07421875" style="757" customWidth="1"/>
    <col min="11527" max="11527" width="23.84375" style="757" customWidth="1"/>
    <col min="11528" max="11528" width="2.07421875" style="757" customWidth="1"/>
    <col min="11529" max="11529" width="23.84375" style="757" customWidth="1"/>
    <col min="11530" max="11530" width="2.07421875" style="757" customWidth="1"/>
    <col min="11531" max="11531" width="23.84375" style="757" customWidth="1"/>
    <col min="11532" max="11532" width="2.07421875" style="757" customWidth="1"/>
    <col min="11533" max="11533" width="23.84375" style="757" customWidth="1"/>
    <col min="11534" max="11534" width="2.07421875" style="757" customWidth="1"/>
    <col min="11535" max="11535" width="23.84375" style="757" customWidth="1"/>
    <col min="11536" max="11536" width="2.84375" style="757" bestFit="1" customWidth="1"/>
    <col min="11537" max="11775" width="8.84375" style="757"/>
    <col min="11776" max="11777" width="8.84375" style="757" customWidth="1"/>
    <col min="11778" max="11778" width="10.07421875" style="757" customWidth="1"/>
    <col min="11779" max="11779" width="2.07421875" style="757" customWidth="1"/>
    <col min="11780" max="11780" width="50.4609375" style="757" customWidth="1"/>
    <col min="11781" max="11781" width="8.84375" style="757"/>
    <col min="11782" max="11782" width="2.07421875" style="757" customWidth="1"/>
    <col min="11783" max="11783" width="23.84375" style="757" customWidth="1"/>
    <col min="11784" max="11784" width="2.07421875" style="757" customWidth="1"/>
    <col min="11785" max="11785" width="23.84375" style="757" customWidth="1"/>
    <col min="11786" max="11786" width="2.07421875" style="757" customWidth="1"/>
    <col min="11787" max="11787" width="23.84375" style="757" customWidth="1"/>
    <col min="11788" max="11788" width="2.07421875" style="757" customWidth="1"/>
    <col min="11789" max="11789" width="23.84375" style="757" customWidth="1"/>
    <col min="11790" max="11790" width="2.07421875" style="757" customWidth="1"/>
    <col min="11791" max="11791" width="23.84375" style="757" customWidth="1"/>
    <col min="11792" max="11792" width="2.84375" style="757" bestFit="1" customWidth="1"/>
    <col min="11793" max="12031" width="8.84375" style="757"/>
    <col min="12032" max="12033" width="8.84375" style="757" customWidth="1"/>
    <col min="12034" max="12034" width="10.07421875" style="757" customWidth="1"/>
    <col min="12035" max="12035" width="2.07421875" style="757" customWidth="1"/>
    <col min="12036" max="12036" width="50.4609375" style="757" customWidth="1"/>
    <col min="12037" max="12037" width="8.84375" style="757"/>
    <col min="12038" max="12038" width="2.07421875" style="757" customWidth="1"/>
    <col min="12039" max="12039" width="23.84375" style="757" customWidth="1"/>
    <col min="12040" max="12040" width="2.07421875" style="757" customWidth="1"/>
    <col min="12041" max="12041" width="23.84375" style="757" customWidth="1"/>
    <col min="12042" max="12042" width="2.07421875" style="757" customWidth="1"/>
    <col min="12043" max="12043" width="23.84375" style="757" customWidth="1"/>
    <col min="12044" max="12044" width="2.07421875" style="757" customWidth="1"/>
    <col min="12045" max="12045" width="23.84375" style="757" customWidth="1"/>
    <col min="12046" max="12046" width="2.07421875" style="757" customWidth="1"/>
    <col min="12047" max="12047" width="23.84375" style="757" customWidth="1"/>
    <col min="12048" max="12048" width="2.84375" style="757" bestFit="1" customWidth="1"/>
    <col min="12049" max="12287" width="8.84375" style="757"/>
    <col min="12288" max="12289" width="8.84375" style="757" customWidth="1"/>
    <col min="12290" max="12290" width="10.07421875" style="757" customWidth="1"/>
    <col min="12291" max="12291" width="2.07421875" style="757" customWidth="1"/>
    <col min="12292" max="12292" width="50.4609375" style="757" customWidth="1"/>
    <col min="12293" max="12293" width="8.84375" style="757"/>
    <col min="12294" max="12294" width="2.07421875" style="757" customWidth="1"/>
    <col min="12295" max="12295" width="23.84375" style="757" customWidth="1"/>
    <col min="12296" max="12296" width="2.07421875" style="757" customWidth="1"/>
    <col min="12297" max="12297" width="23.84375" style="757" customWidth="1"/>
    <col min="12298" max="12298" width="2.07421875" style="757" customWidth="1"/>
    <col min="12299" max="12299" width="23.84375" style="757" customWidth="1"/>
    <col min="12300" max="12300" width="2.07421875" style="757" customWidth="1"/>
    <col min="12301" max="12301" width="23.84375" style="757" customWidth="1"/>
    <col min="12302" max="12302" width="2.07421875" style="757" customWidth="1"/>
    <col min="12303" max="12303" width="23.84375" style="757" customWidth="1"/>
    <col min="12304" max="12304" width="2.84375" style="757" bestFit="1" customWidth="1"/>
    <col min="12305" max="12543" width="8.84375" style="757"/>
    <col min="12544" max="12545" width="8.84375" style="757" customWidth="1"/>
    <col min="12546" max="12546" width="10.07421875" style="757" customWidth="1"/>
    <col min="12547" max="12547" width="2.07421875" style="757" customWidth="1"/>
    <col min="12548" max="12548" width="50.4609375" style="757" customWidth="1"/>
    <col min="12549" max="12549" width="8.84375" style="757"/>
    <col min="12550" max="12550" width="2.07421875" style="757" customWidth="1"/>
    <col min="12551" max="12551" width="23.84375" style="757" customWidth="1"/>
    <col min="12552" max="12552" width="2.07421875" style="757" customWidth="1"/>
    <col min="12553" max="12553" width="23.84375" style="757" customWidth="1"/>
    <col min="12554" max="12554" width="2.07421875" style="757" customWidth="1"/>
    <col min="12555" max="12555" width="23.84375" style="757" customWidth="1"/>
    <col min="12556" max="12556" width="2.07421875" style="757" customWidth="1"/>
    <col min="12557" max="12557" width="23.84375" style="757" customWidth="1"/>
    <col min="12558" max="12558" width="2.07421875" style="757" customWidth="1"/>
    <col min="12559" max="12559" width="23.84375" style="757" customWidth="1"/>
    <col min="12560" max="12560" width="2.84375" style="757" bestFit="1" customWidth="1"/>
    <col min="12561" max="12799" width="8.84375" style="757"/>
    <col min="12800" max="12801" width="8.84375" style="757" customWidth="1"/>
    <col min="12802" max="12802" width="10.07421875" style="757" customWidth="1"/>
    <col min="12803" max="12803" width="2.07421875" style="757" customWidth="1"/>
    <col min="12804" max="12804" width="50.4609375" style="757" customWidth="1"/>
    <col min="12805" max="12805" width="8.84375" style="757"/>
    <col min="12806" max="12806" width="2.07421875" style="757" customWidth="1"/>
    <col min="12807" max="12807" width="23.84375" style="757" customWidth="1"/>
    <col min="12808" max="12808" width="2.07421875" style="757" customWidth="1"/>
    <col min="12809" max="12809" width="23.84375" style="757" customWidth="1"/>
    <col min="12810" max="12810" width="2.07421875" style="757" customWidth="1"/>
    <col min="12811" max="12811" width="23.84375" style="757" customWidth="1"/>
    <col min="12812" max="12812" width="2.07421875" style="757" customWidth="1"/>
    <col min="12813" max="12813" width="23.84375" style="757" customWidth="1"/>
    <col min="12814" max="12814" width="2.07421875" style="757" customWidth="1"/>
    <col min="12815" max="12815" width="23.84375" style="757" customWidth="1"/>
    <col min="12816" max="12816" width="2.84375" style="757" bestFit="1" customWidth="1"/>
    <col min="12817" max="13055" width="8.84375" style="757"/>
    <col min="13056" max="13057" width="8.84375" style="757" customWidth="1"/>
    <col min="13058" max="13058" width="10.07421875" style="757" customWidth="1"/>
    <col min="13059" max="13059" width="2.07421875" style="757" customWidth="1"/>
    <col min="13060" max="13060" width="50.4609375" style="757" customWidth="1"/>
    <col min="13061" max="13061" width="8.84375" style="757"/>
    <col min="13062" max="13062" width="2.07421875" style="757" customWidth="1"/>
    <col min="13063" max="13063" width="23.84375" style="757" customWidth="1"/>
    <col min="13064" max="13064" width="2.07421875" style="757" customWidth="1"/>
    <col min="13065" max="13065" width="23.84375" style="757" customWidth="1"/>
    <col min="13066" max="13066" width="2.07421875" style="757" customWidth="1"/>
    <col min="13067" max="13067" width="23.84375" style="757" customWidth="1"/>
    <col min="13068" max="13068" width="2.07421875" style="757" customWidth="1"/>
    <col min="13069" max="13069" width="23.84375" style="757" customWidth="1"/>
    <col min="13070" max="13070" width="2.07421875" style="757" customWidth="1"/>
    <col min="13071" max="13071" width="23.84375" style="757" customWidth="1"/>
    <col min="13072" max="13072" width="2.84375" style="757" bestFit="1" customWidth="1"/>
    <col min="13073" max="13311" width="8.84375" style="757"/>
    <col min="13312" max="13313" width="8.84375" style="757" customWidth="1"/>
    <col min="13314" max="13314" width="10.07421875" style="757" customWidth="1"/>
    <col min="13315" max="13315" width="2.07421875" style="757" customWidth="1"/>
    <col min="13316" max="13316" width="50.4609375" style="757" customWidth="1"/>
    <col min="13317" max="13317" width="8.84375" style="757"/>
    <col min="13318" max="13318" width="2.07421875" style="757" customWidth="1"/>
    <col min="13319" max="13319" width="23.84375" style="757" customWidth="1"/>
    <col min="13320" max="13320" width="2.07421875" style="757" customWidth="1"/>
    <col min="13321" max="13321" width="23.84375" style="757" customWidth="1"/>
    <col min="13322" max="13322" width="2.07421875" style="757" customWidth="1"/>
    <col min="13323" max="13323" width="23.84375" style="757" customWidth="1"/>
    <col min="13324" max="13324" width="2.07421875" style="757" customWidth="1"/>
    <col min="13325" max="13325" width="23.84375" style="757" customWidth="1"/>
    <col min="13326" max="13326" width="2.07421875" style="757" customWidth="1"/>
    <col min="13327" max="13327" width="23.84375" style="757" customWidth="1"/>
    <col min="13328" max="13328" width="2.84375" style="757" bestFit="1" customWidth="1"/>
    <col min="13329" max="13567" width="8.84375" style="757"/>
    <col min="13568" max="13569" width="8.84375" style="757" customWidth="1"/>
    <col min="13570" max="13570" width="10.07421875" style="757" customWidth="1"/>
    <col min="13571" max="13571" width="2.07421875" style="757" customWidth="1"/>
    <col min="13572" max="13572" width="50.4609375" style="757" customWidth="1"/>
    <col min="13573" max="13573" width="8.84375" style="757"/>
    <col min="13574" max="13574" width="2.07421875" style="757" customWidth="1"/>
    <col min="13575" max="13575" width="23.84375" style="757" customWidth="1"/>
    <col min="13576" max="13576" width="2.07421875" style="757" customWidth="1"/>
    <col min="13577" max="13577" width="23.84375" style="757" customWidth="1"/>
    <col min="13578" max="13578" width="2.07421875" style="757" customWidth="1"/>
    <col min="13579" max="13579" width="23.84375" style="757" customWidth="1"/>
    <col min="13580" max="13580" width="2.07421875" style="757" customWidth="1"/>
    <col min="13581" max="13581" width="23.84375" style="757" customWidth="1"/>
    <col min="13582" max="13582" width="2.07421875" style="757" customWidth="1"/>
    <col min="13583" max="13583" width="23.84375" style="757" customWidth="1"/>
    <col min="13584" max="13584" width="2.84375" style="757" bestFit="1" customWidth="1"/>
    <col min="13585" max="13823" width="8.84375" style="757"/>
    <col min="13824" max="13825" width="8.84375" style="757" customWidth="1"/>
    <col min="13826" max="13826" width="10.07421875" style="757" customWidth="1"/>
    <col min="13827" max="13827" width="2.07421875" style="757" customWidth="1"/>
    <col min="13828" max="13828" width="50.4609375" style="757" customWidth="1"/>
    <col min="13829" max="13829" width="8.84375" style="757"/>
    <col min="13830" max="13830" width="2.07421875" style="757" customWidth="1"/>
    <col min="13831" max="13831" width="23.84375" style="757" customWidth="1"/>
    <col min="13832" max="13832" width="2.07421875" style="757" customWidth="1"/>
    <col min="13833" max="13833" width="23.84375" style="757" customWidth="1"/>
    <col min="13834" max="13834" width="2.07421875" style="757" customWidth="1"/>
    <col min="13835" max="13835" width="23.84375" style="757" customWidth="1"/>
    <col min="13836" max="13836" width="2.07421875" style="757" customWidth="1"/>
    <col min="13837" max="13837" width="23.84375" style="757" customWidth="1"/>
    <col min="13838" max="13838" width="2.07421875" style="757" customWidth="1"/>
    <col min="13839" max="13839" width="23.84375" style="757" customWidth="1"/>
    <col min="13840" max="13840" width="2.84375" style="757" bestFit="1" customWidth="1"/>
    <col min="13841" max="14079" width="8.84375" style="757"/>
    <col min="14080" max="14081" width="8.84375" style="757" customWidth="1"/>
    <col min="14082" max="14082" width="10.07421875" style="757" customWidth="1"/>
    <col min="14083" max="14083" width="2.07421875" style="757" customWidth="1"/>
    <col min="14084" max="14084" width="50.4609375" style="757" customWidth="1"/>
    <col min="14085" max="14085" width="8.84375" style="757"/>
    <col min="14086" max="14086" width="2.07421875" style="757" customWidth="1"/>
    <col min="14087" max="14087" width="23.84375" style="757" customWidth="1"/>
    <col min="14088" max="14088" width="2.07421875" style="757" customWidth="1"/>
    <col min="14089" max="14089" width="23.84375" style="757" customWidth="1"/>
    <col min="14090" max="14090" width="2.07421875" style="757" customWidth="1"/>
    <col min="14091" max="14091" width="23.84375" style="757" customWidth="1"/>
    <col min="14092" max="14092" width="2.07421875" style="757" customWidth="1"/>
    <col min="14093" max="14093" width="23.84375" style="757" customWidth="1"/>
    <col min="14094" max="14094" width="2.07421875" style="757" customWidth="1"/>
    <col min="14095" max="14095" width="23.84375" style="757" customWidth="1"/>
    <col min="14096" max="14096" width="2.84375" style="757" bestFit="1" customWidth="1"/>
    <col min="14097" max="14335" width="8.84375" style="757"/>
    <col min="14336" max="14337" width="8.84375" style="757" customWidth="1"/>
    <col min="14338" max="14338" width="10.07421875" style="757" customWidth="1"/>
    <col min="14339" max="14339" width="2.07421875" style="757" customWidth="1"/>
    <col min="14340" max="14340" width="50.4609375" style="757" customWidth="1"/>
    <col min="14341" max="14341" width="8.84375" style="757"/>
    <col min="14342" max="14342" width="2.07421875" style="757" customWidth="1"/>
    <col min="14343" max="14343" width="23.84375" style="757" customWidth="1"/>
    <col min="14344" max="14344" width="2.07421875" style="757" customWidth="1"/>
    <col min="14345" max="14345" width="23.84375" style="757" customWidth="1"/>
    <col min="14346" max="14346" width="2.07421875" style="757" customWidth="1"/>
    <col min="14347" max="14347" width="23.84375" style="757" customWidth="1"/>
    <col min="14348" max="14348" width="2.07421875" style="757" customWidth="1"/>
    <col min="14349" max="14349" width="23.84375" style="757" customWidth="1"/>
    <col min="14350" max="14350" width="2.07421875" style="757" customWidth="1"/>
    <col min="14351" max="14351" width="23.84375" style="757" customWidth="1"/>
    <col min="14352" max="14352" width="2.84375" style="757" bestFit="1" customWidth="1"/>
    <col min="14353" max="14591" width="8.84375" style="757"/>
    <col min="14592" max="14593" width="8.84375" style="757" customWidth="1"/>
    <col min="14594" max="14594" width="10.07421875" style="757" customWidth="1"/>
    <col min="14595" max="14595" width="2.07421875" style="757" customWidth="1"/>
    <col min="14596" max="14596" width="50.4609375" style="757" customWidth="1"/>
    <col min="14597" max="14597" width="8.84375" style="757"/>
    <col min="14598" max="14598" width="2.07421875" style="757" customWidth="1"/>
    <col min="14599" max="14599" width="23.84375" style="757" customWidth="1"/>
    <col min="14600" max="14600" width="2.07421875" style="757" customWidth="1"/>
    <col min="14601" max="14601" width="23.84375" style="757" customWidth="1"/>
    <col min="14602" max="14602" width="2.07421875" style="757" customWidth="1"/>
    <col min="14603" max="14603" width="23.84375" style="757" customWidth="1"/>
    <col min="14604" max="14604" width="2.07421875" style="757" customWidth="1"/>
    <col min="14605" max="14605" width="23.84375" style="757" customWidth="1"/>
    <col min="14606" max="14606" width="2.07421875" style="757" customWidth="1"/>
    <col min="14607" max="14607" width="23.84375" style="757" customWidth="1"/>
    <col min="14608" max="14608" width="2.84375" style="757" bestFit="1" customWidth="1"/>
    <col min="14609" max="14847" width="8.84375" style="757"/>
    <col min="14848" max="14849" width="8.84375" style="757" customWidth="1"/>
    <col min="14850" max="14850" width="10.07421875" style="757" customWidth="1"/>
    <col min="14851" max="14851" width="2.07421875" style="757" customWidth="1"/>
    <col min="14852" max="14852" width="50.4609375" style="757" customWidth="1"/>
    <col min="14853" max="14853" width="8.84375" style="757"/>
    <col min="14854" max="14854" width="2.07421875" style="757" customWidth="1"/>
    <col min="14855" max="14855" width="23.84375" style="757" customWidth="1"/>
    <col min="14856" max="14856" width="2.07421875" style="757" customWidth="1"/>
    <col min="14857" max="14857" width="23.84375" style="757" customWidth="1"/>
    <col min="14858" max="14858" width="2.07421875" style="757" customWidth="1"/>
    <col min="14859" max="14859" width="23.84375" style="757" customWidth="1"/>
    <col min="14860" max="14860" width="2.07421875" style="757" customWidth="1"/>
    <col min="14861" max="14861" width="23.84375" style="757" customWidth="1"/>
    <col min="14862" max="14862" width="2.07421875" style="757" customWidth="1"/>
    <col min="14863" max="14863" width="23.84375" style="757" customWidth="1"/>
    <col min="14864" max="14864" width="2.84375" style="757" bestFit="1" customWidth="1"/>
    <col min="14865" max="15103" width="8.84375" style="757"/>
    <col min="15104" max="15105" width="8.84375" style="757" customWidth="1"/>
    <col min="15106" max="15106" width="10.07421875" style="757" customWidth="1"/>
    <col min="15107" max="15107" width="2.07421875" style="757" customWidth="1"/>
    <col min="15108" max="15108" width="50.4609375" style="757" customWidth="1"/>
    <col min="15109" max="15109" width="8.84375" style="757"/>
    <col min="15110" max="15110" width="2.07421875" style="757" customWidth="1"/>
    <col min="15111" max="15111" width="23.84375" style="757" customWidth="1"/>
    <col min="15112" max="15112" width="2.07421875" style="757" customWidth="1"/>
    <col min="15113" max="15113" width="23.84375" style="757" customWidth="1"/>
    <col min="15114" max="15114" width="2.07421875" style="757" customWidth="1"/>
    <col min="15115" max="15115" width="23.84375" style="757" customWidth="1"/>
    <col min="15116" max="15116" width="2.07421875" style="757" customWidth="1"/>
    <col min="15117" max="15117" width="23.84375" style="757" customWidth="1"/>
    <col min="15118" max="15118" width="2.07421875" style="757" customWidth="1"/>
    <col min="15119" max="15119" width="23.84375" style="757" customWidth="1"/>
    <col min="15120" max="15120" width="2.84375" style="757" bestFit="1" customWidth="1"/>
    <col min="15121" max="15359" width="8.84375" style="757"/>
    <col min="15360" max="15361" width="8.84375" style="757" customWidth="1"/>
    <col min="15362" max="15362" width="10.07421875" style="757" customWidth="1"/>
    <col min="15363" max="15363" width="2.07421875" style="757" customWidth="1"/>
    <col min="15364" max="15364" width="50.4609375" style="757" customWidth="1"/>
    <col min="15365" max="15365" width="8.84375" style="757"/>
    <col min="15366" max="15366" width="2.07421875" style="757" customWidth="1"/>
    <col min="15367" max="15367" width="23.84375" style="757" customWidth="1"/>
    <col min="15368" max="15368" width="2.07421875" style="757" customWidth="1"/>
    <col min="15369" max="15369" width="23.84375" style="757" customWidth="1"/>
    <col min="15370" max="15370" width="2.07421875" style="757" customWidth="1"/>
    <col min="15371" max="15371" width="23.84375" style="757" customWidth="1"/>
    <col min="15372" max="15372" width="2.07421875" style="757" customWidth="1"/>
    <col min="15373" max="15373" width="23.84375" style="757" customWidth="1"/>
    <col min="15374" max="15374" width="2.07421875" style="757" customWidth="1"/>
    <col min="15375" max="15375" width="23.84375" style="757" customWidth="1"/>
    <col min="15376" max="15376" width="2.84375" style="757" bestFit="1" customWidth="1"/>
    <col min="15377" max="15615" width="8.84375" style="757"/>
    <col min="15616" max="15617" width="8.84375" style="757" customWidth="1"/>
    <col min="15618" max="15618" width="10.07421875" style="757" customWidth="1"/>
    <col min="15619" max="15619" width="2.07421875" style="757" customWidth="1"/>
    <col min="15620" max="15620" width="50.4609375" style="757" customWidth="1"/>
    <col min="15621" max="15621" width="8.84375" style="757"/>
    <col min="15622" max="15622" width="2.07421875" style="757" customWidth="1"/>
    <col min="15623" max="15623" width="23.84375" style="757" customWidth="1"/>
    <col min="15624" max="15624" width="2.07421875" style="757" customWidth="1"/>
    <col min="15625" max="15625" width="23.84375" style="757" customWidth="1"/>
    <col min="15626" max="15626" width="2.07421875" style="757" customWidth="1"/>
    <col min="15627" max="15627" width="23.84375" style="757" customWidth="1"/>
    <col min="15628" max="15628" width="2.07421875" style="757" customWidth="1"/>
    <col min="15629" max="15629" width="23.84375" style="757" customWidth="1"/>
    <col min="15630" max="15630" width="2.07421875" style="757" customWidth="1"/>
    <col min="15631" max="15631" width="23.84375" style="757" customWidth="1"/>
    <col min="15632" max="15632" width="2.84375" style="757" bestFit="1" customWidth="1"/>
    <col min="15633" max="15871" width="8.84375" style="757"/>
    <col min="15872" max="15873" width="8.84375" style="757" customWidth="1"/>
    <col min="15874" max="15874" width="10.07421875" style="757" customWidth="1"/>
    <col min="15875" max="15875" width="2.07421875" style="757" customWidth="1"/>
    <col min="15876" max="15876" width="50.4609375" style="757" customWidth="1"/>
    <col min="15877" max="15877" width="8.84375" style="757"/>
    <col min="15878" max="15878" width="2.07421875" style="757" customWidth="1"/>
    <col min="15879" max="15879" width="23.84375" style="757" customWidth="1"/>
    <col min="15880" max="15880" width="2.07421875" style="757" customWidth="1"/>
    <col min="15881" max="15881" width="23.84375" style="757" customWidth="1"/>
    <col min="15882" max="15882" width="2.07421875" style="757" customWidth="1"/>
    <col min="15883" max="15883" width="23.84375" style="757" customWidth="1"/>
    <col min="15884" max="15884" width="2.07421875" style="757" customWidth="1"/>
    <col min="15885" max="15885" width="23.84375" style="757" customWidth="1"/>
    <col min="15886" max="15886" width="2.07421875" style="757" customWidth="1"/>
    <col min="15887" max="15887" width="23.84375" style="757" customWidth="1"/>
    <col min="15888" max="15888" width="2.84375" style="757" bestFit="1" customWidth="1"/>
    <col min="15889" max="16127" width="8.84375" style="757"/>
    <col min="16128" max="16129" width="8.84375" style="757" customWidth="1"/>
    <col min="16130" max="16130" width="10.07421875" style="757" customWidth="1"/>
    <col min="16131" max="16131" width="2.07421875" style="757" customWidth="1"/>
    <col min="16132" max="16132" width="50.4609375" style="757" customWidth="1"/>
    <col min="16133" max="16133" width="8.84375" style="757"/>
    <col min="16134" max="16134" width="2.07421875" style="757" customWidth="1"/>
    <col min="16135" max="16135" width="23.84375" style="757" customWidth="1"/>
    <col min="16136" max="16136" width="2.07421875" style="757" customWidth="1"/>
    <col min="16137" max="16137" width="23.84375" style="757" customWidth="1"/>
    <col min="16138" max="16138" width="2.07421875" style="757" customWidth="1"/>
    <col min="16139" max="16139" width="23.84375" style="757" customWidth="1"/>
    <col min="16140" max="16140" width="2.07421875" style="757" customWidth="1"/>
    <col min="16141" max="16141" width="23.84375" style="757" customWidth="1"/>
    <col min="16142" max="16142" width="2.07421875" style="757" customWidth="1"/>
    <col min="16143" max="16143" width="23.84375" style="757" customWidth="1"/>
    <col min="16144" max="16144" width="2.84375" style="757" bestFit="1" customWidth="1"/>
    <col min="16145" max="16384" width="8.84375" style="757"/>
  </cols>
  <sheetData>
    <row r="1" spans="2:31" ht="15.5">
      <c r="B1" s="433"/>
      <c r="C1" s="433"/>
      <c r="D1" s="284" t="s">
        <v>97</v>
      </c>
      <c r="E1" s="433"/>
      <c r="F1" s="756"/>
      <c r="G1" s="433"/>
      <c r="H1" s="433"/>
      <c r="I1" s="433"/>
      <c r="J1" s="433"/>
      <c r="K1" s="433"/>
      <c r="L1" s="433"/>
      <c r="M1" s="433"/>
      <c r="N1" s="433"/>
      <c r="O1" s="1088"/>
      <c r="P1" s="758"/>
      <c r="Q1" s="1088"/>
      <c r="R1" s="1088"/>
      <c r="S1" s="1088"/>
      <c r="T1" s="1088"/>
      <c r="U1" s="1088"/>
      <c r="V1" s="1088"/>
      <c r="W1" s="1088"/>
      <c r="X1" s="1088"/>
      <c r="Y1" s="1088"/>
      <c r="Z1" s="1088"/>
      <c r="AA1" s="1088"/>
      <c r="AB1" s="1088"/>
      <c r="AC1" s="1088"/>
      <c r="AD1" s="1088"/>
      <c r="AE1" s="1088"/>
    </row>
    <row r="2" spans="2:31" ht="15.5">
      <c r="B2" s="433"/>
      <c r="C2" s="433"/>
      <c r="D2" s="433"/>
      <c r="E2" s="433"/>
      <c r="F2" s="756"/>
      <c r="G2" s="433"/>
      <c r="H2" s="433"/>
      <c r="I2" s="433"/>
      <c r="J2" s="433"/>
      <c r="K2" s="433"/>
      <c r="L2" s="433"/>
      <c r="M2" s="433"/>
      <c r="N2" s="433"/>
      <c r="O2" s="1972" t="s">
        <v>1060</v>
      </c>
      <c r="P2" s="758"/>
      <c r="Q2" s="1088"/>
      <c r="R2" s="1088"/>
      <c r="S2" s="1088"/>
      <c r="T2" s="1088"/>
      <c r="U2" s="1088"/>
      <c r="V2" s="1088"/>
      <c r="W2" s="1088"/>
      <c r="X2" s="1088"/>
      <c r="Y2" s="1088"/>
      <c r="Z2" s="1088"/>
      <c r="AA2" s="1088"/>
      <c r="AB2" s="1088"/>
      <c r="AC2" s="1088"/>
      <c r="AD2" s="1088"/>
      <c r="AE2" s="1088"/>
    </row>
    <row r="3" spans="2:31" ht="15.5">
      <c r="B3" s="433"/>
      <c r="C3" s="433"/>
      <c r="D3" s="433"/>
      <c r="E3" s="433"/>
      <c r="F3" s="756"/>
      <c r="G3" s="433"/>
      <c r="H3" s="433"/>
      <c r="I3" s="433"/>
      <c r="J3" s="433"/>
      <c r="K3" s="433"/>
      <c r="L3" s="433"/>
      <c r="M3" s="433"/>
      <c r="N3" s="433"/>
      <c r="O3" s="1973"/>
      <c r="P3" s="1175"/>
      <c r="Q3" s="1088"/>
      <c r="R3" s="1088"/>
      <c r="S3" s="1088"/>
      <c r="T3" s="1088"/>
      <c r="U3" s="1088"/>
      <c r="V3" s="1088"/>
      <c r="W3" s="1088"/>
      <c r="X3" s="1088"/>
      <c r="Y3" s="1088"/>
      <c r="Z3" s="1088"/>
      <c r="AA3" s="1088"/>
      <c r="AB3" s="1088"/>
      <c r="AC3" s="1088"/>
      <c r="AD3" s="1088"/>
      <c r="AE3" s="1088"/>
    </row>
    <row r="4" spans="2:31" ht="18">
      <c r="B4" s="759"/>
      <c r="C4" s="760"/>
      <c r="D4" s="761" t="s">
        <v>98</v>
      </c>
      <c r="E4" s="760"/>
      <c r="F4" s="760"/>
      <c r="G4"/>
      <c r="H4"/>
      <c r="I4"/>
      <c r="J4"/>
      <c r="K4"/>
      <c r="L4"/>
      <c r="M4" s="1176"/>
      <c r="N4" s="1176"/>
      <c r="O4" s="1176"/>
      <c r="P4" s="1177"/>
      <c r="Q4" s="1088"/>
      <c r="R4" s="1088"/>
      <c r="S4" s="1088"/>
      <c r="T4" s="1088"/>
      <c r="U4" s="1088"/>
      <c r="V4" s="1088"/>
      <c r="W4" s="1088"/>
      <c r="X4" s="1088"/>
      <c r="Y4" s="1088"/>
      <c r="Z4" s="1088"/>
      <c r="AA4" s="1088"/>
      <c r="AB4" s="1088"/>
      <c r="AC4" s="1088"/>
      <c r="AD4" s="1088"/>
      <c r="AE4" s="1088"/>
    </row>
    <row r="5" spans="2:31" ht="18">
      <c r="B5" s="759"/>
      <c r="C5" s="760"/>
      <c r="D5" s="761" t="s">
        <v>1061</v>
      </c>
      <c r="E5" s="760"/>
      <c r="F5" s="760"/>
      <c r="G5"/>
      <c r="H5"/>
      <c r="I5"/>
      <c r="J5"/>
      <c r="K5"/>
      <c r="L5"/>
      <c r="M5" s="1178"/>
      <c r="N5" s="1178"/>
      <c r="O5" s="1178"/>
      <c r="P5" s="1179"/>
      <c r="Q5" s="1088"/>
      <c r="R5" s="1088"/>
      <c r="S5" s="1088"/>
      <c r="T5" s="1088"/>
      <c r="U5" s="1088"/>
      <c r="V5" s="1088"/>
      <c r="W5" s="1088"/>
      <c r="X5" s="1088"/>
      <c r="Y5" s="1088"/>
      <c r="Z5" s="1088"/>
      <c r="AA5" s="1088"/>
      <c r="AB5" s="1088"/>
      <c r="AC5" s="1088"/>
      <c r="AD5" s="1088"/>
      <c r="AE5" s="1088"/>
    </row>
    <row r="6" spans="2:31" ht="15.5">
      <c r="B6" s="759"/>
      <c r="C6" s="760"/>
      <c r="D6" s="762"/>
      <c r="E6" s="760"/>
      <c r="F6" s="760"/>
      <c r="G6"/>
      <c r="H6"/>
      <c r="I6"/>
      <c r="J6"/>
      <c r="K6"/>
      <c r="L6"/>
      <c r="M6" s="1180"/>
      <c r="N6" s="1180"/>
      <c r="O6" s="1180"/>
      <c r="P6" s="1181"/>
      <c r="Q6" s="1088"/>
      <c r="R6" s="1088"/>
      <c r="S6" s="1088"/>
      <c r="T6" s="1088"/>
      <c r="U6" s="1088"/>
      <c r="V6" s="1088"/>
      <c r="W6" s="1088"/>
      <c r="X6" s="1088"/>
      <c r="Y6" s="1088"/>
      <c r="Z6" s="1088"/>
      <c r="AA6" s="1088"/>
      <c r="AB6" s="1088"/>
      <c r="AC6" s="1088"/>
      <c r="AD6" s="1088"/>
      <c r="AE6" s="1088"/>
    </row>
    <row r="7" spans="2:31" ht="15.5">
      <c r="B7" s="759"/>
      <c r="C7" s="758"/>
      <c r="D7" s="758"/>
      <c r="E7" s="763"/>
      <c r="F7" s="763"/>
      <c r="G7"/>
      <c r="H7"/>
      <c r="I7"/>
      <c r="J7"/>
      <c r="K7"/>
      <c r="L7"/>
      <c r="M7" s="1182"/>
      <c r="N7" s="1182"/>
      <c r="O7" s="1182"/>
      <c r="P7" s="1183"/>
      <c r="Q7" s="1088"/>
      <c r="R7" s="1088"/>
      <c r="S7" s="1088"/>
      <c r="T7" s="1088"/>
      <c r="U7" s="1088"/>
      <c r="V7" s="1088"/>
      <c r="W7" s="1088"/>
      <c r="X7" s="1088"/>
      <c r="Y7" s="1088"/>
      <c r="Z7" s="1088"/>
      <c r="AA7" s="1088"/>
      <c r="AB7" s="1088"/>
      <c r="AC7" s="1088"/>
      <c r="AD7" s="1088"/>
      <c r="AE7" s="1088"/>
    </row>
    <row r="8" spans="2:31" s="767" customFormat="1" ht="16" thickBot="1">
      <c r="B8" s="764" t="s">
        <v>1062</v>
      </c>
      <c r="C8" s="765"/>
      <c r="D8" s="766" t="s">
        <v>1063</v>
      </c>
      <c r="E8" s="766"/>
      <c r="F8" s="766"/>
      <c r="G8" s="1240" t="s">
        <v>1453</v>
      </c>
      <c r="H8" s="1241"/>
      <c r="I8" s="1240" t="s">
        <v>1462</v>
      </c>
      <c r="J8" s="1241"/>
      <c r="K8" s="1240" t="s">
        <v>1482</v>
      </c>
      <c r="L8" s="1241"/>
      <c r="M8" s="1241" t="s">
        <v>1064</v>
      </c>
      <c r="N8" s="1242"/>
      <c r="O8" s="1240" t="s">
        <v>1497</v>
      </c>
      <c r="P8" s="1184"/>
    </row>
    <row r="9" spans="2:31" s="767" customFormat="1" ht="15.5">
      <c r="B9" s="768"/>
      <c r="C9" s="769"/>
      <c r="D9" s="770" t="s">
        <v>443</v>
      </c>
      <c r="E9" s="771"/>
      <c r="F9" s="771"/>
      <c r="G9" s="1168"/>
      <c r="H9" s="962"/>
      <c r="I9" s="1168"/>
      <c r="J9" s="962"/>
      <c r="K9" s="1168"/>
      <c r="L9" s="962"/>
      <c r="M9" s="1168"/>
      <c r="N9" s="1168"/>
      <c r="O9" s="1168"/>
      <c r="P9" s="772"/>
    </row>
    <row r="10" spans="2:31" s="767" customFormat="1" ht="15.5">
      <c r="B10" s="773">
        <v>10050</v>
      </c>
      <c r="C10" s="768"/>
      <c r="D10" s="774" t="s">
        <v>1065</v>
      </c>
      <c r="E10"/>
      <c r="F10" s="775"/>
      <c r="G10" s="1648">
        <v>0</v>
      </c>
      <c r="H10" s="1648"/>
      <c r="I10" s="1648">
        <v>0</v>
      </c>
      <c r="J10" s="1648"/>
      <c r="K10" s="1648">
        <v>0</v>
      </c>
      <c r="L10" s="1648"/>
      <c r="M10" s="1648">
        <f>O10-K10</f>
        <v>0</v>
      </c>
      <c r="N10" s="1648"/>
      <c r="O10" s="1648">
        <v>0</v>
      </c>
      <c r="P10" s="776" t="s">
        <v>254</v>
      </c>
      <c r="Q10" s="1185"/>
    </row>
    <row r="11" spans="2:31" s="767" customFormat="1" ht="16" thickBot="1">
      <c r="B11" s="776"/>
      <c r="C11" s="769"/>
      <c r="D11" s="777" t="s">
        <v>1066</v>
      </c>
      <c r="E11" s="771"/>
      <c r="F11" s="771"/>
      <c r="G11" s="1649">
        <f>SUM(G10)</f>
        <v>0</v>
      </c>
      <c r="H11" s="1650"/>
      <c r="I11" s="1649">
        <f>SUM(I10)</f>
        <v>0</v>
      </c>
      <c r="J11" s="1650"/>
      <c r="K11" s="1649">
        <f>SUM(K10)</f>
        <v>0</v>
      </c>
      <c r="L11" s="1650"/>
      <c r="M11" s="1649">
        <f>SUM(M10)</f>
        <v>0</v>
      </c>
      <c r="N11" s="1650"/>
      <c r="O11" s="1649">
        <f>SUM(O10)</f>
        <v>0</v>
      </c>
      <c r="P11" s="776"/>
      <c r="Q11" s="1185"/>
    </row>
    <row r="12" spans="2:31" s="767" customFormat="1" ht="16" thickTop="1">
      <c r="B12" s="776"/>
      <c r="C12" s="769"/>
      <c r="D12" s="778"/>
      <c r="E12" s="771"/>
      <c r="F12" s="771"/>
      <c r="G12" s="1650"/>
      <c r="H12" s="1651"/>
      <c r="I12" s="1650"/>
      <c r="J12" s="1651"/>
      <c r="K12" s="1650"/>
      <c r="L12" s="1651"/>
      <c r="M12" s="1650"/>
      <c r="N12" s="1650"/>
      <c r="O12" s="1650"/>
      <c r="P12" s="776"/>
      <c r="Q12" s="1185"/>
    </row>
    <row r="13" spans="2:31" s="767" customFormat="1" ht="15.5">
      <c r="B13" s="776"/>
      <c r="C13" s="769"/>
      <c r="D13" s="770" t="s">
        <v>1067</v>
      </c>
      <c r="E13" s="771"/>
      <c r="F13" s="771"/>
      <c r="G13" s="1651"/>
      <c r="H13"/>
      <c r="I13" s="1651"/>
      <c r="J13"/>
      <c r="K13" s="1651"/>
      <c r="L13"/>
      <c r="M13" s="1651"/>
      <c r="N13" s="1651"/>
      <c r="O13" s="1651"/>
      <c r="P13" s="776"/>
      <c r="Q13" s="1185"/>
    </row>
    <row r="14" spans="2:31" s="767" customFormat="1" ht="15.5">
      <c r="B14" s="773">
        <v>30051</v>
      </c>
      <c r="C14" s="433"/>
      <c r="D14" s="774" t="s">
        <v>1068</v>
      </c>
      <c r="E14" s="433"/>
      <c r="F14" s="432"/>
      <c r="G14" s="432">
        <v>524520437.47000003</v>
      </c>
      <c r="H14" s="432"/>
      <c r="I14" s="432">
        <v>470368757.25</v>
      </c>
      <c r="J14" s="432"/>
      <c r="K14" s="432">
        <v>517847541.31999999</v>
      </c>
      <c r="L14" s="432"/>
      <c r="M14" s="432">
        <f>O14-K14</f>
        <v>-517847541.31999999</v>
      </c>
      <c r="N14" s="432"/>
      <c r="O14" s="432">
        <v>0</v>
      </c>
      <c r="P14" s="776"/>
      <c r="Q14" s="1185"/>
    </row>
    <row r="15" spans="2:31" s="767" customFormat="1" ht="15.5">
      <c r="B15" s="773">
        <v>30101</v>
      </c>
      <c r="C15" s="756"/>
      <c r="D15" s="774" t="s">
        <v>1069</v>
      </c>
      <c r="E15" s="433"/>
      <c r="F15" s="432"/>
      <c r="G15" s="432">
        <v>0</v>
      </c>
      <c r="H15" s="432"/>
      <c r="I15" s="432">
        <v>0</v>
      </c>
      <c r="J15" s="432"/>
      <c r="K15" s="432">
        <v>0</v>
      </c>
      <c r="L15" s="432"/>
      <c r="M15" s="432">
        <f t="shared" ref="M15:M74" si="0">O15-K15</f>
        <v>0</v>
      </c>
      <c r="N15" s="432"/>
      <c r="O15" s="432">
        <v>0</v>
      </c>
      <c r="P15" s="776"/>
      <c r="Q15" s="1185"/>
    </row>
    <row r="16" spans="2:31" s="767" customFormat="1" ht="15.5">
      <c r="B16" s="773">
        <v>30102</v>
      </c>
      <c r="C16" s="433"/>
      <c r="D16" s="774" t="s">
        <v>1070</v>
      </c>
      <c r="E16" s="433"/>
      <c r="F16" s="432"/>
      <c r="G16" s="432">
        <v>0</v>
      </c>
      <c r="H16" s="432"/>
      <c r="I16" s="432">
        <v>0</v>
      </c>
      <c r="J16" s="432"/>
      <c r="K16" s="432">
        <v>0</v>
      </c>
      <c r="L16" s="432"/>
      <c r="M16" s="432">
        <f t="shared" si="0"/>
        <v>0</v>
      </c>
      <c r="N16" s="432"/>
      <c r="O16" s="432">
        <v>0</v>
      </c>
      <c r="P16" s="776"/>
      <c r="Q16" s="1185"/>
    </row>
    <row r="17" spans="2:17" s="767" customFormat="1" ht="15.5">
      <c r="B17" s="773">
        <v>30103</v>
      </c>
      <c r="C17" s="433"/>
      <c r="D17" s="774" t="s">
        <v>1071</v>
      </c>
      <c r="E17" s="433"/>
      <c r="F17" s="432"/>
      <c r="G17" s="432">
        <v>0</v>
      </c>
      <c r="H17" s="432"/>
      <c r="I17" s="432">
        <v>0</v>
      </c>
      <c r="J17" s="432"/>
      <c r="K17" s="432">
        <v>0</v>
      </c>
      <c r="L17" s="432"/>
      <c r="M17" s="432">
        <f t="shared" si="0"/>
        <v>0</v>
      </c>
      <c r="N17" s="432"/>
      <c r="O17" s="432">
        <v>0</v>
      </c>
      <c r="P17" s="776"/>
      <c r="Q17" s="1185"/>
    </row>
    <row r="18" spans="2:17" s="767" customFormat="1" ht="15.5">
      <c r="B18" s="773">
        <v>30104</v>
      </c>
      <c r="C18" s="433"/>
      <c r="D18" s="774" t="s">
        <v>1072</v>
      </c>
      <c r="E18" s="433"/>
      <c r="F18" s="432"/>
      <c r="G18" s="432">
        <v>0</v>
      </c>
      <c r="H18" s="432"/>
      <c r="I18" s="432">
        <v>0</v>
      </c>
      <c r="J18" s="432"/>
      <c r="K18" s="432">
        <v>0</v>
      </c>
      <c r="L18" s="432"/>
      <c r="M18" s="432">
        <f t="shared" si="0"/>
        <v>0</v>
      </c>
      <c r="N18" s="432"/>
      <c r="O18" s="432">
        <v>0</v>
      </c>
      <c r="P18" s="776"/>
      <c r="Q18" s="1185"/>
    </row>
    <row r="19" spans="2:17" s="767" customFormat="1" ht="15.5">
      <c r="B19" s="773">
        <v>30105</v>
      </c>
      <c r="C19" s="433"/>
      <c r="D19" s="774" t="s">
        <v>1073</v>
      </c>
      <c r="E19" s="433"/>
      <c r="F19" s="432"/>
      <c r="G19" s="432">
        <v>0</v>
      </c>
      <c r="H19" s="432"/>
      <c r="I19" s="432">
        <v>0</v>
      </c>
      <c r="J19" s="432"/>
      <c r="K19" s="432">
        <v>0</v>
      </c>
      <c r="L19" s="432"/>
      <c r="M19" s="432">
        <f t="shared" si="0"/>
        <v>0</v>
      </c>
      <c r="N19" s="432"/>
      <c r="O19" s="432">
        <v>0</v>
      </c>
      <c r="P19" s="776"/>
      <c r="Q19" s="1185"/>
    </row>
    <row r="20" spans="2:17" s="767" customFormat="1" ht="15.5">
      <c r="B20" s="773">
        <v>30106</v>
      </c>
      <c r="C20" s="433"/>
      <c r="D20" s="774" t="s">
        <v>1074</v>
      </c>
      <c r="E20" s="433"/>
      <c r="F20" s="432"/>
      <c r="G20" s="432">
        <v>0</v>
      </c>
      <c r="H20" s="432"/>
      <c r="I20" s="432">
        <v>0</v>
      </c>
      <c r="J20" s="432"/>
      <c r="K20" s="432">
        <v>0</v>
      </c>
      <c r="L20" s="432"/>
      <c r="M20" s="432">
        <f t="shared" si="0"/>
        <v>0</v>
      </c>
      <c r="N20" s="432"/>
      <c r="O20" s="432">
        <v>0</v>
      </c>
      <c r="P20" s="776"/>
      <c r="Q20" s="1185"/>
    </row>
    <row r="21" spans="2:17" s="767" customFormat="1" ht="15.5">
      <c r="B21" s="773">
        <v>30107</v>
      </c>
      <c r="C21" s="433"/>
      <c r="D21" s="774" t="s">
        <v>1075</v>
      </c>
      <c r="E21" s="433"/>
      <c r="F21" s="432"/>
      <c r="G21" s="432">
        <v>0</v>
      </c>
      <c r="H21" s="432"/>
      <c r="I21" s="432">
        <v>0</v>
      </c>
      <c r="J21" s="432"/>
      <c r="K21" s="432">
        <v>0</v>
      </c>
      <c r="L21" s="432"/>
      <c r="M21" s="432">
        <f t="shared" si="0"/>
        <v>0</v>
      </c>
      <c r="N21" s="432"/>
      <c r="O21" s="432">
        <v>0</v>
      </c>
      <c r="P21" s="776"/>
      <c r="Q21" s="1185"/>
    </row>
    <row r="22" spans="2:17" s="767" customFormat="1" ht="15.5">
      <c r="B22" s="773">
        <v>30108</v>
      </c>
      <c r="C22" s="433"/>
      <c r="D22" s="774" t="s">
        <v>1076</v>
      </c>
      <c r="E22" s="433"/>
      <c r="F22" s="432"/>
      <c r="G22" s="432">
        <v>0</v>
      </c>
      <c r="H22" s="432"/>
      <c r="I22" s="432">
        <v>0</v>
      </c>
      <c r="J22" s="432"/>
      <c r="K22" s="432">
        <v>0</v>
      </c>
      <c r="L22" s="432"/>
      <c r="M22" s="432">
        <f t="shared" si="0"/>
        <v>0</v>
      </c>
      <c r="N22" s="432"/>
      <c r="O22" s="432">
        <v>0</v>
      </c>
      <c r="P22" s="776"/>
      <c r="Q22" s="1185"/>
    </row>
    <row r="23" spans="2:17" s="767" customFormat="1" ht="15.5">
      <c r="B23" s="773">
        <v>30109</v>
      </c>
      <c r="C23" s="433"/>
      <c r="D23" s="774" t="s">
        <v>1077</v>
      </c>
      <c r="E23" s="433"/>
      <c r="F23" s="432"/>
      <c r="G23" s="432">
        <v>0</v>
      </c>
      <c r="H23" s="432"/>
      <c r="I23" s="432">
        <v>0</v>
      </c>
      <c r="J23" s="432"/>
      <c r="K23" s="432">
        <v>0</v>
      </c>
      <c r="L23" s="432"/>
      <c r="M23" s="432">
        <f t="shared" si="0"/>
        <v>0</v>
      </c>
      <c r="N23" s="432"/>
      <c r="O23" s="432">
        <v>0</v>
      </c>
      <c r="P23" s="776"/>
      <c r="Q23" s="1185"/>
    </row>
    <row r="24" spans="2:17" s="767" customFormat="1" ht="15.5">
      <c r="B24" s="773">
        <v>30110</v>
      </c>
      <c r="C24" s="433"/>
      <c r="D24" s="774" t="s">
        <v>1078</v>
      </c>
      <c r="E24" s="433"/>
      <c r="F24" s="432"/>
      <c r="G24" s="432">
        <v>0</v>
      </c>
      <c r="H24" s="432"/>
      <c r="I24" s="432">
        <v>0</v>
      </c>
      <c r="J24" s="432"/>
      <c r="K24" s="432">
        <v>0</v>
      </c>
      <c r="L24" s="432"/>
      <c r="M24" s="432">
        <f t="shared" si="0"/>
        <v>0</v>
      </c>
      <c r="N24" s="432"/>
      <c r="O24" s="432">
        <v>0</v>
      </c>
      <c r="P24" s="776"/>
      <c r="Q24" s="1185"/>
    </row>
    <row r="25" spans="2:17" s="767" customFormat="1" ht="15.5">
      <c r="B25" s="773">
        <v>30111</v>
      </c>
      <c r="C25" s="433"/>
      <c r="D25" s="774" t="s">
        <v>1079</v>
      </c>
      <c r="E25" s="433"/>
      <c r="F25" s="432"/>
      <c r="G25" s="432">
        <v>0</v>
      </c>
      <c r="H25" s="432"/>
      <c r="I25" s="432">
        <v>0</v>
      </c>
      <c r="J25" s="432"/>
      <c r="K25" s="432">
        <v>0</v>
      </c>
      <c r="L25" s="432"/>
      <c r="M25" s="432">
        <f t="shared" si="0"/>
        <v>0</v>
      </c>
      <c r="N25" s="432"/>
      <c r="O25" s="432">
        <v>0</v>
      </c>
      <c r="P25" s="776"/>
      <c r="Q25" s="1185"/>
    </row>
    <row r="26" spans="2:17" s="767" customFormat="1" ht="15.5">
      <c r="B26" s="773">
        <v>30112</v>
      </c>
      <c r="C26" s="433"/>
      <c r="D26" s="774" t="s">
        <v>1080</v>
      </c>
      <c r="E26" s="433"/>
      <c r="F26" s="432"/>
      <c r="G26" s="432">
        <v>0</v>
      </c>
      <c r="H26" s="432"/>
      <c r="I26" s="432">
        <v>0</v>
      </c>
      <c r="J26" s="432"/>
      <c r="K26" s="432">
        <v>0</v>
      </c>
      <c r="L26" s="432"/>
      <c r="M26" s="432">
        <f t="shared" si="0"/>
        <v>0</v>
      </c>
      <c r="N26" s="432"/>
      <c r="O26" s="432">
        <v>0</v>
      </c>
      <c r="P26" s="776"/>
      <c r="Q26" s="1185"/>
    </row>
    <row r="27" spans="2:17" s="767" customFormat="1" ht="15.5">
      <c r="B27" s="773">
        <v>30113</v>
      </c>
      <c r="C27" s="433"/>
      <c r="D27" s="774" t="s">
        <v>1081</v>
      </c>
      <c r="E27" s="433"/>
      <c r="F27" s="432"/>
      <c r="G27" s="432">
        <v>0</v>
      </c>
      <c r="H27" s="432"/>
      <c r="I27" s="432">
        <v>0</v>
      </c>
      <c r="J27" s="432"/>
      <c r="K27" s="432">
        <v>0</v>
      </c>
      <c r="L27" s="432"/>
      <c r="M27" s="432">
        <f t="shared" si="0"/>
        <v>0</v>
      </c>
      <c r="N27" s="432"/>
      <c r="O27" s="432">
        <v>0</v>
      </c>
      <c r="P27" s="776"/>
      <c r="Q27" s="1185"/>
    </row>
    <row r="28" spans="2:17" s="767" customFormat="1" ht="15.5">
      <c r="B28" s="773">
        <v>30114</v>
      </c>
      <c r="C28" s="433"/>
      <c r="D28" s="774" t="s">
        <v>1082</v>
      </c>
      <c r="E28" s="433"/>
      <c r="F28" s="432"/>
      <c r="G28" s="432">
        <v>0</v>
      </c>
      <c r="H28" s="432"/>
      <c r="I28" s="432">
        <v>0</v>
      </c>
      <c r="J28" s="432"/>
      <c r="K28" s="432">
        <v>0</v>
      </c>
      <c r="L28" s="432"/>
      <c r="M28" s="432">
        <f t="shared" si="0"/>
        <v>0</v>
      </c>
      <c r="N28" s="432"/>
      <c r="O28" s="432">
        <v>0</v>
      </c>
      <c r="P28" s="776"/>
      <c r="Q28" s="1185"/>
    </row>
    <row r="29" spans="2:17" s="767" customFormat="1" ht="15.5">
      <c r="B29" s="773">
        <v>30115</v>
      </c>
      <c r="C29" s="433"/>
      <c r="D29" s="774" t="s">
        <v>1083</v>
      </c>
      <c r="E29" s="433"/>
      <c r="F29" s="432"/>
      <c r="G29" s="432">
        <v>0</v>
      </c>
      <c r="H29" s="432"/>
      <c r="I29" s="432">
        <v>0</v>
      </c>
      <c r="J29" s="432"/>
      <c r="K29" s="432">
        <v>0</v>
      </c>
      <c r="L29" s="432"/>
      <c r="M29" s="432">
        <f t="shared" si="0"/>
        <v>0</v>
      </c>
      <c r="N29" s="432"/>
      <c r="O29" s="432">
        <v>0</v>
      </c>
      <c r="P29" s="776"/>
      <c r="Q29" s="1185"/>
    </row>
    <row r="30" spans="2:17" s="767" customFormat="1" ht="15.5">
      <c r="B30" s="773">
        <v>30116</v>
      </c>
      <c r="C30" s="433"/>
      <c r="D30" s="774" t="s">
        <v>1084</v>
      </c>
      <c r="E30" s="433"/>
      <c r="F30" s="432"/>
      <c r="G30" s="432">
        <v>0</v>
      </c>
      <c r="H30" s="432"/>
      <c r="I30" s="432">
        <v>0</v>
      </c>
      <c r="J30" s="432"/>
      <c r="K30" s="432">
        <v>0</v>
      </c>
      <c r="L30" s="432"/>
      <c r="M30" s="432">
        <f t="shared" si="0"/>
        <v>0</v>
      </c>
      <c r="N30" s="432"/>
      <c r="O30" s="432">
        <v>0</v>
      </c>
      <c r="P30" s="776"/>
      <c r="Q30" s="1185"/>
    </row>
    <row r="31" spans="2:17" s="767" customFormat="1" ht="15.5">
      <c r="B31" s="773">
        <v>30117</v>
      </c>
      <c r="C31" s="433"/>
      <c r="D31" s="774" t="s">
        <v>1085</v>
      </c>
      <c r="E31" s="433"/>
      <c r="F31" s="432"/>
      <c r="G31" s="432">
        <v>0</v>
      </c>
      <c r="H31" s="432"/>
      <c r="I31" s="432">
        <v>0</v>
      </c>
      <c r="J31" s="432"/>
      <c r="K31" s="432">
        <v>0</v>
      </c>
      <c r="L31" s="432"/>
      <c r="M31" s="432">
        <f t="shared" si="0"/>
        <v>0</v>
      </c>
      <c r="N31" s="432"/>
      <c r="O31" s="432">
        <v>0</v>
      </c>
      <c r="P31" s="776"/>
      <c r="Q31" s="1185"/>
    </row>
    <row r="32" spans="2:17" s="767" customFormat="1" ht="15.5">
      <c r="B32" s="773">
        <v>30118</v>
      </c>
      <c r="C32" s="433"/>
      <c r="D32" s="774" t="s">
        <v>1086</v>
      </c>
      <c r="E32" s="433"/>
      <c r="F32" s="432"/>
      <c r="G32" s="432">
        <v>0</v>
      </c>
      <c r="H32" s="432"/>
      <c r="I32" s="432">
        <v>0</v>
      </c>
      <c r="J32" s="432"/>
      <c r="K32" s="432">
        <v>0</v>
      </c>
      <c r="L32" s="432"/>
      <c r="M32" s="432">
        <f t="shared" si="0"/>
        <v>0</v>
      </c>
      <c r="N32" s="432"/>
      <c r="O32" s="432">
        <v>0</v>
      </c>
      <c r="P32" s="776"/>
      <c r="Q32" s="1185"/>
    </row>
    <row r="33" spans="2:17" s="767" customFormat="1" ht="15.5">
      <c r="B33" s="773">
        <v>30119</v>
      </c>
      <c r="C33" s="433"/>
      <c r="D33" s="774" t="s">
        <v>1087</v>
      </c>
      <c r="E33" s="433"/>
      <c r="F33" s="432"/>
      <c r="G33" s="432">
        <v>0</v>
      </c>
      <c r="H33" s="432"/>
      <c r="I33" s="432">
        <v>0</v>
      </c>
      <c r="J33" s="432"/>
      <c r="K33" s="432">
        <v>0</v>
      </c>
      <c r="L33" s="432"/>
      <c r="M33" s="432">
        <f t="shared" si="0"/>
        <v>0</v>
      </c>
      <c r="N33" s="432"/>
      <c r="O33" s="432">
        <v>0</v>
      </c>
      <c r="P33" s="776"/>
      <c r="Q33" s="1185"/>
    </row>
    <row r="34" spans="2:17" s="767" customFormat="1" ht="15.5">
      <c r="B34" s="773">
        <v>30120</v>
      </c>
      <c r="C34" s="433"/>
      <c r="D34" s="774" t="s">
        <v>1088</v>
      </c>
      <c r="E34" s="433"/>
      <c r="F34" s="432"/>
      <c r="G34" s="432">
        <v>0</v>
      </c>
      <c r="H34" s="432"/>
      <c r="I34" s="432">
        <v>0</v>
      </c>
      <c r="J34" s="432"/>
      <c r="K34" s="432">
        <v>0</v>
      </c>
      <c r="L34" s="432"/>
      <c r="M34" s="432">
        <f t="shared" si="0"/>
        <v>0</v>
      </c>
      <c r="N34" s="432"/>
      <c r="O34" s="432">
        <v>0</v>
      </c>
      <c r="P34" s="776"/>
      <c r="Q34" s="1185"/>
    </row>
    <row r="35" spans="2:17" s="767" customFormat="1" ht="15.5">
      <c r="B35" s="773">
        <v>30121</v>
      </c>
      <c r="C35" s="433"/>
      <c r="D35" s="774" t="s">
        <v>1089</v>
      </c>
      <c r="E35" s="433"/>
      <c r="F35" s="432"/>
      <c r="G35" s="432">
        <v>0</v>
      </c>
      <c r="H35" s="432"/>
      <c r="I35" s="432">
        <v>0</v>
      </c>
      <c r="J35" s="432"/>
      <c r="K35" s="432">
        <v>0</v>
      </c>
      <c r="L35" s="432"/>
      <c r="M35" s="432">
        <f t="shared" si="0"/>
        <v>0</v>
      </c>
      <c r="N35" s="432"/>
      <c r="O35" s="432">
        <v>0</v>
      </c>
      <c r="P35" s="776"/>
      <c r="Q35" s="1185"/>
    </row>
    <row r="36" spans="2:17" s="767" customFormat="1" ht="15.5">
      <c r="B36" s="773">
        <v>30122</v>
      </c>
      <c r="C36" s="433"/>
      <c r="D36" s="774" t="s">
        <v>1090</v>
      </c>
      <c r="E36" s="433"/>
      <c r="F36" s="432"/>
      <c r="G36" s="432">
        <v>0</v>
      </c>
      <c r="H36" s="432"/>
      <c r="I36" s="432">
        <v>0</v>
      </c>
      <c r="J36" s="432"/>
      <c r="K36" s="432">
        <v>0</v>
      </c>
      <c r="L36" s="432"/>
      <c r="M36" s="432">
        <f t="shared" si="0"/>
        <v>0</v>
      </c>
      <c r="N36" s="432"/>
      <c r="O36" s="432">
        <v>0</v>
      </c>
      <c r="P36" s="776"/>
      <c r="Q36" s="1185"/>
    </row>
    <row r="37" spans="2:17" s="767" customFormat="1" ht="15.5">
      <c r="B37" s="773">
        <v>30123</v>
      </c>
      <c r="C37" s="433"/>
      <c r="D37" s="774" t="s">
        <v>1091</v>
      </c>
      <c r="E37" s="433"/>
      <c r="F37" s="432"/>
      <c r="G37" s="432">
        <v>0</v>
      </c>
      <c r="H37" s="432"/>
      <c r="I37" s="432">
        <v>0</v>
      </c>
      <c r="J37" s="432"/>
      <c r="K37" s="432">
        <v>0</v>
      </c>
      <c r="L37" s="432"/>
      <c r="M37" s="432">
        <f t="shared" si="0"/>
        <v>0</v>
      </c>
      <c r="N37" s="432"/>
      <c r="O37" s="432">
        <v>0</v>
      </c>
      <c r="P37" s="776"/>
      <c r="Q37" s="1185"/>
    </row>
    <row r="38" spans="2:17" s="767" customFormat="1" ht="15.5">
      <c r="B38" s="773">
        <v>30124</v>
      </c>
      <c r="C38" s="433"/>
      <c r="D38" s="774" t="s">
        <v>1092</v>
      </c>
      <c r="E38" s="433"/>
      <c r="F38" s="432"/>
      <c r="G38" s="432">
        <v>0</v>
      </c>
      <c r="H38" s="432"/>
      <c r="I38" s="432">
        <v>0</v>
      </c>
      <c r="J38" s="432"/>
      <c r="K38" s="432">
        <v>0</v>
      </c>
      <c r="L38" s="432"/>
      <c r="M38" s="432">
        <f t="shared" si="0"/>
        <v>0</v>
      </c>
      <c r="N38" s="432"/>
      <c r="O38" s="432">
        <v>0</v>
      </c>
      <c r="P38" s="776"/>
      <c r="Q38" s="1185"/>
    </row>
    <row r="39" spans="2:17" s="767" customFormat="1" ht="15.5">
      <c r="B39" s="773">
        <v>30125</v>
      </c>
      <c r="C39" s="433"/>
      <c r="D39" s="774" t="s">
        <v>1093</v>
      </c>
      <c r="E39" s="433"/>
      <c r="F39" s="432"/>
      <c r="G39" s="432">
        <v>0</v>
      </c>
      <c r="H39" s="432"/>
      <c r="I39" s="432">
        <v>0</v>
      </c>
      <c r="J39" s="432"/>
      <c r="K39" s="432">
        <v>0</v>
      </c>
      <c r="L39" s="432"/>
      <c r="M39" s="432">
        <f t="shared" si="0"/>
        <v>0</v>
      </c>
      <c r="N39" s="432"/>
      <c r="O39" s="432">
        <v>0</v>
      </c>
      <c r="P39" s="776"/>
      <c r="Q39" s="1185"/>
    </row>
    <row r="40" spans="2:17" s="767" customFormat="1" ht="15.5">
      <c r="B40" s="773">
        <v>30126</v>
      </c>
      <c r="C40" s="433"/>
      <c r="D40" s="774" t="s">
        <v>1094</v>
      </c>
      <c r="E40" s="433"/>
      <c r="F40" s="432"/>
      <c r="G40" s="432">
        <v>0</v>
      </c>
      <c r="H40" s="432"/>
      <c r="I40" s="432">
        <v>0</v>
      </c>
      <c r="J40" s="432"/>
      <c r="K40" s="432">
        <v>0</v>
      </c>
      <c r="L40" s="432"/>
      <c r="M40" s="432">
        <f t="shared" si="0"/>
        <v>0</v>
      </c>
      <c r="N40" s="432"/>
      <c r="O40" s="432">
        <v>0</v>
      </c>
      <c r="P40" s="776"/>
      <c r="Q40" s="1185"/>
    </row>
    <row r="41" spans="2:17" s="767" customFormat="1" ht="15.5">
      <c r="B41" s="773">
        <v>30127</v>
      </c>
      <c r="C41" s="433"/>
      <c r="D41" s="774" t="s">
        <v>1095</v>
      </c>
      <c r="E41" s="433"/>
      <c r="F41" s="432"/>
      <c r="G41" s="432">
        <v>503224.74</v>
      </c>
      <c r="H41" s="432"/>
      <c r="I41" s="432">
        <v>504776.91</v>
      </c>
      <c r="J41" s="432"/>
      <c r="K41" s="432">
        <v>549223.25</v>
      </c>
      <c r="L41" s="432"/>
      <c r="M41" s="432">
        <f t="shared" si="0"/>
        <v>1695.2700000000186</v>
      </c>
      <c r="N41" s="432"/>
      <c r="O41" s="432">
        <v>550918.52</v>
      </c>
      <c r="P41" s="776"/>
      <c r="Q41" s="1185"/>
    </row>
    <row r="42" spans="2:17" s="767" customFormat="1" ht="15.5">
      <c r="B42" s="773">
        <v>30128</v>
      </c>
      <c r="C42" s="433"/>
      <c r="D42" s="774" t="s">
        <v>1096</v>
      </c>
      <c r="E42" s="433"/>
      <c r="F42" s="432"/>
      <c r="G42" s="432">
        <v>0</v>
      </c>
      <c r="H42" s="432"/>
      <c r="I42" s="432">
        <v>0</v>
      </c>
      <c r="J42" s="432"/>
      <c r="K42" s="432">
        <v>0</v>
      </c>
      <c r="L42" s="432"/>
      <c r="M42" s="432">
        <f t="shared" si="0"/>
        <v>0</v>
      </c>
      <c r="N42" s="432"/>
      <c r="O42" s="432">
        <v>0</v>
      </c>
      <c r="P42" s="776"/>
      <c r="Q42" s="1185"/>
    </row>
    <row r="43" spans="2:17" s="767" customFormat="1" ht="15.5">
      <c r="B43" s="773">
        <v>30129</v>
      </c>
      <c r="C43" s="433"/>
      <c r="D43" s="774" t="s">
        <v>1097</v>
      </c>
      <c r="E43" s="433"/>
      <c r="F43" s="432"/>
      <c r="G43" s="432">
        <v>0</v>
      </c>
      <c r="H43" s="432"/>
      <c r="I43" s="432">
        <v>0</v>
      </c>
      <c r="J43" s="432"/>
      <c r="K43" s="432">
        <v>0</v>
      </c>
      <c r="L43" s="432"/>
      <c r="M43" s="432">
        <f t="shared" si="0"/>
        <v>0</v>
      </c>
      <c r="N43" s="432"/>
      <c r="O43" s="432">
        <v>0</v>
      </c>
      <c r="P43" s="776"/>
      <c r="Q43" s="1185"/>
    </row>
    <row r="44" spans="2:17" s="767" customFormat="1" ht="15.5">
      <c r="B44" s="773">
        <v>30130</v>
      </c>
      <c r="C44" s="433"/>
      <c r="D44" s="774" t="s">
        <v>1098</v>
      </c>
      <c r="E44" s="433"/>
      <c r="F44" s="432"/>
      <c r="G44" s="432">
        <v>0</v>
      </c>
      <c r="H44" s="432"/>
      <c r="I44" s="432">
        <v>0</v>
      </c>
      <c r="J44" s="432"/>
      <c r="K44" s="432">
        <v>0</v>
      </c>
      <c r="L44" s="432"/>
      <c r="M44" s="432">
        <f t="shared" si="0"/>
        <v>0</v>
      </c>
      <c r="N44" s="432"/>
      <c r="O44" s="432">
        <v>0</v>
      </c>
      <c r="P44" s="776"/>
      <c r="Q44" s="1185"/>
    </row>
    <row r="45" spans="2:17" s="767" customFormat="1" ht="15.5">
      <c r="B45" s="773">
        <v>30131</v>
      </c>
      <c r="C45" s="433"/>
      <c r="D45" s="774" t="s">
        <v>1099</v>
      </c>
      <c r="E45" s="433"/>
      <c r="F45" s="432"/>
      <c r="G45" s="432">
        <v>0</v>
      </c>
      <c r="H45" s="432"/>
      <c r="I45" s="432">
        <v>0</v>
      </c>
      <c r="J45" s="432"/>
      <c r="K45" s="432">
        <v>0</v>
      </c>
      <c r="L45" s="432"/>
      <c r="M45" s="432">
        <f t="shared" si="0"/>
        <v>0</v>
      </c>
      <c r="N45" s="432"/>
      <c r="O45" s="432">
        <v>0</v>
      </c>
      <c r="P45" s="776"/>
      <c r="Q45" s="1185"/>
    </row>
    <row r="46" spans="2:17" s="767" customFormat="1" ht="15.5">
      <c r="B46" s="773">
        <v>30132</v>
      </c>
      <c r="C46" s="433"/>
      <c r="D46" s="774" t="s">
        <v>1100</v>
      </c>
      <c r="E46" s="433"/>
      <c r="F46" s="432"/>
      <c r="G46" s="432">
        <v>0</v>
      </c>
      <c r="H46" s="432"/>
      <c r="I46" s="432">
        <v>0</v>
      </c>
      <c r="J46" s="432"/>
      <c r="K46" s="432">
        <v>0</v>
      </c>
      <c r="L46" s="432"/>
      <c r="M46" s="432">
        <f t="shared" si="0"/>
        <v>0</v>
      </c>
      <c r="N46" s="432"/>
      <c r="O46" s="432">
        <v>0</v>
      </c>
      <c r="P46" s="776"/>
      <c r="Q46" s="1185"/>
    </row>
    <row r="47" spans="2:17" s="767" customFormat="1" ht="15.5">
      <c r="B47" s="773">
        <v>30133</v>
      </c>
      <c r="C47" s="433"/>
      <c r="D47" s="774" t="s">
        <v>1101</v>
      </c>
      <c r="E47" s="433"/>
      <c r="F47" s="432"/>
      <c r="G47" s="432">
        <v>0</v>
      </c>
      <c r="H47" s="432"/>
      <c r="I47" s="432">
        <v>0</v>
      </c>
      <c r="J47" s="432"/>
      <c r="K47" s="432">
        <v>0</v>
      </c>
      <c r="L47" s="432"/>
      <c r="M47" s="432">
        <f t="shared" si="0"/>
        <v>0</v>
      </c>
      <c r="N47" s="432"/>
      <c r="O47" s="432">
        <v>0</v>
      </c>
      <c r="P47" s="776"/>
      <c r="Q47" s="1185"/>
    </row>
    <row r="48" spans="2:17" s="767" customFormat="1" ht="15.5">
      <c r="B48" s="773">
        <v>30134</v>
      </c>
      <c r="C48" s="433"/>
      <c r="D48" s="774" t="s">
        <v>1102</v>
      </c>
      <c r="E48" s="433"/>
      <c r="F48" s="432"/>
      <c r="G48" s="432">
        <v>0</v>
      </c>
      <c r="H48" s="432"/>
      <c r="I48" s="432">
        <v>0</v>
      </c>
      <c r="J48" s="432"/>
      <c r="K48" s="432">
        <v>0</v>
      </c>
      <c r="L48" s="432"/>
      <c r="M48" s="432">
        <f t="shared" si="0"/>
        <v>0</v>
      </c>
      <c r="N48" s="432"/>
      <c r="O48" s="432">
        <v>0</v>
      </c>
      <c r="P48" s="776"/>
      <c r="Q48" s="1185"/>
    </row>
    <row r="49" spans="2:17" s="767" customFormat="1" ht="15.5">
      <c r="B49" s="773">
        <v>30135</v>
      </c>
      <c r="C49" s="433"/>
      <c r="D49" s="774" t="s">
        <v>1103</v>
      </c>
      <c r="E49" s="433"/>
      <c r="F49" s="432"/>
      <c r="G49" s="432">
        <v>0</v>
      </c>
      <c r="H49" s="432"/>
      <c r="I49" s="432">
        <v>45591.35</v>
      </c>
      <c r="J49" s="432"/>
      <c r="K49" s="432">
        <v>60621.51</v>
      </c>
      <c r="L49" s="432"/>
      <c r="M49" s="432">
        <f t="shared" si="0"/>
        <v>-60621.51</v>
      </c>
      <c r="N49" s="432"/>
      <c r="O49" s="432">
        <v>0</v>
      </c>
      <c r="P49" s="776"/>
      <c r="Q49" s="1185"/>
    </row>
    <row r="50" spans="2:17" s="767" customFormat="1" ht="15.5">
      <c r="B50" s="773">
        <v>30136</v>
      </c>
      <c r="C50" s="433"/>
      <c r="D50" s="774" t="s">
        <v>1104</v>
      </c>
      <c r="E50" s="433"/>
      <c r="F50" s="432"/>
      <c r="G50" s="432">
        <v>0</v>
      </c>
      <c r="H50" s="432"/>
      <c r="I50" s="432">
        <v>0</v>
      </c>
      <c r="J50" s="432"/>
      <c r="K50" s="432">
        <v>0</v>
      </c>
      <c r="L50" s="432"/>
      <c r="M50" s="432">
        <f t="shared" si="0"/>
        <v>0</v>
      </c>
      <c r="N50" s="432"/>
      <c r="O50" s="432">
        <v>0</v>
      </c>
      <c r="P50" s="776"/>
      <c r="Q50" s="1185"/>
    </row>
    <row r="51" spans="2:17" s="767" customFormat="1" ht="15.5">
      <c r="B51" s="773">
        <v>30137</v>
      </c>
      <c r="C51" s="433"/>
      <c r="D51" s="774" t="s">
        <v>1105</v>
      </c>
      <c r="E51" s="433"/>
      <c r="F51" s="432"/>
      <c r="G51" s="432">
        <v>0</v>
      </c>
      <c r="H51" s="432"/>
      <c r="I51" s="432">
        <v>0</v>
      </c>
      <c r="J51" s="432"/>
      <c r="K51" s="432">
        <v>0</v>
      </c>
      <c r="L51" s="432"/>
      <c r="M51" s="432">
        <f t="shared" si="0"/>
        <v>0</v>
      </c>
      <c r="N51" s="432"/>
      <c r="O51" s="432">
        <v>0</v>
      </c>
      <c r="P51" s="776"/>
      <c r="Q51" s="1185"/>
    </row>
    <row r="52" spans="2:17" s="767" customFormat="1" ht="15.5">
      <c r="B52" s="773">
        <v>30138</v>
      </c>
      <c r="C52" s="433"/>
      <c r="D52" s="774" t="s">
        <v>1106</v>
      </c>
      <c r="E52" s="433"/>
      <c r="F52" s="432"/>
      <c r="G52" s="432">
        <v>0</v>
      </c>
      <c r="H52" s="432"/>
      <c r="I52" s="432">
        <v>0</v>
      </c>
      <c r="J52" s="432"/>
      <c r="K52" s="432">
        <v>0</v>
      </c>
      <c r="L52" s="432"/>
      <c r="M52" s="432">
        <f t="shared" si="0"/>
        <v>0</v>
      </c>
      <c r="N52" s="432"/>
      <c r="O52" s="432">
        <v>0</v>
      </c>
      <c r="P52" s="776"/>
      <c r="Q52" s="1185"/>
    </row>
    <row r="53" spans="2:17" s="767" customFormat="1" ht="15.5">
      <c r="B53" s="773">
        <v>30139</v>
      </c>
      <c r="C53" s="433"/>
      <c r="D53" s="774" t="s">
        <v>1107</v>
      </c>
      <c r="E53" s="433"/>
      <c r="F53" s="432"/>
      <c r="G53" s="432">
        <v>0</v>
      </c>
      <c r="H53" s="432"/>
      <c r="I53" s="432">
        <v>0</v>
      </c>
      <c r="J53" s="432"/>
      <c r="K53" s="432">
        <v>0</v>
      </c>
      <c r="L53" s="432"/>
      <c r="M53" s="432">
        <f t="shared" si="0"/>
        <v>0</v>
      </c>
      <c r="N53" s="432"/>
      <c r="O53" s="432">
        <v>0</v>
      </c>
      <c r="P53" s="776"/>
      <c r="Q53" s="1185"/>
    </row>
    <row r="54" spans="2:17" s="767" customFormat="1" ht="15.5">
      <c r="B54" s="773">
        <v>30140</v>
      </c>
      <c r="C54" s="433"/>
      <c r="D54" s="774" t="s">
        <v>1108</v>
      </c>
      <c r="E54" s="433"/>
      <c r="F54" s="432"/>
      <c r="G54" s="432">
        <v>0</v>
      </c>
      <c r="H54" s="432"/>
      <c r="I54" s="432">
        <v>0</v>
      </c>
      <c r="J54" s="432"/>
      <c r="K54" s="432">
        <v>0</v>
      </c>
      <c r="L54" s="432"/>
      <c r="M54" s="432">
        <f t="shared" si="0"/>
        <v>0</v>
      </c>
      <c r="N54" s="432"/>
      <c r="O54" s="432">
        <v>0</v>
      </c>
      <c r="P54" s="776"/>
      <c r="Q54" s="1185"/>
    </row>
    <row r="55" spans="2:17" s="767" customFormat="1" ht="15.5">
      <c r="B55" s="773">
        <v>30141</v>
      </c>
      <c r="C55" s="433"/>
      <c r="D55" s="774" t="s">
        <v>1109</v>
      </c>
      <c r="E55" s="433"/>
      <c r="F55" s="432"/>
      <c r="G55" s="432">
        <v>0</v>
      </c>
      <c r="H55" s="432"/>
      <c r="I55" s="432">
        <v>0</v>
      </c>
      <c r="J55" s="432"/>
      <c r="K55" s="432">
        <v>0</v>
      </c>
      <c r="L55" s="432"/>
      <c r="M55" s="432">
        <f t="shared" si="0"/>
        <v>0</v>
      </c>
      <c r="N55" s="432"/>
      <c r="O55" s="432">
        <v>0</v>
      </c>
      <c r="P55" s="776"/>
      <c r="Q55" s="1185"/>
    </row>
    <row r="56" spans="2:17" s="767" customFormat="1" ht="15.5">
      <c r="B56" s="773">
        <v>30142</v>
      </c>
      <c r="C56" s="433"/>
      <c r="D56" s="774" t="s">
        <v>1110</v>
      </c>
      <c r="E56" s="433"/>
      <c r="F56" s="432"/>
      <c r="G56" s="432">
        <v>0</v>
      </c>
      <c r="H56" s="432"/>
      <c r="I56" s="432">
        <v>0</v>
      </c>
      <c r="J56" s="432"/>
      <c r="K56" s="432">
        <v>0</v>
      </c>
      <c r="L56" s="432"/>
      <c r="M56" s="432">
        <f t="shared" si="0"/>
        <v>0</v>
      </c>
      <c r="N56" s="432"/>
      <c r="O56" s="432">
        <v>0</v>
      </c>
      <c r="P56" s="776"/>
      <c r="Q56" s="1185"/>
    </row>
    <row r="57" spans="2:17" s="767" customFormat="1" ht="15.5">
      <c r="B57" s="773">
        <v>30143</v>
      </c>
      <c r="C57" s="433"/>
      <c r="D57" s="774" t="s">
        <v>1111</v>
      </c>
      <c r="E57" s="433"/>
      <c r="F57" s="432"/>
      <c r="G57" s="432">
        <v>0</v>
      </c>
      <c r="H57" s="432"/>
      <c r="I57" s="432">
        <v>0</v>
      </c>
      <c r="J57" s="432"/>
      <c r="K57" s="432">
        <v>0</v>
      </c>
      <c r="L57" s="432"/>
      <c r="M57" s="432">
        <f t="shared" si="0"/>
        <v>0</v>
      </c>
      <c r="N57" s="432"/>
      <c r="O57" s="432">
        <v>0</v>
      </c>
      <c r="P57" s="776"/>
      <c r="Q57" s="1185"/>
    </row>
    <row r="58" spans="2:17" s="767" customFormat="1" ht="15.5">
      <c r="B58" s="773">
        <v>30144</v>
      </c>
      <c r="C58" s="433"/>
      <c r="D58" s="774" t="s">
        <v>1112</v>
      </c>
      <c r="E58" s="433"/>
      <c r="F58" s="432"/>
      <c r="G58" s="432">
        <v>0</v>
      </c>
      <c r="H58" s="432"/>
      <c r="I58" s="432">
        <v>0</v>
      </c>
      <c r="J58" s="432"/>
      <c r="K58" s="432">
        <v>0</v>
      </c>
      <c r="L58" s="432"/>
      <c r="M58" s="432">
        <f t="shared" si="0"/>
        <v>0</v>
      </c>
      <c r="N58" s="432"/>
      <c r="O58" s="432">
        <v>0</v>
      </c>
      <c r="P58" s="776"/>
      <c r="Q58" s="1185"/>
    </row>
    <row r="59" spans="2:17" s="767" customFormat="1" ht="15.5">
      <c r="B59" s="773">
        <v>30145</v>
      </c>
      <c r="C59" s="433"/>
      <c r="D59" s="774" t="s">
        <v>1113</v>
      </c>
      <c r="E59" s="433"/>
      <c r="F59" s="432"/>
      <c r="G59" s="432">
        <v>0</v>
      </c>
      <c r="H59" s="432"/>
      <c r="I59" s="432">
        <v>0</v>
      </c>
      <c r="J59" s="432"/>
      <c r="K59" s="432">
        <v>0</v>
      </c>
      <c r="L59" s="432"/>
      <c r="M59" s="432">
        <f t="shared" si="0"/>
        <v>0</v>
      </c>
      <c r="N59" s="432"/>
      <c r="O59" s="432">
        <v>0</v>
      </c>
      <c r="P59" s="776"/>
      <c r="Q59" s="1185"/>
    </row>
    <row r="60" spans="2:17" s="767" customFormat="1" ht="15.5">
      <c r="B60" s="773">
        <v>30146</v>
      </c>
      <c r="C60" s="433"/>
      <c r="D60" s="774" t="s">
        <v>1114</v>
      </c>
      <c r="E60" s="433"/>
      <c r="F60" s="432"/>
      <c r="G60" s="432">
        <v>0</v>
      </c>
      <c r="H60" s="432"/>
      <c r="I60" s="432">
        <v>0</v>
      </c>
      <c r="J60" s="432"/>
      <c r="K60" s="432">
        <v>0</v>
      </c>
      <c r="L60" s="432"/>
      <c r="M60" s="432">
        <f t="shared" si="0"/>
        <v>0</v>
      </c>
      <c r="N60" s="432"/>
      <c r="O60" s="432">
        <v>0</v>
      </c>
      <c r="P60" s="776"/>
      <c r="Q60" s="1185"/>
    </row>
    <row r="61" spans="2:17" s="767" customFormat="1" ht="15.5">
      <c r="B61" s="773">
        <v>30147</v>
      </c>
      <c r="C61" s="433"/>
      <c r="D61" s="774" t="s">
        <v>1115</v>
      </c>
      <c r="E61" s="433"/>
      <c r="F61" s="432"/>
      <c r="G61" s="432">
        <v>0</v>
      </c>
      <c r="H61" s="432"/>
      <c r="I61" s="432">
        <v>0</v>
      </c>
      <c r="J61" s="432"/>
      <c r="K61" s="432">
        <v>0</v>
      </c>
      <c r="L61" s="432"/>
      <c r="M61" s="432">
        <f t="shared" si="0"/>
        <v>0</v>
      </c>
      <c r="N61" s="432"/>
      <c r="O61" s="432">
        <v>0</v>
      </c>
      <c r="P61" s="776"/>
      <c r="Q61" s="1185"/>
    </row>
    <row r="62" spans="2:17" s="767" customFormat="1" ht="15.5">
      <c r="B62" s="773">
        <v>30148</v>
      </c>
      <c r="C62" s="433"/>
      <c r="D62" s="774" t="s">
        <v>1116</v>
      </c>
      <c r="E62" s="433"/>
      <c r="F62" s="432"/>
      <c r="G62" s="432">
        <v>0</v>
      </c>
      <c r="H62" s="432"/>
      <c r="I62" s="432">
        <v>0</v>
      </c>
      <c r="J62" s="432"/>
      <c r="K62" s="432">
        <v>0</v>
      </c>
      <c r="L62" s="432"/>
      <c r="M62" s="432">
        <f t="shared" si="0"/>
        <v>0</v>
      </c>
      <c r="N62" s="432"/>
      <c r="O62" s="432">
        <v>0</v>
      </c>
      <c r="P62" s="776"/>
      <c r="Q62" s="1185"/>
    </row>
    <row r="63" spans="2:17" s="767" customFormat="1" ht="15.5">
      <c r="B63" s="773">
        <v>30149</v>
      </c>
      <c r="C63" s="433"/>
      <c r="D63" s="774" t="s">
        <v>1117</v>
      </c>
      <c r="E63" s="433"/>
      <c r="F63" s="432"/>
      <c r="G63" s="432">
        <v>0</v>
      </c>
      <c r="H63" s="432"/>
      <c r="I63" s="432">
        <v>0</v>
      </c>
      <c r="J63" s="432"/>
      <c r="K63" s="432">
        <v>0</v>
      </c>
      <c r="L63" s="432"/>
      <c r="M63" s="432">
        <f t="shared" si="0"/>
        <v>0</v>
      </c>
      <c r="N63" s="432"/>
      <c r="O63" s="432">
        <v>0</v>
      </c>
      <c r="P63" s="776"/>
      <c r="Q63" s="1185"/>
    </row>
    <row r="64" spans="2:17" s="767" customFormat="1" ht="15.5">
      <c r="B64" s="773">
        <v>30150</v>
      </c>
      <c r="C64" s="433"/>
      <c r="D64" s="774" t="s">
        <v>1118</v>
      </c>
      <c r="E64" s="433"/>
      <c r="F64" s="432"/>
      <c r="G64" s="432">
        <v>0</v>
      </c>
      <c r="H64" s="432"/>
      <c r="I64" s="432">
        <v>0</v>
      </c>
      <c r="J64" s="432"/>
      <c r="K64" s="432">
        <v>0</v>
      </c>
      <c r="L64" s="432"/>
      <c r="M64" s="432">
        <f t="shared" si="0"/>
        <v>0</v>
      </c>
      <c r="N64" s="432"/>
      <c r="O64" s="432">
        <v>0</v>
      </c>
      <c r="P64" s="776"/>
      <c r="Q64" s="1185"/>
    </row>
    <row r="65" spans="2:17" s="767" customFormat="1" ht="15.5">
      <c r="B65" s="773">
        <v>30151</v>
      </c>
      <c r="C65" s="433"/>
      <c r="D65" s="774" t="s">
        <v>1119</v>
      </c>
      <c r="E65" s="433"/>
      <c r="F65" s="432"/>
      <c r="G65" s="432">
        <v>215242.96</v>
      </c>
      <c r="H65" s="432"/>
      <c r="I65" s="432">
        <v>0</v>
      </c>
      <c r="J65" s="432"/>
      <c r="K65" s="432">
        <v>0</v>
      </c>
      <c r="L65" s="432"/>
      <c r="M65" s="432">
        <f t="shared" si="0"/>
        <v>0</v>
      </c>
      <c r="N65" s="432"/>
      <c r="O65" s="432">
        <v>0</v>
      </c>
      <c r="P65" s="776"/>
      <c r="Q65" s="1185"/>
    </row>
    <row r="66" spans="2:17" s="767" customFormat="1" ht="15.5">
      <c r="B66" s="773">
        <v>30152</v>
      </c>
      <c r="C66" s="433"/>
      <c r="D66" s="774" t="s">
        <v>1120</v>
      </c>
      <c r="E66" s="433"/>
      <c r="F66" s="432"/>
      <c r="G66" s="432">
        <v>0</v>
      </c>
      <c r="H66" s="432"/>
      <c r="I66" s="432">
        <v>0</v>
      </c>
      <c r="J66" s="432"/>
      <c r="K66" s="432">
        <v>0</v>
      </c>
      <c r="L66" s="432"/>
      <c r="M66" s="432">
        <f t="shared" si="0"/>
        <v>0</v>
      </c>
      <c r="N66" s="432"/>
      <c r="O66" s="432">
        <v>0</v>
      </c>
      <c r="P66" s="776"/>
      <c r="Q66" s="1185"/>
    </row>
    <row r="67" spans="2:17" s="767" customFormat="1" ht="15.5">
      <c r="B67" s="773">
        <v>30153</v>
      </c>
      <c r="C67" s="433"/>
      <c r="D67" s="774" t="s">
        <v>1121</v>
      </c>
      <c r="E67" s="433"/>
      <c r="F67" s="432"/>
      <c r="G67" s="432">
        <v>0</v>
      </c>
      <c r="H67" s="432"/>
      <c r="I67" s="432">
        <v>0</v>
      </c>
      <c r="J67" s="432"/>
      <c r="K67" s="432">
        <v>0</v>
      </c>
      <c r="L67" s="432"/>
      <c r="M67" s="432">
        <f t="shared" si="0"/>
        <v>0</v>
      </c>
      <c r="N67" s="432"/>
      <c r="O67" s="432">
        <v>0</v>
      </c>
      <c r="P67" s="776"/>
      <c r="Q67" s="1185"/>
    </row>
    <row r="68" spans="2:17" s="767" customFormat="1" ht="15.5">
      <c r="B68" s="773">
        <v>30154</v>
      </c>
      <c r="C68" s="433"/>
      <c r="D68" s="774" t="s">
        <v>1122</v>
      </c>
      <c r="E68" s="433"/>
      <c r="F68" s="432"/>
      <c r="G68" s="432">
        <v>0</v>
      </c>
      <c r="H68" s="432"/>
      <c r="I68" s="432">
        <v>0</v>
      </c>
      <c r="J68" s="432"/>
      <c r="K68" s="432">
        <v>0</v>
      </c>
      <c r="L68" s="432"/>
      <c r="M68" s="432">
        <f t="shared" si="0"/>
        <v>0</v>
      </c>
      <c r="N68" s="432"/>
      <c r="O68" s="432">
        <v>0</v>
      </c>
      <c r="P68" s="776"/>
      <c r="Q68" s="1185"/>
    </row>
    <row r="69" spans="2:17" s="767" customFormat="1" ht="15.5">
      <c r="B69" s="773">
        <v>30351</v>
      </c>
      <c r="C69" s="433"/>
      <c r="D69" s="774" t="s">
        <v>1123</v>
      </c>
      <c r="E69" s="433"/>
      <c r="F69" s="432"/>
      <c r="G69" s="432">
        <v>156510949.50999999</v>
      </c>
      <c r="H69" s="432"/>
      <c r="I69" s="432">
        <v>186465910.72</v>
      </c>
      <c r="J69" s="432"/>
      <c r="K69" s="432">
        <v>226415816.05000001</v>
      </c>
      <c r="L69" s="432"/>
      <c r="M69" s="432">
        <f t="shared" si="0"/>
        <v>7796999.4599999785</v>
      </c>
      <c r="N69" s="432"/>
      <c r="O69" s="432">
        <v>234212815.50999999</v>
      </c>
      <c r="P69" s="776"/>
      <c r="Q69" s="1185"/>
    </row>
    <row r="70" spans="2:17" s="767" customFormat="1" ht="15.5">
      <c r="B70" s="773">
        <v>31506</v>
      </c>
      <c r="C70" s="780"/>
      <c r="D70" s="779" t="s">
        <v>1124</v>
      </c>
      <c r="E70" s="781"/>
      <c r="F70" s="432"/>
      <c r="G70" s="432">
        <v>101176891.7</v>
      </c>
      <c r="H70" s="432"/>
      <c r="I70" s="432">
        <v>108070498.03</v>
      </c>
      <c r="J70" s="432"/>
      <c r="K70" s="432">
        <v>119963123.06999999</v>
      </c>
      <c r="L70" s="432"/>
      <c r="M70" s="432">
        <f t="shared" si="0"/>
        <v>6339683.2100000083</v>
      </c>
      <c r="N70" s="432"/>
      <c r="O70" s="432">
        <v>126302806.28</v>
      </c>
      <c r="P70" s="776"/>
      <c r="Q70" s="1185"/>
    </row>
    <row r="71" spans="2:17" s="767" customFormat="1" ht="15.5">
      <c r="B71" s="773">
        <v>31701</v>
      </c>
      <c r="C71" s="433"/>
      <c r="D71" s="774" t="s">
        <v>1125</v>
      </c>
      <c r="E71" s="433"/>
      <c r="F71" s="432"/>
      <c r="G71" s="432">
        <v>33565058.280000001</v>
      </c>
      <c r="H71" s="432"/>
      <c r="I71" s="432">
        <v>36486258.32</v>
      </c>
      <c r="J71" s="432"/>
      <c r="K71" s="432">
        <v>38880864.049999997</v>
      </c>
      <c r="L71" s="432"/>
      <c r="M71" s="432">
        <f t="shared" si="0"/>
        <v>2023734.1300000027</v>
      </c>
      <c r="N71" s="432"/>
      <c r="O71" s="432">
        <v>40904598.18</v>
      </c>
      <c r="P71" s="776"/>
      <c r="Q71" s="1185"/>
    </row>
    <row r="72" spans="2:17" s="767" customFormat="1" ht="15.5">
      <c r="B72" s="773">
        <v>31801</v>
      </c>
      <c r="C72" s="433"/>
      <c r="D72" s="774" t="s">
        <v>1126</v>
      </c>
      <c r="E72" s="433"/>
      <c r="F72" s="432"/>
      <c r="G72" s="432">
        <v>12941967.060000001</v>
      </c>
      <c r="H72" s="432"/>
      <c r="I72" s="432">
        <v>12941967.060000001</v>
      </c>
      <c r="J72" s="432"/>
      <c r="K72" s="432">
        <v>12941967.060000001</v>
      </c>
      <c r="L72" s="432"/>
      <c r="M72" s="432">
        <f t="shared" si="0"/>
        <v>0</v>
      </c>
      <c r="N72" s="432"/>
      <c r="O72" s="432">
        <v>12941967.060000001</v>
      </c>
      <c r="P72" s="776"/>
      <c r="Q72" s="1185"/>
    </row>
    <row r="73" spans="2:17" s="767" customFormat="1" ht="15.5">
      <c r="B73" s="773">
        <v>31851</v>
      </c>
      <c r="C73" s="433"/>
      <c r="D73" s="779" t="s">
        <v>1127</v>
      </c>
      <c r="E73" s="433"/>
      <c r="F73" s="432"/>
      <c r="G73" s="432">
        <v>1204589477.4200001</v>
      </c>
      <c r="H73" s="432"/>
      <c r="I73" s="432">
        <v>1341470727.3199999</v>
      </c>
      <c r="J73" s="432"/>
      <c r="K73" s="432">
        <v>1454529148.3199999</v>
      </c>
      <c r="L73" s="432"/>
      <c r="M73" s="432">
        <f t="shared" si="0"/>
        <v>154805516</v>
      </c>
      <c r="N73" s="432"/>
      <c r="O73" s="432">
        <v>1609334664.3199999</v>
      </c>
      <c r="P73" s="776"/>
      <c r="Q73" s="1185"/>
    </row>
    <row r="74" spans="2:17" s="767" customFormat="1" ht="15.5">
      <c r="B74" s="773">
        <v>31852</v>
      </c>
      <c r="C74" s="433"/>
      <c r="D74" s="774" t="s">
        <v>1128</v>
      </c>
      <c r="E74" s="433"/>
      <c r="F74" s="432"/>
      <c r="G74" s="432">
        <v>98913820.140000001</v>
      </c>
      <c r="H74" s="432"/>
      <c r="I74" s="432">
        <v>101878937.14</v>
      </c>
      <c r="J74" s="432"/>
      <c r="K74" s="432">
        <v>101878937.14</v>
      </c>
      <c r="L74" s="432"/>
      <c r="M74" s="432">
        <f t="shared" si="0"/>
        <v>1370000</v>
      </c>
      <c r="N74" s="432"/>
      <c r="O74" s="432">
        <v>103248937.14</v>
      </c>
      <c r="P74" s="776"/>
      <c r="Q74" s="1185"/>
    </row>
    <row r="75" spans="2:17" s="767" customFormat="1" ht="15.5">
      <c r="B75" s="773">
        <v>31853</v>
      </c>
      <c r="C75" s="433"/>
      <c r="D75" s="779" t="s">
        <v>1129</v>
      </c>
      <c r="E75" s="433"/>
      <c r="F75" s="432"/>
      <c r="G75" s="432">
        <v>495649601.94</v>
      </c>
      <c r="H75" s="432"/>
      <c r="I75" s="432">
        <v>495649601.94</v>
      </c>
      <c r="J75" s="432"/>
      <c r="K75" s="432">
        <v>505649601.94</v>
      </c>
      <c r="L75" s="432"/>
      <c r="M75" s="432">
        <f t="shared" ref="M75:M98" si="1">O75-K75</f>
        <v>0</v>
      </c>
      <c r="N75" s="432"/>
      <c r="O75" s="432">
        <v>505649601.94</v>
      </c>
      <c r="P75" s="776"/>
      <c r="Q75" s="1185"/>
    </row>
    <row r="76" spans="2:17" s="767" customFormat="1" ht="15.5">
      <c r="B76" s="773">
        <v>31854</v>
      </c>
      <c r="C76" s="433"/>
      <c r="D76" s="779" t="s">
        <v>1130</v>
      </c>
      <c r="E76" s="433"/>
      <c r="F76" s="432"/>
      <c r="G76" s="432">
        <v>0</v>
      </c>
      <c r="H76" s="432"/>
      <c r="I76" s="432">
        <v>0</v>
      </c>
      <c r="J76" s="432"/>
      <c r="K76" s="432">
        <v>0</v>
      </c>
      <c r="L76" s="432"/>
      <c r="M76" s="432">
        <f t="shared" si="1"/>
        <v>0</v>
      </c>
      <c r="N76" s="432"/>
      <c r="O76" s="432">
        <v>0</v>
      </c>
      <c r="P76" s="776"/>
      <c r="Q76" s="1185"/>
    </row>
    <row r="77" spans="2:17" s="767" customFormat="1" ht="15.5">
      <c r="B77" s="773">
        <v>31951</v>
      </c>
      <c r="C77" s="433"/>
      <c r="D77" s="779" t="s">
        <v>1131</v>
      </c>
      <c r="E77" s="433"/>
      <c r="F77" s="432"/>
      <c r="G77" s="432">
        <v>12015920.550000001</v>
      </c>
      <c r="H77" s="432"/>
      <c r="I77" s="432">
        <v>12015920.550000001</v>
      </c>
      <c r="J77" s="432"/>
      <c r="K77" s="432">
        <v>12015920.550000001</v>
      </c>
      <c r="L77" s="432"/>
      <c r="M77" s="432">
        <f t="shared" si="1"/>
        <v>0</v>
      </c>
      <c r="N77" s="432"/>
      <c r="O77" s="432">
        <v>12015920.550000001</v>
      </c>
      <c r="P77" s="776"/>
      <c r="Q77" s="1185"/>
    </row>
    <row r="78" spans="2:17" s="767" customFormat="1" ht="15.5">
      <c r="B78" s="773">
        <v>32213</v>
      </c>
      <c r="C78" s="433"/>
      <c r="D78" s="774" t="s">
        <v>1132</v>
      </c>
      <c r="E78" s="433"/>
      <c r="F78" s="432"/>
      <c r="G78" s="432">
        <v>153750</v>
      </c>
      <c r="H78" s="432"/>
      <c r="I78" s="432">
        <v>153750</v>
      </c>
      <c r="J78" s="432"/>
      <c r="K78" s="432">
        <v>153750</v>
      </c>
      <c r="L78" s="432"/>
      <c r="M78" s="432">
        <f t="shared" si="1"/>
        <v>0</v>
      </c>
      <c r="N78" s="432"/>
      <c r="O78" s="432">
        <v>153750</v>
      </c>
      <c r="P78" s="776"/>
      <c r="Q78" s="1185"/>
    </row>
    <row r="79" spans="2:17" s="767" customFormat="1" ht="15.5">
      <c r="B79" s="773">
        <v>32215</v>
      </c>
      <c r="C79" s="433"/>
      <c r="D79" s="774" t="s">
        <v>1133</v>
      </c>
      <c r="E79" s="433"/>
      <c r="F79" s="432"/>
      <c r="G79" s="432">
        <v>1197.42</v>
      </c>
      <c r="H79" s="432"/>
      <c r="I79" s="432">
        <v>1201.0999999999999</v>
      </c>
      <c r="J79" s="432"/>
      <c r="K79" s="432">
        <v>1204.92</v>
      </c>
      <c r="L79" s="432"/>
      <c r="M79" s="432">
        <f t="shared" si="1"/>
        <v>3.8599999999999</v>
      </c>
      <c r="N79" s="432"/>
      <c r="O79" s="432">
        <v>1208.78</v>
      </c>
      <c r="P79" s="776"/>
      <c r="Q79" s="1185"/>
    </row>
    <row r="80" spans="2:17" s="767" customFormat="1" ht="15.5">
      <c r="B80" s="773">
        <v>32219</v>
      </c>
      <c r="C80" s="433"/>
      <c r="D80" s="774" t="s">
        <v>1134</v>
      </c>
      <c r="E80" s="433"/>
      <c r="F80" s="432"/>
      <c r="G80" s="432">
        <v>0</v>
      </c>
      <c r="H80" s="432"/>
      <c r="I80" s="432">
        <v>0</v>
      </c>
      <c r="J80" s="432"/>
      <c r="K80" s="432">
        <v>0</v>
      </c>
      <c r="L80" s="432"/>
      <c r="M80" s="432">
        <f t="shared" si="1"/>
        <v>0</v>
      </c>
      <c r="N80" s="432"/>
      <c r="O80" s="432">
        <v>0</v>
      </c>
      <c r="P80" s="776"/>
      <c r="Q80" s="1185"/>
    </row>
    <row r="81" spans="2:17" s="767" customFormat="1" ht="15.5">
      <c r="B81" s="773">
        <v>32229</v>
      </c>
      <c r="C81" s="433"/>
      <c r="D81" s="774" t="s">
        <v>1432</v>
      </c>
      <c r="E81" s="433"/>
      <c r="F81" s="432"/>
      <c r="G81" s="432">
        <v>297000000</v>
      </c>
      <c r="H81" s="432"/>
      <c r="I81" s="432">
        <v>294626713.02999997</v>
      </c>
      <c r="J81" s="432"/>
      <c r="K81" s="432">
        <v>294626713.02999997</v>
      </c>
      <c r="L81" s="432"/>
      <c r="M81" s="432">
        <f t="shared" ref="M81" si="2">O81-K81</f>
        <v>115000000</v>
      </c>
      <c r="N81" s="432"/>
      <c r="O81" s="432">
        <v>409626713.02999997</v>
      </c>
      <c r="P81" s="776"/>
      <c r="Q81" s="1185"/>
    </row>
    <row r="82" spans="2:17" s="767" customFormat="1" ht="15.5">
      <c r="B82" s="773">
        <v>32230</v>
      </c>
      <c r="C82" s="433"/>
      <c r="D82" s="774" t="s">
        <v>1419</v>
      </c>
      <c r="E82" s="433"/>
      <c r="F82" s="432"/>
      <c r="G82" s="432">
        <v>0</v>
      </c>
      <c r="H82" s="432"/>
      <c r="I82" s="432">
        <v>0</v>
      </c>
      <c r="J82" s="432"/>
      <c r="K82" s="432">
        <v>0</v>
      </c>
      <c r="L82" s="432"/>
      <c r="M82" s="432">
        <f t="shared" si="1"/>
        <v>0</v>
      </c>
      <c r="N82" s="432"/>
      <c r="O82" s="432">
        <v>0</v>
      </c>
      <c r="P82" s="776"/>
      <c r="Q82" s="1185"/>
    </row>
    <row r="83" spans="2:17" s="767" customFormat="1" ht="15.5">
      <c r="B83" s="773">
        <v>32231</v>
      </c>
      <c r="D83" s="756" t="s">
        <v>1466</v>
      </c>
      <c r="E83" s="433"/>
      <c r="F83" s="432"/>
      <c r="G83" s="432">
        <v>0</v>
      </c>
      <c r="H83" s="432"/>
      <c r="I83" s="432">
        <v>0</v>
      </c>
      <c r="J83" s="432"/>
      <c r="K83" s="432">
        <v>0</v>
      </c>
      <c r="L83" s="432"/>
      <c r="M83" s="432">
        <f t="shared" si="1"/>
        <v>0</v>
      </c>
      <c r="N83" s="432"/>
      <c r="O83" s="432">
        <v>0</v>
      </c>
      <c r="P83" s="776"/>
      <c r="Q83" s="1185"/>
    </row>
    <row r="84" spans="2:17" s="767" customFormat="1" ht="15.5">
      <c r="B84" s="773">
        <v>32232</v>
      </c>
      <c r="D84" s="756" t="s">
        <v>1467</v>
      </c>
      <c r="E84" s="433"/>
      <c r="F84" s="432"/>
      <c r="G84" s="432">
        <v>0</v>
      </c>
      <c r="H84" s="432"/>
      <c r="I84" s="432">
        <v>0</v>
      </c>
      <c r="J84" s="432"/>
      <c r="K84" s="432">
        <v>0</v>
      </c>
      <c r="L84" s="432"/>
      <c r="M84" s="432">
        <f t="shared" si="1"/>
        <v>0</v>
      </c>
      <c r="N84" s="432"/>
      <c r="O84" s="432">
        <v>0</v>
      </c>
      <c r="P84" s="776"/>
      <c r="Q84" s="1185"/>
    </row>
    <row r="85" spans="2:17" s="767" customFormat="1" ht="15.5">
      <c r="B85" s="773">
        <v>32301</v>
      </c>
      <c r="C85" s="433"/>
      <c r="D85" s="774" t="s">
        <v>1135</v>
      </c>
      <c r="E85" s="433"/>
      <c r="F85" s="432"/>
      <c r="G85" s="432">
        <v>0</v>
      </c>
      <c r="H85" s="432"/>
      <c r="I85" s="432">
        <v>0</v>
      </c>
      <c r="J85" s="432"/>
      <c r="K85" s="432">
        <v>0</v>
      </c>
      <c r="L85" s="432"/>
      <c r="M85" s="432">
        <f t="shared" si="1"/>
        <v>0</v>
      </c>
      <c r="N85" s="432"/>
      <c r="O85" s="432">
        <v>0</v>
      </c>
      <c r="P85" s="776"/>
      <c r="Q85" s="1185"/>
    </row>
    <row r="86" spans="2:17" s="767" customFormat="1" ht="15.5">
      <c r="B86" s="773">
        <v>32302</v>
      </c>
      <c r="C86" s="433"/>
      <c r="D86" s="774" t="s">
        <v>1136</v>
      </c>
      <c r="E86" s="433"/>
      <c r="F86" s="432"/>
      <c r="G86" s="432">
        <v>0</v>
      </c>
      <c r="H86" s="432"/>
      <c r="I86" s="432">
        <v>0</v>
      </c>
      <c r="J86" s="432"/>
      <c r="K86" s="432">
        <v>0</v>
      </c>
      <c r="L86" s="432"/>
      <c r="M86" s="432">
        <f t="shared" si="1"/>
        <v>0</v>
      </c>
      <c r="N86" s="432"/>
      <c r="O86" s="432">
        <v>0</v>
      </c>
      <c r="P86" s="776"/>
      <c r="Q86" s="1185"/>
    </row>
    <row r="87" spans="2:17" s="767" customFormat="1" ht="15.5">
      <c r="B87" s="773">
        <v>32303</v>
      </c>
      <c r="C87" s="433"/>
      <c r="D87" s="774" t="s">
        <v>1137</v>
      </c>
      <c r="E87" s="781"/>
      <c r="F87" s="432"/>
      <c r="G87" s="432">
        <v>270193406.60000002</v>
      </c>
      <c r="H87" s="432"/>
      <c r="I87" s="432">
        <v>274354686.44</v>
      </c>
      <c r="J87" s="432"/>
      <c r="K87" s="432">
        <v>290853421.55000001</v>
      </c>
      <c r="L87" s="432"/>
      <c r="M87" s="432">
        <f t="shared" si="1"/>
        <v>-15918967.170000017</v>
      </c>
      <c r="N87" s="432"/>
      <c r="O87" s="432">
        <v>274934454.38</v>
      </c>
      <c r="P87" s="776"/>
      <c r="Q87" s="1185"/>
    </row>
    <row r="88" spans="2:17" s="767" customFormat="1" ht="15.5">
      <c r="B88" s="773">
        <v>32304</v>
      </c>
      <c r="C88" s="433"/>
      <c r="D88" s="774" t="s">
        <v>1138</v>
      </c>
      <c r="E88" s="781"/>
      <c r="F88" s="432"/>
      <c r="G88" s="432">
        <v>0</v>
      </c>
      <c r="H88" s="432"/>
      <c r="I88" s="432">
        <v>0</v>
      </c>
      <c r="J88" s="432"/>
      <c r="K88" s="432">
        <v>0</v>
      </c>
      <c r="L88" s="432"/>
      <c r="M88" s="432">
        <f t="shared" si="1"/>
        <v>0</v>
      </c>
      <c r="N88" s="432"/>
      <c r="O88" s="432">
        <v>0</v>
      </c>
      <c r="P88" s="776"/>
      <c r="Q88" s="1185"/>
    </row>
    <row r="89" spans="2:17" s="767" customFormat="1" ht="15.5">
      <c r="B89" s="773">
        <v>32305</v>
      </c>
      <c r="C89" s="433"/>
      <c r="D89" s="774" t="s">
        <v>1139</v>
      </c>
      <c r="E89" s="781"/>
      <c r="F89" s="432"/>
      <c r="G89" s="432">
        <v>277344266.75999999</v>
      </c>
      <c r="H89" s="432"/>
      <c r="I89" s="432">
        <v>277825687.31999999</v>
      </c>
      <c r="J89" s="432"/>
      <c r="K89" s="432">
        <v>278332798.06999999</v>
      </c>
      <c r="L89" s="432"/>
      <c r="M89" s="432">
        <f t="shared" si="1"/>
        <v>-22223258.229999989</v>
      </c>
      <c r="N89" s="432"/>
      <c r="O89" s="432">
        <v>256109539.84</v>
      </c>
      <c r="P89" s="776"/>
      <c r="Q89" s="1185"/>
    </row>
    <row r="90" spans="2:17" s="767" customFormat="1" ht="15.5">
      <c r="B90" s="773">
        <v>32306</v>
      </c>
      <c r="C90" s="433"/>
      <c r="D90" s="774" t="s">
        <v>1140</v>
      </c>
      <c r="E90" s="781"/>
      <c r="F90" s="432"/>
      <c r="G90" s="432">
        <v>0</v>
      </c>
      <c r="H90" s="432"/>
      <c r="I90" s="432">
        <v>0</v>
      </c>
      <c r="J90" s="432"/>
      <c r="K90" s="432">
        <v>0</v>
      </c>
      <c r="L90" s="432"/>
      <c r="M90" s="432">
        <f t="shared" si="1"/>
        <v>0</v>
      </c>
      <c r="N90" s="432"/>
      <c r="O90" s="432">
        <v>0</v>
      </c>
      <c r="P90" s="776"/>
      <c r="Q90" s="1185"/>
    </row>
    <row r="91" spans="2:17" s="767" customFormat="1" ht="15.5">
      <c r="B91" s="773">
        <v>32307</v>
      </c>
      <c r="C91" s="433"/>
      <c r="D91" s="779" t="s">
        <v>1141</v>
      </c>
      <c r="E91" s="781"/>
      <c r="F91" s="432"/>
      <c r="G91" s="432">
        <v>13617098.210000001</v>
      </c>
      <c r="H91" s="432"/>
      <c r="I91" s="432">
        <v>13617098.210000001</v>
      </c>
      <c r="J91" s="432"/>
      <c r="K91" s="432">
        <v>16741236.210000001</v>
      </c>
      <c r="L91" s="432"/>
      <c r="M91" s="432">
        <f t="shared" si="1"/>
        <v>0</v>
      </c>
      <c r="N91" s="432"/>
      <c r="O91" s="432">
        <v>16741236.210000001</v>
      </c>
      <c r="P91" s="776"/>
      <c r="Q91" s="1185"/>
    </row>
    <row r="92" spans="2:17" s="767" customFormat="1" ht="15.5">
      <c r="B92" s="773">
        <v>32308</v>
      </c>
      <c r="C92" s="433"/>
      <c r="D92" s="779" t="s">
        <v>1142</v>
      </c>
      <c r="E92" s="781"/>
      <c r="F92" s="432"/>
      <c r="G92" s="432">
        <v>0</v>
      </c>
      <c r="H92" s="432"/>
      <c r="I92" s="432">
        <v>0</v>
      </c>
      <c r="J92" s="432"/>
      <c r="K92" s="432">
        <v>0</v>
      </c>
      <c r="L92" s="432"/>
      <c r="M92" s="432">
        <f t="shared" si="1"/>
        <v>0</v>
      </c>
      <c r="N92" s="432"/>
      <c r="O92" s="432">
        <v>0</v>
      </c>
      <c r="P92" s="776"/>
      <c r="Q92" s="1185"/>
    </row>
    <row r="93" spans="2:17" s="767" customFormat="1" ht="15.5">
      <c r="B93" s="773">
        <v>32309</v>
      </c>
      <c r="C93" s="433"/>
      <c r="D93" s="779" t="s">
        <v>1143</v>
      </c>
      <c r="E93" s="781"/>
      <c r="F93" s="432"/>
      <c r="G93" s="432">
        <v>189460084.84</v>
      </c>
      <c r="H93" s="432"/>
      <c r="I93" s="432">
        <v>223092198.28</v>
      </c>
      <c r="J93" s="432"/>
      <c r="K93" s="432">
        <v>237004516.63999999</v>
      </c>
      <c r="L93" s="432"/>
      <c r="M93" s="432">
        <f t="shared" si="1"/>
        <v>40801413.040000021</v>
      </c>
      <c r="N93" s="432"/>
      <c r="O93" s="432">
        <v>277805929.68000001</v>
      </c>
      <c r="P93" s="776"/>
      <c r="Q93" s="1185"/>
    </row>
    <row r="94" spans="2:17" s="767" customFormat="1" ht="15.5">
      <c r="B94" s="773">
        <v>32310</v>
      </c>
      <c r="C94" s="433"/>
      <c r="D94" s="779" t="s">
        <v>1144</v>
      </c>
      <c r="E94" s="781"/>
      <c r="F94" s="432"/>
      <c r="G94" s="432">
        <v>31041461.98</v>
      </c>
      <c r="H94" s="432"/>
      <c r="I94" s="432">
        <v>33659274.880000003</v>
      </c>
      <c r="J94" s="432"/>
      <c r="K94" s="432">
        <v>43837595.479999997</v>
      </c>
      <c r="L94" s="432"/>
      <c r="M94" s="432">
        <f t="shared" si="1"/>
        <v>1417872.0700000003</v>
      </c>
      <c r="N94" s="432"/>
      <c r="O94" s="432">
        <v>45255467.549999997</v>
      </c>
      <c r="P94" s="776"/>
      <c r="Q94" s="1185"/>
    </row>
    <row r="95" spans="2:17" s="767" customFormat="1" ht="15.5">
      <c r="B95" s="773">
        <v>32311</v>
      </c>
      <c r="C95" s="433"/>
      <c r="D95" s="942" t="s">
        <v>1145</v>
      </c>
      <c r="E95" s="781"/>
      <c r="F95" s="432"/>
      <c r="G95" s="432">
        <v>8665118.9900000002</v>
      </c>
      <c r="H95" s="432"/>
      <c r="I95" s="432">
        <v>9727067.5199999996</v>
      </c>
      <c r="J95" s="432"/>
      <c r="K95" s="432">
        <v>12209581.15</v>
      </c>
      <c r="L95" s="432"/>
      <c r="M95" s="432">
        <f t="shared" si="1"/>
        <v>79803.789999999106</v>
      </c>
      <c r="N95" s="432"/>
      <c r="O95" s="432">
        <v>12289384.939999999</v>
      </c>
      <c r="P95" s="776"/>
      <c r="Q95" s="1185"/>
    </row>
    <row r="96" spans="2:17" s="767" customFormat="1" ht="15.5">
      <c r="B96" s="773">
        <v>32351</v>
      </c>
      <c r="C96" s="756"/>
      <c r="D96" s="779" t="s">
        <v>1146</v>
      </c>
      <c r="E96" s="781"/>
      <c r="F96" s="432"/>
      <c r="G96" s="432">
        <v>0</v>
      </c>
      <c r="H96" s="432"/>
      <c r="I96" s="432">
        <v>0</v>
      </c>
      <c r="J96" s="432"/>
      <c r="K96" s="432">
        <v>0</v>
      </c>
      <c r="L96" s="432"/>
      <c r="M96" s="432">
        <f t="shared" si="1"/>
        <v>0</v>
      </c>
      <c r="N96" s="432"/>
      <c r="O96" s="432">
        <v>0</v>
      </c>
      <c r="P96" s="776"/>
      <c r="Q96" s="1185"/>
    </row>
    <row r="97" spans="2:18" s="767" customFormat="1" ht="15.5">
      <c r="B97" s="773">
        <v>32352</v>
      </c>
      <c r="C97" s="433"/>
      <c r="D97" s="774" t="s">
        <v>1147</v>
      </c>
      <c r="E97" s="781"/>
      <c r="F97" s="432"/>
      <c r="G97" s="432">
        <v>97853868.379999995</v>
      </c>
      <c r="H97" s="432"/>
      <c r="I97" s="432">
        <v>128694724.44</v>
      </c>
      <c r="J97" s="432"/>
      <c r="K97" s="432">
        <v>168534744.75999999</v>
      </c>
      <c r="L97" s="432"/>
      <c r="M97" s="432">
        <f t="shared" si="1"/>
        <v>44298157.070000023</v>
      </c>
      <c r="N97" s="432"/>
      <c r="O97" s="432">
        <v>212832901.83000001</v>
      </c>
      <c r="P97" s="776"/>
      <c r="Q97" s="1185"/>
    </row>
    <row r="98" spans="2:18" s="767" customFormat="1" ht="15.5">
      <c r="B98" s="773">
        <v>32353</v>
      </c>
      <c r="C98" s="756"/>
      <c r="D98" s="774" t="s">
        <v>1148</v>
      </c>
      <c r="E98" s="781"/>
      <c r="F98" s="432"/>
      <c r="G98" s="432">
        <v>0</v>
      </c>
      <c r="H98" s="432"/>
      <c r="I98" s="432">
        <v>0</v>
      </c>
      <c r="J98" s="432"/>
      <c r="K98" s="432">
        <v>0</v>
      </c>
      <c r="L98" s="432"/>
      <c r="M98" s="432">
        <f t="shared" si="1"/>
        <v>0</v>
      </c>
      <c r="N98" s="432"/>
      <c r="O98" s="432">
        <v>0</v>
      </c>
      <c r="P98" s="776"/>
      <c r="Q98" s="1185"/>
    </row>
    <row r="99" spans="2:18" s="767" customFormat="1" ht="16" thickBot="1">
      <c r="B99" s="782"/>
      <c r="C99" s="783"/>
      <c r="D99" s="777" t="s">
        <v>1149</v>
      </c>
      <c r="E99" s="771"/>
      <c r="F99" s="771"/>
      <c r="G99" s="1652">
        <f>SUM(G14:G98)</f>
        <v>3825932844.9500003</v>
      </c>
      <c r="H99" s="1653"/>
      <c r="I99" s="1652">
        <f>SUM(I14:I98)</f>
        <v>4021651347.8100009</v>
      </c>
      <c r="J99" s="1653"/>
      <c r="K99" s="1652">
        <f>SUM(K14:K98)</f>
        <v>4333028326.0700006</v>
      </c>
      <c r="L99"/>
      <c r="M99" s="1652">
        <f>SUM(M14:M98)</f>
        <v>-182115510.32999992</v>
      </c>
      <c r="N99"/>
      <c r="O99" s="1652">
        <f>SUM(O14:O98)</f>
        <v>4150912815.7400007</v>
      </c>
      <c r="P99" s="776"/>
      <c r="Q99" s="1185"/>
      <c r="R99" s="1185"/>
    </row>
    <row r="100" spans="2:18" s="767" customFormat="1" ht="16" thickTop="1">
      <c r="B100" s="772"/>
      <c r="C100" s="772"/>
      <c r="D100" s="784"/>
      <c r="E100" s="772"/>
      <c r="F100" s="772"/>
      <c r="G100" s="914"/>
      <c r="H100" s="266"/>
      <c r="I100" s="914"/>
      <c r="J100" s="266"/>
      <c r="K100" s="914"/>
      <c r="L100" s="266"/>
      <c r="M100" s="1654"/>
      <c r="N100" s="266"/>
      <c r="O100" s="914"/>
      <c r="P100" s="785"/>
      <c r="Q100" s="1185"/>
    </row>
    <row r="101" spans="2:18" s="767" customFormat="1" ht="15.5">
      <c r="B101" s="768"/>
      <c r="C101" s="783"/>
      <c r="D101" s="786" t="s">
        <v>1150</v>
      </c>
      <c r="E101" s="787"/>
      <c r="F101" s="787"/>
      <c r="G101" s="915"/>
      <c r="H101" s="1655"/>
      <c r="I101" s="915"/>
      <c r="J101" s="1655"/>
      <c r="K101" s="915"/>
      <c r="L101" s="1655"/>
      <c r="M101" s="1653"/>
      <c r="N101" s="1653"/>
      <c r="O101" s="915"/>
      <c r="P101" s="772"/>
      <c r="Q101" s="1185"/>
    </row>
    <row r="102" spans="2:18" s="767" customFormat="1" ht="15.5">
      <c r="B102" s="773">
        <v>20501</v>
      </c>
      <c r="C102" s="788"/>
      <c r="D102" s="774" t="s">
        <v>1151</v>
      </c>
      <c r="E102" s="789"/>
      <c r="F102" s="789"/>
      <c r="G102" s="432">
        <v>0</v>
      </c>
      <c r="H102" s="432"/>
      <c r="I102" s="432">
        <v>0</v>
      </c>
      <c r="J102" s="432"/>
      <c r="K102" s="432">
        <v>0</v>
      </c>
      <c r="L102" s="432"/>
      <c r="M102" s="432">
        <f t="shared" ref="M102:M150" si="3">O102-K102</f>
        <v>0</v>
      </c>
      <c r="N102" s="432"/>
      <c r="O102" s="432">
        <v>0</v>
      </c>
      <c r="P102" s="776"/>
      <c r="Q102" s="1185"/>
    </row>
    <row r="103" spans="2:18" s="767" customFormat="1" ht="15.5">
      <c r="B103" s="773">
        <v>20810</v>
      </c>
      <c r="C103" s="780"/>
      <c r="D103" s="774" t="s">
        <v>1152</v>
      </c>
      <c r="E103" s="781"/>
      <c r="F103" s="781"/>
      <c r="G103" s="432">
        <v>18751684.260000002</v>
      </c>
      <c r="H103" s="432"/>
      <c r="I103" s="432">
        <v>93936134.040000007</v>
      </c>
      <c r="J103" s="432"/>
      <c r="K103" s="432">
        <v>0</v>
      </c>
      <c r="L103" s="432"/>
      <c r="M103" s="432">
        <f t="shared" si="3"/>
        <v>0</v>
      </c>
      <c r="N103" s="432"/>
      <c r="O103" s="432">
        <v>0</v>
      </c>
      <c r="P103" s="680"/>
      <c r="Q103" s="1185"/>
    </row>
    <row r="104" spans="2:18" s="767" customFormat="1" ht="15.5">
      <c r="B104" s="773">
        <v>20818</v>
      </c>
      <c r="C104" s="780"/>
      <c r="D104" s="774" t="s">
        <v>1153</v>
      </c>
      <c r="E104" s="781"/>
      <c r="F104" s="781"/>
      <c r="G104" s="432">
        <v>0</v>
      </c>
      <c r="H104" s="432"/>
      <c r="I104" s="432">
        <v>0</v>
      </c>
      <c r="J104" s="432"/>
      <c r="K104" s="432">
        <v>0</v>
      </c>
      <c r="L104" s="432"/>
      <c r="M104" s="432">
        <f t="shared" si="3"/>
        <v>0</v>
      </c>
      <c r="N104" s="432"/>
      <c r="O104" s="432">
        <v>0</v>
      </c>
      <c r="P104" s="680"/>
      <c r="Q104" s="1185"/>
    </row>
    <row r="105" spans="2:18" s="767" customFormat="1" ht="15.5">
      <c r="B105" s="773">
        <v>20851</v>
      </c>
      <c r="C105" s="780"/>
      <c r="D105" s="774" t="s">
        <v>1468</v>
      </c>
      <c r="E105" s="781"/>
      <c r="F105" s="781"/>
      <c r="G105" s="432">
        <v>0</v>
      </c>
      <c r="H105" s="432"/>
      <c r="I105" s="432">
        <v>0</v>
      </c>
      <c r="J105" s="432"/>
      <c r="K105" s="432">
        <v>0</v>
      </c>
      <c r="L105" s="432"/>
      <c r="M105" s="432">
        <f t="shared" ref="M105" si="4">O105-K105</f>
        <v>0</v>
      </c>
      <c r="N105" s="432"/>
      <c r="O105" s="432">
        <v>0</v>
      </c>
      <c r="P105" s="680"/>
      <c r="Q105" s="1185"/>
    </row>
    <row r="106" spans="2:18" s="767" customFormat="1" ht="15.5">
      <c r="B106" s="773">
        <v>20852</v>
      </c>
      <c r="C106" s="780"/>
      <c r="D106" s="774" t="s">
        <v>1469</v>
      </c>
      <c r="E106" s="781"/>
      <c r="F106" s="781"/>
      <c r="G106" s="432">
        <v>0</v>
      </c>
      <c r="H106" s="432"/>
      <c r="I106" s="432">
        <v>0</v>
      </c>
      <c r="J106" s="432"/>
      <c r="K106" s="432">
        <v>0</v>
      </c>
      <c r="L106" s="432"/>
      <c r="M106" s="432">
        <f t="shared" ref="M106" si="5">O106-K106</f>
        <v>0</v>
      </c>
      <c r="N106" s="432"/>
      <c r="O106" s="432">
        <v>0</v>
      </c>
      <c r="P106" s="680"/>
      <c r="Q106" s="1185"/>
    </row>
    <row r="107" spans="2:18" s="767" customFormat="1" ht="15.5">
      <c r="B107" s="773">
        <v>20853</v>
      </c>
      <c r="C107" s="780"/>
      <c r="D107" s="774" t="s">
        <v>1470</v>
      </c>
      <c r="E107" s="781"/>
      <c r="F107" s="781"/>
      <c r="G107" s="432">
        <v>0</v>
      </c>
      <c r="H107" s="432"/>
      <c r="I107" s="432">
        <v>0</v>
      </c>
      <c r="J107" s="432"/>
      <c r="K107" s="432">
        <v>0</v>
      </c>
      <c r="L107" s="432"/>
      <c r="M107" s="432">
        <f t="shared" ref="M107" si="6">O107-K107</f>
        <v>0</v>
      </c>
      <c r="N107" s="432"/>
      <c r="O107" s="432">
        <v>0</v>
      </c>
      <c r="P107" s="680"/>
      <c r="Q107" s="1185"/>
    </row>
    <row r="108" spans="2:18" s="767" customFormat="1" ht="15.5">
      <c r="B108" s="773">
        <v>20901</v>
      </c>
      <c r="C108" s="780"/>
      <c r="D108" s="774" t="s">
        <v>1154</v>
      </c>
      <c r="E108" s="781"/>
      <c r="F108" s="781"/>
      <c r="G108" s="432">
        <v>0</v>
      </c>
      <c r="H108" s="432"/>
      <c r="I108" s="432">
        <v>0</v>
      </c>
      <c r="J108" s="432"/>
      <c r="K108" s="432">
        <v>0</v>
      </c>
      <c r="L108" s="432"/>
      <c r="M108" s="432">
        <f t="shared" si="3"/>
        <v>0</v>
      </c>
      <c r="N108" s="432"/>
      <c r="O108" s="432">
        <v>0</v>
      </c>
      <c r="P108" s="680"/>
      <c r="Q108" s="1185"/>
    </row>
    <row r="109" spans="2:18" s="767" customFormat="1" ht="15.5">
      <c r="B109" s="773">
        <v>20904</v>
      </c>
      <c r="C109" s="780"/>
      <c r="D109" s="774" t="s">
        <v>1155</v>
      </c>
      <c r="E109" s="781"/>
      <c r="F109" s="781"/>
      <c r="G109" s="432">
        <v>0</v>
      </c>
      <c r="H109" s="432"/>
      <c r="I109" s="432">
        <v>0</v>
      </c>
      <c r="J109" s="432"/>
      <c r="K109" s="432">
        <v>0</v>
      </c>
      <c r="L109" s="432"/>
      <c r="M109" s="432">
        <f t="shared" si="3"/>
        <v>0</v>
      </c>
      <c r="N109" s="432"/>
      <c r="O109" s="432">
        <v>0</v>
      </c>
      <c r="P109" s="680"/>
      <c r="Q109" s="1185"/>
    </row>
    <row r="110" spans="2:18" s="767" customFormat="1" ht="15.5">
      <c r="B110" s="773">
        <v>21001</v>
      </c>
      <c r="C110" s="780"/>
      <c r="D110" s="774" t="s">
        <v>1156</v>
      </c>
      <c r="E110" s="781"/>
      <c r="F110" s="781"/>
      <c r="G110" s="432">
        <v>0</v>
      </c>
      <c r="H110" s="432"/>
      <c r="I110" s="432">
        <v>0</v>
      </c>
      <c r="J110" s="432"/>
      <c r="K110" s="432">
        <v>0</v>
      </c>
      <c r="L110" s="432"/>
      <c r="M110" s="432">
        <f t="shared" si="3"/>
        <v>0</v>
      </c>
      <c r="N110" s="432"/>
      <c r="O110" s="432">
        <v>0</v>
      </c>
      <c r="P110" s="680"/>
      <c r="Q110" s="1185"/>
    </row>
    <row r="111" spans="2:18" s="767" customFormat="1" ht="15.5">
      <c r="B111" s="773">
        <v>21002</v>
      </c>
      <c r="C111" s="780"/>
      <c r="D111" s="774" t="s">
        <v>1157</v>
      </c>
      <c r="E111" s="781"/>
      <c r="F111" s="781"/>
      <c r="G111" s="432">
        <v>0</v>
      </c>
      <c r="H111" s="432"/>
      <c r="I111" s="432">
        <v>0</v>
      </c>
      <c r="J111" s="432"/>
      <c r="K111" s="432">
        <v>0</v>
      </c>
      <c r="L111" s="432"/>
      <c r="M111" s="432">
        <f t="shared" si="3"/>
        <v>0</v>
      </c>
      <c r="N111" s="432"/>
      <c r="O111" s="432">
        <v>0</v>
      </c>
      <c r="P111" s="680"/>
      <c r="Q111" s="1185"/>
    </row>
    <row r="112" spans="2:18" s="767" customFormat="1" ht="15.5">
      <c r="B112" s="773">
        <v>21064</v>
      </c>
      <c r="C112" s="780"/>
      <c r="D112" s="774" t="s">
        <v>1158</v>
      </c>
      <c r="E112" s="781"/>
      <c r="F112" s="781"/>
      <c r="G112" s="432">
        <v>718.65</v>
      </c>
      <c r="H112" s="432"/>
      <c r="I112" s="432">
        <v>718.65</v>
      </c>
      <c r="J112" s="432"/>
      <c r="K112" s="432">
        <v>718.65</v>
      </c>
      <c r="L112" s="432"/>
      <c r="M112" s="432">
        <f t="shared" si="3"/>
        <v>0</v>
      </c>
      <c r="N112" s="432"/>
      <c r="O112" s="432">
        <v>718.65</v>
      </c>
      <c r="P112" s="680"/>
      <c r="Q112" s="1185"/>
    </row>
    <row r="113" spans="2:17" s="767" customFormat="1" ht="15.5">
      <c r="B113" s="773">
        <v>21065</v>
      </c>
      <c r="C113" s="780"/>
      <c r="D113" s="774" t="s">
        <v>1159</v>
      </c>
      <c r="E113" s="781"/>
      <c r="F113" s="781"/>
      <c r="G113" s="432">
        <v>0</v>
      </c>
      <c r="H113" s="432"/>
      <c r="I113" s="432">
        <v>0</v>
      </c>
      <c r="J113" s="432"/>
      <c r="K113" s="432">
        <v>0</v>
      </c>
      <c r="L113" s="432"/>
      <c r="M113" s="432">
        <f t="shared" si="3"/>
        <v>0</v>
      </c>
      <c r="N113" s="432"/>
      <c r="O113" s="432">
        <v>0</v>
      </c>
      <c r="P113" s="680"/>
      <c r="Q113" s="1185"/>
    </row>
    <row r="114" spans="2:17" s="767" customFormat="1" ht="15.5">
      <c r="B114" s="773">
        <v>21066</v>
      </c>
      <c r="C114" s="780"/>
      <c r="D114" s="779" t="s">
        <v>1160</v>
      </c>
      <c r="E114" s="781"/>
      <c r="F114" s="781"/>
      <c r="G114" s="432">
        <v>144122.82999999999</v>
      </c>
      <c r="H114" s="432"/>
      <c r="I114" s="432">
        <v>256491</v>
      </c>
      <c r="J114" s="432"/>
      <c r="K114" s="432">
        <v>636487.82999999996</v>
      </c>
      <c r="L114" s="432"/>
      <c r="M114" s="432">
        <f t="shared" si="3"/>
        <v>236512.53000000003</v>
      </c>
      <c r="N114" s="432"/>
      <c r="O114" s="432">
        <v>873000.36</v>
      </c>
      <c r="P114" s="680"/>
      <c r="Q114" s="1185"/>
    </row>
    <row r="115" spans="2:17" s="767" customFormat="1" ht="15.5">
      <c r="B115" s="773">
        <v>21067</v>
      </c>
      <c r="C115" s="780"/>
      <c r="D115" s="779" t="s">
        <v>1161</v>
      </c>
      <c r="E115" s="781"/>
      <c r="F115" s="781"/>
      <c r="G115" s="432">
        <v>0</v>
      </c>
      <c r="H115" s="432"/>
      <c r="I115" s="432">
        <v>0</v>
      </c>
      <c r="J115" s="432"/>
      <c r="K115" s="432">
        <v>0</v>
      </c>
      <c r="L115" s="432"/>
      <c r="M115" s="432">
        <f t="shared" si="3"/>
        <v>0</v>
      </c>
      <c r="N115" s="432"/>
      <c r="O115" s="432">
        <v>0</v>
      </c>
      <c r="P115" s="680"/>
      <c r="Q115" s="1185"/>
    </row>
    <row r="116" spans="2:17" s="767" customFormat="1" ht="15.5">
      <c r="B116" s="773">
        <v>21081</v>
      </c>
      <c r="C116" s="780"/>
      <c r="D116" s="779" t="s">
        <v>1162</v>
      </c>
      <c r="E116" s="781"/>
      <c r="F116" s="781"/>
      <c r="G116" s="432">
        <v>110636125.52</v>
      </c>
      <c r="H116" s="432"/>
      <c r="I116" s="432">
        <v>108433821.51000001</v>
      </c>
      <c r="J116" s="432"/>
      <c r="K116" s="432">
        <v>115243282.48999999</v>
      </c>
      <c r="L116" s="432"/>
      <c r="M116" s="432">
        <f t="shared" si="3"/>
        <v>-927552.00999999046</v>
      </c>
      <c r="N116" s="432"/>
      <c r="O116" s="432">
        <v>114315730.48</v>
      </c>
      <c r="P116" s="680"/>
      <c r="Q116" s="1185"/>
    </row>
    <row r="117" spans="2:17" s="767" customFormat="1" ht="15.5">
      <c r="B117" s="773">
        <v>21082</v>
      </c>
      <c r="C117" s="780"/>
      <c r="D117" s="774" t="s">
        <v>1163</v>
      </c>
      <c r="E117" s="781"/>
      <c r="F117" s="781"/>
      <c r="G117" s="432">
        <v>3230107.59</v>
      </c>
      <c r="H117" s="432"/>
      <c r="I117" s="432">
        <v>3105959.5</v>
      </c>
      <c r="J117" s="432"/>
      <c r="K117" s="432">
        <v>4152243.9</v>
      </c>
      <c r="L117" s="432"/>
      <c r="M117" s="432">
        <f t="shared" si="3"/>
        <v>-594124.90999999968</v>
      </c>
      <c r="N117" s="432"/>
      <c r="O117" s="432">
        <v>3558118.99</v>
      </c>
      <c r="P117" s="680"/>
      <c r="Q117" s="1185"/>
    </row>
    <row r="118" spans="2:17" s="767" customFormat="1" ht="15.5">
      <c r="B118" s="773">
        <v>21201</v>
      </c>
      <c r="C118" s="780"/>
      <c r="D118" s="774" t="s">
        <v>1164</v>
      </c>
      <c r="E118" s="781"/>
      <c r="F118" s="781"/>
      <c r="G118" s="432">
        <v>51551</v>
      </c>
      <c r="H118" s="432"/>
      <c r="I118" s="432">
        <v>98702.95</v>
      </c>
      <c r="J118" s="432"/>
      <c r="K118" s="432">
        <v>252833.03</v>
      </c>
      <c r="L118" s="432"/>
      <c r="M118" s="432">
        <f t="shared" si="3"/>
        <v>99718.959999999992</v>
      </c>
      <c r="N118" s="432"/>
      <c r="O118" s="432">
        <v>352551.99</v>
      </c>
      <c r="P118" s="680"/>
      <c r="Q118" s="1185"/>
    </row>
    <row r="119" spans="2:17" s="767" customFormat="1" ht="15.5">
      <c r="B119" s="773">
        <v>21202</v>
      </c>
      <c r="C119" s="780"/>
      <c r="D119" s="774" t="s">
        <v>1165</v>
      </c>
      <c r="E119" s="781"/>
      <c r="F119" s="781"/>
      <c r="G119" s="432">
        <v>8081.45</v>
      </c>
      <c r="H119" s="432"/>
      <c r="I119" s="432">
        <v>14618.83</v>
      </c>
      <c r="J119" s="432"/>
      <c r="K119" s="432">
        <v>54136.66</v>
      </c>
      <c r="L119" s="432"/>
      <c r="M119" s="432">
        <f t="shared" si="3"/>
        <v>16189.660000000003</v>
      </c>
      <c r="N119" s="432"/>
      <c r="O119" s="432">
        <v>70326.320000000007</v>
      </c>
      <c r="P119" s="680"/>
      <c r="Q119" s="1185"/>
    </row>
    <row r="120" spans="2:17" s="767" customFormat="1" ht="15.5">
      <c r="B120" s="773">
        <v>21203</v>
      </c>
      <c r="C120" s="780"/>
      <c r="D120" s="774" t="s">
        <v>1166</v>
      </c>
      <c r="E120" s="781"/>
      <c r="F120" s="781"/>
      <c r="G120" s="432">
        <v>931387.96</v>
      </c>
      <c r="H120" s="432"/>
      <c r="I120" s="432">
        <v>1458201.71</v>
      </c>
      <c r="J120" s="432"/>
      <c r="K120" s="432">
        <v>3611397.73</v>
      </c>
      <c r="L120" s="432"/>
      <c r="M120" s="432">
        <f t="shared" si="3"/>
        <v>1000800.4300000002</v>
      </c>
      <c r="N120" s="432"/>
      <c r="O120" s="432">
        <v>4612198.16</v>
      </c>
      <c r="P120" s="680"/>
      <c r="Q120" s="1185"/>
    </row>
    <row r="121" spans="2:17" s="767" customFormat="1" ht="15.5">
      <c r="B121" s="773">
        <v>21204</v>
      </c>
      <c r="C121" s="780"/>
      <c r="D121" s="774" t="s">
        <v>1167</v>
      </c>
      <c r="E121" s="781"/>
      <c r="F121" s="781"/>
      <c r="G121" s="432">
        <v>0</v>
      </c>
      <c r="H121" s="432"/>
      <c r="I121" s="432">
        <v>0</v>
      </c>
      <c r="J121" s="432"/>
      <c r="K121" s="432">
        <v>0</v>
      </c>
      <c r="L121" s="432"/>
      <c r="M121" s="432">
        <f t="shared" si="3"/>
        <v>0</v>
      </c>
      <c r="N121" s="432"/>
      <c r="O121" s="432">
        <v>0</v>
      </c>
      <c r="P121" s="680"/>
      <c r="Q121" s="1185"/>
    </row>
    <row r="122" spans="2:17" s="767" customFormat="1" ht="15.5">
      <c r="B122" s="773">
        <v>21205</v>
      </c>
      <c r="C122" s="780"/>
      <c r="D122" s="774" t="s">
        <v>1168</v>
      </c>
      <c r="E122" s="781"/>
      <c r="F122" s="781"/>
      <c r="G122" s="432">
        <v>0</v>
      </c>
      <c r="H122" s="432"/>
      <c r="I122" s="432">
        <v>0</v>
      </c>
      <c r="J122" s="432"/>
      <c r="K122" s="432">
        <v>0</v>
      </c>
      <c r="L122" s="432"/>
      <c r="M122" s="432">
        <f t="shared" si="3"/>
        <v>0</v>
      </c>
      <c r="N122" s="432"/>
      <c r="O122" s="432">
        <v>0</v>
      </c>
      <c r="P122" s="680"/>
      <c r="Q122" s="1185"/>
    </row>
    <row r="123" spans="2:17" s="767" customFormat="1" ht="15.5">
      <c r="B123" s="773">
        <v>21206</v>
      </c>
      <c r="C123" s="780"/>
      <c r="D123" s="774" t="s">
        <v>1169</v>
      </c>
      <c r="E123" s="781"/>
      <c r="F123" s="781"/>
      <c r="G123" s="432">
        <v>153443.03</v>
      </c>
      <c r="H123" s="432"/>
      <c r="I123" s="432">
        <v>272555.98</v>
      </c>
      <c r="J123" s="432"/>
      <c r="K123" s="432">
        <v>662606.31000000006</v>
      </c>
      <c r="L123" s="432"/>
      <c r="M123" s="432">
        <f t="shared" si="3"/>
        <v>233031.97999999998</v>
      </c>
      <c r="N123" s="432"/>
      <c r="O123" s="432">
        <v>895638.29</v>
      </c>
      <c r="P123" s="680"/>
      <c r="Q123" s="1185"/>
    </row>
    <row r="124" spans="2:17" s="767" customFormat="1" ht="15.5">
      <c r="B124" s="773">
        <v>21401</v>
      </c>
      <c r="C124" s="780"/>
      <c r="D124" s="779" t="s">
        <v>1170</v>
      </c>
      <c r="E124" s="781"/>
      <c r="F124" s="781"/>
      <c r="G124" s="432">
        <v>0</v>
      </c>
      <c r="H124" s="432"/>
      <c r="I124" s="432">
        <v>0</v>
      </c>
      <c r="J124" s="432"/>
      <c r="K124" s="432">
        <v>0</v>
      </c>
      <c r="L124" s="432"/>
      <c r="M124" s="432">
        <f t="shared" si="3"/>
        <v>0</v>
      </c>
      <c r="N124" s="432"/>
      <c r="O124" s="432">
        <v>0</v>
      </c>
      <c r="P124" s="680"/>
      <c r="Q124" s="1185"/>
    </row>
    <row r="125" spans="2:17" s="767" customFormat="1" ht="15.5">
      <c r="B125" s="773">
        <v>21402</v>
      </c>
      <c r="C125" s="780"/>
      <c r="D125" s="779" t="s">
        <v>1171</v>
      </c>
      <c r="E125" s="781"/>
      <c r="F125" s="781"/>
      <c r="G125" s="432">
        <v>0</v>
      </c>
      <c r="H125" s="432"/>
      <c r="I125" s="432">
        <v>0</v>
      </c>
      <c r="J125" s="432"/>
      <c r="K125" s="432">
        <v>0</v>
      </c>
      <c r="L125" s="432"/>
      <c r="M125" s="432">
        <f t="shared" si="3"/>
        <v>0</v>
      </c>
      <c r="N125" s="432"/>
      <c r="O125" s="432">
        <v>0</v>
      </c>
      <c r="P125" s="680"/>
      <c r="Q125" s="1185"/>
    </row>
    <row r="126" spans="2:17" s="767" customFormat="1" ht="15.5">
      <c r="B126" s="773">
        <v>21451</v>
      </c>
      <c r="C126" s="780"/>
      <c r="D126" s="779" t="s">
        <v>1172</v>
      </c>
      <c r="E126" s="781"/>
      <c r="F126" s="781"/>
      <c r="G126" s="432">
        <v>51576786.189999998</v>
      </c>
      <c r="H126" s="432"/>
      <c r="I126" s="432">
        <v>51798915.840000004</v>
      </c>
      <c r="J126" s="432"/>
      <c r="K126" s="432">
        <v>52799275.119999997</v>
      </c>
      <c r="L126" s="432"/>
      <c r="M126" s="432">
        <f t="shared" si="3"/>
        <v>433148.27000000328</v>
      </c>
      <c r="N126" s="432"/>
      <c r="O126" s="432">
        <v>53232423.390000001</v>
      </c>
      <c r="P126" s="680"/>
      <c r="Q126" s="1185"/>
    </row>
    <row r="127" spans="2:17" s="767" customFormat="1" ht="15.5">
      <c r="B127" s="773">
        <v>21452</v>
      </c>
      <c r="C127" s="780"/>
      <c r="D127" s="774" t="s">
        <v>1173</v>
      </c>
      <c r="E127" s="781"/>
      <c r="F127" s="781"/>
      <c r="G127" s="432">
        <v>0</v>
      </c>
      <c r="H127" s="432"/>
      <c r="I127" s="432">
        <v>0</v>
      </c>
      <c r="J127" s="432"/>
      <c r="K127" s="432">
        <v>0</v>
      </c>
      <c r="L127" s="432"/>
      <c r="M127" s="432">
        <f t="shared" si="3"/>
        <v>0</v>
      </c>
      <c r="N127" s="432"/>
      <c r="O127" s="432">
        <v>0</v>
      </c>
      <c r="P127" s="680"/>
      <c r="Q127" s="1185"/>
    </row>
    <row r="128" spans="2:17" s="767" customFormat="1" ht="15.5">
      <c r="B128" s="773">
        <v>21905</v>
      </c>
      <c r="C128" s="780"/>
      <c r="D128" s="849" t="s">
        <v>1174</v>
      </c>
      <c r="E128" s="781"/>
      <c r="F128" s="781"/>
      <c r="G128" s="432">
        <v>0</v>
      </c>
      <c r="H128" s="432"/>
      <c r="I128" s="432">
        <v>0</v>
      </c>
      <c r="J128" s="432"/>
      <c r="K128" s="432">
        <v>0</v>
      </c>
      <c r="L128" s="432"/>
      <c r="M128" s="432">
        <f t="shared" si="3"/>
        <v>0</v>
      </c>
      <c r="N128" s="432"/>
      <c r="O128" s="432">
        <v>0</v>
      </c>
      <c r="P128" s="680"/>
      <c r="Q128" s="1185"/>
    </row>
    <row r="129" spans="2:17" s="767" customFormat="1" ht="15.5">
      <c r="B129" s="773">
        <v>21911</v>
      </c>
      <c r="C129" s="780"/>
      <c r="D129" s="774" t="s">
        <v>1175</v>
      </c>
      <c r="E129" s="781"/>
      <c r="F129" s="781"/>
      <c r="G129" s="432">
        <v>82283.399999999994</v>
      </c>
      <c r="H129" s="432"/>
      <c r="I129" s="432">
        <v>0</v>
      </c>
      <c r="J129" s="432"/>
      <c r="K129" s="432">
        <v>626025.85</v>
      </c>
      <c r="L129" s="432"/>
      <c r="M129" s="432">
        <f t="shared" si="3"/>
        <v>-373914.64</v>
      </c>
      <c r="N129" s="432"/>
      <c r="O129" s="432">
        <v>252111.21</v>
      </c>
      <c r="P129" s="680"/>
      <c r="Q129" s="1185"/>
    </row>
    <row r="130" spans="2:17" s="767" customFormat="1" ht="15.5">
      <c r="B130" s="773">
        <v>21912</v>
      </c>
      <c r="C130" s="780"/>
      <c r="D130" s="779" t="s">
        <v>1176</v>
      </c>
      <c r="E130" s="781"/>
      <c r="F130" s="781"/>
      <c r="G130" s="432">
        <v>2095698.48</v>
      </c>
      <c r="H130" s="432"/>
      <c r="I130" s="432">
        <v>2035801.08</v>
      </c>
      <c r="J130" s="432"/>
      <c r="K130" s="432">
        <v>3075983.21</v>
      </c>
      <c r="L130" s="432"/>
      <c r="M130" s="432">
        <f t="shared" si="3"/>
        <v>48443.370000000112</v>
      </c>
      <c r="N130" s="432"/>
      <c r="O130" s="432">
        <v>3124426.58</v>
      </c>
      <c r="P130" s="680"/>
      <c r="Q130" s="1185"/>
    </row>
    <row r="131" spans="2:17" s="767" customFormat="1" ht="15.5">
      <c r="B131" s="773">
        <v>21937</v>
      </c>
      <c r="C131" s="780"/>
      <c r="D131" s="774" t="s">
        <v>1177</v>
      </c>
      <c r="E131" s="781"/>
      <c r="F131" s="781"/>
      <c r="G131" s="432">
        <v>262580.95</v>
      </c>
      <c r="H131" s="432"/>
      <c r="I131" s="432">
        <v>636454.55000000005</v>
      </c>
      <c r="J131" s="432"/>
      <c r="K131" s="432">
        <v>655572</v>
      </c>
      <c r="L131" s="432"/>
      <c r="M131" s="432">
        <f t="shared" si="3"/>
        <v>273941.08999999997</v>
      </c>
      <c r="N131" s="432"/>
      <c r="O131" s="432">
        <v>929513.09</v>
      </c>
      <c r="P131" s="680"/>
      <c r="Q131" s="1185"/>
    </row>
    <row r="132" spans="2:17" s="767" customFormat="1" ht="15.5">
      <c r="B132" s="773">
        <v>21961</v>
      </c>
      <c r="C132" s="780"/>
      <c r="D132" s="774" t="s">
        <v>1178</v>
      </c>
      <c r="E132" s="781"/>
      <c r="F132" s="781"/>
      <c r="G132" s="432">
        <v>48168.89</v>
      </c>
      <c r="H132" s="432"/>
      <c r="I132" s="432">
        <v>65081.21</v>
      </c>
      <c r="J132" s="432"/>
      <c r="K132" s="432">
        <v>295673.88</v>
      </c>
      <c r="L132" s="432"/>
      <c r="M132" s="432">
        <f t="shared" si="3"/>
        <v>156979.65999999997</v>
      </c>
      <c r="N132" s="432"/>
      <c r="O132" s="432">
        <v>452653.54</v>
      </c>
      <c r="P132" s="680"/>
      <c r="Q132" s="1185"/>
    </row>
    <row r="133" spans="2:17" s="767" customFormat="1" ht="15.5">
      <c r="B133" s="773">
        <v>21962</v>
      </c>
      <c r="C133" s="780"/>
      <c r="D133" s="774" t="s">
        <v>1179</v>
      </c>
      <c r="E133" s="781"/>
      <c r="F133" s="781"/>
      <c r="G133" s="432">
        <v>10665627.369999999</v>
      </c>
      <c r="H133" s="432"/>
      <c r="I133" s="432">
        <v>10140595.140000001</v>
      </c>
      <c r="J133" s="432"/>
      <c r="K133" s="432">
        <v>10908416.869999999</v>
      </c>
      <c r="L133" s="432"/>
      <c r="M133" s="432">
        <f t="shared" si="3"/>
        <v>1601883.2000000011</v>
      </c>
      <c r="N133" s="432"/>
      <c r="O133" s="432">
        <v>12510300.07</v>
      </c>
      <c r="P133" s="680"/>
      <c r="Q133" s="1185"/>
    </row>
    <row r="134" spans="2:17" s="767" customFormat="1" ht="15.5">
      <c r="B134" s="773">
        <v>21978</v>
      </c>
      <c r="C134" s="780"/>
      <c r="D134" s="779" t="s">
        <v>1180</v>
      </c>
      <c r="E134" s="781"/>
      <c r="F134" s="781"/>
      <c r="G134" s="432">
        <v>0</v>
      </c>
      <c r="H134" s="432"/>
      <c r="I134" s="432">
        <v>0</v>
      </c>
      <c r="J134" s="432"/>
      <c r="K134" s="432">
        <v>0</v>
      </c>
      <c r="L134" s="432"/>
      <c r="M134" s="432">
        <f t="shared" si="3"/>
        <v>0</v>
      </c>
      <c r="N134" s="432"/>
      <c r="O134" s="432">
        <v>0</v>
      </c>
      <c r="P134" s="680"/>
      <c r="Q134" s="1185"/>
    </row>
    <row r="135" spans="2:17" s="767" customFormat="1" ht="15.5">
      <c r="B135" s="773">
        <v>21989</v>
      </c>
      <c r="C135" s="780"/>
      <c r="D135" s="779" t="s">
        <v>1181</v>
      </c>
      <c r="E135" s="781"/>
      <c r="F135" s="781"/>
      <c r="G135" s="432">
        <v>1540241.17</v>
      </c>
      <c r="H135" s="432"/>
      <c r="I135" s="432">
        <v>1800598.09</v>
      </c>
      <c r="J135" s="432"/>
      <c r="K135" s="432">
        <v>2397845.59</v>
      </c>
      <c r="L135" s="432"/>
      <c r="M135" s="432">
        <f t="shared" si="3"/>
        <v>761451.15000000037</v>
      </c>
      <c r="N135" s="432"/>
      <c r="O135" s="432">
        <v>3159296.74</v>
      </c>
      <c r="P135" s="680"/>
      <c r="Q135" s="1185"/>
    </row>
    <row r="136" spans="2:17" s="767" customFormat="1" ht="15.5">
      <c r="B136" s="773">
        <v>22003</v>
      </c>
      <c r="C136" s="780"/>
      <c r="D136" s="779" t="s">
        <v>1182</v>
      </c>
      <c r="E136" s="781"/>
      <c r="F136" s="781"/>
      <c r="G136" s="432">
        <v>0</v>
      </c>
      <c r="H136" s="432"/>
      <c r="I136" s="432">
        <v>0</v>
      </c>
      <c r="J136" s="432"/>
      <c r="K136" s="432">
        <v>0</v>
      </c>
      <c r="L136" s="432"/>
      <c r="M136" s="432">
        <f t="shared" si="3"/>
        <v>0</v>
      </c>
      <c r="N136" s="432"/>
      <c r="O136" s="432">
        <v>0</v>
      </c>
      <c r="P136" s="680"/>
      <c r="Q136" s="1185"/>
    </row>
    <row r="137" spans="2:17" s="767" customFormat="1" ht="15.5">
      <c r="B137" s="773">
        <v>22006</v>
      </c>
      <c r="C137" s="780"/>
      <c r="D137" s="779" t="s">
        <v>1183</v>
      </c>
      <c r="E137" s="781"/>
      <c r="F137" s="781"/>
      <c r="G137" s="432">
        <v>0</v>
      </c>
      <c r="H137" s="432"/>
      <c r="I137" s="432">
        <v>0</v>
      </c>
      <c r="J137" s="432"/>
      <c r="K137" s="432">
        <v>0</v>
      </c>
      <c r="L137" s="432"/>
      <c r="M137" s="432">
        <f t="shared" si="3"/>
        <v>0</v>
      </c>
      <c r="N137" s="432"/>
      <c r="O137" s="432">
        <v>0</v>
      </c>
      <c r="P137" s="680"/>
      <c r="Q137" s="1185"/>
    </row>
    <row r="138" spans="2:17" s="767" customFormat="1" ht="15.5">
      <c r="B138" s="773">
        <v>22007</v>
      </c>
      <c r="C138" s="780"/>
      <c r="D138" s="774" t="s">
        <v>1184</v>
      </c>
      <c r="E138" s="781"/>
      <c r="F138" s="781"/>
      <c r="G138" s="432">
        <v>220279.39</v>
      </c>
      <c r="H138" s="432"/>
      <c r="I138" s="432">
        <v>0</v>
      </c>
      <c r="J138" s="432"/>
      <c r="K138" s="432">
        <v>0</v>
      </c>
      <c r="L138" s="432"/>
      <c r="M138" s="432">
        <f t="shared" si="3"/>
        <v>0</v>
      </c>
      <c r="N138" s="432"/>
      <c r="O138" s="432">
        <v>0</v>
      </c>
      <c r="P138" s="680"/>
      <c r="Q138" s="1185"/>
    </row>
    <row r="139" spans="2:17" s="767" customFormat="1" ht="15.5">
      <c r="B139" s="773">
        <v>22008</v>
      </c>
      <c r="C139" s="780"/>
      <c r="D139" s="774" t="s">
        <v>1185</v>
      </c>
      <c r="E139" s="781"/>
      <c r="F139" s="781"/>
      <c r="G139" s="432">
        <v>834225.93</v>
      </c>
      <c r="H139" s="432"/>
      <c r="I139" s="432">
        <v>1030950.23</v>
      </c>
      <c r="J139" s="432"/>
      <c r="K139" s="432">
        <v>1415882.46</v>
      </c>
      <c r="L139" s="432"/>
      <c r="M139" s="432">
        <f t="shared" si="3"/>
        <v>896140.96</v>
      </c>
      <c r="N139" s="432"/>
      <c r="O139" s="432">
        <v>2312023.42</v>
      </c>
      <c r="P139" s="680"/>
      <c r="Q139" s="1185"/>
    </row>
    <row r="140" spans="2:17" s="767" customFormat="1" ht="15.5">
      <c r="B140" s="773">
        <v>22032</v>
      </c>
      <c r="C140" s="780"/>
      <c r="D140" s="774" t="s">
        <v>1186</v>
      </c>
      <c r="E140" s="781"/>
      <c r="F140" s="781"/>
      <c r="G140" s="432">
        <v>12888533.66</v>
      </c>
      <c r="H140" s="432"/>
      <c r="I140" s="432">
        <v>13150508.52</v>
      </c>
      <c r="J140" s="432"/>
      <c r="K140" s="432">
        <v>14805787.529999999</v>
      </c>
      <c r="L140" s="432"/>
      <c r="M140" s="432">
        <f t="shared" si="3"/>
        <v>800814.85000000149</v>
      </c>
      <c r="N140" s="432"/>
      <c r="O140" s="432">
        <v>15606602.380000001</v>
      </c>
      <c r="P140" s="680"/>
      <c r="Q140" s="1185"/>
    </row>
    <row r="141" spans="2:17" s="767" customFormat="1" ht="15.5">
      <c r="B141" s="773">
        <v>22039</v>
      </c>
      <c r="C141" s="780"/>
      <c r="D141" s="774" t="s">
        <v>1187</v>
      </c>
      <c r="E141" s="781"/>
      <c r="F141" s="781"/>
      <c r="G141" s="432">
        <v>205283.35</v>
      </c>
      <c r="H141" s="432"/>
      <c r="I141" s="432">
        <v>506813.16</v>
      </c>
      <c r="J141" s="432"/>
      <c r="K141" s="432">
        <v>1138515.3899999999</v>
      </c>
      <c r="L141" s="432"/>
      <c r="M141" s="432">
        <f t="shared" si="3"/>
        <v>-597058.20999999985</v>
      </c>
      <c r="N141" s="432"/>
      <c r="O141" s="432">
        <v>541457.18000000005</v>
      </c>
      <c r="P141" s="680"/>
      <c r="Q141" s="1185"/>
    </row>
    <row r="142" spans="2:17" s="767" customFormat="1" ht="15.5">
      <c r="B142" s="773">
        <v>22046</v>
      </c>
      <c r="C142" s="780"/>
      <c r="D142" s="774" t="s">
        <v>1188</v>
      </c>
      <c r="E142" s="781"/>
      <c r="F142" s="781"/>
      <c r="G142" s="432">
        <v>136270111.53999999</v>
      </c>
      <c r="H142" s="432"/>
      <c r="I142" s="432">
        <v>136160447.93000001</v>
      </c>
      <c r="J142" s="432"/>
      <c r="K142" s="432">
        <v>137427250.53999999</v>
      </c>
      <c r="L142" s="432"/>
      <c r="M142" s="432">
        <f t="shared" si="3"/>
        <v>794582.65999999642</v>
      </c>
      <c r="N142" s="432"/>
      <c r="O142" s="432">
        <v>138221833.19999999</v>
      </c>
      <c r="P142" s="680"/>
      <c r="Q142" s="1185"/>
    </row>
    <row r="143" spans="2:17" s="767" customFormat="1" ht="15.5">
      <c r="B143" s="773">
        <v>22053</v>
      </c>
      <c r="C143" s="780"/>
      <c r="D143" s="774" t="s">
        <v>1189</v>
      </c>
      <c r="E143" s="781"/>
      <c r="F143" s="781"/>
      <c r="G143" s="432">
        <v>11472151.789999999</v>
      </c>
      <c r="H143" s="432"/>
      <c r="I143" s="432">
        <v>11110833.43</v>
      </c>
      <c r="J143" s="432"/>
      <c r="K143" s="432">
        <v>11659690.880000001</v>
      </c>
      <c r="L143" s="432"/>
      <c r="M143" s="432">
        <f t="shared" si="3"/>
        <v>408237.25999999978</v>
      </c>
      <c r="N143" s="432"/>
      <c r="O143" s="432">
        <v>12067928.140000001</v>
      </c>
      <c r="P143" s="680"/>
      <c r="Q143" s="1185"/>
    </row>
    <row r="144" spans="2:17" s="767" customFormat="1" ht="15.5">
      <c r="B144" s="773">
        <v>22055</v>
      </c>
      <c r="C144" s="780"/>
      <c r="D144" s="774" t="s">
        <v>1190</v>
      </c>
      <c r="E144" s="781"/>
      <c r="F144" s="781"/>
      <c r="G144" s="432">
        <v>92706997.319999993</v>
      </c>
      <c r="H144" s="432"/>
      <c r="I144" s="432">
        <v>93371928.069999993</v>
      </c>
      <c r="J144" s="432"/>
      <c r="K144" s="432">
        <v>101142367.7</v>
      </c>
      <c r="L144" s="432"/>
      <c r="M144" s="432">
        <f t="shared" si="3"/>
        <v>-2456073.1099999994</v>
      </c>
      <c r="N144" s="432"/>
      <c r="O144" s="432">
        <v>98686294.590000004</v>
      </c>
      <c r="P144" s="680"/>
      <c r="Q144" s="1185"/>
    </row>
    <row r="145" spans="2:17" s="767" customFormat="1" ht="15.5">
      <c r="B145" s="773">
        <v>22063</v>
      </c>
      <c r="C145" s="780"/>
      <c r="D145" s="774" t="s">
        <v>1191</v>
      </c>
      <c r="E145" s="781"/>
      <c r="F145" s="781"/>
      <c r="G145" s="432">
        <v>10603427.949999999</v>
      </c>
      <c r="H145" s="432"/>
      <c r="I145" s="432">
        <v>10228044.380000001</v>
      </c>
      <c r="J145" s="432"/>
      <c r="K145" s="432">
        <v>12246979.699999999</v>
      </c>
      <c r="L145" s="432"/>
      <c r="M145" s="432">
        <f t="shared" si="3"/>
        <v>1192220.25</v>
      </c>
      <c r="N145" s="432"/>
      <c r="O145" s="432">
        <v>13439199.949999999</v>
      </c>
      <c r="P145" s="680"/>
      <c r="Q145" s="1185"/>
    </row>
    <row r="146" spans="2:17" s="767" customFormat="1" ht="15.5">
      <c r="B146" s="773">
        <v>22085</v>
      </c>
      <c r="C146" s="780"/>
      <c r="D146" s="774" t="s">
        <v>1192</v>
      </c>
      <c r="E146" s="781"/>
      <c r="F146" s="781"/>
      <c r="G146" s="432">
        <v>3498268.1</v>
      </c>
      <c r="H146" s="432"/>
      <c r="I146" s="432">
        <v>3764227.07</v>
      </c>
      <c r="J146" s="432"/>
      <c r="K146" s="432">
        <v>4003892.52</v>
      </c>
      <c r="L146" s="432"/>
      <c r="M146" s="432">
        <f t="shared" si="3"/>
        <v>616141.17000000039</v>
      </c>
      <c r="N146" s="432"/>
      <c r="O146" s="432">
        <v>4620033.6900000004</v>
      </c>
      <c r="P146" s="680"/>
      <c r="Q146" s="1185"/>
    </row>
    <row r="147" spans="2:17" s="767" customFormat="1" ht="15.5">
      <c r="B147" s="773">
        <v>22099</v>
      </c>
      <c r="C147" s="780"/>
      <c r="D147" s="774" t="s">
        <v>1193</v>
      </c>
      <c r="E147" s="781"/>
      <c r="F147" s="781"/>
      <c r="G147" s="432">
        <v>336939.62</v>
      </c>
      <c r="H147" s="432"/>
      <c r="I147" s="432">
        <v>360752.97</v>
      </c>
      <c r="J147" s="432"/>
      <c r="K147" s="432">
        <v>420770.53</v>
      </c>
      <c r="L147" s="432"/>
      <c r="M147" s="432">
        <f t="shared" si="3"/>
        <v>-420770.53</v>
      </c>
      <c r="N147" s="432"/>
      <c r="O147" s="432">
        <v>0</v>
      </c>
      <c r="P147" s="680"/>
      <c r="Q147" s="1185"/>
    </row>
    <row r="148" spans="2:17" s="767" customFormat="1" ht="15.5">
      <c r="B148" s="773">
        <v>22100</v>
      </c>
      <c r="C148" s="780"/>
      <c r="D148" s="774" t="s">
        <v>1194</v>
      </c>
      <c r="E148" s="781"/>
      <c r="F148" s="781"/>
      <c r="G148" s="432">
        <v>14769172.109999999</v>
      </c>
      <c r="H148" s="432"/>
      <c r="I148" s="432">
        <v>14310887.83</v>
      </c>
      <c r="J148" s="432"/>
      <c r="K148" s="432">
        <v>14393263.789999999</v>
      </c>
      <c r="L148" s="432"/>
      <c r="M148" s="432">
        <f t="shared" si="3"/>
        <v>-204163.69999999925</v>
      </c>
      <c r="N148" s="432"/>
      <c r="O148" s="432">
        <v>14189100.09</v>
      </c>
      <c r="P148" s="680"/>
      <c r="Q148" s="1185"/>
    </row>
    <row r="149" spans="2:17" s="767" customFormat="1" ht="15.5">
      <c r="B149" s="773">
        <v>22134</v>
      </c>
      <c r="C149" s="780"/>
      <c r="D149" s="779" t="s">
        <v>1195</v>
      </c>
      <c r="E149" s="781"/>
      <c r="F149" s="781"/>
      <c r="G149" s="432">
        <v>0</v>
      </c>
      <c r="H149" s="432"/>
      <c r="I149" s="432">
        <v>0</v>
      </c>
      <c r="J149" s="432"/>
      <c r="K149" s="432">
        <v>0</v>
      </c>
      <c r="L149" s="432"/>
      <c r="M149" s="432">
        <f t="shared" si="3"/>
        <v>0</v>
      </c>
      <c r="N149" s="432"/>
      <c r="O149" s="432">
        <v>0</v>
      </c>
      <c r="P149" s="680"/>
      <c r="Q149" s="1185"/>
    </row>
    <row r="150" spans="2:17" s="767" customFormat="1" ht="15.5">
      <c r="B150" s="773">
        <v>22144</v>
      </c>
      <c r="C150" s="780"/>
      <c r="D150" s="774" t="s">
        <v>1196</v>
      </c>
      <c r="E150" s="781"/>
      <c r="F150" s="781"/>
      <c r="G150" s="432">
        <v>0</v>
      </c>
      <c r="H150" s="432"/>
      <c r="I150" s="432">
        <v>0</v>
      </c>
      <c r="J150" s="432"/>
      <c r="K150" s="432">
        <v>0</v>
      </c>
      <c r="L150" s="432"/>
      <c r="M150" s="432">
        <f t="shared" si="3"/>
        <v>0</v>
      </c>
      <c r="N150" s="432"/>
      <c r="O150" s="432">
        <v>0</v>
      </c>
      <c r="P150" s="680"/>
      <c r="Q150" s="1185"/>
    </row>
    <row r="151" spans="2:17" s="767" customFormat="1" ht="15.5">
      <c r="B151" s="773">
        <v>22151</v>
      </c>
      <c r="C151" s="780"/>
      <c r="D151" s="779" t="s">
        <v>1197</v>
      </c>
      <c r="E151" s="781"/>
      <c r="F151" s="781"/>
      <c r="G151" s="432">
        <v>173471.81</v>
      </c>
      <c r="H151" s="432"/>
      <c r="I151" s="432">
        <v>26695.599999999999</v>
      </c>
      <c r="J151" s="432"/>
      <c r="K151" s="432">
        <v>146635.01999999999</v>
      </c>
      <c r="L151" s="432"/>
      <c r="M151" s="432">
        <f t="shared" ref="M151:M168" si="7">O151-K151</f>
        <v>-115202.4</v>
      </c>
      <c r="N151" s="432"/>
      <c r="O151" s="432">
        <v>31432.62</v>
      </c>
      <c r="P151" s="680"/>
      <c r="Q151" s="1185"/>
    </row>
    <row r="152" spans="2:17" s="767" customFormat="1" ht="15.5">
      <c r="B152" s="773">
        <v>22165</v>
      </c>
      <c r="C152" s="780"/>
      <c r="D152" s="774" t="s">
        <v>1198</v>
      </c>
      <c r="E152" s="781"/>
      <c r="F152" s="781"/>
      <c r="G152" s="432">
        <v>0</v>
      </c>
      <c r="H152" s="432"/>
      <c r="I152" s="432">
        <v>0</v>
      </c>
      <c r="J152" s="432"/>
      <c r="K152" s="432">
        <v>0</v>
      </c>
      <c r="L152" s="432"/>
      <c r="M152" s="432">
        <f t="shared" si="7"/>
        <v>0</v>
      </c>
      <c r="N152" s="432"/>
      <c r="O152" s="432">
        <v>0</v>
      </c>
      <c r="P152" s="680"/>
      <c r="Q152" s="1185"/>
    </row>
    <row r="153" spans="2:17" s="767" customFormat="1" ht="15.5">
      <c r="B153" s="773">
        <v>22211</v>
      </c>
      <c r="C153" s="780"/>
      <c r="D153" s="774" t="s">
        <v>1199</v>
      </c>
      <c r="E153" s="781"/>
      <c r="F153" s="781"/>
      <c r="G153" s="432">
        <v>9707676.3900000006</v>
      </c>
      <c r="H153" s="432"/>
      <c r="I153" s="432">
        <v>17841920.02</v>
      </c>
      <c r="J153" s="432"/>
      <c r="K153" s="432">
        <v>22547568.050000001</v>
      </c>
      <c r="L153" s="432"/>
      <c r="M153" s="432">
        <f t="shared" si="7"/>
        <v>18070699.639999997</v>
      </c>
      <c r="N153" s="432"/>
      <c r="O153" s="432">
        <v>40618267.689999998</v>
      </c>
      <c r="P153" s="680"/>
      <c r="Q153" s="1185"/>
    </row>
    <row r="154" spans="2:17" s="767" customFormat="1" ht="15.5">
      <c r="B154" s="773">
        <v>22240</v>
      </c>
      <c r="C154" s="780"/>
      <c r="D154" s="774" t="s">
        <v>1200</v>
      </c>
      <c r="E154" s="781"/>
      <c r="F154" s="781"/>
      <c r="G154" s="432">
        <v>3547343.64</v>
      </c>
      <c r="H154" s="432"/>
      <c r="I154" s="432">
        <v>3600424.45</v>
      </c>
      <c r="J154" s="432"/>
      <c r="K154" s="432">
        <v>3760621.76</v>
      </c>
      <c r="L154" s="432"/>
      <c r="M154" s="432">
        <f t="shared" si="7"/>
        <v>118558.58000000007</v>
      </c>
      <c r="N154" s="432"/>
      <c r="O154" s="432">
        <v>3879180.34</v>
      </c>
      <c r="P154" s="680"/>
      <c r="Q154" s="1185"/>
    </row>
    <row r="155" spans="2:17" s="767" customFormat="1" ht="15.5">
      <c r="B155" s="773">
        <v>22246</v>
      </c>
      <c r="C155" s="780"/>
      <c r="D155" s="774" t="s">
        <v>1201</v>
      </c>
      <c r="E155" s="781"/>
      <c r="F155" s="781"/>
      <c r="G155" s="432">
        <v>0</v>
      </c>
      <c r="H155" s="432"/>
      <c r="I155" s="432">
        <v>0</v>
      </c>
      <c r="J155" s="432"/>
      <c r="K155" s="432">
        <v>0</v>
      </c>
      <c r="L155" s="432"/>
      <c r="M155" s="432">
        <f t="shared" si="7"/>
        <v>0</v>
      </c>
      <c r="N155" s="432"/>
      <c r="O155" s="432">
        <v>0</v>
      </c>
      <c r="P155" s="680"/>
      <c r="Q155" s="1185"/>
    </row>
    <row r="156" spans="2:17" s="767" customFormat="1" ht="15.5">
      <c r="B156" s="773">
        <v>22255</v>
      </c>
      <c r="C156" s="780"/>
      <c r="D156" s="774" t="s">
        <v>1202</v>
      </c>
      <c r="E156" s="781"/>
      <c r="F156" s="781"/>
      <c r="G156" s="432">
        <v>0</v>
      </c>
      <c r="H156" s="432"/>
      <c r="I156" s="432">
        <v>0</v>
      </c>
      <c r="J156" s="432"/>
      <c r="K156" s="432">
        <v>0</v>
      </c>
      <c r="L156" s="432"/>
      <c r="M156" s="432">
        <f t="shared" si="7"/>
        <v>0</v>
      </c>
      <c r="N156" s="432"/>
      <c r="O156" s="432">
        <v>0</v>
      </c>
      <c r="P156" s="680"/>
      <c r="Q156" s="1185"/>
    </row>
    <row r="157" spans="2:17" s="767" customFormat="1" ht="15.5">
      <c r="B157" s="773">
        <v>22262</v>
      </c>
      <c r="C157" s="780"/>
      <c r="D157" s="774" t="s">
        <v>1362</v>
      </c>
      <c r="E157" s="781"/>
      <c r="F157" s="781"/>
      <c r="G157" s="432">
        <v>0</v>
      </c>
      <c r="H157" s="432"/>
      <c r="I157" s="432">
        <v>0</v>
      </c>
      <c r="J157" s="432"/>
      <c r="K157" s="432">
        <v>0</v>
      </c>
      <c r="L157" s="432"/>
      <c r="M157" s="432">
        <f t="shared" si="7"/>
        <v>0</v>
      </c>
      <c r="N157" s="432"/>
      <c r="O157" s="432">
        <v>0</v>
      </c>
      <c r="P157" s="1269"/>
      <c r="Q157" s="1185"/>
    </row>
    <row r="158" spans="2:17" s="767" customFormat="1" ht="15.5">
      <c r="B158" s="773">
        <v>22269</v>
      </c>
      <c r="C158" s="780"/>
      <c r="D158" s="774" t="s">
        <v>1442</v>
      </c>
      <c r="E158" s="781"/>
      <c r="F158" s="781"/>
      <c r="G158" s="432">
        <v>0</v>
      </c>
      <c r="H158" s="432"/>
      <c r="I158" s="432">
        <v>0</v>
      </c>
      <c r="J158" s="432"/>
      <c r="K158" s="432">
        <v>0</v>
      </c>
      <c r="L158" s="432"/>
      <c r="M158" s="432">
        <f t="shared" ref="M158:M159" si="8">O158-K158</f>
        <v>0</v>
      </c>
      <c r="N158" s="432"/>
      <c r="O158" s="432">
        <v>0</v>
      </c>
      <c r="P158" s="1269"/>
      <c r="Q158" s="1185"/>
    </row>
    <row r="159" spans="2:17" s="767" customFormat="1" ht="15.5">
      <c r="B159" s="773">
        <v>22270</v>
      </c>
      <c r="C159" s="780"/>
      <c r="D159" s="774" t="s">
        <v>1471</v>
      </c>
      <c r="E159" s="781"/>
      <c r="F159" s="781"/>
      <c r="G159" s="432">
        <v>0</v>
      </c>
      <c r="H159" s="432"/>
      <c r="I159" s="432">
        <v>0</v>
      </c>
      <c r="J159" s="432"/>
      <c r="K159" s="432">
        <v>0</v>
      </c>
      <c r="L159" s="432"/>
      <c r="M159" s="432">
        <f t="shared" si="8"/>
        <v>0</v>
      </c>
      <c r="N159" s="432"/>
      <c r="O159" s="432">
        <v>0</v>
      </c>
      <c r="P159" s="1269"/>
      <c r="Q159" s="1185"/>
    </row>
    <row r="160" spans="2:17" s="767" customFormat="1" ht="15.5">
      <c r="B160" s="773">
        <v>22654</v>
      </c>
      <c r="C160" s="780"/>
      <c r="D160" s="779" t="s">
        <v>1203</v>
      </c>
      <c r="E160" s="781"/>
      <c r="F160" s="781"/>
      <c r="G160" s="432">
        <v>24526384.609999999</v>
      </c>
      <c r="H160" s="432"/>
      <c r="I160" s="432">
        <v>24601832.399999999</v>
      </c>
      <c r="J160" s="432"/>
      <c r="K160" s="432">
        <v>24680035.260000002</v>
      </c>
      <c r="L160" s="432"/>
      <c r="M160" s="432">
        <f t="shared" si="7"/>
        <v>79013.14999999851</v>
      </c>
      <c r="N160" s="432"/>
      <c r="O160" s="432">
        <v>24759048.41</v>
      </c>
      <c r="P160" s="680"/>
      <c r="Q160" s="1185"/>
    </row>
    <row r="161" spans="2:17" s="767" customFormat="1" ht="15.5">
      <c r="B161" s="773">
        <v>23001</v>
      </c>
      <c r="C161" s="780"/>
      <c r="D161" s="779" t="s">
        <v>1204</v>
      </c>
      <c r="E161" s="781"/>
      <c r="F161" s="781"/>
      <c r="G161" s="432">
        <v>26708586.899999999</v>
      </c>
      <c r="H161" s="432"/>
      <c r="I161" s="432">
        <v>26893044.030000001</v>
      </c>
      <c r="J161" s="432"/>
      <c r="K161" s="432">
        <v>27188193.57</v>
      </c>
      <c r="L161" s="432"/>
      <c r="M161" s="432">
        <f t="shared" si="7"/>
        <v>549217.69000000134</v>
      </c>
      <c r="N161" s="432"/>
      <c r="O161" s="432">
        <v>27737411.260000002</v>
      </c>
      <c r="P161" s="680"/>
      <c r="Q161" s="1185"/>
    </row>
    <row r="162" spans="2:17" s="767" customFormat="1" ht="15.5">
      <c r="B162" s="773">
        <v>23151</v>
      </c>
      <c r="C162" s="780"/>
      <c r="D162" s="779" t="s">
        <v>1205</v>
      </c>
      <c r="E162" s="781"/>
      <c r="F162" s="781"/>
      <c r="G162" s="432">
        <v>35828698.579999998</v>
      </c>
      <c r="H162" s="432"/>
      <c r="I162" s="432">
        <v>39808670.979999997</v>
      </c>
      <c r="J162" s="432"/>
      <c r="K162" s="432">
        <v>46416625.090000004</v>
      </c>
      <c r="L162" s="432"/>
      <c r="M162" s="432">
        <f t="shared" si="7"/>
        <v>4572436.8999999985</v>
      </c>
      <c r="N162" s="432"/>
      <c r="O162" s="432">
        <v>50989061.990000002</v>
      </c>
      <c r="P162" s="680"/>
      <c r="Q162" s="1185"/>
    </row>
    <row r="163" spans="2:17" s="767" customFormat="1" ht="15.5">
      <c r="B163" s="773">
        <v>23701</v>
      </c>
      <c r="C163" s="780"/>
      <c r="D163" s="779" t="s">
        <v>1206</v>
      </c>
      <c r="E163" s="781"/>
      <c r="F163" s="781"/>
      <c r="G163" s="432">
        <v>0</v>
      </c>
      <c r="H163" s="432"/>
      <c r="I163" s="432">
        <v>0</v>
      </c>
      <c r="J163" s="432"/>
      <c r="K163" s="432">
        <v>0</v>
      </c>
      <c r="L163" s="432"/>
      <c r="M163" s="432">
        <f t="shared" si="7"/>
        <v>0</v>
      </c>
      <c r="N163" s="432"/>
      <c r="O163" s="432">
        <v>0</v>
      </c>
      <c r="P163" s="680"/>
      <c r="Q163" s="1185"/>
    </row>
    <row r="164" spans="2:17" s="767" customFormat="1" ht="15.5">
      <c r="B164" s="790">
        <v>23702</v>
      </c>
      <c r="C164" s="780"/>
      <c r="D164" s="774" t="s">
        <v>1207</v>
      </c>
      <c r="E164" s="781"/>
      <c r="F164" s="781"/>
      <c r="G164" s="432">
        <v>17113758.16</v>
      </c>
      <c r="H164" s="432"/>
      <c r="I164" s="432">
        <v>17545333.129999999</v>
      </c>
      <c r="J164" s="432"/>
      <c r="K164" s="432">
        <v>19103792.690000001</v>
      </c>
      <c r="L164" s="432"/>
      <c r="M164" s="432">
        <f t="shared" si="7"/>
        <v>656662.25</v>
      </c>
      <c r="N164" s="432"/>
      <c r="O164" s="432">
        <v>19760454.940000001</v>
      </c>
      <c r="P164" s="680"/>
      <c r="Q164" s="1185"/>
    </row>
    <row r="165" spans="2:17" s="767" customFormat="1" ht="15.5">
      <c r="B165" s="790">
        <v>23806</v>
      </c>
      <c r="C165" s="780"/>
      <c r="D165" s="774" t="s">
        <v>1208</v>
      </c>
      <c r="E165" s="781"/>
      <c r="F165" s="781"/>
      <c r="G165" s="432">
        <v>3275777.91</v>
      </c>
      <c r="H165" s="432"/>
      <c r="I165" s="432">
        <v>3310765.17</v>
      </c>
      <c r="J165" s="432"/>
      <c r="K165" s="432">
        <v>3428634.52</v>
      </c>
      <c r="L165" s="432"/>
      <c r="M165" s="432">
        <f t="shared" si="7"/>
        <v>83417.580000000075</v>
      </c>
      <c r="N165" s="432"/>
      <c r="O165" s="432">
        <v>3512052.1</v>
      </c>
      <c r="P165" s="776"/>
      <c r="Q165" s="1185"/>
    </row>
    <row r="166" spans="2:17" s="767" customFormat="1" ht="15.5">
      <c r="B166" s="790">
        <v>24800</v>
      </c>
      <c r="C166" s="780"/>
      <c r="D166" s="774" t="s">
        <v>1209</v>
      </c>
      <c r="E166" s="781"/>
      <c r="F166" s="781"/>
      <c r="G166" s="432">
        <v>0</v>
      </c>
      <c r="H166" s="432"/>
      <c r="I166" s="432">
        <v>0</v>
      </c>
      <c r="J166" s="432"/>
      <c r="K166" s="432">
        <v>0</v>
      </c>
      <c r="L166" s="432"/>
      <c r="M166" s="432">
        <f t="shared" si="7"/>
        <v>0</v>
      </c>
      <c r="N166" s="432"/>
      <c r="O166" s="432">
        <v>0</v>
      </c>
      <c r="P166" s="776"/>
      <c r="Q166" s="1185"/>
    </row>
    <row r="167" spans="2:17" s="767" customFormat="1" ht="15.5">
      <c r="B167" s="790">
        <v>24951</v>
      </c>
      <c r="C167" s="780"/>
      <c r="D167" s="774" t="s">
        <v>1210</v>
      </c>
      <c r="E167" s="781"/>
      <c r="F167" s="781"/>
      <c r="G167" s="432">
        <v>31058.6</v>
      </c>
      <c r="H167" s="432"/>
      <c r="I167" s="432">
        <v>48708.14</v>
      </c>
      <c r="J167" s="432"/>
      <c r="K167" s="432">
        <v>128053.78</v>
      </c>
      <c r="L167" s="432"/>
      <c r="M167" s="432">
        <f t="shared" si="7"/>
        <v>0</v>
      </c>
      <c r="N167" s="432"/>
      <c r="O167" s="432">
        <v>128053.78</v>
      </c>
      <c r="P167" s="776"/>
      <c r="Q167" s="1185"/>
    </row>
    <row r="168" spans="2:17" s="767" customFormat="1" ht="15.5">
      <c r="B168" s="790">
        <v>24955</v>
      </c>
      <c r="C168" s="780"/>
      <c r="D168" s="774" t="s">
        <v>1211</v>
      </c>
      <c r="E168" s="781"/>
      <c r="F168" s="781"/>
      <c r="G168" s="432">
        <v>0</v>
      </c>
      <c r="H168" s="432"/>
      <c r="I168" s="432">
        <v>0</v>
      </c>
      <c r="J168" s="432"/>
      <c r="K168" s="432">
        <v>0</v>
      </c>
      <c r="L168" s="432"/>
      <c r="M168" s="432">
        <f t="shared" si="7"/>
        <v>0</v>
      </c>
      <c r="N168" s="432"/>
      <c r="O168" s="432">
        <v>0</v>
      </c>
      <c r="P168" s="776"/>
      <c r="Q168" s="1185"/>
    </row>
    <row r="169" spans="2:17" s="767" customFormat="1" ht="16" thickBot="1">
      <c r="B169" s="782"/>
      <c r="C169" s="769"/>
      <c r="D169" s="777" t="s">
        <v>1212</v>
      </c>
      <c r="E169" s="771"/>
      <c r="F169" s="771"/>
      <c r="G169" s="1652">
        <f>SUM(G102:G168)</f>
        <v>604896756.0999999</v>
      </c>
      <c r="H169" s="1653"/>
      <c r="I169" s="1652">
        <f>SUM(I102:I168)</f>
        <v>691727437.59000015</v>
      </c>
      <c r="J169" s="1653"/>
      <c r="K169" s="1652">
        <f>SUM(K102:K168)</f>
        <v>641427059.89999998</v>
      </c>
      <c r="L169"/>
      <c r="M169" s="1652">
        <f>SUM(M102:M168)</f>
        <v>28011383.730000012</v>
      </c>
      <c r="N169"/>
      <c r="O169" s="1652">
        <f>SUM(O102:O168)</f>
        <v>669438443.63</v>
      </c>
      <c r="P169" s="776"/>
      <c r="Q169" s="1185"/>
    </row>
    <row r="170" spans="2:17" s="767" customFormat="1" ht="16" thickTop="1">
      <c r="B170" s="784"/>
      <c r="C170" s="772"/>
      <c r="D170" s="791"/>
      <c r="E170" s="780"/>
      <c r="F170" s="780"/>
      <c r="G170" s="680"/>
      <c r="H170" s="1655"/>
      <c r="I170" s="680"/>
      <c r="J170" s="1655"/>
      <c r="K170" s="680"/>
      <c r="L170" s="1655"/>
      <c r="M170" s="432"/>
      <c r="N170" s="1655"/>
      <c r="O170" s="680"/>
      <c r="P170" s="776"/>
      <c r="Q170" s="1185"/>
    </row>
    <row r="171" spans="2:17" s="767" customFormat="1" ht="15.5">
      <c r="B171" s="784"/>
      <c r="C171" s="769"/>
      <c r="D171" s="777" t="s">
        <v>1213</v>
      </c>
      <c r="E171" s="771"/>
      <c r="F171" s="771"/>
      <c r="G171" s="680"/>
      <c r="H171" s="1655"/>
      <c r="I171" s="680"/>
      <c r="J171" s="1655"/>
      <c r="K171" s="776"/>
      <c r="L171" s="1655"/>
      <c r="M171" s="1656"/>
      <c r="N171" s="1653"/>
      <c r="O171" s="680"/>
      <c r="P171" s="776"/>
      <c r="Q171" s="1185"/>
    </row>
    <row r="172" spans="2:17" s="767" customFormat="1" ht="15.5">
      <c r="B172" s="792" t="s">
        <v>1214</v>
      </c>
      <c r="C172" s="951"/>
      <c r="D172" s="779" t="s">
        <v>1215</v>
      </c>
      <c r="E172" s="842"/>
      <c r="F172" s="842"/>
      <c r="G172" s="680">
        <v>105800845.17000002</v>
      </c>
      <c r="H172" s="432"/>
      <c r="I172" s="680">
        <v>43345554.960000001</v>
      </c>
      <c r="J172" s="432"/>
      <c r="K172" s="680">
        <v>77164353.670000002</v>
      </c>
      <c r="L172" s="332"/>
      <c r="M172" s="432">
        <f t="shared" ref="M172:M180" si="9">O172-K172</f>
        <v>29215836.560000002</v>
      </c>
      <c r="N172" s="432"/>
      <c r="O172" s="680">
        <v>106380190.23</v>
      </c>
      <c r="P172" s="776"/>
      <c r="Q172" s="1185" t="s">
        <v>103</v>
      </c>
    </row>
    <row r="173" spans="2:17" s="767" customFormat="1" ht="15.5">
      <c r="B173" s="792" t="s">
        <v>1216</v>
      </c>
      <c r="C173" s="951"/>
      <c r="D173" s="779" t="s">
        <v>1217</v>
      </c>
      <c r="E173" s="842"/>
      <c r="F173" s="842"/>
      <c r="G173" s="680">
        <v>414443441.40999997</v>
      </c>
      <c r="H173" s="432"/>
      <c r="I173" s="680">
        <v>1231843779.8800001</v>
      </c>
      <c r="J173" s="432"/>
      <c r="K173" s="680">
        <v>2573706734.7799993</v>
      </c>
      <c r="L173" s="332"/>
      <c r="M173" s="432">
        <f t="shared" si="9"/>
        <v>-2453256255.4799991</v>
      </c>
      <c r="N173" s="432"/>
      <c r="O173" s="680">
        <v>120450479.29999998</v>
      </c>
      <c r="P173" s="776"/>
      <c r="Q173" s="1185" t="s">
        <v>103</v>
      </c>
    </row>
    <row r="174" spans="2:17" s="767" customFormat="1" ht="15.5">
      <c r="B174" s="792" t="s">
        <v>1218</v>
      </c>
      <c r="C174" s="951"/>
      <c r="D174" s="774" t="s">
        <v>1219</v>
      </c>
      <c r="E174" s="842"/>
      <c r="F174" s="842"/>
      <c r="G174" s="680">
        <v>36289823.07</v>
      </c>
      <c r="H174" s="432"/>
      <c r="I174" s="680">
        <v>40102017.599999994</v>
      </c>
      <c r="J174" s="432"/>
      <c r="K174" s="680">
        <v>40217452.75</v>
      </c>
      <c r="L174" s="332"/>
      <c r="M174" s="432">
        <f t="shared" si="9"/>
        <v>17666862.130000003</v>
      </c>
      <c r="N174" s="432"/>
      <c r="O174" s="680">
        <v>57884314.880000003</v>
      </c>
      <c r="P174" s="776"/>
      <c r="Q174" s="1185"/>
    </row>
    <row r="175" spans="2:17" s="767" customFormat="1" ht="15.5">
      <c r="B175" s="792" t="s">
        <v>1220</v>
      </c>
      <c r="C175" s="774"/>
      <c r="D175" s="779" t="s">
        <v>1221</v>
      </c>
      <c r="E175" s="842"/>
      <c r="F175" s="842"/>
      <c r="G175" s="680">
        <v>289735621.89999992</v>
      </c>
      <c r="H175" s="432"/>
      <c r="I175" s="680">
        <v>365873365.55000007</v>
      </c>
      <c r="J175" s="432"/>
      <c r="K175" s="680">
        <v>244014609.16</v>
      </c>
      <c r="L175" s="332"/>
      <c r="M175" s="432">
        <f t="shared" si="9"/>
        <v>67163360.150000006</v>
      </c>
      <c r="N175" s="432"/>
      <c r="O175" s="680">
        <v>311177969.31</v>
      </c>
      <c r="Q175" s="1185"/>
    </row>
    <row r="176" spans="2:17" s="767" customFormat="1" ht="15.5">
      <c r="B176" s="755">
        <v>31354</v>
      </c>
      <c r="C176" s="843"/>
      <c r="D176" s="774" t="s">
        <v>1222</v>
      </c>
      <c r="E176" s="842"/>
      <c r="F176" s="842"/>
      <c r="G176" s="432">
        <v>242879703.03</v>
      </c>
      <c r="H176" s="432"/>
      <c r="I176" s="432">
        <v>237497412.28999999</v>
      </c>
      <c r="J176" s="432"/>
      <c r="K176" s="432">
        <v>373058651.08999997</v>
      </c>
      <c r="L176" s="432"/>
      <c r="M176" s="432">
        <f t="shared" si="9"/>
        <v>-76774998.119999945</v>
      </c>
      <c r="N176" s="432"/>
      <c r="O176" s="432">
        <v>296283652.97000003</v>
      </c>
      <c r="P176" s="781"/>
      <c r="Q176" s="432"/>
    </row>
    <row r="177" spans="2:17" s="767" customFormat="1" ht="15.5">
      <c r="B177" s="844" t="s">
        <v>1223</v>
      </c>
      <c r="C177" s="780"/>
      <c r="D177" s="779" t="s">
        <v>1224</v>
      </c>
      <c r="E177" s="842"/>
      <c r="F177" s="842"/>
      <c r="G177" s="1947">
        <v>85880951.040000051</v>
      </c>
      <c r="H177" s="432"/>
      <c r="I177" s="1947">
        <v>90184151.910000056</v>
      </c>
      <c r="J177" s="432"/>
      <c r="K177" s="1947">
        <v>83590826.00000006</v>
      </c>
      <c r="L177" s="332"/>
      <c r="M177" s="432">
        <f t="shared" si="9"/>
        <v>3785028.2799999714</v>
      </c>
      <c r="N177" s="432"/>
      <c r="O177" s="1947">
        <v>87375854.280000031</v>
      </c>
      <c r="P177" s="785"/>
      <c r="Q177" s="1185" t="s">
        <v>103</v>
      </c>
    </row>
    <row r="178" spans="2:17" s="767" customFormat="1" ht="15.5">
      <c r="B178" s="790" t="s">
        <v>1225</v>
      </c>
      <c r="C178" s="780"/>
      <c r="D178" s="779" t="s">
        <v>1226</v>
      </c>
      <c r="E178" s="792"/>
      <c r="F178" s="792"/>
      <c r="G178" s="1947">
        <v>12491403.27</v>
      </c>
      <c r="H178" s="432"/>
      <c r="I178" s="1947">
        <v>15858797.02</v>
      </c>
      <c r="J178" s="432"/>
      <c r="K178" s="1947">
        <v>12768191.15</v>
      </c>
      <c r="L178" s="332"/>
      <c r="M178" s="432">
        <f t="shared" si="9"/>
        <v>3098701.6899999995</v>
      </c>
      <c r="N178" s="432"/>
      <c r="O178" s="1947">
        <v>15866892.84</v>
      </c>
      <c r="P178" s="792"/>
      <c r="Q178" s="1185"/>
    </row>
    <row r="179" spans="2:17" s="767" customFormat="1" ht="15.5">
      <c r="B179" s="773">
        <v>25950</v>
      </c>
      <c r="C179" s="780"/>
      <c r="D179" s="779" t="s">
        <v>1227</v>
      </c>
      <c r="E179" s="793"/>
      <c r="F179" s="793"/>
      <c r="G179" s="432">
        <v>396861.35</v>
      </c>
      <c r="H179" s="432"/>
      <c r="I179" s="432">
        <v>396748.79999999999</v>
      </c>
      <c r="J179" s="432"/>
      <c r="K179" s="432">
        <v>396632.38</v>
      </c>
      <c r="L179" s="432"/>
      <c r="M179" s="432">
        <f t="shared" si="9"/>
        <v>-112.78000000002794</v>
      </c>
      <c r="N179" s="432"/>
      <c r="O179" s="432">
        <v>396519.6</v>
      </c>
      <c r="P179" s="792"/>
      <c r="Q179" s="1185"/>
    </row>
    <row r="180" spans="2:17" s="767" customFormat="1" ht="15.5">
      <c r="B180" s="790" t="s">
        <v>1228</v>
      </c>
      <c r="C180" s="780"/>
      <c r="D180" s="774" t="s">
        <v>1229</v>
      </c>
      <c r="E180" s="792"/>
      <c r="F180" s="792"/>
      <c r="G180" s="680">
        <v>5466462.8799999999</v>
      </c>
      <c r="H180" s="432"/>
      <c r="I180" s="680">
        <v>9443840.8699999992</v>
      </c>
      <c r="J180" s="432"/>
      <c r="K180" s="680">
        <v>1971002.27</v>
      </c>
      <c r="L180" s="332"/>
      <c r="M180" s="432">
        <f t="shared" si="9"/>
        <v>-172017.52000000002</v>
      </c>
      <c r="N180" s="432"/>
      <c r="O180" s="680">
        <v>1798984.75</v>
      </c>
      <c r="P180" s="792"/>
      <c r="Q180" s="1185"/>
    </row>
    <row r="181" spans="2:17" s="767" customFormat="1" ht="16" thickBot="1">
      <c r="B181" s="785"/>
      <c r="C181" s="769"/>
      <c r="D181" s="777" t="s">
        <v>1230</v>
      </c>
      <c r="E181" s="778"/>
      <c r="F181" s="778"/>
      <c r="G181" s="1652">
        <f>SUM(G172:G180)</f>
        <v>1193385113.1199999</v>
      </c>
      <c r="H181" s="1653"/>
      <c r="I181" s="1652">
        <f>SUM(I172:I180)</f>
        <v>2034545668.8800001</v>
      </c>
      <c r="J181" s="1653"/>
      <c r="K181" s="1652">
        <f>SUM(K172:K180)</f>
        <v>3406888453.2499995</v>
      </c>
      <c r="L181"/>
      <c r="M181" s="1652">
        <f>SUM(M172:M180)</f>
        <v>-2409273595.0899987</v>
      </c>
      <c r="N181"/>
      <c r="O181" s="1652">
        <f>SUM(O172:O180)</f>
        <v>997614858.16000009</v>
      </c>
      <c r="P181" s="781" t="s">
        <v>266</v>
      </c>
      <c r="Q181" s="1185"/>
    </row>
    <row r="182" spans="2:17" s="767" customFormat="1" ht="16" thickTop="1">
      <c r="B182" s="782"/>
      <c r="C182" s="769"/>
      <c r="D182" s="781"/>
      <c r="E182" s="778"/>
      <c r="F182" s="778"/>
      <c r="G182" s="794"/>
      <c r="H182" s="1653"/>
      <c r="I182" s="794"/>
      <c r="J182" s="1653"/>
      <c r="K182" s="794"/>
      <c r="L182" s="1653"/>
      <c r="M182" s="1656"/>
      <c r="N182" s="1653"/>
      <c r="O182" s="794"/>
      <c r="P182" s="844"/>
      <c r="Q182" s="1185"/>
    </row>
    <row r="183" spans="2:17" s="767" customFormat="1" ht="15.5">
      <c r="B183" s="784"/>
      <c r="C183" s="769"/>
      <c r="D183" s="770" t="s">
        <v>1231</v>
      </c>
      <c r="E183" s="778"/>
      <c r="F183" s="778"/>
      <c r="G183" s="680"/>
      <c r="H183" s="1655"/>
      <c r="I183" s="680"/>
      <c r="J183" s="1655"/>
      <c r="K183" s="680"/>
      <c r="L183" s="1655"/>
      <c r="M183" s="1656"/>
      <c r="N183" s="1653"/>
      <c r="O183" s="680"/>
      <c r="P183" s="790"/>
      <c r="Q183" s="1185"/>
    </row>
    <row r="184" spans="2:17" s="767" customFormat="1" ht="15.5">
      <c r="B184" s="773">
        <v>60201</v>
      </c>
      <c r="C184" s="769"/>
      <c r="D184" s="779" t="s">
        <v>1232</v>
      </c>
      <c r="E184" s="778"/>
      <c r="F184" s="778"/>
      <c r="G184" s="432">
        <v>0</v>
      </c>
      <c r="H184" s="432"/>
      <c r="I184" s="432">
        <v>129179519.31</v>
      </c>
      <c r="J184" s="432"/>
      <c r="K184" s="432">
        <v>319535940.30000001</v>
      </c>
      <c r="L184" s="432"/>
      <c r="M184" s="432">
        <f t="shared" ref="M184:M185" si="10">O184-K184</f>
        <v>-285629254.31</v>
      </c>
      <c r="N184" s="432"/>
      <c r="O184" s="432">
        <v>33906685.990000002</v>
      </c>
      <c r="P184" s="790"/>
      <c r="Q184" s="1185"/>
    </row>
    <row r="185" spans="2:17" s="767" customFormat="1" ht="15.5">
      <c r="B185" s="773">
        <v>60901</v>
      </c>
      <c r="C185" s="780"/>
      <c r="D185" s="774" t="s">
        <v>1233</v>
      </c>
      <c r="E185" s="781"/>
      <c r="F185" s="781"/>
      <c r="G185" s="432">
        <v>0</v>
      </c>
      <c r="H185" s="432"/>
      <c r="I185" s="432">
        <v>0</v>
      </c>
      <c r="J185" s="432"/>
      <c r="K185" s="432">
        <v>0</v>
      </c>
      <c r="L185" s="432"/>
      <c r="M185" s="432">
        <f t="shared" si="10"/>
        <v>0</v>
      </c>
      <c r="N185" s="432"/>
      <c r="O185" s="432">
        <v>0</v>
      </c>
      <c r="P185" s="790"/>
      <c r="Q185" s="1185" t="s">
        <v>103</v>
      </c>
    </row>
    <row r="186" spans="2:17" s="767" customFormat="1" ht="16" thickBot="1">
      <c r="B186" s="790"/>
      <c r="C186" s="769"/>
      <c r="D186" s="770" t="s">
        <v>1234</v>
      </c>
      <c r="E186" s="778"/>
      <c r="F186" s="778"/>
      <c r="G186" s="1169">
        <f>SUM(G184:G185)</f>
        <v>0</v>
      </c>
      <c r="H186" s="1653"/>
      <c r="I186" s="1169">
        <f>SUM(I184:I185)</f>
        <v>129179519.31</v>
      </c>
      <c r="J186" s="1653"/>
      <c r="K186" s="1169">
        <f>SUM(K184:K185)</f>
        <v>319535940.30000001</v>
      </c>
      <c r="L186" s="1653"/>
      <c r="M186" s="1169">
        <f>SUM(M184:M185)</f>
        <v>-285629254.31</v>
      </c>
      <c r="N186" s="1653"/>
      <c r="O186" s="1169">
        <f>SUM(O184:O185)</f>
        <v>33906685.990000002</v>
      </c>
      <c r="P186" s="776"/>
      <c r="Q186" s="1185"/>
    </row>
    <row r="187" spans="2:17" s="767" customFormat="1" ht="16" thickTop="1">
      <c r="B187" s="790"/>
      <c r="C187" s="795"/>
      <c r="D187" s="795"/>
      <c r="E187" s="796"/>
      <c r="F187" s="796"/>
      <c r="G187" s="680"/>
      <c r="H187" s="1655"/>
      <c r="I187" s="680"/>
      <c r="J187" s="1655"/>
      <c r="K187" s="680"/>
      <c r="L187" s="1655"/>
      <c r="M187" s="432"/>
      <c r="N187" s="1655"/>
      <c r="O187" s="680"/>
      <c r="P187" s="776"/>
      <c r="Q187" s="1185"/>
    </row>
    <row r="188" spans="2:17" s="767" customFormat="1" ht="15.5">
      <c r="B188" s="790"/>
      <c r="C188" s="783"/>
      <c r="D188" s="770" t="s">
        <v>1235</v>
      </c>
      <c r="E188" s="787"/>
      <c r="F188" s="787"/>
      <c r="G188" s="680"/>
      <c r="H188" s="1655"/>
      <c r="I188" s="680"/>
      <c r="J188" s="1655"/>
      <c r="K188" s="680"/>
      <c r="L188" s="1655"/>
      <c r="M188" s="1657"/>
      <c r="N188" s="1658"/>
      <c r="O188" s="680"/>
      <c r="P188" s="844"/>
      <c r="Q188" s="1185"/>
    </row>
    <row r="189" spans="2:17" s="767" customFormat="1" ht="15.5">
      <c r="B189" s="773">
        <v>50318</v>
      </c>
      <c r="C189" s="772"/>
      <c r="D189" s="774" t="s">
        <v>1236</v>
      </c>
      <c r="E189" s="772"/>
      <c r="F189" s="772"/>
      <c r="G189" s="432">
        <v>1301946.8899999999</v>
      </c>
      <c r="H189" s="432"/>
      <c r="I189" s="432">
        <v>1294521.08</v>
      </c>
      <c r="J189" s="432"/>
      <c r="K189" s="432">
        <v>1427808.09</v>
      </c>
      <c r="L189" s="432"/>
      <c r="M189" s="432">
        <f t="shared" ref="M189" si="11">O189-K189</f>
        <v>-32307.479999999981</v>
      </c>
      <c r="N189" s="432"/>
      <c r="O189" s="432">
        <v>1395500.61</v>
      </c>
      <c r="P189" s="790"/>
      <c r="Q189" s="1185"/>
    </row>
    <row r="190" spans="2:17" s="767" customFormat="1" ht="15.5">
      <c r="B190" s="773">
        <v>50327</v>
      </c>
      <c r="C190" s="772"/>
      <c r="D190" s="774" t="s">
        <v>1237</v>
      </c>
      <c r="E190" s="772"/>
      <c r="F190" s="772"/>
      <c r="G190" s="432">
        <v>410477.51</v>
      </c>
      <c r="H190" s="432"/>
      <c r="I190" s="432">
        <v>411531.84</v>
      </c>
      <c r="J190" s="432"/>
      <c r="K190" s="432">
        <v>452947.4</v>
      </c>
      <c r="L190" s="432"/>
      <c r="M190" s="432">
        <f t="shared" ref="M190:M191" si="12">O190-K190</f>
        <v>-4115.8600000000442</v>
      </c>
      <c r="N190" s="432"/>
      <c r="O190" s="432">
        <v>448831.54</v>
      </c>
      <c r="P190" s="790"/>
      <c r="Q190" s="1185"/>
    </row>
    <row r="191" spans="2:17" s="767" customFormat="1" ht="15.5">
      <c r="B191" s="773">
        <v>50651</v>
      </c>
      <c r="C191" s="772"/>
      <c r="D191" s="774" t="s">
        <v>1238</v>
      </c>
      <c r="E191" s="772"/>
      <c r="F191" s="772"/>
      <c r="G191" s="432">
        <v>0</v>
      </c>
      <c r="H191" s="432"/>
      <c r="I191" s="432">
        <v>0</v>
      </c>
      <c r="J191" s="432"/>
      <c r="K191" s="432">
        <v>0</v>
      </c>
      <c r="L191" s="432"/>
      <c r="M191" s="432">
        <f t="shared" si="12"/>
        <v>0</v>
      </c>
      <c r="N191" s="432"/>
      <c r="O191" s="432">
        <v>0</v>
      </c>
      <c r="P191" s="790"/>
      <c r="Q191" s="1185"/>
    </row>
    <row r="192" spans="2:17" s="767" customFormat="1" ht="16" thickBot="1">
      <c r="B192" s="785"/>
      <c r="C192" s="769"/>
      <c r="D192" s="777" t="s">
        <v>1239</v>
      </c>
      <c r="E192" s="771"/>
      <c r="F192" s="771"/>
      <c r="G192" s="1659">
        <f>SUM(G189:G191)</f>
        <v>1712424.4</v>
      </c>
      <c r="H192" s="1653"/>
      <c r="I192" s="1659">
        <f>SUM(I189:I191)</f>
        <v>1706052.9200000002</v>
      </c>
      <c r="J192" s="1653"/>
      <c r="K192" s="1659">
        <f>SUM(K189:K191)</f>
        <v>1880755.4900000002</v>
      </c>
      <c r="L192" s="1653"/>
      <c r="M192" s="1659">
        <f>SUM(M189:M191)</f>
        <v>-36423.340000000026</v>
      </c>
      <c r="N192" s="1653"/>
      <c r="O192" s="1659">
        <f>SUM(O189:O191)</f>
        <v>1844332.1500000001</v>
      </c>
      <c r="P192" s="785"/>
      <c r="Q192" s="1185"/>
    </row>
    <row r="193" spans="2:17" s="767" customFormat="1" ht="16" thickTop="1">
      <c r="B193" s="772"/>
      <c r="C193" s="772"/>
      <c r="D193" s="797"/>
      <c r="E193" s="772"/>
      <c r="F193" s="772"/>
      <c r="G193" s="680"/>
      <c r="H193" s="1660"/>
      <c r="I193" s="680"/>
      <c r="J193" s="1660"/>
      <c r="K193" s="680"/>
      <c r="L193" s="1660"/>
      <c r="M193" s="1660"/>
      <c r="N193" s="1660"/>
      <c r="O193" s="680"/>
      <c r="P193" s="785"/>
      <c r="Q193" s="1185"/>
    </row>
    <row r="194" spans="2:17" s="767" customFormat="1" ht="15.5">
      <c r="B194" s="768"/>
      <c r="C194" s="769"/>
      <c r="D194" s="770" t="s">
        <v>595</v>
      </c>
      <c r="E194" s="771"/>
      <c r="F194" s="771"/>
      <c r="G194" s="915"/>
      <c r="H194" s="1655"/>
      <c r="I194" s="915"/>
      <c r="J194" s="1655"/>
      <c r="K194" s="915"/>
      <c r="L194" s="1655"/>
      <c r="M194" s="1653"/>
      <c r="N194" s="1653"/>
      <c r="O194" s="915"/>
      <c r="P194" s="772"/>
      <c r="Q194" s="1185"/>
    </row>
    <row r="195" spans="2:17" s="767" customFormat="1" ht="15.5">
      <c r="B195" s="773">
        <v>55001</v>
      </c>
      <c r="C195" s="772"/>
      <c r="D195" s="774" t="s">
        <v>1240</v>
      </c>
      <c r="E195" s="772"/>
      <c r="F195" s="772"/>
      <c r="G195" s="432">
        <v>0</v>
      </c>
      <c r="H195" s="432"/>
      <c r="I195" s="432">
        <v>0</v>
      </c>
      <c r="J195" s="432"/>
      <c r="K195" s="432">
        <v>0</v>
      </c>
      <c r="L195" s="432"/>
      <c r="M195" s="432">
        <f t="shared" ref="M195" si="13">O195-K195</f>
        <v>0</v>
      </c>
      <c r="N195" s="432"/>
      <c r="O195" s="432">
        <v>0</v>
      </c>
      <c r="P195" s="776"/>
      <c r="Q195" s="1185"/>
    </row>
    <row r="196" spans="2:17" s="767" customFormat="1" ht="15.5">
      <c r="B196" s="773">
        <v>55002</v>
      </c>
      <c r="C196" s="772"/>
      <c r="D196" s="774" t="s">
        <v>1439</v>
      </c>
      <c r="E196" s="772"/>
      <c r="F196" s="772"/>
      <c r="G196" s="432">
        <v>0</v>
      </c>
      <c r="H196" s="432"/>
      <c r="I196" s="432">
        <v>0</v>
      </c>
      <c r="J196" s="432"/>
      <c r="K196" s="432">
        <v>0</v>
      </c>
      <c r="L196" s="432"/>
      <c r="M196" s="432">
        <f t="shared" ref="M196:M235" si="14">O196-K196</f>
        <v>0</v>
      </c>
      <c r="N196" s="432"/>
      <c r="O196" s="432">
        <v>0</v>
      </c>
      <c r="P196" s="776"/>
      <c r="Q196" s="1185"/>
    </row>
    <row r="197" spans="2:17" s="767" customFormat="1" ht="15.5">
      <c r="B197" s="773">
        <v>55003</v>
      </c>
      <c r="C197" s="780"/>
      <c r="D197" s="774" t="s">
        <v>1241</v>
      </c>
      <c r="E197" s="781"/>
      <c r="F197" s="781"/>
      <c r="G197" s="432">
        <v>0</v>
      </c>
      <c r="H197" s="432"/>
      <c r="I197" s="432">
        <v>0</v>
      </c>
      <c r="J197" s="432"/>
      <c r="K197" s="432">
        <v>0</v>
      </c>
      <c r="L197" s="432"/>
      <c r="M197" s="432">
        <f t="shared" si="14"/>
        <v>0</v>
      </c>
      <c r="N197" s="432"/>
      <c r="O197" s="432">
        <v>0</v>
      </c>
      <c r="P197" s="776"/>
      <c r="Q197" s="1185"/>
    </row>
    <row r="198" spans="2:17" s="767" customFormat="1" ht="15.5">
      <c r="B198" s="773">
        <v>55004</v>
      </c>
      <c r="C198" s="780"/>
      <c r="D198" s="779" t="s">
        <v>1242</v>
      </c>
      <c r="E198" s="781"/>
      <c r="F198" s="781"/>
      <c r="G198" s="432">
        <v>540357.09</v>
      </c>
      <c r="H198" s="432"/>
      <c r="I198" s="432">
        <v>710034.15</v>
      </c>
      <c r="J198" s="432"/>
      <c r="K198" s="432">
        <v>1056915.8400000001</v>
      </c>
      <c r="L198" s="432"/>
      <c r="M198" s="432">
        <f t="shared" si="14"/>
        <v>-310064.85000000009</v>
      </c>
      <c r="N198" s="432"/>
      <c r="O198" s="432">
        <v>746850.99</v>
      </c>
      <c r="P198" s="776"/>
      <c r="Q198" s="1185"/>
    </row>
    <row r="199" spans="2:17" s="767" customFormat="1" ht="15.5">
      <c r="B199" s="773">
        <v>55005</v>
      </c>
      <c r="C199" s="780"/>
      <c r="D199" s="779" t="s">
        <v>1243</v>
      </c>
      <c r="E199" s="781"/>
      <c r="F199" s="781"/>
      <c r="G199" s="432">
        <v>0</v>
      </c>
      <c r="H199" s="432"/>
      <c r="I199" s="432">
        <v>0</v>
      </c>
      <c r="J199" s="432"/>
      <c r="K199" s="432">
        <v>0</v>
      </c>
      <c r="L199" s="432"/>
      <c r="M199" s="432">
        <f t="shared" si="14"/>
        <v>0</v>
      </c>
      <c r="N199" s="432"/>
      <c r="O199" s="432">
        <v>0</v>
      </c>
      <c r="P199" s="776"/>
      <c r="Q199" s="1185"/>
    </row>
    <row r="200" spans="2:17" s="767" customFormat="1" ht="15.5">
      <c r="B200" s="773">
        <v>55006</v>
      </c>
      <c r="C200" s="780"/>
      <c r="D200" s="774" t="s">
        <v>1440</v>
      </c>
      <c r="E200" s="781"/>
      <c r="F200" s="781"/>
      <c r="G200" s="432">
        <v>60914.65</v>
      </c>
      <c r="H200" s="432"/>
      <c r="I200" s="432">
        <v>60776.17</v>
      </c>
      <c r="J200" s="432"/>
      <c r="K200" s="432">
        <v>51178.17</v>
      </c>
      <c r="L200" s="432"/>
      <c r="M200" s="432">
        <f t="shared" si="14"/>
        <v>14948.059999999998</v>
      </c>
      <c r="N200" s="432"/>
      <c r="O200" s="432">
        <v>66126.23</v>
      </c>
      <c r="P200" s="776"/>
      <c r="Q200" s="1185"/>
    </row>
    <row r="201" spans="2:17" s="767" customFormat="1" ht="15.5">
      <c r="B201" s="773">
        <v>55007</v>
      </c>
      <c r="C201" s="788"/>
      <c r="D201" s="774" t="s">
        <v>1244</v>
      </c>
      <c r="E201" s="789"/>
      <c r="F201" s="789"/>
      <c r="G201" s="432">
        <v>5051762.33</v>
      </c>
      <c r="H201" s="432"/>
      <c r="I201" s="432">
        <v>4875074.91</v>
      </c>
      <c r="J201" s="432"/>
      <c r="K201" s="432">
        <v>4716099.6500000004</v>
      </c>
      <c r="L201" s="432"/>
      <c r="M201" s="432">
        <f t="shared" si="14"/>
        <v>-251663.66000000015</v>
      </c>
      <c r="N201" s="432"/>
      <c r="O201" s="432">
        <v>4464435.99</v>
      </c>
      <c r="P201" s="776"/>
      <c r="Q201" s="1185"/>
    </row>
    <row r="202" spans="2:17" s="767" customFormat="1" ht="15.5">
      <c r="B202" s="773">
        <v>55008</v>
      </c>
      <c r="C202" s="780"/>
      <c r="D202" s="779" t="s">
        <v>1245</v>
      </c>
      <c r="E202" s="781"/>
      <c r="F202" s="781"/>
      <c r="G202" s="432">
        <v>5468049.8099999996</v>
      </c>
      <c r="H202" s="432"/>
      <c r="I202" s="432">
        <v>1199791.8700000001</v>
      </c>
      <c r="J202" s="432"/>
      <c r="K202" s="432">
        <v>11190441.76</v>
      </c>
      <c r="L202" s="432"/>
      <c r="M202" s="432">
        <f t="shared" si="14"/>
        <v>-4764474.91</v>
      </c>
      <c r="N202" s="432"/>
      <c r="O202" s="432">
        <v>6425966.8499999996</v>
      </c>
      <c r="P202" s="785"/>
      <c r="Q202" s="1185"/>
    </row>
    <row r="203" spans="2:17" s="767" customFormat="1" ht="15.5">
      <c r="B203" s="773">
        <v>55009</v>
      </c>
      <c r="C203" s="780"/>
      <c r="D203" s="779" t="s">
        <v>1246</v>
      </c>
      <c r="E203" s="781"/>
      <c r="F203" s="781"/>
      <c r="G203" s="432">
        <v>0</v>
      </c>
      <c r="H203" s="432"/>
      <c r="I203" s="432">
        <v>0</v>
      </c>
      <c r="J203" s="432"/>
      <c r="K203" s="432">
        <v>0</v>
      </c>
      <c r="L203" s="432"/>
      <c r="M203" s="432">
        <f t="shared" si="14"/>
        <v>0</v>
      </c>
      <c r="N203" s="432"/>
      <c r="O203" s="432">
        <v>0</v>
      </c>
      <c r="P203" s="785"/>
      <c r="Q203" s="1185"/>
    </row>
    <row r="204" spans="2:17" s="767" customFormat="1" ht="15.5">
      <c r="B204" s="755">
        <v>55010</v>
      </c>
      <c r="C204" s="780"/>
      <c r="D204" s="774" t="s">
        <v>1247</v>
      </c>
      <c r="E204" s="781"/>
      <c r="F204" s="781"/>
      <c r="G204" s="432">
        <v>0</v>
      </c>
      <c r="H204" s="432"/>
      <c r="I204" s="432">
        <v>0</v>
      </c>
      <c r="J204" s="432"/>
      <c r="K204" s="432">
        <v>0</v>
      </c>
      <c r="L204" s="432"/>
      <c r="M204" s="432">
        <f t="shared" si="14"/>
        <v>0</v>
      </c>
      <c r="N204" s="432"/>
      <c r="O204" s="432">
        <v>0</v>
      </c>
      <c r="P204" s="772"/>
      <c r="Q204" s="1185"/>
    </row>
    <row r="205" spans="2:17" s="767" customFormat="1" ht="15.5">
      <c r="B205" s="773">
        <v>55011</v>
      </c>
      <c r="C205" s="788"/>
      <c r="D205" s="774" t="s">
        <v>1248</v>
      </c>
      <c r="E205" s="789"/>
      <c r="F205" s="789"/>
      <c r="G205" s="432">
        <v>0</v>
      </c>
      <c r="H205" s="432"/>
      <c r="I205" s="432">
        <v>0</v>
      </c>
      <c r="J205" s="432"/>
      <c r="K205" s="432">
        <v>0</v>
      </c>
      <c r="L205" s="432"/>
      <c r="M205" s="432">
        <f t="shared" si="14"/>
        <v>1784312.12</v>
      </c>
      <c r="N205" s="432"/>
      <c r="O205" s="432">
        <v>1784312.12</v>
      </c>
      <c r="P205" s="776"/>
      <c r="Q205" s="1185"/>
    </row>
    <row r="206" spans="2:17" s="767" customFormat="1" ht="15.5">
      <c r="B206" s="773">
        <v>55012</v>
      </c>
      <c r="C206" s="780"/>
      <c r="D206" s="779" t="s">
        <v>1249</v>
      </c>
      <c r="E206" s="781"/>
      <c r="F206" s="781"/>
      <c r="G206" s="432">
        <v>337723.3</v>
      </c>
      <c r="H206" s="432"/>
      <c r="I206" s="432">
        <v>319707.18</v>
      </c>
      <c r="J206" s="432"/>
      <c r="K206" s="432">
        <v>352731.18</v>
      </c>
      <c r="L206" s="432"/>
      <c r="M206" s="432">
        <f t="shared" si="14"/>
        <v>-22151</v>
      </c>
      <c r="N206" s="432"/>
      <c r="O206" s="432">
        <v>330580.18</v>
      </c>
      <c r="P206" s="776"/>
      <c r="Q206" s="1185"/>
    </row>
    <row r="207" spans="2:17" s="767" customFormat="1" ht="15.5">
      <c r="B207" s="773">
        <v>55013</v>
      </c>
      <c r="C207" s="780"/>
      <c r="D207" s="779" t="s">
        <v>1250</v>
      </c>
      <c r="E207" s="781"/>
      <c r="F207" s="781"/>
      <c r="G207" s="432">
        <v>0</v>
      </c>
      <c r="H207" s="432"/>
      <c r="I207" s="432">
        <v>0</v>
      </c>
      <c r="J207" s="432"/>
      <c r="K207" s="432">
        <v>0</v>
      </c>
      <c r="L207" s="432"/>
      <c r="M207" s="432">
        <f t="shared" si="14"/>
        <v>0</v>
      </c>
      <c r="N207" s="432"/>
      <c r="O207" s="432">
        <v>0</v>
      </c>
      <c r="P207" s="776"/>
      <c r="Q207" s="1185"/>
    </row>
    <row r="208" spans="2:17" s="767" customFormat="1" ht="15.5">
      <c r="B208" s="773">
        <v>55014</v>
      </c>
      <c r="C208" s="780"/>
      <c r="D208" s="779" t="s">
        <v>1251</v>
      </c>
      <c r="E208" s="781"/>
      <c r="F208" s="781"/>
      <c r="G208" s="432">
        <v>0</v>
      </c>
      <c r="H208" s="432"/>
      <c r="I208" s="432">
        <v>0</v>
      </c>
      <c r="J208" s="432"/>
      <c r="K208" s="432">
        <v>0</v>
      </c>
      <c r="L208" s="432"/>
      <c r="M208" s="432">
        <f t="shared" si="14"/>
        <v>26861.18</v>
      </c>
      <c r="N208" s="432"/>
      <c r="O208" s="432">
        <v>26861.18</v>
      </c>
      <c r="P208" s="776"/>
      <c r="Q208" s="1185"/>
    </row>
    <row r="209" spans="2:17" s="767" customFormat="1" ht="15.5">
      <c r="B209" s="773">
        <v>55015</v>
      </c>
      <c r="C209" s="780"/>
      <c r="D209" s="779" t="s">
        <v>1252</v>
      </c>
      <c r="E209" s="781"/>
      <c r="F209" s="781"/>
      <c r="G209" s="432">
        <v>0</v>
      </c>
      <c r="H209" s="432"/>
      <c r="I209" s="432">
        <v>0</v>
      </c>
      <c r="J209" s="432"/>
      <c r="K209" s="432">
        <v>0</v>
      </c>
      <c r="L209" s="432"/>
      <c r="M209" s="432">
        <f t="shared" si="14"/>
        <v>0</v>
      </c>
      <c r="N209" s="432"/>
      <c r="O209" s="432">
        <v>0</v>
      </c>
      <c r="P209" s="776"/>
      <c r="Q209" s="1185"/>
    </row>
    <row r="210" spans="2:17" s="767" customFormat="1" ht="15.5">
      <c r="B210" s="773">
        <v>55016</v>
      </c>
      <c r="C210" s="780"/>
      <c r="D210" s="774" t="s">
        <v>1253</v>
      </c>
      <c r="E210" s="781"/>
      <c r="F210" s="781"/>
      <c r="G210" s="432">
        <v>205047.77</v>
      </c>
      <c r="H210" s="432"/>
      <c r="I210" s="432">
        <v>62113.38</v>
      </c>
      <c r="J210" s="432"/>
      <c r="K210" s="432">
        <v>0</v>
      </c>
      <c r="L210" s="432"/>
      <c r="M210" s="432">
        <f t="shared" si="14"/>
        <v>0</v>
      </c>
      <c r="N210" s="432"/>
      <c r="O210" s="432">
        <v>0</v>
      </c>
      <c r="P210" s="776"/>
      <c r="Q210" s="1185"/>
    </row>
    <row r="211" spans="2:17" s="767" customFormat="1" ht="15.5">
      <c r="B211" s="773">
        <v>55017</v>
      </c>
      <c r="C211" s="780"/>
      <c r="D211" s="774" t="s">
        <v>1254</v>
      </c>
      <c r="E211" s="781"/>
      <c r="F211" s="781"/>
      <c r="G211" s="432">
        <v>854510.14</v>
      </c>
      <c r="H211" s="432"/>
      <c r="I211" s="432">
        <v>1003108.9</v>
      </c>
      <c r="J211" s="432"/>
      <c r="K211" s="432">
        <v>1087950.1200000001</v>
      </c>
      <c r="L211" s="432"/>
      <c r="M211" s="432">
        <f t="shared" si="14"/>
        <v>224254.37999999989</v>
      </c>
      <c r="N211" s="432"/>
      <c r="O211" s="432">
        <v>1312204.5</v>
      </c>
      <c r="P211" s="776"/>
      <c r="Q211" s="1185"/>
    </row>
    <row r="212" spans="2:17" s="767" customFormat="1" ht="15.5">
      <c r="B212" s="773">
        <v>55018</v>
      </c>
      <c r="C212" s="780"/>
      <c r="D212" s="774" t="s">
        <v>1255</v>
      </c>
      <c r="E212" s="781"/>
      <c r="F212" s="781"/>
      <c r="G212" s="432">
        <v>0</v>
      </c>
      <c r="H212" s="432"/>
      <c r="I212" s="432">
        <v>0</v>
      </c>
      <c r="J212" s="432"/>
      <c r="K212" s="432">
        <v>0</v>
      </c>
      <c r="L212" s="432"/>
      <c r="M212" s="432">
        <f t="shared" si="14"/>
        <v>0</v>
      </c>
      <c r="N212" s="432"/>
      <c r="O212" s="432">
        <v>0</v>
      </c>
      <c r="P212" s="776"/>
      <c r="Q212" s="1185"/>
    </row>
    <row r="213" spans="2:17" s="767" customFormat="1" ht="15.5">
      <c r="B213" s="773">
        <v>55019</v>
      </c>
      <c r="C213" s="780"/>
      <c r="D213" s="774" t="s">
        <v>1256</v>
      </c>
      <c r="E213" s="781"/>
      <c r="F213" s="781"/>
      <c r="G213" s="432">
        <v>0</v>
      </c>
      <c r="H213" s="432"/>
      <c r="I213" s="432">
        <v>0</v>
      </c>
      <c r="J213" s="432"/>
      <c r="K213" s="432">
        <v>0</v>
      </c>
      <c r="L213" s="432"/>
      <c r="M213" s="432">
        <f t="shared" si="14"/>
        <v>0</v>
      </c>
      <c r="N213" s="432"/>
      <c r="O213" s="432">
        <v>0</v>
      </c>
      <c r="P213" s="776"/>
      <c r="Q213" s="1185"/>
    </row>
    <row r="214" spans="2:17" s="767" customFormat="1" ht="15.5">
      <c r="B214" s="773">
        <v>55020</v>
      </c>
      <c r="C214" s="780"/>
      <c r="D214" s="774" t="s">
        <v>1257</v>
      </c>
      <c r="E214" s="781"/>
      <c r="F214" s="781"/>
      <c r="G214" s="432">
        <v>13557614.68</v>
      </c>
      <c r="H214" s="432"/>
      <c r="I214" s="432">
        <v>12623526.16</v>
      </c>
      <c r="J214" s="432"/>
      <c r="K214" s="432">
        <v>24364148.050000001</v>
      </c>
      <c r="L214" s="432"/>
      <c r="M214" s="432">
        <f t="shared" si="14"/>
        <v>-3013387.3000000007</v>
      </c>
      <c r="N214" s="432"/>
      <c r="O214" s="432">
        <v>21350760.75</v>
      </c>
      <c r="P214" s="776"/>
      <c r="Q214" s="1185"/>
    </row>
    <row r="215" spans="2:17" s="767" customFormat="1" ht="15.5">
      <c r="B215" s="773">
        <v>55021</v>
      </c>
      <c r="C215" s="780"/>
      <c r="D215" s="774" t="s">
        <v>1258</v>
      </c>
      <c r="E215" s="781"/>
      <c r="F215" s="781"/>
      <c r="G215" s="432">
        <v>9265377.8000000007</v>
      </c>
      <c r="H215" s="432"/>
      <c r="I215" s="432">
        <v>9153374.5899999999</v>
      </c>
      <c r="J215" s="432"/>
      <c r="K215" s="432">
        <v>9980131.5999999996</v>
      </c>
      <c r="L215" s="432"/>
      <c r="M215" s="432">
        <f t="shared" si="14"/>
        <v>31772.88000000082</v>
      </c>
      <c r="N215" s="432"/>
      <c r="O215" s="432">
        <v>10011904.48</v>
      </c>
      <c r="P215" s="776"/>
      <c r="Q215" s="1185"/>
    </row>
    <row r="216" spans="2:17" s="767" customFormat="1" ht="15.5">
      <c r="B216" s="773">
        <v>55022</v>
      </c>
      <c r="C216" s="780"/>
      <c r="D216" s="779" t="s">
        <v>1259</v>
      </c>
      <c r="E216" s="781"/>
      <c r="F216" s="781"/>
      <c r="G216" s="432">
        <v>6873895.7000000002</v>
      </c>
      <c r="H216" s="432"/>
      <c r="I216" s="432">
        <v>9468895.4600000009</v>
      </c>
      <c r="J216" s="432"/>
      <c r="K216" s="432">
        <v>0</v>
      </c>
      <c r="L216" s="432"/>
      <c r="M216" s="432">
        <f t="shared" si="14"/>
        <v>0</v>
      </c>
      <c r="N216" s="432"/>
      <c r="O216" s="432">
        <v>0</v>
      </c>
      <c r="P216" s="776"/>
      <c r="Q216" s="1185"/>
    </row>
    <row r="217" spans="2:17" s="767" customFormat="1" ht="15.5">
      <c r="B217" s="773">
        <v>55052</v>
      </c>
      <c r="C217" s="780"/>
      <c r="D217" s="779" t="s">
        <v>1260</v>
      </c>
      <c r="E217" s="781"/>
      <c r="F217" s="781"/>
      <c r="G217" s="432">
        <v>2537142.83</v>
      </c>
      <c r="H217" s="432"/>
      <c r="I217" s="432">
        <v>2336122.67</v>
      </c>
      <c r="J217" s="432"/>
      <c r="K217" s="432">
        <v>2301729.9500000002</v>
      </c>
      <c r="L217" s="432"/>
      <c r="M217" s="432">
        <f t="shared" si="14"/>
        <v>-8536.0100000002421</v>
      </c>
      <c r="N217" s="432"/>
      <c r="O217" s="432">
        <v>2293193.94</v>
      </c>
      <c r="P217" s="776"/>
      <c r="Q217" s="1185"/>
    </row>
    <row r="218" spans="2:17" s="767" customFormat="1" ht="15.5">
      <c r="B218" s="773">
        <v>55053</v>
      </c>
      <c r="C218" s="780"/>
      <c r="D218" s="774" t="s">
        <v>1261</v>
      </c>
      <c r="E218" s="781"/>
      <c r="F218" s="781"/>
      <c r="G218" s="432">
        <v>0</v>
      </c>
      <c r="H218" s="432"/>
      <c r="I218" s="432">
        <v>0</v>
      </c>
      <c r="J218" s="432"/>
      <c r="K218" s="432">
        <v>0</v>
      </c>
      <c r="L218" s="432"/>
      <c r="M218" s="432">
        <f t="shared" si="14"/>
        <v>0</v>
      </c>
      <c r="N218" s="432"/>
      <c r="O218" s="432">
        <v>0</v>
      </c>
      <c r="P218" s="776"/>
      <c r="Q218" s="1185"/>
    </row>
    <row r="219" spans="2:17" s="767" customFormat="1" ht="15.5">
      <c r="B219" s="773">
        <v>55055</v>
      </c>
      <c r="C219" s="780"/>
      <c r="D219" s="774" t="s">
        <v>1262</v>
      </c>
      <c r="E219" s="781"/>
      <c r="F219" s="781"/>
      <c r="G219" s="432">
        <v>0</v>
      </c>
      <c r="H219" s="432"/>
      <c r="I219" s="432">
        <v>0</v>
      </c>
      <c r="J219" s="432"/>
      <c r="K219" s="432">
        <v>0</v>
      </c>
      <c r="L219" s="432"/>
      <c r="M219" s="432">
        <f t="shared" si="14"/>
        <v>0</v>
      </c>
      <c r="N219" s="432"/>
      <c r="O219" s="432">
        <v>0</v>
      </c>
      <c r="P219" s="776"/>
      <c r="Q219" s="1185"/>
    </row>
    <row r="220" spans="2:17" s="767" customFormat="1" ht="15.5">
      <c r="B220" s="773">
        <v>55057</v>
      </c>
      <c r="C220" s="780"/>
      <c r="D220" s="774" t="s">
        <v>1263</v>
      </c>
      <c r="E220" s="781"/>
      <c r="F220" s="781"/>
      <c r="G220" s="432">
        <v>16562.78</v>
      </c>
      <c r="H220" s="432"/>
      <c r="I220" s="432">
        <v>5492.62</v>
      </c>
      <c r="J220" s="432"/>
      <c r="K220" s="432">
        <v>113315.33</v>
      </c>
      <c r="L220" s="432"/>
      <c r="M220" s="432">
        <f t="shared" si="14"/>
        <v>-101003.32</v>
      </c>
      <c r="N220" s="432"/>
      <c r="O220" s="432">
        <v>12312.01</v>
      </c>
      <c r="P220" s="776"/>
      <c r="Q220" s="1185"/>
    </row>
    <row r="221" spans="2:17" s="767" customFormat="1" ht="15.5">
      <c r="B221" s="773">
        <v>55058</v>
      </c>
      <c r="C221" s="780"/>
      <c r="D221" s="774" t="s">
        <v>1264</v>
      </c>
      <c r="E221" s="781"/>
      <c r="F221" s="781"/>
      <c r="G221" s="432">
        <v>5597089.0300000003</v>
      </c>
      <c r="H221" s="432"/>
      <c r="I221" s="432">
        <v>5712644.75</v>
      </c>
      <c r="J221" s="432"/>
      <c r="K221" s="432">
        <v>6224270.1699999999</v>
      </c>
      <c r="L221" s="432"/>
      <c r="M221" s="432">
        <f t="shared" si="14"/>
        <v>357479.06000000052</v>
      </c>
      <c r="N221" s="432"/>
      <c r="O221" s="432">
        <v>6581749.2300000004</v>
      </c>
      <c r="P221" s="776"/>
      <c r="Q221" s="1185"/>
    </row>
    <row r="222" spans="2:17" s="767" customFormat="1" ht="15.5">
      <c r="B222" s="773">
        <v>55059</v>
      </c>
      <c r="C222" s="780"/>
      <c r="D222" s="774" t="s">
        <v>1265</v>
      </c>
      <c r="E222" s="781"/>
      <c r="F222" s="781"/>
      <c r="G222" s="432">
        <v>0</v>
      </c>
      <c r="H222" s="432"/>
      <c r="I222" s="432">
        <v>0</v>
      </c>
      <c r="J222" s="432"/>
      <c r="K222" s="432">
        <v>0</v>
      </c>
      <c r="L222" s="432"/>
      <c r="M222" s="432">
        <f t="shared" si="14"/>
        <v>0</v>
      </c>
      <c r="N222" s="432"/>
      <c r="O222" s="432">
        <v>0</v>
      </c>
      <c r="P222" s="776"/>
      <c r="Q222" s="1185"/>
    </row>
    <row r="223" spans="2:17" s="767" customFormat="1" ht="15.5">
      <c r="B223" s="773">
        <v>55060</v>
      </c>
      <c r="C223" s="780"/>
      <c r="D223" s="779" t="s">
        <v>1266</v>
      </c>
      <c r="E223" s="781"/>
      <c r="F223" s="781"/>
      <c r="G223" s="432">
        <v>1452521.56</v>
      </c>
      <c r="H223" s="432"/>
      <c r="I223" s="432">
        <v>3246877.16</v>
      </c>
      <c r="J223" s="432"/>
      <c r="K223" s="432">
        <v>3200525.62</v>
      </c>
      <c r="L223" s="432"/>
      <c r="M223" s="432">
        <f t="shared" si="14"/>
        <v>3009911.58</v>
      </c>
      <c r="N223" s="432"/>
      <c r="O223" s="432">
        <v>6210437.2000000002</v>
      </c>
      <c r="P223" s="776"/>
      <c r="Q223" s="1185"/>
    </row>
    <row r="224" spans="2:17" s="767" customFormat="1" ht="15.5">
      <c r="B224" s="773">
        <v>55062</v>
      </c>
      <c r="C224" s="780"/>
      <c r="D224" s="774" t="s">
        <v>1267</v>
      </c>
      <c r="E224" s="781"/>
      <c r="F224" s="781"/>
      <c r="G224" s="432">
        <v>29872137.460000001</v>
      </c>
      <c r="H224" s="432"/>
      <c r="I224" s="432">
        <v>29452584.469999999</v>
      </c>
      <c r="J224" s="432"/>
      <c r="K224" s="432">
        <v>29452584.469999999</v>
      </c>
      <c r="L224" s="432"/>
      <c r="M224" s="432">
        <f t="shared" si="14"/>
        <v>0</v>
      </c>
      <c r="N224" s="432"/>
      <c r="O224" s="432">
        <v>29452584.469999999</v>
      </c>
      <c r="P224" s="776"/>
      <c r="Q224" s="1185"/>
    </row>
    <row r="225" spans="2:17" s="767" customFormat="1" ht="15.5">
      <c r="B225" s="773">
        <v>55066</v>
      </c>
      <c r="C225" s="780"/>
      <c r="D225" s="774" t="s">
        <v>1268</v>
      </c>
      <c r="E225" s="781"/>
      <c r="F225" s="781"/>
      <c r="G225" s="432">
        <v>0</v>
      </c>
      <c r="H225" s="432"/>
      <c r="I225" s="432">
        <v>0</v>
      </c>
      <c r="J225" s="432"/>
      <c r="K225" s="432">
        <v>0</v>
      </c>
      <c r="L225" s="432"/>
      <c r="M225" s="432">
        <f t="shared" si="14"/>
        <v>0</v>
      </c>
      <c r="N225" s="432"/>
      <c r="O225" s="432">
        <v>0</v>
      </c>
      <c r="P225" s="776"/>
      <c r="Q225" s="1185"/>
    </row>
    <row r="226" spans="2:17" s="767" customFormat="1" ht="15.5">
      <c r="B226" s="773">
        <v>55067</v>
      </c>
      <c r="C226" s="780"/>
      <c r="D226" s="774" t="s">
        <v>1269</v>
      </c>
      <c r="E226" s="781"/>
      <c r="F226" s="781"/>
      <c r="G226" s="432">
        <v>750027.72</v>
      </c>
      <c r="H226" s="432"/>
      <c r="I226" s="432">
        <v>621395.78</v>
      </c>
      <c r="J226" s="432"/>
      <c r="K226" s="432">
        <v>658943.15</v>
      </c>
      <c r="L226" s="432"/>
      <c r="M226" s="432">
        <f t="shared" si="14"/>
        <v>1338.5</v>
      </c>
      <c r="N226" s="432"/>
      <c r="O226" s="432">
        <v>660281.65</v>
      </c>
      <c r="P226" s="776"/>
      <c r="Q226" s="1185"/>
    </row>
    <row r="227" spans="2:17" s="767" customFormat="1" ht="15.5">
      <c r="B227" s="773">
        <v>55069</v>
      </c>
      <c r="C227" s="780"/>
      <c r="D227" s="774" t="s">
        <v>1270</v>
      </c>
      <c r="E227" s="781"/>
      <c r="F227" s="781"/>
      <c r="G227" s="432">
        <v>0</v>
      </c>
      <c r="H227" s="432"/>
      <c r="I227" s="432">
        <v>0</v>
      </c>
      <c r="J227" s="432"/>
      <c r="K227" s="432">
        <v>0</v>
      </c>
      <c r="L227" s="432"/>
      <c r="M227" s="432">
        <f t="shared" si="14"/>
        <v>0</v>
      </c>
      <c r="N227" s="432"/>
      <c r="O227" s="432">
        <v>0</v>
      </c>
      <c r="P227" s="776"/>
      <c r="Q227" s="1185"/>
    </row>
    <row r="228" spans="2:17" s="767" customFormat="1" ht="15.5">
      <c r="B228" s="790">
        <v>55071</v>
      </c>
      <c r="C228" s="780"/>
      <c r="D228" s="774" t="s">
        <v>1271</v>
      </c>
      <c r="E228" s="781"/>
      <c r="F228" s="781"/>
      <c r="G228" s="432">
        <v>279265.91999999998</v>
      </c>
      <c r="H228" s="432"/>
      <c r="I228" s="432">
        <v>374641.74</v>
      </c>
      <c r="J228" s="432"/>
      <c r="K228" s="432">
        <v>249574.44</v>
      </c>
      <c r="L228" s="432"/>
      <c r="M228" s="432">
        <f t="shared" si="14"/>
        <v>258563.93</v>
      </c>
      <c r="N228" s="432"/>
      <c r="O228" s="432">
        <v>508138.37</v>
      </c>
      <c r="P228" s="776"/>
      <c r="Q228" s="1185"/>
    </row>
    <row r="229" spans="2:17" s="767" customFormat="1" ht="15.5">
      <c r="B229" s="773">
        <v>55072</v>
      </c>
      <c r="C229" s="780"/>
      <c r="D229" s="774" t="s">
        <v>1272</v>
      </c>
      <c r="E229" s="781"/>
      <c r="F229" s="781"/>
      <c r="G229" s="432">
        <v>6555177.5099999998</v>
      </c>
      <c r="H229" s="432"/>
      <c r="I229" s="432">
        <v>7429850.5</v>
      </c>
      <c r="J229" s="432"/>
      <c r="K229" s="432">
        <v>6111754.3499999996</v>
      </c>
      <c r="L229" s="432"/>
      <c r="M229" s="432">
        <f t="shared" si="14"/>
        <v>2064287.25</v>
      </c>
      <c r="N229" s="432"/>
      <c r="O229" s="432">
        <v>8176041.5999999996</v>
      </c>
      <c r="P229" s="776"/>
      <c r="Q229" s="1185"/>
    </row>
    <row r="230" spans="2:17" s="767" customFormat="1" ht="15.5">
      <c r="B230" s="790">
        <v>55074</v>
      </c>
      <c r="C230" s="780"/>
      <c r="D230" s="774" t="s">
        <v>1273</v>
      </c>
      <c r="E230" s="781"/>
      <c r="F230" s="781"/>
      <c r="G230" s="432">
        <v>0</v>
      </c>
      <c r="H230" s="432"/>
      <c r="I230" s="432">
        <v>0</v>
      </c>
      <c r="J230" s="432"/>
      <c r="K230" s="432">
        <v>0</v>
      </c>
      <c r="L230" s="432"/>
      <c r="M230" s="432">
        <f t="shared" si="14"/>
        <v>0</v>
      </c>
      <c r="N230" s="432"/>
      <c r="O230" s="432">
        <v>0</v>
      </c>
      <c r="P230" s="776"/>
      <c r="Q230" s="1185"/>
    </row>
    <row r="231" spans="2:17" s="767" customFormat="1" ht="15.5">
      <c r="B231" s="773">
        <v>55251</v>
      </c>
      <c r="C231" s="780"/>
      <c r="D231" s="779" t="s">
        <v>1274</v>
      </c>
      <c r="E231" s="781"/>
      <c r="F231" s="781"/>
      <c r="G231" s="432">
        <v>13226749.640000001</v>
      </c>
      <c r="H231" s="432"/>
      <c r="I231" s="432">
        <v>13549839.800000001</v>
      </c>
      <c r="J231" s="432"/>
      <c r="K231" s="432">
        <v>14613798.15</v>
      </c>
      <c r="L231" s="432"/>
      <c r="M231" s="432">
        <f t="shared" si="14"/>
        <v>693400.79999999888</v>
      </c>
      <c r="N231" s="432"/>
      <c r="O231" s="432">
        <v>15307198.949999999</v>
      </c>
      <c r="P231" s="776"/>
      <c r="Q231" s="1185"/>
    </row>
    <row r="232" spans="2:17" s="767" customFormat="1" ht="15.5">
      <c r="B232" s="773">
        <v>55252</v>
      </c>
      <c r="C232" s="780"/>
      <c r="D232" s="774" t="s">
        <v>1275</v>
      </c>
      <c r="E232" s="781"/>
      <c r="F232" s="781"/>
      <c r="G232" s="432">
        <v>19710740.57</v>
      </c>
      <c r="H232" s="432"/>
      <c r="I232" s="432">
        <v>21648892.710000001</v>
      </c>
      <c r="J232" s="432"/>
      <c r="K232" s="432">
        <v>27469785.07</v>
      </c>
      <c r="L232" s="432"/>
      <c r="M232" s="432">
        <f t="shared" si="14"/>
        <v>3107506.1499999985</v>
      </c>
      <c r="N232" s="432"/>
      <c r="O232" s="432">
        <v>30577291.219999999</v>
      </c>
      <c r="P232" s="776"/>
      <c r="Q232" s="1185"/>
    </row>
    <row r="233" spans="2:17" s="767" customFormat="1" ht="15.5">
      <c r="B233" s="773">
        <v>55300</v>
      </c>
      <c r="C233" s="780"/>
      <c r="D233" s="779" t="s">
        <v>1276</v>
      </c>
      <c r="E233" s="781"/>
      <c r="F233" s="781"/>
      <c r="G233" s="432">
        <v>918798.37</v>
      </c>
      <c r="H233" s="432"/>
      <c r="I233" s="432">
        <v>1767126.34</v>
      </c>
      <c r="J233" s="432"/>
      <c r="K233" s="432">
        <v>4948754.47</v>
      </c>
      <c r="L233" s="432"/>
      <c r="M233" s="432">
        <f t="shared" si="14"/>
        <v>-1346037.7999999998</v>
      </c>
      <c r="N233" s="432"/>
      <c r="O233" s="432">
        <v>3602716.67</v>
      </c>
      <c r="P233" s="776"/>
      <c r="Q233" s="1185"/>
    </row>
    <row r="234" spans="2:17" s="767" customFormat="1" ht="15.5">
      <c r="B234" s="773">
        <v>55301</v>
      </c>
      <c r="C234" s="780"/>
      <c r="D234" s="779" t="s">
        <v>1277</v>
      </c>
      <c r="E234" s="781"/>
      <c r="F234" s="781"/>
      <c r="G234" s="432">
        <v>0</v>
      </c>
      <c r="H234" s="432"/>
      <c r="I234" s="432">
        <v>0</v>
      </c>
      <c r="J234" s="432"/>
      <c r="K234" s="432">
        <v>0</v>
      </c>
      <c r="L234" s="432"/>
      <c r="M234" s="432">
        <f t="shared" si="14"/>
        <v>0</v>
      </c>
      <c r="N234" s="432"/>
      <c r="O234" s="432">
        <v>0</v>
      </c>
      <c r="P234" s="776"/>
      <c r="Q234" s="1185"/>
    </row>
    <row r="235" spans="2:17" s="767" customFormat="1" ht="15.5">
      <c r="B235" s="773">
        <v>55350</v>
      </c>
      <c r="C235" s="772"/>
      <c r="D235" s="779" t="s">
        <v>1278</v>
      </c>
      <c r="E235" s="772"/>
      <c r="F235" s="772"/>
      <c r="G235" s="432">
        <v>0</v>
      </c>
      <c r="H235" s="432"/>
      <c r="I235" s="432">
        <v>0</v>
      </c>
      <c r="J235" s="432"/>
      <c r="K235" s="432">
        <v>0</v>
      </c>
      <c r="L235" s="432"/>
      <c r="M235" s="432">
        <f t="shared" si="14"/>
        <v>0</v>
      </c>
      <c r="N235" s="432"/>
      <c r="O235" s="432">
        <v>0</v>
      </c>
      <c r="P235" s="776"/>
      <c r="Q235" s="1185"/>
    </row>
    <row r="236" spans="2:17" s="767" customFormat="1" ht="16" thickBot="1">
      <c r="B236" s="798"/>
      <c r="C236" s="769"/>
      <c r="D236" s="770" t="s">
        <v>1279</v>
      </c>
      <c r="E236" s="771"/>
      <c r="F236" s="771"/>
      <c r="G236" s="1652">
        <f>SUM(G195:G235)</f>
        <v>123131466.66000003</v>
      </c>
      <c r="H236" s="1653"/>
      <c r="I236" s="1652">
        <f>SUM(I195:I235)</f>
        <v>125621871.31</v>
      </c>
      <c r="J236" s="1653"/>
      <c r="K236" s="1652">
        <f>SUM(K195:K235)</f>
        <v>148144631.53999999</v>
      </c>
      <c r="L236" s="1653"/>
      <c r="M236" s="1652">
        <f>SUM(M195:M235)</f>
        <v>1757317.0399999986</v>
      </c>
      <c r="N236" s="1653"/>
      <c r="O236" s="1652">
        <f>SUM(O195:O235)</f>
        <v>149901948.57999998</v>
      </c>
      <c r="P236" s="776"/>
      <c r="Q236" s="1185"/>
    </row>
    <row r="237" spans="2:17" s="767" customFormat="1" ht="16" thickTop="1">
      <c r="B237" s="784"/>
      <c r="C237" s="772"/>
      <c r="D237" s="799"/>
      <c r="E237" s="772"/>
      <c r="F237" s="772"/>
      <c r="G237" s="432"/>
      <c r="H237" s="1655"/>
      <c r="I237" s="432"/>
      <c r="J237" s="1655"/>
      <c r="K237" s="432"/>
      <c r="L237" s="1655"/>
      <c r="M237" s="432"/>
      <c r="N237" s="1655"/>
      <c r="O237" s="432"/>
      <c r="P237" s="776"/>
      <c r="Q237" s="1185"/>
    </row>
    <row r="238" spans="2:17" s="767" customFormat="1" ht="16" thickBot="1">
      <c r="B238" s="784"/>
      <c r="C238" s="772"/>
      <c r="D238" s="799"/>
      <c r="E238" s="772"/>
      <c r="F238" s="772"/>
      <c r="G238" s="432"/>
      <c r="H238" s="1655"/>
      <c r="I238" s="432"/>
      <c r="J238" s="1655"/>
      <c r="K238" s="432"/>
      <c r="L238" s="1655"/>
      <c r="M238" s="432"/>
      <c r="N238" s="1655"/>
      <c r="O238" s="432"/>
      <c r="P238" s="776"/>
      <c r="Q238" s="1185"/>
    </row>
    <row r="239" spans="2:17" s="767" customFormat="1" ht="16" thickBot="1">
      <c r="B239" s="798"/>
      <c r="C239" s="800"/>
      <c r="D239" s="801" t="s">
        <v>1280</v>
      </c>
      <c r="E239" s="771"/>
      <c r="F239" s="775"/>
      <c r="G239" s="1661">
        <f>G236+G192+G186+G181+G169+G99+G11</f>
        <v>5749058605.2299995</v>
      </c>
      <c r="H239" s="775"/>
      <c r="I239" s="1661">
        <f>I236+I192+I186+I181+I169+I99+I11</f>
        <v>7004431897.8200016</v>
      </c>
      <c r="J239" s="775"/>
      <c r="K239" s="1661">
        <f>K236+K192+K186+K181+K169+K99+K11</f>
        <v>8850905166.5499992</v>
      </c>
      <c r="L239" s="775"/>
      <c r="M239" s="1661">
        <f>M236+M192+M186+M181+M169+M99+M11</f>
        <v>-2847286082.2999988</v>
      </c>
      <c r="N239" s="775"/>
      <c r="O239" s="1661">
        <f>O236+O192+O186+O181+O169+O99+O11</f>
        <v>6003619084.250001</v>
      </c>
      <c r="P239" s="776"/>
      <c r="Q239" s="1185"/>
    </row>
    <row r="240" spans="2:17" s="767" customFormat="1" ht="15.5">
      <c r="B240" s="784"/>
      <c r="C240" s="772"/>
      <c r="D240" s="799"/>
      <c r="E240" s="772"/>
      <c r="F240" s="772"/>
      <c r="G240"/>
      <c r="H240" s="1653"/>
      <c r="I240" s="1656"/>
      <c r="J240" s="1653"/>
      <c r="K240" s="1656"/>
      <c r="L240" s="1653"/>
      <c r="M240" s="433"/>
      <c r="N240" s="772"/>
      <c r="O240" s="433"/>
      <c r="P240" s="776"/>
    </row>
    <row r="241" spans="2:16" s="767" customFormat="1" ht="15.5">
      <c r="B241" s="918" t="s">
        <v>1281</v>
      </c>
      <c r="C241" s="682" t="s">
        <v>1480</v>
      </c>
      <c r="D241" s="802"/>
      <c r="E241" s="344"/>
      <c r="F241" s="344"/>
      <c r="G241" s="1656"/>
      <c r="H241" s="803"/>
      <c r="I241" s="1170"/>
      <c r="J241" s="266"/>
      <c r="K241" s="1170"/>
      <c r="L241" s="266"/>
      <c r="M241" s="1170"/>
      <c r="N241" s="266"/>
      <c r="O241" s="1170"/>
      <c r="P241" s="776"/>
    </row>
    <row r="242" spans="2:16" s="767" customFormat="1" ht="15.5">
      <c r="B242" s="804"/>
      <c r="C242" s="344" t="s">
        <v>1282</v>
      </c>
      <c r="D242" s="805"/>
      <c r="E242" s="344"/>
      <c r="F242" s="344"/>
      <c r="G242" s="1170"/>
      <c r="H242" s="803"/>
      <c r="I242" s="1170"/>
      <c r="J242" s="266"/>
      <c r="K242" s="1170"/>
      <c r="L242" s="266"/>
      <c r="M242" s="1170"/>
      <c r="N242" s="266"/>
      <c r="O242" s="1170"/>
      <c r="P242" s="776"/>
    </row>
    <row r="243" spans="2:16" s="767" customFormat="1" ht="15.5">
      <c r="B243" s="804"/>
      <c r="C243" s="344" t="s">
        <v>1283</v>
      </c>
      <c r="D243" s="802"/>
      <c r="E243" s="344"/>
      <c r="F243" s="344"/>
      <c r="G243" s="1170"/>
      <c r="H243" s="803"/>
      <c r="I243" s="1171"/>
      <c r="J243" s="346"/>
      <c r="K243" s="1171"/>
      <c r="L243" s="346"/>
      <c r="M243" s="1171"/>
      <c r="N243" s="346"/>
      <c r="O243" s="1171"/>
      <c r="P243" s="776"/>
    </row>
    <row r="244" spans="2:16" s="767" customFormat="1" ht="15.5">
      <c r="B244" s="804"/>
      <c r="C244" s="344" t="s">
        <v>1284</v>
      </c>
      <c r="D244" s="802"/>
      <c r="E244" s="344"/>
      <c r="F244" s="344"/>
      <c r="G244" s="1171"/>
      <c r="H244" s="803"/>
      <c r="I244" s="1171"/>
      <c r="J244" s="346"/>
      <c r="K244" s="1171"/>
      <c r="L244" s="346"/>
      <c r="M244" s="1171"/>
      <c r="N244" s="346"/>
      <c r="O244" s="1171"/>
      <c r="P244" s="776"/>
    </row>
    <row r="245" spans="2:16" s="767" customFormat="1" ht="15.5">
      <c r="B245" s="804"/>
      <c r="C245" s="344" t="s">
        <v>1285</v>
      </c>
      <c r="D245" s="802"/>
      <c r="E245" s="344"/>
      <c r="F245" s="344"/>
      <c r="G245" s="1171"/>
      <c r="H245" s="803"/>
      <c r="I245" s="1172"/>
      <c r="J245" s="806"/>
      <c r="K245" s="1172"/>
      <c r="L245" s="806"/>
      <c r="M245" s="1172"/>
      <c r="N245" s="806"/>
      <c r="O245" s="1172"/>
      <c r="P245" s="776"/>
    </row>
    <row r="246" spans="2:16" s="767" customFormat="1" ht="15.5">
      <c r="B246" s="682"/>
      <c r="C246" s="344" t="s">
        <v>1286</v>
      </c>
      <c r="D246" s="802"/>
      <c r="E246" s="344"/>
      <c r="F246" s="344"/>
      <c r="G246" s="1172"/>
      <c r="H246" s="803"/>
      <c r="I246" s="1172"/>
      <c r="J246" s="806"/>
      <c r="K246" s="1172"/>
      <c r="L246" s="806"/>
      <c r="M246" s="1172"/>
      <c r="N246" s="806"/>
      <c r="O246" s="1172"/>
      <c r="P246" s="776"/>
    </row>
    <row r="247" spans="2:16" s="767" customFormat="1" ht="15.5">
      <c r="B247" s="682"/>
      <c r="C247" s="803" t="s">
        <v>1287</v>
      </c>
      <c r="D247" s="805"/>
      <c r="E247" s="803"/>
      <c r="F247" s="803"/>
      <c r="G247" s="1172"/>
      <c r="H247" s="803"/>
      <c r="I247" s="1172"/>
      <c r="J247" s="806"/>
      <c r="K247" s="1172"/>
      <c r="L247" s="806"/>
      <c r="M247" s="1172"/>
      <c r="N247" s="806"/>
      <c r="O247" s="1172"/>
      <c r="P247" s="776"/>
    </row>
    <row r="248" spans="2:16" s="767" customFormat="1" ht="15.5">
      <c r="B248" s="807" t="s">
        <v>266</v>
      </c>
      <c r="C248" s="344" t="s">
        <v>1407</v>
      </c>
      <c r="D248" s="802"/>
      <c r="E248" s="803"/>
      <c r="F248" s="803"/>
      <c r="G248" s="1172"/>
      <c r="H248" s="803"/>
      <c r="I248" s="808"/>
      <c r="J248" s="809"/>
      <c r="K248" s="808"/>
      <c r="L248" s="808"/>
      <c r="M248" s="346"/>
      <c r="N248" s="346"/>
      <c r="O248" s="808"/>
      <c r="P248" s="772"/>
    </row>
    <row r="249" spans="2:16" s="767" customFormat="1" ht="15.5">
      <c r="B249" s="810"/>
      <c r="C249" s="808" t="s">
        <v>1288</v>
      </c>
      <c r="D249" s="266"/>
      <c r="E249" s="803"/>
      <c r="F249" s="803"/>
      <c r="G249" s="808"/>
      <c r="H249" s="803"/>
      <c r="I249" s="808"/>
      <c r="J249" s="809"/>
      <c r="K249" s="808"/>
      <c r="L249" s="808"/>
      <c r="M249" s="346"/>
      <c r="N249" s="346"/>
      <c r="O249" s="808"/>
      <c r="P249" s="346"/>
    </row>
    <row r="250" spans="2:16" s="767" customFormat="1" ht="15.5">
      <c r="B250" s="811" t="s">
        <v>254</v>
      </c>
      <c r="C250" s="682" t="s">
        <v>1289</v>
      </c>
      <c r="D250" s="266"/>
      <c r="E250" s="266"/>
      <c r="F250" s="266"/>
      <c r="G250" s="808"/>
      <c r="H250" s="1173"/>
      <c r="I250" s="344"/>
      <c r="J250" s="345"/>
      <c r="K250" s="344"/>
      <c r="L250" s="1173"/>
      <c r="M250" s="1645"/>
      <c r="N250" s="346"/>
      <c r="O250" s="344"/>
      <c r="P250" s="1184"/>
    </row>
    <row r="251" spans="2:16" s="767" customFormat="1" ht="15.5">
      <c r="B251" s="344"/>
      <c r="C251" s="344"/>
      <c r="D251" s="346"/>
      <c r="E251" s="344"/>
      <c r="F251" s="344"/>
      <c r="G251" s="813"/>
      <c r="H251" s="813"/>
      <c r="I251" s="813"/>
      <c r="J251" s="813"/>
      <c r="K251" s="813"/>
      <c r="L251" s="813"/>
      <c r="M251" s="346"/>
      <c r="N251" s="346"/>
      <c r="O251" s="346"/>
      <c r="P251" s="803"/>
    </row>
    <row r="252" spans="2:16" s="767" customFormat="1" ht="15.5">
      <c r="B252" s="807"/>
      <c r="C252" s="803"/>
      <c r="D252" s="346"/>
      <c r="E252" s="344"/>
      <c r="F252" s="344"/>
      <c r="G252" s="813"/>
      <c r="H252" s="803"/>
      <c r="I252" s="803"/>
      <c r="J252" s="803"/>
      <c r="K252" s="803"/>
      <c r="L252" s="346"/>
      <c r="M252" s="346"/>
      <c r="N252" s="346"/>
      <c r="O252" s="346"/>
      <c r="P252" s="812"/>
    </row>
    <row r="253" spans="2:16" s="767" customFormat="1" ht="15.5">
      <c r="B253" s="814"/>
      <c r="C253" s="803"/>
      <c r="D253" s="346"/>
      <c r="E253" s="344"/>
      <c r="F253" s="344"/>
      <c r="G253" s="803"/>
      <c r="H253" s="803"/>
      <c r="I253" s="803"/>
      <c r="J253" s="803"/>
      <c r="K253" s="803"/>
      <c r="L253" s="346"/>
      <c r="M253" s="346"/>
      <c r="N253" s="346"/>
      <c r="O253" s="346"/>
      <c r="P253" s="812"/>
    </row>
    <row r="254" spans="2:16" s="767" customFormat="1" ht="15.5">
      <c r="B254" s="814"/>
      <c r="C254" s="803"/>
      <c r="D254" s="346"/>
      <c r="E254" s="344"/>
      <c r="F254" s="344"/>
      <c r="G254" s="803"/>
      <c r="H254" s="803"/>
      <c r="I254" s="803"/>
      <c r="J254" s="803"/>
      <c r="K254" s="803"/>
      <c r="L254" s="346"/>
      <c r="M254" s="266"/>
      <c r="N254" s="266"/>
      <c r="O254" s="266"/>
      <c r="P254" s="812"/>
    </row>
    <row r="255" spans="2:16" s="767" customFormat="1" ht="15.5">
      <c r="B255" s="812"/>
      <c r="C255" s="803"/>
      <c r="D255" s="346"/>
      <c r="E255"/>
      <c r="F255" s="803"/>
      <c r="G255" s="803"/>
      <c r="H255" s="803"/>
      <c r="I255" s="803"/>
      <c r="J255" s="803"/>
      <c r="K255" s="803"/>
      <c r="L255" s="266"/>
      <c r="M255" s="266"/>
      <c r="N255" s="266"/>
      <c r="O255" s="266"/>
      <c r="P255" s="812"/>
    </row>
    <row r="256" spans="2:16" s="767" customFormat="1" ht="15.5">
      <c r="B256" s="812"/>
      <c r="C256" s="803"/>
      <c r="D256" s="346"/>
      <c r="E256"/>
      <c r="F256" s="803"/>
      <c r="G256" s="803"/>
      <c r="H256" s="803"/>
      <c r="I256" s="803"/>
      <c r="J256" s="803"/>
      <c r="K256" s="803"/>
      <c r="L256" s="803"/>
      <c r="M256" s="803"/>
      <c r="N256" s="803"/>
      <c r="O256" s="803"/>
      <c r="P256" s="812"/>
    </row>
    <row r="257" spans="2:31" ht="15.5">
      <c r="B257" s="812"/>
      <c r="C257" s="803"/>
      <c r="D257" s="346"/>
      <c r="E257"/>
      <c r="F257" s="803"/>
      <c r="G257" s="803"/>
      <c r="H257" s="803"/>
      <c r="I257" s="803"/>
      <c r="J257" s="803"/>
      <c r="K257" s="803"/>
      <c r="L257" s="266"/>
      <c r="M257" s="266"/>
      <c r="N257" s="266"/>
      <c r="O257" s="266"/>
      <c r="P257" s="812"/>
      <c r="Q257" s="1088"/>
      <c r="R257" s="1088"/>
      <c r="S257" s="1088"/>
      <c r="T257" s="1088"/>
      <c r="U257" s="1088"/>
      <c r="V257" s="1088"/>
      <c r="W257" s="1088"/>
      <c r="X257" s="1088"/>
      <c r="Y257" s="1088"/>
      <c r="Z257" s="1088"/>
      <c r="AA257" s="1088"/>
      <c r="AB257" s="1088"/>
      <c r="AC257" s="1088"/>
      <c r="AD257" s="1088"/>
      <c r="AE257" s="1088"/>
    </row>
    <row r="258" spans="2:31" ht="15.5">
      <c r="B258" s="1088"/>
      <c r="C258" s="1088"/>
      <c r="D258" s="1088"/>
      <c r="E258" s="1088"/>
      <c r="G258" s="803"/>
      <c r="H258" s="1088"/>
      <c r="I258" s="1088"/>
      <c r="J258" s="1088"/>
      <c r="K258" s="1088"/>
      <c r="L258" s="1088"/>
      <c r="M258" s="1088"/>
      <c r="N258" s="1088"/>
      <c r="O258" s="1088"/>
      <c r="P258" s="1088"/>
      <c r="Q258" s="1088"/>
      <c r="R258" s="1088"/>
      <c r="S258" s="1088"/>
      <c r="T258" s="1088"/>
      <c r="U258" s="1088"/>
      <c r="V258" s="1088"/>
      <c r="W258" s="1088"/>
      <c r="X258" s="1088"/>
      <c r="Y258" s="1088"/>
      <c r="Z258" s="1088"/>
      <c r="AA258" s="1088"/>
      <c r="AB258" s="1088"/>
      <c r="AC258" s="1088"/>
      <c r="AD258" s="1088"/>
      <c r="AE258" s="1088"/>
    </row>
    <row r="263" spans="2:31" ht="15.5">
      <c r="B263" s="1088"/>
      <c r="C263" s="433"/>
      <c r="D263" s="433"/>
      <c r="E263" s="433"/>
      <c r="F263" s="756"/>
      <c r="G263" s="1088"/>
      <c r="H263" s="816"/>
      <c r="I263" s="816"/>
      <c r="J263" s="816"/>
      <c r="K263" s="816"/>
      <c r="L263" s="816"/>
      <c r="M263" s="1088"/>
      <c r="N263" s="1088"/>
      <c r="O263" s="1088"/>
      <c r="P263" s="1088"/>
      <c r="Q263" s="1088"/>
      <c r="R263" s="1088"/>
      <c r="S263" s="1088"/>
      <c r="T263" s="1088"/>
      <c r="U263" s="1088"/>
      <c r="V263" s="1088"/>
      <c r="W263" s="1088"/>
      <c r="X263" s="1088"/>
      <c r="Y263" s="1088"/>
      <c r="Z263" s="1088"/>
      <c r="AA263" s="1088"/>
      <c r="AB263" s="1088"/>
      <c r="AC263" s="1088"/>
      <c r="AD263" s="1088"/>
      <c r="AE263" s="1088"/>
    </row>
    <row r="264" spans="2:31" ht="15.5">
      <c r="B264" s="1088"/>
      <c r="C264" s="433"/>
      <c r="D264" s="433"/>
      <c r="E264" s="433"/>
      <c r="F264" s="756"/>
      <c r="G264" s="816"/>
      <c r="H264" s="816"/>
      <c r="I264" s="816"/>
      <c r="J264" s="816"/>
      <c r="K264" s="816"/>
      <c r="L264" s="816"/>
      <c r="M264" s="1088"/>
      <c r="N264" s="1088"/>
      <c r="O264" s="1088"/>
      <c r="P264" s="1088"/>
      <c r="Q264" s="1088"/>
      <c r="R264" s="1088"/>
      <c r="S264" s="1088"/>
      <c r="T264" s="1088"/>
      <c r="U264" s="1088"/>
      <c r="V264" s="1088"/>
      <c r="W264" s="1088"/>
      <c r="X264" s="1088"/>
      <c r="Y264" s="1088"/>
      <c r="Z264" s="1088"/>
      <c r="AA264" s="1088"/>
      <c r="AB264" s="1088"/>
      <c r="AC264" s="1088"/>
      <c r="AD264" s="1088"/>
      <c r="AE264" s="1088"/>
    </row>
    <row r="265" spans="2:31" ht="15.5">
      <c r="B265" s="1088"/>
      <c r="C265" s="433"/>
      <c r="D265" s="433"/>
      <c r="E265" s="433"/>
      <c r="F265" s="756"/>
      <c r="G265" s="816"/>
      <c r="H265" s="816"/>
      <c r="I265" s="816"/>
      <c r="J265" s="816"/>
      <c r="K265" s="816"/>
      <c r="L265" s="816"/>
      <c r="M265" s="1088"/>
      <c r="N265" s="1088"/>
      <c r="O265" s="1088"/>
      <c r="P265" s="1088"/>
      <c r="Q265" s="1088"/>
      <c r="R265" s="1088"/>
      <c r="S265" s="1088"/>
      <c r="T265" s="1088"/>
      <c r="U265" s="1088"/>
      <c r="V265" s="1088"/>
      <c r="W265" s="1088"/>
      <c r="X265" s="1088"/>
      <c r="Y265" s="1088"/>
      <c r="Z265" s="1088"/>
      <c r="AA265" s="1088"/>
      <c r="AB265" s="1088"/>
      <c r="AC265" s="1088"/>
      <c r="AD265" s="1088"/>
      <c r="AE265" s="1088"/>
    </row>
    <row r="266" spans="2:31" ht="15.5">
      <c r="B266" s="1088"/>
      <c r="C266" s="433"/>
      <c r="D266" s="433"/>
      <c r="E266" s="433"/>
      <c r="F266" s="756"/>
      <c r="G266" s="816"/>
      <c r="H266" s="816"/>
      <c r="I266" s="816"/>
      <c r="J266" s="816"/>
      <c r="K266" s="816"/>
      <c r="L266" s="816"/>
      <c r="M266" s="1088"/>
      <c r="N266" s="1088"/>
      <c r="O266" s="1088"/>
      <c r="P266" s="1088"/>
      <c r="Q266" s="1088"/>
      <c r="R266" s="1088"/>
      <c r="S266" s="1088"/>
      <c r="T266" s="1088"/>
      <c r="U266" s="1088"/>
      <c r="V266" s="1088"/>
      <c r="W266" s="1088"/>
      <c r="X266" s="1088"/>
      <c r="Y266" s="1088"/>
      <c r="Z266" s="1088"/>
      <c r="AA266" s="1088"/>
      <c r="AB266" s="1088"/>
      <c r="AC266" s="1088"/>
      <c r="AD266" s="1088"/>
      <c r="AE266" s="1088"/>
    </row>
    <row r="267" spans="2:31" ht="15.5">
      <c r="B267" s="1088"/>
      <c r="C267" s="433"/>
      <c r="D267" s="433"/>
      <c r="E267" s="433"/>
      <c r="F267" s="756"/>
      <c r="G267" s="816"/>
      <c r="H267" s="816"/>
      <c r="I267" s="816"/>
      <c r="J267" s="816"/>
      <c r="K267" s="816"/>
      <c r="L267" s="816"/>
      <c r="M267" s="1088"/>
      <c r="N267" s="1088"/>
      <c r="O267" s="1088"/>
      <c r="P267" s="1088"/>
      <c r="Q267" s="1088"/>
      <c r="R267" s="1088"/>
      <c r="S267" s="1088"/>
      <c r="T267" s="1088"/>
      <c r="U267" s="1088"/>
      <c r="V267" s="1088"/>
      <c r="W267" s="1088"/>
      <c r="X267" s="1088"/>
      <c r="Y267" s="1088"/>
      <c r="Z267" s="1088"/>
      <c r="AA267" s="1088"/>
      <c r="AB267" s="1088"/>
      <c r="AC267" s="1088"/>
      <c r="AD267" s="1088"/>
      <c r="AE267" s="1088"/>
    </row>
    <row r="268" spans="2:31">
      <c r="B268" s="1088"/>
      <c r="C268" s="1088"/>
      <c r="D268" s="1088"/>
      <c r="E268" s="1088"/>
      <c r="G268" s="816"/>
      <c r="H268" s="1088"/>
      <c r="I268" s="1088"/>
      <c r="J268" s="1088"/>
      <c r="K268" s="1088"/>
      <c r="L268" s="1088"/>
      <c r="M268" s="1088"/>
      <c r="N268" s="1088"/>
      <c r="O268" s="1088"/>
      <c r="P268" s="1088"/>
      <c r="Q268" s="1088"/>
      <c r="R268" s="1088"/>
      <c r="S268" s="1088"/>
      <c r="T268" s="1088"/>
      <c r="U268" s="1088"/>
      <c r="V268" s="1088"/>
      <c r="W268" s="1088"/>
      <c r="X268" s="1088"/>
      <c r="Y268" s="1088"/>
      <c r="Z268" s="1088"/>
      <c r="AA268" s="1088"/>
      <c r="AB268" s="1088"/>
      <c r="AC268" s="1088"/>
      <c r="AD268" s="1088"/>
      <c r="AE268" s="1088"/>
    </row>
  </sheetData>
  <printOptions horizontalCentered="1"/>
  <pageMargins left="0.45" right="0.45" top="0.5" bottom="0.5" header="0.3" footer="0.25"/>
  <pageSetup scale="47" firstPageNumber="52" fitToHeight="4" orientation="landscape" useFirstPageNumber="1" r:id="rId1"/>
  <headerFooter scaleWithDoc="0" alignWithMargins="0">
    <oddFooter>&amp;C&amp;8&amp;P</oddFooter>
  </headerFooter>
  <rowBreaks count="3" manualBreakCount="3">
    <brk id="95" max="16383" man="1"/>
    <brk id="173" max="16383" man="1"/>
    <brk id="246" max="16383" man="1"/>
  </rowBreaks>
  <customProperties>
    <customPr name="SheetOptions" r:id="rId2"/>
  </customProperties>
  <ignoredErrors>
    <ignoredError sqref="L11 N11 L186 N186 L192 N192 L236 N236 L239 N239 L12:N13 L100:N101 L170:N171 L182:N183 L187:N188 L193:N194 L237:N238" unlockedFormula="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4">
    <pageSetUpPr fitToPage="1"/>
  </sheetPr>
  <dimension ref="A1:AG93"/>
  <sheetViews>
    <sheetView showGridLines="0" zoomScale="80" zoomScaleNormal="85" workbookViewId="0"/>
  </sheetViews>
  <sheetFormatPr defaultColWidth="8.84375" defaultRowHeight="12.5"/>
  <cols>
    <col min="1" max="1" width="54.84375" style="167" customWidth="1"/>
    <col min="2" max="2" width="15" style="563" bestFit="1" customWidth="1"/>
    <col min="3" max="3" width="1.84375" style="563" customWidth="1"/>
    <col min="4" max="4" width="15" style="563" bestFit="1" customWidth="1"/>
    <col min="5" max="5" width="1.84375" style="562" customWidth="1"/>
    <col min="6" max="6" width="13.84375" style="563" customWidth="1"/>
    <col min="7" max="7" width="1.84375" style="562" customWidth="1"/>
    <col min="8" max="8" width="13.84375" style="563" customWidth="1"/>
    <col min="9" max="9" width="1.84375" style="562" customWidth="1"/>
    <col min="10" max="10" width="13.84375" style="563" customWidth="1"/>
    <col min="11" max="11" width="1.84375" style="563" customWidth="1"/>
    <col min="12" max="12" width="13.84375" style="563" customWidth="1"/>
    <col min="13" max="13" width="1.84375" style="562" customWidth="1"/>
    <col min="14" max="14" width="13.84375" style="563" customWidth="1"/>
    <col min="15" max="15" width="1.84375" style="562" customWidth="1"/>
    <col min="16" max="16" width="13.84375" style="563" customWidth="1"/>
    <col min="17" max="17" width="1.84375" style="562" customWidth="1"/>
    <col min="18" max="18" width="13.84375" style="563" customWidth="1"/>
    <col min="19" max="19" width="1.84375" style="562" customWidth="1"/>
    <col min="20" max="20" width="13.84375" style="563" customWidth="1"/>
    <col min="21" max="21" width="1.84375" style="562" customWidth="1"/>
    <col min="22" max="22" width="13.84375" style="563" customWidth="1"/>
    <col min="23" max="23" width="1.84375" style="562" customWidth="1"/>
    <col min="24" max="24" width="13.84375" style="563" customWidth="1"/>
    <col min="25" max="25" width="1.84375" style="562" customWidth="1"/>
    <col min="26" max="26" width="18.84375" style="114" customWidth="1"/>
    <col min="27" max="27" width="1.53515625" style="167" customWidth="1"/>
    <col min="28" max="28" width="18.84375" style="167" bestFit="1" customWidth="1"/>
    <col min="29" max="29" width="12.84375" style="167" bestFit="1" customWidth="1"/>
    <col min="30" max="16384" width="8.84375" style="167"/>
  </cols>
  <sheetData>
    <row r="1" spans="1:33" ht="15.5">
      <c r="A1" s="386" t="s">
        <v>97</v>
      </c>
      <c r="B1" s="478"/>
      <c r="C1" s="478"/>
      <c r="D1" s="478"/>
      <c r="E1" s="478"/>
      <c r="F1" s="478"/>
      <c r="G1" s="478"/>
      <c r="H1" s="478"/>
      <c r="I1" s="478"/>
      <c r="J1" s="478"/>
      <c r="K1" s="478"/>
      <c r="L1" s="478"/>
      <c r="M1" s="478"/>
      <c r="N1" s="478"/>
      <c r="O1" s="478"/>
      <c r="P1" s="478"/>
      <c r="Q1" s="478"/>
      <c r="R1" s="478"/>
      <c r="S1" s="478"/>
      <c r="T1" s="478"/>
      <c r="U1" s="478"/>
      <c r="V1" s="478"/>
      <c r="W1" s="478"/>
      <c r="X1" s="478"/>
      <c r="Y1" s="478"/>
      <c r="Z1" s="478"/>
      <c r="AA1" s="478"/>
      <c r="AB1" s="478"/>
      <c r="AC1" s="478"/>
      <c r="AD1" s="478"/>
      <c r="AE1" s="478"/>
      <c r="AF1" s="478"/>
      <c r="AG1" s="478"/>
    </row>
    <row r="2" spans="1:33" ht="15.5">
      <c r="A2" s="386"/>
      <c r="B2" s="478"/>
      <c r="C2" s="478"/>
      <c r="D2" s="478"/>
      <c r="E2" s="478"/>
      <c r="F2" s="478"/>
      <c r="G2" s="478"/>
      <c r="H2" s="478"/>
      <c r="I2" s="478"/>
      <c r="J2" s="478"/>
      <c r="K2" s="478"/>
      <c r="L2" s="478"/>
      <c r="M2" s="478"/>
      <c r="N2" s="478"/>
      <c r="O2" s="478"/>
      <c r="P2" s="478"/>
      <c r="Q2" s="478"/>
      <c r="R2" s="478"/>
      <c r="S2" s="478"/>
      <c r="T2" s="478"/>
      <c r="U2" s="478"/>
      <c r="V2" s="478"/>
      <c r="W2" s="478"/>
      <c r="X2" s="478"/>
      <c r="Y2" s="478"/>
      <c r="Z2" s="478"/>
      <c r="AA2" s="478"/>
      <c r="AB2" s="478"/>
      <c r="AC2" s="478"/>
      <c r="AD2" s="478"/>
      <c r="AE2" s="478"/>
      <c r="AF2" s="478"/>
      <c r="AG2" s="478"/>
    </row>
    <row r="3" spans="1:33" ht="24" customHeight="1">
      <c r="A3" s="347" t="s">
        <v>98</v>
      </c>
      <c r="B3" s="164"/>
      <c r="C3" s="164"/>
      <c r="D3" s="165"/>
      <c r="E3" s="166"/>
      <c r="F3" s="165"/>
      <c r="G3" s="166"/>
      <c r="H3" s="165"/>
      <c r="I3" s="166"/>
      <c r="K3" s="164"/>
      <c r="L3" s="113"/>
      <c r="M3" s="164"/>
      <c r="N3" s="165"/>
      <c r="O3" s="166"/>
      <c r="P3" s="165"/>
      <c r="Q3" s="166"/>
      <c r="R3" s="165"/>
      <c r="S3" s="166"/>
      <c r="T3" s="165"/>
      <c r="U3" s="166"/>
      <c r="V3" s="165"/>
      <c r="W3" s="166"/>
      <c r="X3" s="165"/>
      <c r="Y3" s="166"/>
      <c r="Z3" s="343" t="s">
        <v>1290</v>
      </c>
      <c r="AA3" s="164"/>
      <c r="AC3" s="164"/>
      <c r="AE3" s="164"/>
    </row>
    <row r="4" spans="1:33" ht="16.5">
      <c r="A4" s="347" t="s">
        <v>1291</v>
      </c>
      <c r="B4" s="479"/>
      <c r="C4" s="479"/>
      <c r="D4" s="168"/>
      <c r="E4" s="166"/>
      <c r="F4" s="479"/>
      <c r="G4" s="166"/>
      <c r="H4" s="479"/>
      <c r="I4" s="166"/>
      <c r="J4" s="479"/>
      <c r="K4" s="479"/>
      <c r="L4" s="479"/>
      <c r="M4" s="169"/>
      <c r="N4" s="479"/>
      <c r="O4" s="166"/>
      <c r="P4" s="479"/>
      <c r="Q4" s="166"/>
      <c r="R4" s="479"/>
      <c r="S4" s="166"/>
      <c r="T4" s="479"/>
      <c r="U4" s="166"/>
      <c r="V4" s="479"/>
      <c r="W4" s="166"/>
      <c r="X4" s="479"/>
      <c r="Y4" s="166"/>
      <c r="Z4" s="480"/>
      <c r="AA4" s="170"/>
      <c r="AC4" s="164"/>
    </row>
    <row r="5" spans="1:33" ht="16.5">
      <c r="A5" s="348" t="s">
        <v>1292</v>
      </c>
      <c r="B5" s="479"/>
      <c r="C5" s="479"/>
      <c r="D5" s="479"/>
      <c r="E5" s="166"/>
      <c r="F5" s="479"/>
      <c r="G5" s="166"/>
      <c r="H5" s="479"/>
      <c r="I5" s="166"/>
      <c r="J5" s="479"/>
      <c r="K5" s="479"/>
      <c r="L5" s="479"/>
      <c r="M5" s="169"/>
      <c r="N5" s="479"/>
      <c r="O5" s="166"/>
      <c r="P5" s="479"/>
      <c r="Q5" s="166"/>
      <c r="R5" s="479"/>
      <c r="S5" s="166"/>
      <c r="T5" s="479"/>
      <c r="U5" s="166"/>
      <c r="V5" s="479"/>
      <c r="W5" s="166"/>
      <c r="X5" s="479"/>
      <c r="Y5" s="166"/>
      <c r="Z5" s="480"/>
    </row>
    <row r="6" spans="1:33" ht="18" customHeight="1">
      <c r="A6" s="171" t="str">
        <f>'Cashflow Governmental'!A6</f>
        <v>FISCAL YEAR 2026-2027</v>
      </c>
      <c r="B6" s="479"/>
      <c r="C6" s="479"/>
      <c r="D6" s="173"/>
      <c r="E6" s="166"/>
      <c r="F6" s="479"/>
      <c r="G6" s="166"/>
      <c r="H6" s="479"/>
      <c r="I6" s="166"/>
      <c r="J6" s="479"/>
      <c r="K6" s="479"/>
      <c r="L6" s="479"/>
      <c r="M6" s="169"/>
      <c r="N6" s="479"/>
      <c r="O6" s="166"/>
      <c r="P6" s="479"/>
      <c r="Q6" s="166"/>
      <c r="R6" s="479"/>
      <c r="S6" s="166"/>
      <c r="T6" s="479"/>
      <c r="U6" s="166"/>
      <c r="V6" s="479"/>
      <c r="W6" s="166"/>
      <c r="X6" s="479"/>
      <c r="Y6" s="166"/>
      <c r="Z6" s="480"/>
    </row>
    <row r="7" spans="1:33" ht="15" customHeight="1">
      <c r="A7" s="172"/>
      <c r="B7" s="479"/>
      <c r="C7" s="479"/>
      <c r="D7" s="479"/>
      <c r="E7" s="166"/>
      <c r="F7" s="479"/>
      <c r="G7" s="166"/>
      <c r="H7" s="479"/>
      <c r="I7" s="166"/>
      <c r="J7" s="479"/>
      <c r="K7" s="479"/>
      <c r="L7" s="479"/>
      <c r="M7" s="169"/>
      <c r="N7" s="479"/>
      <c r="O7" s="166"/>
      <c r="P7" s="479"/>
      <c r="Q7" s="166"/>
      <c r="R7" s="481"/>
      <c r="S7" s="166"/>
      <c r="T7" s="481"/>
      <c r="U7" s="166"/>
      <c r="V7" s="481"/>
      <c r="W7" s="166"/>
      <c r="X7" s="481"/>
      <c r="Y7" s="166"/>
      <c r="Z7" s="480"/>
    </row>
    <row r="8" spans="1:33" ht="15.5">
      <c r="A8" s="163"/>
      <c r="B8" s="479"/>
      <c r="C8" s="479"/>
      <c r="D8" s="479"/>
      <c r="E8" s="166"/>
      <c r="F8" s="479"/>
      <c r="G8" s="166"/>
      <c r="H8" s="479"/>
      <c r="I8" s="166"/>
      <c r="J8" s="479"/>
      <c r="K8" s="479"/>
      <c r="L8" s="479"/>
      <c r="M8" s="166"/>
      <c r="N8" s="479"/>
      <c r="O8" s="166"/>
      <c r="P8" s="479"/>
      <c r="Q8" s="166"/>
      <c r="R8" s="479"/>
      <c r="S8" s="166"/>
      <c r="T8" s="479"/>
      <c r="U8" s="166"/>
      <c r="V8" s="479"/>
      <c r="W8" s="166"/>
      <c r="X8" s="479"/>
      <c r="Y8" s="166"/>
      <c r="Z8" s="174"/>
      <c r="AA8" s="175"/>
    </row>
    <row r="9" spans="1:33" ht="15" customHeight="1">
      <c r="A9" s="482"/>
      <c r="B9" s="373" t="str">
        <f>'Cashflow Governmental'!C13</f>
        <v>2026</v>
      </c>
      <c r="C9" s="176"/>
      <c r="D9" s="176"/>
      <c r="E9" s="169"/>
      <c r="F9" s="176"/>
      <c r="G9" s="169"/>
      <c r="H9" s="176"/>
      <c r="I9" s="169"/>
      <c r="J9" s="176"/>
      <c r="K9" s="176"/>
      <c r="L9" s="177"/>
      <c r="M9" s="169"/>
      <c r="N9" s="177"/>
      <c r="O9" s="169"/>
      <c r="P9" s="177"/>
      <c r="Q9" s="169"/>
      <c r="R9" s="177"/>
      <c r="S9" s="169"/>
      <c r="T9" s="373">
        <f>'Cashflow Governmental'!U13</f>
        <v>2027</v>
      </c>
      <c r="U9" s="169"/>
      <c r="V9" s="177"/>
      <c r="W9" s="169"/>
      <c r="X9" s="177"/>
      <c r="Y9" s="169"/>
      <c r="Z9" s="177" t="str">
        <f>_xlfn.CONCAT(_xlfn.TEXTBEFORE('Exhibit A'!$F$11," ")," MONTHS ENDED")</f>
        <v>4 MONTHS ENDED</v>
      </c>
      <c r="AA9" s="177"/>
      <c r="AB9" s="1646"/>
    </row>
    <row r="10" spans="1:33" ht="15" customHeight="1">
      <c r="A10" s="482"/>
      <c r="B10" s="178" t="s">
        <v>329</v>
      </c>
      <c r="C10" s="178"/>
      <c r="D10" s="177" t="s">
        <v>330</v>
      </c>
      <c r="E10" s="169"/>
      <c r="F10" s="177" t="s">
        <v>331</v>
      </c>
      <c r="G10" s="169"/>
      <c r="H10" s="177" t="s">
        <v>332</v>
      </c>
      <c r="I10" s="169"/>
      <c r="J10" s="177" t="s">
        <v>333</v>
      </c>
      <c r="K10" s="179"/>
      <c r="L10" s="177" t="s">
        <v>445</v>
      </c>
      <c r="M10" s="169"/>
      <c r="N10" s="177" t="s">
        <v>446</v>
      </c>
      <c r="O10" s="169"/>
      <c r="P10" s="177" t="s">
        <v>336</v>
      </c>
      <c r="Q10" s="169"/>
      <c r="R10" s="177" t="s">
        <v>337</v>
      </c>
      <c r="S10" s="169"/>
      <c r="T10" s="177" t="s">
        <v>338</v>
      </c>
      <c r="U10" s="169"/>
      <c r="V10" s="177" t="s">
        <v>339</v>
      </c>
      <c r="W10" s="169"/>
      <c r="X10" s="177" t="s">
        <v>447</v>
      </c>
      <c r="Y10" s="169"/>
      <c r="Z10" s="180" t="str">
        <f>'Sch 5 '!G12</f>
        <v>JULY 31, 2026</v>
      </c>
      <c r="AA10" s="180"/>
      <c r="AB10" s="1646"/>
    </row>
    <row r="11" spans="1:33" ht="15" customHeight="1">
      <c r="A11" s="482"/>
      <c r="B11" s="612" t="s">
        <v>103</v>
      </c>
      <c r="C11" s="483"/>
      <c r="D11" s="612" t="s">
        <v>103</v>
      </c>
      <c r="E11" s="484"/>
      <c r="F11" s="612" t="s">
        <v>103</v>
      </c>
      <c r="G11" s="484"/>
      <c r="H11" s="612" t="s">
        <v>103</v>
      </c>
      <c r="I11" s="484"/>
      <c r="J11" s="612" t="s">
        <v>103</v>
      </c>
      <c r="K11" s="179"/>
      <c r="L11" s="612" t="s">
        <v>103</v>
      </c>
      <c r="M11" s="484"/>
      <c r="N11" s="612" t="s">
        <v>103</v>
      </c>
      <c r="O11" s="484"/>
      <c r="P11" s="612" t="s">
        <v>103</v>
      </c>
      <c r="Q11" s="484"/>
      <c r="R11" s="612" t="s">
        <v>103</v>
      </c>
      <c r="S11" s="484"/>
      <c r="T11" s="612" t="s">
        <v>103</v>
      </c>
      <c r="U11" s="484"/>
      <c r="V11" s="612" t="s">
        <v>103</v>
      </c>
      <c r="W11" s="484"/>
      <c r="X11" s="612" t="s">
        <v>103</v>
      </c>
      <c r="Y11" s="484"/>
      <c r="Z11" s="1270" t="s">
        <v>103</v>
      </c>
    </row>
    <row r="12" spans="1:33" s="182" customFormat="1" ht="15" customHeight="1">
      <c r="A12" s="185" t="s">
        <v>913</v>
      </c>
      <c r="B12" s="181">
        <v>108964727</v>
      </c>
      <c r="C12" s="181"/>
      <c r="D12" s="181">
        <f>B44</f>
        <v>101980905</v>
      </c>
      <c r="E12" s="485"/>
      <c r="F12" s="181">
        <f>D44</f>
        <v>99631254</v>
      </c>
      <c r="G12" s="485"/>
      <c r="H12" s="181">
        <f>F44</f>
        <v>84932111</v>
      </c>
      <c r="I12" s="485"/>
      <c r="J12" s="181"/>
      <c r="K12" s="181"/>
      <c r="L12" s="181"/>
      <c r="M12" s="179"/>
      <c r="N12" s="181"/>
      <c r="O12" s="181"/>
      <c r="P12" s="181"/>
      <c r="Q12" s="181"/>
      <c r="R12" s="181"/>
      <c r="S12" s="181"/>
      <c r="T12" s="181"/>
      <c r="U12" s="181"/>
      <c r="V12" s="181"/>
      <c r="W12" s="181"/>
      <c r="X12" s="181"/>
      <c r="Y12" s="181"/>
      <c r="Z12" s="181">
        <f>+B12</f>
        <v>108964727</v>
      </c>
    </row>
    <row r="13" spans="1:33" ht="15" customHeight="1">
      <c r="A13" s="486"/>
      <c r="B13" s="487"/>
      <c r="C13" s="487"/>
      <c r="D13" s="487"/>
      <c r="E13" s="487"/>
      <c r="F13" s="487"/>
      <c r="G13" s="487"/>
      <c r="H13" s="487"/>
      <c r="I13" s="487"/>
      <c r="J13" s="487"/>
      <c r="K13" s="179"/>
      <c r="L13" s="487"/>
      <c r="M13" s="487"/>
      <c r="N13" s="487"/>
      <c r="O13" s="487"/>
      <c r="P13" s="487"/>
      <c r="Q13" s="487"/>
      <c r="R13" s="487"/>
      <c r="S13" s="487"/>
      <c r="T13" s="487"/>
      <c r="U13" s="487"/>
      <c r="V13" s="487"/>
      <c r="W13" s="487"/>
      <c r="X13" s="487"/>
      <c r="Y13" s="487"/>
      <c r="Z13" s="488"/>
    </row>
    <row r="14" spans="1:33" ht="15" customHeight="1">
      <c r="A14" s="183" t="s">
        <v>114</v>
      </c>
      <c r="B14" s="487"/>
      <c r="C14" s="487"/>
      <c r="D14" s="487"/>
      <c r="E14" s="487"/>
      <c r="F14" s="487"/>
      <c r="G14" s="487"/>
      <c r="H14" s="487"/>
      <c r="I14" s="487"/>
      <c r="J14" s="487"/>
      <c r="K14" s="487"/>
      <c r="L14" s="487"/>
      <c r="M14" s="487"/>
      <c r="N14" s="487"/>
      <c r="O14" s="487"/>
      <c r="P14" s="487"/>
      <c r="Q14" s="487"/>
      <c r="R14" s="487"/>
      <c r="S14" s="487"/>
      <c r="T14" s="487"/>
      <c r="U14" s="487"/>
      <c r="V14" s="487"/>
      <c r="W14" s="487"/>
      <c r="X14" s="487"/>
      <c r="Y14" s="487"/>
      <c r="Z14" s="488"/>
      <c r="AC14" s="613"/>
    </row>
    <row r="15" spans="1:33" ht="15" customHeight="1">
      <c r="A15" s="349" t="s">
        <v>1293</v>
      </c>
      <c r="B15" s="489">
        <v>0</v>
      </c>
      <c r="C15" s="489"/>
      <c r="D15" s="489">
        <v>0</v>
      </c>
      <c r="E15" s="489"/>
      <c r="F15" s="489">
        <v>0</v>
      </c>
      <c r="G15" s="489"/>
      <c r="H15" s="489">
        <v>0</v>
      </c>
      <c r="I15" s="489"/>
      <c r="J15" s="613"/>
      <c r="K15" s="489"/>
      <c r="L15" s="489"/>
      <c r="M15" s="487"/>
      <c r="N15" s="489"/>
      <c r="O15" s="489"/>
      <c r="P15" s="489"/>
      <c r="Q15" s="489"/>
      <c r="R15" s="489"/>
      <c r="S15" s="489"/>
      <c r="T15" s="489"/>
      <c r="U15" s="489"/>
      <c r="V15" s="489"/>
      <c r="W15" s="489"/>
      <c r="X15" s="489"/>
      <c r="Y15" s="489"/>
      <c r="Z15" s="490">
        <f>SUM(B15:X15)</f>
        <v>0</v>
      </c>
    </row>
    <row r="16" spans="1:33" ht="15" customHeight="1">
      <c r="A16" s="349" t="s">
        <v>1294</v>
      </c>
      <c r="B16" s="489">
        <v>0</v>
      </c>
      <c r="C16" s="489"/>
      <c r="D16" s="489">
        <v>0</v>
      </c>
      <c r="E16" s="489"/>
      <c r="F16" s="489">
        <v>0</v>
      </c>
      <c r="G16" s="489"/>
      <c r="H16" s="1249">
        <v>0</v>
      </c>
      <c r="I16" s="489"/>
      <c r="J16" s="613"/>
      <c r="K16" s="489"/>
      <c r="L16" s="489"/>
      <c r="M16" s="487"/>
      <c r="N16" s="489"/>
      <c r="O16" s="489"/>
      <c r="P16" s="489"/>
      <c r="Q16" s="489"/>
      <c r="R16" s="489"/>
      <c r="S16" s="489"/>
      <c r="T16" s="489"/>
      <c r="U16" s="489"/>
      <c r="V16" s="489"/>
      <c r="W16" s="489"/>
      <c r="X16" s="489"/>
      <c r="Y16" s="489"/>
      <c r="Z16" s="490">
        <f>SUM(B16:X16)</f>
        <v>0</v>
      </c>
    </row>
    <row r="17" spans="1:28" s="182" customFormat="1" ht="22.5" customHeight="1">
      <c r="A17" s="183" t="s">
        <v>427</v>
      </c>
      <c r="B17" s="593">
        <f>ROUND(SUM(B15:B16),0)</f>
        <v>0</v>
      </c>
      <c r="C17" s="184"/>
      <c r="D17" s="593">
        <f>ROUND(SUM(D15:D16),0)</f>
        <v>0</v>
      </c>
      <c r="E17" s="184"/>
      <c r="F17" s="593">
        <f>ROUND(SUM(F15:F16),0)</f>
        <v>0</v>
      </c>
      <c r="G17" s="184"/>
      <c r="H17" s="1250">
        <f>SUM(H15:H16)</f>
        <v>0</v>
      </c>
      <c r="I17" s="184"/>
      <c r="J17" s="593">
        <f>ROUND(SUM(J15:J16),0)</f>
        <v>0</v>
      </c>
      <c r="K17" s="184"/>
      <c r="L17" s="593">
        <f>ROUND(SUM(L15:L16),0)</f>
        <v>0</v>
      </c>
      <c r="M17" s="179"/>
      <c r="N17" s="593">
        <f>ROUND(SUM(N15:N16),0)</f>
        <v>0</v>
      </c>
      <c r="O17" s="184"/>
      <c r="P17" s="593">
        <f>ROUND(SUM(P15:P16),0)</f>
        <v>0</v>
      </c>
      <c r="Q17" s="184"/>
      <c r="R17" s="593">
        <f>ROUND(SUM(R15:R16),0)</f>
        <v>0</v>
      </c>
      <c r="S17" s="184"/>
      <c r="T17" s="593">
        <f>ROUND(SUM(T15:T16),0)</f>
        <v>0</v>
      </c>
      <c r="U17" s="184"/>
      <c r="V17" s="593">
        <f>ROUND(SUM(V15:V16),0)</f>
        <v>0</v>
      </c>
      <c r="W17" s="184"/>
      <c r="X17" s="593">
        <f>ROUND(SUM(X15:X16),0)</f>
        <v>0</v>
      </c>
      <c r="Y17" s="184"/>
      <c r="Z17" s="593">
        <f>ROUND(SUM(Z15:Z16),0)</f>
        <v>0</v>
      </c>
      <c r="AB17" s="115"/>
    </row>
    <row r="18" spans="1:28" ht="15" customHeight="1">
      <c r="A18" s="486"/>
      <c r="B18" s="489"/>
      <c r="C18" s="489"/>
      <c r="D18" s="489"/>
      <c r="E18" s="489"/>
      <c r="F18" s="489"/>
      <c r="G18" s="489"/>
      <c r="H18" s="489"/>
      <c r="I18" s="489"/>
      <c r="J18" s="489"/>
      <c r="K18" s="489"/>
      <c r="L18" s="489"/>
      <c r="M18" s="487"/>
      <c r="N18" s="489"/>
      <c r="O18" s="489"/>
      <c r="P18" s="489"/>
      <c r="Q18" s="489"/>
      <c r="R18" s="489"/>
      <c r="S18" s="489"/>
      <c r="T18" s="489"/>
      <c r="U18" s="489"/>
      <c r="V18" s="489"/>
      <c r="W18" s="489"/>
      <c r="X18" s="489"/>
      <c r="Y18" s="489"/>
      <c r="Z18" s="492"/>
    </row>
    <row r="19" spans="1:28" ht="15" customHeight="1">
      <c r="A19" s="183" t="s">
        <v>122</v>
      </c>
      <c r="B19" s="489"/>
      <c r="C19" s="489"/>
      <c r="D19" s="489"/>
      <c r="E19" s="489"/>
      <c r="F19" s="489"/>
      <c r="G19" s="489"/>
      <c r="H19" s="489"/>
      <c r="I19" s="489"/>
      <c r="J19" s="489"/>
      <c r="K19" s="489"/>
      <c r="L19" s="489"/>
      <c r="M19" s="487"/>
      <c r="N19" s="489"/>
      <c r="O19" s="489"/>
      <c r="P19" s="489"/>
      <c r="Q19" s="489"/>
      <c r="R19" s="489"/>
      <c r="S19" s="489"/>
      <c r="T19" s="489"/>
      <c r="U19" s="489"/>
      <c r="V19" s="489"/>
      <c r="W19" s="489"/>
      <c r="X19" s="489"/>
      <c r="Y19" s="489"/>
      <c r="Z19" s="490"/>
    </row>
    <row r="20" spans="1:28" ht="15" customHeight="1">
      <c r="A20" s="349" t="s">
        <v>1295</v>
      </c>
      <c r="B20" s="489">
        <v>0</v>
      </c>
      <c r="C20" s="489"/>
      <c r="D20" s="489">
        <v>0</v>
      </c>
      <c r="E20" s="489"/>
      <c r="F20" s="489">
        <v>0</v>
      </c>
      <c r="G20" s="489"/>
      <c r="H20" s="489">
        <v>0</v>
      </c>
      <c r="I20" s="489"/>
      <c r="J20" s="489"/>
      <c r="K20" s="489"/>
      <c r="L20" s="489"/>
      <c r="M20" s="487"/>
      <c r="N20" s="489"/>
      <c r="O20" s="489"/>
      <c r="P20" s="489"/>
      <c r="Q20" s="489"/>
      <c r="R20" s="489"/>
      <c r="S20" s="489"/>
      <c r="T20" s="489"/>
      <c r="U20" s="489"/>
      <c r="V20" s="489"/>
      <c r="W20" s="489"/>
      <c r="X20" s="489"/>
      <c r="Y20" s="489"/>
      <c r="Z20" s="490">
        <f>ROUND(SUM(B20:X20),0)</f>
        <v>0</v>
      </c>
    </row>
    <row r="21" spans="1:28" ht="15" customHeight="1">
      <c r="A21" s="349" t="s">
        <v>1296</v>
      </c>
      <c r="B21" s="489">
        <v>0</v>
      </c>
      <c r="C21" s="489"/>
      <c r="D21" s="489">
        <v>0</v>
      </c>
      <c r="E21" s="489"/>
      <c r="F21" s="489">
        <v>0</v>
      </c>
      <c r="G21" s="489"/>
      <c r="H21" s="489">
        <v>0</v>
      </c>
      <c r="I21" s="489"/>
      <c r="J21" s="489"/>
      <c r="K21" s="489"/>
      <c r="L21" s="489"/>
      <c r="M21" s="487"/>
      <c r="N21" s="489"/>
      <c r="O21" s="489"/>
      <c r="P21" s="489"/>
      <c r="Q21" s="489"/>
      <c r="R21" s="489"/>
      <c r="S21" s="489"/>
      <c r="T21" s="489"/>
      <c r="U21" s="489"/>
      <c r="V21" s="489"/>
      <c r="W21" s="489"/>
      <c r="X21" s="489"/>
      <c r="Y21" s="489"/>
      <c r="Z21" s="947">
        <f>ROUND(SUM(B21:X21),0)</f>
        <v>0</v>
      </c>
    </row>
    <row r="22" spans="1:28" ht="15" customHeight="1">
      <c r="A22" s="349" t="s">
        <v>1297</v>
      </c>
      <c r="B22" s="489">
        <v>228741</v>
      </c>
      <c r="C22" s="489"/>
      <c r="D22" s="489">
        <v>0</v>
      </c>
      <c r="E22" s="489"/>
      <c r="F22" s="489">
        <v>1937938</v>
      </c>
      <c r="G22" s="489"/>
      <c r="H22" s="489">
        <v>1400214</v>
      </c>
      <c r="I22" s="489"/>
      <c r="J22" s="489"/>
      <c r="K22" s="489"/>
      <c r="L22" s="489"/>
      <c r="M22" s="487"/>
      <c r="N22" s="489"/>
      <c r="O22" s="489"/>
      <c r="P22" s="489"/>
      <c r="Q22" s="489"/>
      <c r="R22" s="489"/>
      <c r="S22" s="489"/>
      <c r="T22" s="489"/>
      <c r="U22" s="489"/>
      <c r="V22" s="489"/>
      <c r="W22" s="489"/>
      <c r="X22" s="489"/>
      <c r="Y22" s="489"/>
      <c r="Z22" s="947">
        <f>ROUND(SUM(B22:X22),0)</f>
        <v>3566893</v>
      </c>
      <c r="AB22" s="871"/>
    </row>
    <row r="23" spans="1:28" ht="15" customHeight="1">
      <c r="A23" s="349" t="s">
        <v>1430</v>
      </c>
      <c r="B23" s="489">
        <v>0</v>
      </c>
      <c r="C23" s="489"/>
      <c r="D23" s="489">
        <v>0</v>
      </c>
      <c r="E23" s="489"/>
      <c r="F23" s="489">
        <v>0</v>
      </c>
      <c r="G23" s="489"/>
      <c r="H23" s="489">
        <v>0</v>
      </c>
      <c r="I23" s="489"/>
      <c r="J23" s="489"/>
      <c r="K23" s="489"/>
      <c r="L23" s="489"/>
      <c r="M23" s="487"/>
      <c r="N23" s="489"/>
      <c r="O23" s="489"/>
      <c r="P23" s="489"/>
      <c r="Q23" s="489"/>
      <c r="R23" s="489"/>
      <c r="S23" s="489"/>
      <c r="T23" s="489"/>
      <c r="U23" s="489"/>
      <c r="V23" s="489"/>
      <c r="W23" s="489"/>
      <c r="X23" s="489"/>
      <c r="Y23" s="489"/>
      <c r="Z23" s="947">
        <f t="shared" ref="Z23:Z25" si="0">ROUND(SUM(B23:X23),0)</f>
        <v>0</v>
      </c>
      <c r="AB23" s="871"/>
    </row>
    <row r="24" spans="1:28" ht="15" customHeight="1">
      <c r="A24" s="349" t="s">
        <v>1298</v>
      </c>
      <c r="B24" s="489">
        <v>0</v>
      </c>
      <c r="C24" s="489"/>
      <c r="D24" s="489">
        <v>0</v>
      </c>
      <c r="E24" s="489"/>
      <c r="F24" s="489">
        <v>0</v>
      </c>
      <c r="G24" s="489"/>
      <c r="H24" s="489">
        <v>0</v>
      </c>
      <c r="I24" s="489"/>
      <c r="J24" s="489"/>
      <c r="K24" s="489"/>
      <c r="L24" s="489"/>
      <c r="M24" s="487"/>
      <c r="N24" s="489"/>
      <c r="O24" s="489"/>
      <c r="P24" s="489"/>
      <c r="Q24" s="489"/>
      <c r="R24" s="489"/>
      <c r="S24" s="489"/>
      <c r="T24" s="489"/>
      <c r="U24" s="489"/>
      <c r="V24" s="489"/>
      <c r="W24" s="489"/>
      <c r="X24" s="489"/>
      <c r="Y24" s="489"/>
      <c r="Z24" s="947">
        <f t="shared" si="0"/>
        <v>0</v>
      </c>
    </row>
    <row r="25" spans="1:28" ht="15" customHeight="1">
      <c r="A25" s="349" t="s">
        <v>1299</v>
      </c>
      <c r="B25" s="489">
        <v>0</v>
      </c>
      <c r="C25" s="489"/>
      <c r="D25" s="489">
        <v>0</v>
      </c>
      <c r="E25" s="489"/>
      <c r="F25" s="489">
        <v>0</v>
      </c>
      <c r="G25" s="489"/>
      <c r="H25" s="489">
        <v>0</v>
      </c>
      <c r="I25" s="489"/>
      <c r="J25" s="489"/>
      <c r="K25" s="489"/>
      <c r="L25" s="489"/>
      <c r="M25" s="487"/>
      <c r="N25" s="489"/>
      <c r="O25" s="489"/>
      <c r="P25" s="489"/>
      <c r="Q25" s="489"/>
      <c r="R25" s="489"/>
      <c r="S25" s="489"/>
      <c r="T25" s="489"/>
      <c r="U25" s="489"/>
      <c r="V25" s="489"/>
      <c r="W25" s="489"/>
      <c r="X25" s="489"/>
      <c r="Y25" s="489"/>
      <c r="Z25" s="947">
        <f t="shared" si="0"/>
        <v>0</v>
      </c>
    </row>
    <row r="26" spans="1:28" ht="15" customHeight="1">
      <c r="A26" s="349" t="s">
        <v>1300</v>
      </c>
      <c r="B26" s="489">
        <v>3840</v>
      </c>
      <c r="C26" s="489"/>
      <c r="D26" s="489">
        <v>8823</v>
      </c>
      <c r="E26" s="489"/>
      <c r="F26" s="489">
        <v>0</v>
      </c>
      <c r="G26" s="489"/>
      <c r="H26" s="489">
        <v>0</v>
      </c>
      <c r="I26" s="489"/>
      <c r="J26" s="489"/>
      <c r="K26" s="489"/>
      <c r="L26" s="489"/>
      <c r="M26" s="487"/>
      <c r="N26" s="489"/>
      <c r="O26" s="489"/>
      <c r="P26" s="489"/>
      <c r="Q26" s="489"/>
      <c r="R26" s="489"/>
      <c r="S26" s="489"/>
      <c r="T26" s="489"/>
      <c r="U26" s="489"/>
      <c r="V26" s="489"/>
      <c r="W26" s="489"/>
      <c r="X26" s="489"/>
      <c r="Y26" s="489"/>
      <c r="Z26" s="947">
        <f>ROUND(SUM(B26:X26),0)</f>
        <v>12663</v>
      </c>
    </row>
    <row r="27" spans="1:28" ht="14.9" customHeight="1">
      <c r="A27" s="349" t="s">
        <v>1301</v>
      </c>
      <c r="B27" s="489">
        <v>1029250</v>
      </c>
      <c r="C27" s="489"/>
      <c r="D27" s="489">
        <v>2180127</v>
      </c>
      <c r="E27" s="489"/>
      <c r="F27" s="489">
        <v>1346600</v>
      </c>
      <c r="G27" s="489"/>
      <c r="H27" s="489">
        <v>1448593</v>
      </c>
      <c r="I27" s="489"/>
      <c r="J27" s="489"/>
      <c r="K27" s="489"/>
      <c r="L27" s="489"/>
      <c r="M27" s="487"/>
      <c r="N27" s="489"/>
      <c r="O27" s="489"/>
      <c r="P27" s="489"/>
      <c r="Q27" s="489"/>
      <c r="R27" s="489"/>
      <c r="S27" s="489"/>
      <c r="T27" s="489"/>
      <c r="U27" s="489"/>
      <c r="V27" s="489"/>
      <c r="W27" s="489"/>
      <c r="X27" s="489"/>
      <c r="Y27" s="489"/>
      <c r="Z27" s="947">
        <f t="shared" ref="Z27:Z30" si="1">ROUND(SUM(B27:X27),0)</f>
        <v>6004570</v>
      </c>
    </row>
    <row r="28" spans="1:28" ht="14.9" customHeight="1">
      <c r="A28" s="349" t="s">
        <v>1302</v>
      </c>
      <c r="B28" s="489">
        <v>858000</v>
      </c>
      <c r="C28" s="489"/>
      <c r="D28" s="489">
        <v>0</v>
      </c>
      <c r="E28" s="489"/>
      <c r="F28" s="489">
        <v>1138874</v>
      </c>
      <c r="G28" s="489"/>
      <c r="H28" s="489">
        <v>966605</v>
      </c>
      <c r="I28" s="489"/>
      <c r="J28" s="489"/>
      <c r="K28" s="489"/>
      <c r="L28" s="489"/>
      <c r="M28" s="487"/>
      <c r="N28" s="489"/>
      <c r="O28" s="489"/>
      <c r="P28" s="489"/>
      <c r="Q28" s="489"/>
      <c r="R28" s="489"/>
      <c r="S28" s="489"/>
      <c r="T28" s="489"/>
      <c r="U28" s="489"/>
      <c r="V28" s="489"/>
      <c r="W28" s="489"/>
      <c r="X28" s="489"/>
      <c r="Y28" s="489"/>
      <c r="Z28" s="947">
        <f>ROUND(SUM(B28:X28),0)</f>
        <v>2963479</v>
      </c>
    </row>
    <row r="29" spans="1:28" ht="14.9" customHeight="1">
      <c r="A29" s="349" t="s">
        <v>1363</v>
      </c>
      <c r="B29" s="489">
        <v>0</v>
      </c>
      <c r="C29" s="489"/>
      <c r="D29" s="489">
        <v>0</v>
      </c>
      <c r="E29" s="489"/>
      <c r="F29" s="489">
        <v>0</v>
      </c>
      <c r="G29" s="489"/>
      <c r="H29" s="489">
        <v>0</v>
      </c>
      <c r="I29" s="489"/>
      <c r="J29" s="489"/>
      <c r="K29" s="489"/>
      <c r="L29" s="489"/>
      <c r="M29" s="487"/>
      <c r="N29" s="489"/>
      <c r="O29" s="489"/>
      <c r="P29" s="489"/>
      <c r="Q29" s="489"/>
      <c r="R29" s="489"/>
      <c r="S29" s="489"/>
      <c r="T29" s="489"/>
      <c r="U29" s="489"/>
      <c r="V29" s="489"/>
      <c r="W29" s="489"/>
      <c r="X29" s="489"/>
      <c r="Y29" s="489"/>
      <c r="Z29" s="947">
        <f t="shared" si="1"/>
        <v>0</v>
      </c>
    </row>
    <row r="30" spans="1:28" ht="14.9" customHeight="1">
      <c r="A30" s="349" t="s">
        <v>1364</v>
      </c>
      <c r="B30" s="489">
        <v>0</v>
      </c>
      <c r="C30" s="489"/>
      <c r="D30" s="489">
        <v>0</v>
      </c>
      <c r="E30" s="489"/>
      <c r="F30" s="489">
        <v>0</v>
      </c>
      <c r="G30" s="489"/>
      <c r="H30" s="489">
        <v>0</v>
      </c>
      <c r="I30" s="489"/>
      <c r="J30" s="489"/>
      <c r="K30" s="489"/>
      <c r="L30" s="489"/>
      <c r="M30" s="487"/>
      <c r="N30" s="489"/>
      <c r="O30" s="489"/>
      <c r="P30" s="489"/>
      <c r="Q30" s="489"/>
      <c r="R30" s="489"/>
      <c r="S30" s="489"/>
      <c r="T30" s="489"/>
      <c r="U30" s="489"/>
      <c r="V30" s="489"/>
      <c r="W30" s="489"/>
      <c r="X30" s="489"/>
      <c r="Y30" s="489"/>
      <c r="Z30" s="947">
        <f t="shared" si="1"/>
        <v>0</v>
      </c>
    </row>
    <row r="31" spans="1:28" ht="15" customHeight="1">
      <c r="A31" s="349" t="s">
        <v>1303</v>
      </c>
      <c r="B31" s="489">
        <v>0</v>
      </c>
      <c r="C31" s="489"/>
      <c r="D31" s="489">
        <v>0</v>
      </c>
      <c r="E31" s="489"/>
      <c r="F31" s="489">
        <v>0</v>
      </c>
      <c r="G31" s="489"/>
      <c r="H31" s="489">
        <v>0</v>
      </c>
      <c r="I31" s="489"/>
      <c r="J31" s="489"/>
      <c r="K31" s="489"/>
      <c r="L31" s="489"/>
      <c r="M31" s="487"/>
      <c r="N31" s="489"/>
      <c r="O31" s="489"/>
      <c r="P31" s="489"/>
      <c r="Q31" s="489"/>
      <c r="R31" s="489"/>
      <c r="S31" s="489"/>
      <c r="T31" s="489"/>
      <c r="U31" s="489"/>
      <c r="V31" s="489"/>
      <c r="W31" s="489"/>
      <c r="X31" s="489"/>
      <c r="Y31" s="489"/>
      <c r="Z31" s="490">
        <f>ROUND(SUM(B31:X31),0)</f>
        <v>0</v>
      </c>
    </row>
    <row r="32" spans="1:28" ht="15" customHeight="1">
      <c r="A32" s="349" t="s">
        <v>1304</v>
      </c>
      <c r="B32" s="489">
        <v>0</v>
      </c>
      <c r="C32" s="489"/>
      <c r="D32" s="489">
        <v>64998</v>
      </c>
      <c r="E32" s="489"/>
      <c r="F32" s="489">
        <v>0</v>
      </c>
      <c r="G32" s="489"/>
      <c r="H32" s="489">
        <v>0</v>
      </c>
      <c r="I32" s="489"/>
      <c r="J32" s="489"/>
      <c r="K32" s="489"/>
      <c r="L32" s="489"/>
      <c r="M32" s="487"/>
      <c r="N32" s="489"/>
      <c r="O32" s="489"/>
      <c r="P32" s="489"/>
      <c r="Q32" s="489"/>
      <c r="R32" s="489"/>
      <c r="S32" s="489"/>
      <c r="T32" s="489"/>
      <c r="U32" s="489"/>
      <c r="V32" s="489"/>
      <c r="W32" s="489"/>
      <c r="X32" s="489"/>
      <c r="Y32" s="489"/>
      <c r="Z32" s="490">
        <f t="shared" ref="Z32" si="2">ROUND(SUM(B32:X32),0)</f>
        <v>64998</v>
      </c>
    </row>
    <row r="33" spans="1:28" ht="15" customHeight="1">
      <c r="A33" s="349" t="s">
        <v>1305</v>
      </c>
      <c r="B33" s="489">
        <v>3420458</v>
      </c>
      <c r="C33" s="489"/>
      <c r="D33" s="489">
        <v>38920</v>
      </c>
      <c r="E33" s="489"/>
      <c r="F33" s="489">
        <v>888414</v>
      </c>
      <c r="G33" s="489"/>
      <c r="H33" s="489">
        <v>1808428</v>
      </c>
      <c r="I33" s="489"/>
      <c r="J33" s="489"/>
      <c r="K33" s="489"/>
      <c r="L33" s="489"/>
      <c r="M33" s="487"/>
      <c r="N33" s="489"/>
      <c r="O33" s="489"/>
      <c r="P33" s="489"/>
      <c r="Q33" s="489"/>
      <c r="R33" s="489"/>
      <c r="S33" s="489"/>
      <c r="T33" s="489"/>
      <c r="U33" s="489"/>
      <c r="V33" s="489"/>
      <c r="W33" s="489"/>
      <c r="X33" s="489"/>
      <c r="Y33" s="489"/>
      <c r="Z33" s="490">
        <f>ROUND(SUM(B33:X33),0)</f>
        <v>6156220</v>
      </c>
    </row>
    <row r="34" spans="1:28" ht="15" customHeight="1">
      <c r="A34" s="349" t="s">
        <v>1412</v>
      </c>
      <c r="B34" s="489">
        <v>0</v>
      </c>
      <c r="C34" s="489"/>
      <c r="D34" s="489">
        <v>0</v>
      </c>
      <c r="E34" s="489"/>
      <c r="F34" s="489">
        <v>0</v>
      </c>
      <c r="G34" s="489"/>
      <c r="H34" s="489">
        <v>0</v>
      </c>
      <c r="I34" s="489"/>
      <c r="J34" s="489"/>
      <c r="K34" s="489"/>
      <c r="L34" s="489"/>
      <c r="M34" s="487"/>
      <c r="N34" s="489"/>
      <c r="O34" s="489"/>
      <c r="P34" s="489"/>
      <c r="Q34" s="489"/>
      <c r="R34" s="489"/>
      <c r="S34" s="489"/>
      <c r="T34" s="489"/>
      <c r="U34" s="489"/>
      <c r="V34" s="489"/>
      <c r="W34" s="489"/>
      <c r="X34" s="489"/>
      <c r="Y34" s="489"/>
      <c r="Z34" s="490">
        <f>ROUND(SUM(B34:X34),0)</f>
        <v>0</v>
      </c>
    </row>
    <row r="35" spans="1:28" ht="15" customHeight="1">
      <c r="A35" s="349" t="s">
        <v>1306</v>
      </c>
      <c r="B35" s="489">
        <v>1443533</v>
      </c>
      <c r="C35" s="489"/>
      <c r="D35" s="489">
        <v>56783</v>
      </c>
      <c r="E35" s="489"/>
      <c r="F35" s="489">
        <v>9387317</v>
      </c>
      <c r="G35" s="489"/>
      <c r="H35" s="489">
        <v>32728</v>
      </c>
      <c r="I35" s="489"/>
      <c r="J35" s="489"/>
      <c r="K35" s="489"/>
      <c r="L35" s="489"/>
      <c r="M35" s="487"/>
      <c r="N35" s="489"/>
      <c r="O35" s="489"/>
      <c r="P35" s="489"/>
      <c r="Q35" s="489"/>
      <c r="R35" s="489"/>
      <c r="S35" s="489"/>
      <c r="T35" s="489"/>
      <c r="U35" s="489"/>
      <c r="V35" s="489"/>
      <c r="W35" s="489"/>
      <c r="X35" s="489"/>
      <c r="Y35" s="489"/>
      <c r="Z35" s="490">
        <f>ROUND(SUM(B35:X35),0)</f>
        <v>10920361</v>
      </c>
    </row>
    <row r="36" spans="1:28" ht="22.5" customHeight="1">
      <c r="A36" s="183" t="s">
        <v>457</v>
      </c>
      <c r="B36" s="593">
        <f>ROUND(SUM(B20:B35),0)</f>
        <v>6983822</v>
      </c>
      <c r="C36" s="489"/>
      <c r="D36" s="593">
        <f>ROUND(SUM(D20:D35),0)</f>
        <v>2349651</v>
      </c>
      <c r="E36" s="489"/>
      <c r="F36" s="593">
        <f>ROUND(SUM(F20:F35),0)</f>
        <v>14699143</v>
      </c>
      <c r="G36" s="489"/>
      <c r="H36" s="593">
        <f>ROUND(SUM(H20:H35),0)</f>
        <v>5656568</v>
      </c>
      <c r="I36" s="489"/>
      <c r="J36" s="593">
        <f>ROUND(SUM(J20:J35),0)</f>
        <v>0</v>
      </c>
      <c r="K36" s="489"/>
      <c r="L36" s="593">
        <f>ROUND(SUM(L20:L35),0)</f>
        <v>0</v>
      </c>
      <c r="M36" s="487"/>
      <c r="N36" s="593">
        <f>ROUND(SUM(N20:N35),0)</f>
        <v>0</v>
      </c>
      <c r="O36" s="489"/>
      <c r="P36" s="593">
        <f>ROUND(SUM(P20:P35),0)</f>
        <v>0</v>
      </c>
      <c r="Q36" s="489"/>
      <c r="R36" s="593">
        <f>ROUND(SUM(R20:R35),0)</f>
        <v>0</v>
      </c>
      <c r="S36" s="489"/>
      <c r="T36" s="593">
        <f>ROUND(SUM(T20:T35),0)</f>
        <v>0</v>
      </c>
      <c r="U36" s="489"/>
      <c r="V36" s="593">
        <f>ROUND(SUM(V20:V35),0)</f>
        <v>0</v>
      </c>
      <c r="W36" s="489"/>
      <c r="X36" s="593">
        <f>ROUND(SUM(X20:X35),0)</f>
        <v>0</v>
      </c>
      <c r="Y36" s="489"/>
      <c r="Z36" s="593">
        <f>ROUND(SUM(Z20:Z35),0)</f>
        <v>29689184</v>
      </c>
    </row>
    <row r="37" spans="1:28" ht="15" customHeight="1">
      <c r="A37" s="183"/>
      <c r="B37" s="489"/>
      <c r="C37" s="489"/>
      <c r="D37" s="489"/>
      <c r="E37" s="489"/>
      <c r="F37" s="491"/>
      <c r="G37" s="489"/>
      <c r="H37" s="491"/>
      <c r="I37" s="489"/>
      <c r="J37" s="489"/>
      <c r="K37" s="489"/>
      <c r="L37" s="494"/>
      <c r="M37" s="487"/>
      <c r="N37" s="494"/>
      <c r="O37" s="489"/>
      <c r="P37" s="489"/>
      <c r="Q37" s="489"/>
      <c r="R37" s="491"/>
      <c r="S37" s="489"/>
      <c r="T37" s="491"/>
      <c r="U37" s="489"/>
      <c r="V37" s="489"/>
      <c r="W37" s="489"/>
      <c r="X37" s="491"/>
      <c r="Y37" s="489"/>
      <c r="Z37" s="490"/>
    </row>
    <row r="38" spans="1:28" ht="15" customHeight="1">
      <c r="A38" s="185" t="s">
        <v>929</v>
      </c>
      <c r="B38" s="491"/>
      <c r="C38" s="491"/>
      <c r="D38" s="491"/>
      <c r="E38" s="489"/>
      <c r="F38" s="494"/>
      <c r="G38" s="489"/>
      <c r="H38" s="491"/>
      <c r="I38" s="489"/>
      <c r="J38" s="491"/>
      <c r="K38" s="489"/>
      <c r="L38" s="491"/>
      <c r="M38" s="487"/>
      <c r="N38" s="491"/>
      <c r="O38" s="489"/>
      <c r="P38" s="489"/>
      <c r="Q38" s="489"/>
      <c r="R38" s="491"/>
      <c r="S38" s="489"/>
      <c r="T38" s="491"/>
      <c r="U38" s="489"/>
      <c r="V38" s="494"/>
      <c r="W38" s="489"/>
      <c r="X38" s="494"/>
      <c r="Y38" s="489"/>
      <c r="Z38" s="490"/>
    </row>
    <row r="39" spans="1:28" ht="15" customHeight="1">
      <c r="A39" s="349" t="s">
        <v>931</v>
      </c>
      <c r="B39" s="489">
        <v>0</v>
      </c>
      <c r="C39" s="491"/>
      <c r="D39" s="489">
        <v>0</v>
      </c>
      <c r="E39" s="489"/>
      <c r="F39" s="489">
        <v>0</v>
      </c>
      <c r="G39" s="489"/>
      <c r="H39" s="489">
        <v>0</v>
      </c>
      <c r="I39" s="489"/>
      <c r="J39" s="493"/>
      <c r="K39" s="489"/>
      <c r="L39" s="489"/>
      <c r="M39" s="487"/>
      <c r="N39" s="489"/>
      <c r="O39" s="489"/>
      <c r="P39" s="489"/>
      <c r="Q39" s="489"/>
      <c r="R39" s="489"/>
      <c r="S39" s="489"/>
      <c r="T39" s="489"/>
      <c r="U39" s="489"/>
      <c r="V39" s="489"/>
      <c r="W39" s="489"/>
      <c r="X39" s="489"/>
      <c r="Y39" s="489"/>
      <c r="Z39" s="490">
        <f>ROUND(SUM(B39:X39),0)</f>
        <v>0</v>
      </c>
    </row>
    <row r="40" spans="1:28" ht="22.5" customHeight="1">
      <c r="A40" s="183" t="s">
        <v>936</v>
      </c>
      <c r="B40" s="600">
        <f>ROUND(SUM(B39:B39),0)</f>
        <v>0</v>
      </c>
      <c r="C40" s="491"/>
      <c r="D40" s="600">
        <f>ROUND(SUM(D39:D39),0)</f>
        <v>0</v>
      </c>
      <c r="E40" s="489"/>
      <c r="F40" s="600">
        <f>ROUND(SUM(F39:F39),0)</f>
        <v>0</v>
      </c>
      <c r="G40" s="489"/>
      <c r="H40" s="600">
        <f>ROUND(SUM(H39:H39),0)</f>
        <v>0</v>
      </c>
      <c r="I40" s="489"/>
      <c r="J40" s="600">
        <f>ROUND(SUM(J39:J39),0)</f>
        <v>0</v>
      </c>
      <c r="K40" s="489"/>
      <c r="L40" s="600">
        <f>ROUND(SUM(L39:L39),0)</f>
        <v>0</v>
      </c>
      <c r="M40" s="487"/>
      <c r="N40" s="600">
        <f>ROUND(SUM(N39:N39),0)</f>
        <v>0</v>
      </c>
      <c r="O40" s="489"/>
      <c r="P40" s="600">
        <f>ROUND(SUM(P39:P39),0)</f>
        <v>0</v>
      </c>
      <c r="Q40" s="489"/>
      <c r="R40" s="600">
        <f>ROUND(SUM(R39:R39),0)</f>
        <v>0</v>
      </c>
      <c r="S40" s="489"/>
      <c r="T40" s="600">
        <f>ROUND(SUM(T39:T39),0)</f>
        <v>0</v>
      </c>
      <c r="U40" s="489"/>
      <c r="V40" s="600">
        <f>ROUND(SUM(V39:V39),0)</f>
        <v>0</v>
      </c>
      <c r="W40" s="489"/>
      <c r="X40" s="600">
        <f>ROUND(SUM(X39:X39),0)</f>
        <v>0</v>
      </c>
      <c r="Y40" s="489"/>
      <c r="Z40" s="600">
        <f>ROUND(SUM(Z39:Z39),0)</f>
        <v>0</v>
      </c>
    </row>
    <row r="41" spans="1:28" ht="15" customHeight="1">
      <c r="B41" s="614"/>
      <c r="C41" s="491"/>
      <c r="D41" s="614"/>
      <c r="E41" s="489"/>
      <c r="F41" s="614"/>
      <c r="G41" s="489"/>
      <c r="H41" s="614"/>
      <c r="I41" s="489"/>
      <c r="J41" s="614"/>
      <c r="K41" s="489"/>
      <c r="L41" s="614"/>
      <c r="M41" s="487"/>
      <c r="N41" s="614"/>
      <c r="O41" s="489"/>
      <c r="P41" s="614"/>
      <c r="Q41" s="489"/>
      <c r="R41" s="614"/>
      <c r="S41" s="489"/>
      <c r="T41" s="614"/>
      <c r="U41" s="489"/>
      <c r="V41" s="614"/>
      <c r="W41" s="489"/>
      <c r="X41" s="614"/>
      <c r="Y41" s="489"/>
      <c r="Z41" s="1089"/>
    </row>
    <row r="42" spans="1:28" s="182" customFormat="1" ht="20.25" customHeight="1">
      <c r="A42" s="183" t="s">
        <v>937</v>
      </c>
      <c r="B42" s="1082">
        <f>ROUND(B36+B40,0)</f>
        <v>6983822</v>
      </c>
      <c r="C42" s="184"/>
      <c r="D42" s="1082">
        <f>ROUND(D36+D40,0)</f>
        <v>2349651</v>
      </c>
      <c r="E42" s="184"/>
      <c r="F42" s="1082">
        <f>ROUND(F36+F40,0)</f>
        <v>14699143</v>
      </c>
      <c r="G42" s="184"/>
      <c r="H42" s="1082">
        <f>ROUND(H36+H40,0)</f>
        <v>5656568</v>
      </c>
      <c r="I42" s="184"/>
      <c r="J42" s="1804">
        <f>ROUND(J36+J40,0)</f>
        <v>0</v>
      </c>
      <c r="K42" s="184"/>
      <c r="L42" s="1082">
        <f>ROUND(L36+L40,0)</f>
        <v>0</v>
      </c>
      <c r="M42" s="179"/>
      <c r="N42" s="1082">
        <f>ROUND(N36+N40,0)</f>
        <v>0</v>
      </c>
      <c r="O42" s="184"/>
      <c r="P42" s="1082">
        <f>ROUND(P36+P40,0)</f>
        <v>0</v>
      </c>
      <c r="Q42" s="184"/>
      <c r="R42" s="1082">
        <f>ROUND(R36+R40,0)</f>
        <v>0</v>
      </c>
      <c r="S42" s="184"/>
      <c r="T42" s="1082">
        <f>ROUND(T36+T40,0)</f>
        <v>0</v>
      </c>
      <c r="U42" s="184"/>
      <c r="V42" s="1082">
        <f>ROUND(V36+V40,0)</f>
        <v>0</v>
      </c>
      <c r="W42" s="184"/>
      <c r="X42" s="1082">
        <f>ROUND(X36+X40,0)</f>
        <v>0</v>
      </c>
      <c r="Y42" s="184"/>
      <c r="Z42" s="1082">
        <f>ROUND(Z36+Z40,0)</f>
        <v>29689184</v>
      </c>
      <c r="AB42" s="115"/>
    </row>
    <row r="43" spans="1:28" ht="15" customHeight="1">
      <c r="A43" s="486"/>
      <c r="B43" s="487"/>
      <c r="C43" s="487"/>
      <c r="D43" s="487"/>
      <c r="E43" s="487"/>
      <c r="F43" s="487"/>
      <c r="G43" s="487"/>
      <c r="H43" s="487"/>
      <c r="I43" s="487"/>
      <c r="J43" s="487"/>
      <c r="K43" s="487"/>
      <c r="L43" s="487"/>
      <c r="M43" s="487"/>
      <c r="N43" s="487"/>
      <c r="O43" s="487"/>
      <c r="P43" s="487"/>
      <c r="Q43" s="487"/>
      <c r="R43" s="487"/>
      <c r="S43" s="487"/>
      <c r="T43" s="487"/>
      <c r="U43" s="487"/>
      <c r="V43" s="487"/>
      <c r="W43" s="487"/>
      <c r="X43" s="487"/>
      <c r="Y43" s="487"/>
    </row>
    <row r="44" spans="1:28" s="182" customFormat="1" ht="20.25" customHeight="1" thickBot="1">
      <c r="A44" s="185" t="s">
        <v>938</v>
      </c>
      <c r="B44" s="818">
        <f>ROUND(B12+B17-B42,0)</f>
        <v>101980905</v>
      </c>
      <c r="C44" s="181"/>
      <c r="D44" s="818">
        <f>ROUND(D12+D17-D42,0)</f>
        <v>99631254</v>
      </c>
      <c r="E44" s="485"/>
      <c r="F44" s="818">
        <f>ROUND(F12+F17-F42,0)</f>
        <v>84932111</v>
      </c>
      <c r="G44" s="485"/>
      <c r="H44" s="818">
        <f>ROUND(H12+H17-H42,0)</f>
        <v>79275543</v>
      </c>
      <c r="I44" s="944"/>
      <c r="J44" s="1805">
        <f>ROUND(J12+J17-J42,0)</f>
        <v>0</v>
      </c>
      <c r="K44" s="945"/>
      <c r="L44" s="818">
        <f>ROUND(L12+L17-L42,0)</f>
        <v>0</v>
      </c>
      <c r="M44" s="946"/>
      <c r="N44" s="818">
        <f>ROUND(N12+N17-N42,0)</f>
        <v>0</v>
      </c>
      <c r="O44" s="945"/>
      <c r="P44" s="818">
        <f>ROUND(P12+P17-P42,0)</f>
        <v>0</v>
      </c>
      <c r="Q44" s="945"/>
      <c r="R44" s="818">
        <f>ROUND(R12+R17-R42,0)</f>
        <v>0</v>
      </c>
      <c r="S44" s="945"/>
      <c r="T44" s="818">
        <f>ROUND(T12+T17-T42,0)</f>
        <v>0</v>
      </c>
      <c r="U44" s="945"/>
      <c r="V44" s="818">
        <f>ROUND(V12+V17-V42,0)</f>
        <v>0</v>
      </c>
      <c r="W44" s="945"/>
      <c r="X44" s="818">
        <f>ROUND(X12+X17-X42,0)</f>
        <v>0</v>
      </c>
      <c r="Y44" s="945"/>
      <c r="Z44" s="1992">
        <f>ROUND(Z12+Z17-Z42,0)</f>
        <v>79275543</v>
      </c>
    </row>
    <row r="45" spans="1:28" ht="15" customHeight="1" thickTop="1">
      <c r="A45" s="486"/>
      <c r="B45" s="483"/>
      <c r="C45" s="483"/>
      <c r="D45" s="483"/>
      <c r="E45" s="484"/>
      <c r="F45" s="483"/>
      <c r="G45" s="484"/>
      <c r="H45" s="483"/>
      <c r="I45" s="484"/>
      <c r="J45" s="483"/>
      <c r="K45" s="483"/>
      <c r="L45" s="483"/>
      <c r="M45" s="484"/>
      <c r="N45" s="483"/>
      <c r="O45" s="484"/>
      <c r="P45" s="483"/>
      <c r="Q45" s="484"/>
      <c r="R45" s="483"/>
      <c r="S45" s="484"/>
      <c r="T45" s="483"/>
      <c r="U45" s="484"/>
      <c r="V45" s="483"/>
      <c r="W45" s="484"/>
      <c r="X45" s="483"/>
      <c r="Y45" s="484"/>
      <c r="Z45" s="495"/>
    </row>
    <row r="46" spans="1:28" ht="20.149999999999999" customHeight="1">
      <c r="A46" s="186"/>
      <c r="B46" s="483"/>
      <c r="C46" s="483"/>
      <c r="D46" s="483"/>
      <c r="E46" s="484"/>
      <c r="F46" s="483"/>
      <c r="G46" s="484"/>
      <c r="H46" s="483"/>
      <c r="I46" s="484"/>
      <c r="J46" s="483"/>
      <c r="K46" s="483"/>
      <c r="L46" s="483"/>
      <c r="M46" s="484"/>
      <c r="N46" s="483"/>
      <c r="O46" s="484"/>
      <c r="P46" s="483"/>
      <c r="Q46" s="484"/>
      <c r="R46" s="483"/>
      <c r="S46" s="484"/>
      <c r="T46" s="483"/>
      <c r="U46" s="484"/>
      <c r="V46" s="483"/>
      <c r="W46" s="484"/>
      <c r="X46" s="483"/>
      <c r="Y46" s="484"/>
      <c r="Z46" s="488"/>
    </row>
    <row r="47" spans="1:28">
      <c r="L47" s="563" t="s">
        <v>103</v>
      </c>
    </row>
    <row r="48" spans="1:28" ht="18" customHeight="1">
      <c r="A48" s="565" t="s">
        <v>1307</v>
      </c>
      <c r="B48" s="479"/>
      <c r="C48" s="479"/>
      <c r="D48" s="479"/>
      <c r="E48" s="166"/>
      <c r="F48" s="479"/>
      <c r="G48" s="166"/>
      <c r="H48" s="479"/>
      <c r="I48" s="166"/>
      <c r="J48" s="479"/>
      <c r="K48" s="479"/>
      <c r="L48" s="479"/>
      <c r="M48" s="484"/>
      <c r="N48" s="479" t="s">
        <v>103</v>
      </c>
      <c r="O48" s="166"/>
      <c r="P48" s="479"/>
      <c r="Q48" s="166"/>
      <c r="R48" s="479"/>
      <c r="S48" s="166"/>
      <c r="T48" s="479"/>
      <c r="U48" s="166"/>
      <c r="V48" s="479"/>
      <c r="W48" s="166"/>
      <c r="X48" s="479"/>
      <c r="Y48" s="166"/>
      <c r="Z48" s="480"/>
    </row>
    <row r="49" spans="1:26" ht="20.149999999999999" customHeight="1">
      <c r="A49" s="564" t="s">
        <v>1308</v>
      </c>
      <c r="B49" s="483"/>
      <c r="C49" s="483"/>
      <c r="D49" s="483"/>
      <c r="E49" s="484"/>
      <c r="F49" s="483"/>
      <c r="G49" s="484"/>
      <c r="H49" s="483"/>
      <c r="I49" s="484"/>
      <c r="J49" s="483"/>
      <c r="K49" s="483"/>
      <c r="L49" s="483"/>
      <c r="M49" s="484"/>
      <c r="N49" s="483" t="s">
        <v>103</v>
      </c>
      <c r="O49" s="484"/>
      <c r="P49" s="483"/>
      <c r="Q49" s="484"/>
      <c r="R49" s="483"/>
      <c r="S49" s="484"/>
      <c r="T49" s="483"/>
      <c r="U49" s="484"/>
      <c r="V49" s="483"/>
      <c r="W49" s="484"/>
      <c r="X49" s="483"/>
      <c r="Y49" s="484"/>
      <c r="Z49" s="488"/>
    </row>
    <row r="50" spans="1:26" ht="20.149999999999999" customHeight="1">
      <c r="A50" s="564"/>
      <c r="B50" s="483"/>
      <c r="C50" s="483"/>
      <c r="D50" s="483"/>
      <c r="E50" s="484"/>
      <c r="F50" s="483"/>
      <c r="G50" s="484"/>
      <c r="H50" s="483"/>
      <c r="I50" s="484"/>
      <c r="J50" s="483"/>
      <c r="K50" s="483"/>
      <c r="L50" s="483"/>
      <c r="M50" s="484"/>
      <c r="N50" s="483" t="s">
        <v>103</v>
      </c>
      <c r="O50" s="484"/>
      <c r="P50" s="483"/>
      <c r="Q50" s="484"/>
      <c r="R50" s="483"/>
      <c r="S50" s="484"/>
      <c r="T50" s="483"/>
      <c r="U50" s="484"/>
      <c r="V50" s="483"/>
      <c r="W50" s="484"/>
      <c r="X50" s="483"/>
      <c r="Y50" s="484"/>
      <c r="Z50" s="488"/>
    </row>
    <row r="51" spans="1:26" ht="20.149999999999999" customHeight="1">
      <c r="A51" s="564"/>
      <c r="B51" s="165"/>
      <c r="C51" s="165"/>
      <c r="D51" s="165"/>
      <c r="E51" s="166"/>
      <c r="F51" s="165"/>
      <c r="G51" s="166"/>
      <c r="H51" s="165"/>
      <c r="I51" s="166"/>
      <c r="J51" s="165"/>
      <c r="K51" s="165"/>
      <c r="L51" s="165"/>
      <c r="M51" s="166"/>
      <c r="N51" s="165"/>
      <c r="O51" s="166"/>
      <c r="P51" s="165"/>
      <c r="Q51" s="166"/>
      <c r="R51" s="165"/>
      <c r="S51" s="166"/>
      <c r="T51" s="165"/>
      <c r="U51" s="166"/>
      <c r="V51" s="165"/>
      <c r="W51" s="166"/>
      <c r="X51" s="165"/>
      <c r="Y51" s="166"/>
      <c r="Z51" s="116"/>
    </row>
    <row r="52" spans="1:26" ht="20.149999999999999" customHeight="1">
      <c r="A52" s="163"/>
      <c r="B52" s="165"/>
      <c r="C52" s="165"/>
      <c r="D52" s="165"/>
      <c r="E52" s="166"/>
      <c r="F52" s="165"/>
      <c r="G52" s="166"/>
      <c r="H52" s="165"/>
      <c r="I52" s="166"/>
      <c r="J52" s="165"/>
      <c r="K52" s="165"/>
      <c r="L52" s="165"/>
      <c r="M52" s="166"/>
      <c r="N52" s="165"/>
      <c r="O52" s="166"/>
      <c r="P52" s="165"/>
      <c r="Q52" s="166"/>
      <c r="R52" s="165"/>
      <c r="S52" s="166"/>
      <c r="T52" s="165"/>
      <c r="U52" s="166"/>
      <c r="V52" s="165"/>
      <c r="W52" s="166"/>
      <c r="X52" s="165"/>
      <c r="Y52" s="166"/>
      <c r="Z52" s="116"/>
    </row>
    <row r="53" spans="1:26" ht="20.149999999999999" customHeight="1">
      <c r="A53" s="163"/>
      <c r="B53" s="165"/>
      <c r="C53" s="165"/>
      <c r="D53" s="165"/>
      <c r="E53" s="166"/>
      <c r="F53" s="165"/>
      <c r="G53" s="166"/>
      <c r="H53" s="165"/>
      <c r="I53" s="166"/>
      <c r="J53" s="165"/>
      <c r="K53" s="165"/>
      <c r="L53" s="165"/>
      <c r="M53" s="166"/>
      <c r="N53" s="165"/>
      <c r="O53" s="166"/>
      <c r="P53" s="165"/>
      <c r="Q53" s="166"/>
      <c r="R53" s="165"/>
      <c r="S53" s="166"/>
      <c r="T53" s="165"/>
      <c r="U53" s="166"/>
      <c r="V53" s="165"/>
      <c r="W53" s="166"/>
      <c r="X53" s="165"/>
      <c r="Y53" s="166"/>
      <c r="Z53" s="116"/>
    </row>
    <row r="54" spans="1:26" ht="20.149999999999999" customHeight="1">
      <c r="A54" s="163"/>
      <c r="B54" s="165"/>
      <c r="C54" s="165"/>
      <c r="D54" s="165"/>
      <c r="E54" s="166"/>
      <c r="F54" s="165"/>
      <c r="G54" s="166"/>
      <c r="H54" s="165"/>
      <c r="I54" s="166"/>
      <c r="J54" s="165"/>
      <c r="K54" s="165"/>
      <c r="L54" s="165"/>
      <c r="M54" s="166"/>
      <c r="N54" s="165"/>
      <c r="O54" s="166"/>
      <c r="P54" s="165"/>
      <c r="Q54" s="166"/>
      <c r="R54" s="165"/>
      <c r="S54" s="166"/>
      <c r="T54" s="165"/>
      <c r="U54" s="166"/>
      <c r="V54" s="165"/>
      <c r="W54" s="166"/>
      <c r="X54" s="165"/>
      <c r="Y54" s="166"/>
      <c r="Z54" s="116"/>
    </row>
    <row r="55" spans="1:26" ht="20.149999999999999" customHeight="1">
      <c r="A55" s="163"/>
      <c r="B55" s="165"/>
      <c r="C55" s="165"/>
      <c r="D55" s="165"/>
      <c r="E55" s="166"/>
      <c r="F55" s="165"/>
      <c r="G55" s="166"/>
      <c r="H55" s="165"/>
      <c r="I55" s="166"/>
      <c r="J55" s="165"/>
      <c r="K55" s="165"/>
      <c r="L55" s="165"/>
      <c r="M55" s="166"/>
      <c r="N55" s="165"/>
      <c r="O55" s="166"/>
      <c r="P55" s="165"/>
      <c r="Q55" s="166"/>
      <c r="R55" s="165"/>
      <c r="S55" s="166"/>
      <c r="T55" s="165"/>
      <c r="U55" s="166"/>
      <c r="V55" s="165"/>
      <c r="W55" s="166"/>
      <c r="X55" s="165"/>
      <c r="Y55" s="166"/>
      <c r="Z55" s="116"/>
    </row>
    <row r="56" spans="1:26">
      <c r="A56" s="163"/>
      <c r="B56" s="165"/>
      <c r="C56" s="165"/>
      <c r="D56" s="165"/>
      <c r="E56" s="166"/>
      <c r="F56" s="165"/>
      <c r="G56" s="166"/>
      <c r="H56" s="165"/>
      <c r="I56" s="166"/>
      <c r="J56" s="165"/>
      <c r="K56" s="165"/>
      <c r="L56" s="165"/>
      <c r="M56" s="166"/>
      <c r="N56" s="165"/>
      <c r="O56" s="166"/>
      <c r="P56" s="165"/>
      <c r="Q56" s="166"/>
      <c r="R56" s="165"/>
      <c r="S56" s="166"/>
      <c r="T56" s="165"/>
      <c r="U56" s="166"/>
      <c r="V56" s="165"/>
      <c r="W56" s="166"/>
      <c r="X56" s="165"/>
      <c r="Y56" s="166"/>
      <c r="Z56" s="116"/>
    </row>
    <row r="57" spans="1:26">
      <c r="A57" s="163"/>
      <c r="B57" s="165"/>
      <c r="C57" s="165"/>
      <c r="D57" s="165"/>
      <c r="E57" s="166"/>
      <c r="F57" s="165"/>
      <c r="G57" s="166"/>
      <c r="H57" s="165"/>
      <c r="I57" s="166"/>
      <c r="J57" s="165"/>
      <c r="K57" s="165"/>
      <c r="L57" s="165"/>
      <c r="M57" s="166"/>
      <c r="N57" s="165"/>
      <c r="O57" s="166"/>
      <c r="P57" s="165"/>
      <c r="Q57" s="166"/>
      <c r="R57" s="165"/>
      <c r="S57" s="166"/>
      <c r="T57" s="165"/>
      <c r="U57" s="166"/>
      <c r="V57" s="165"/>
      <c r="W57" s="166"/>
      <c r="X57" s="165"/>
      <c r="Y57" s="166"/>
      <c r="Z57" s="116"/>
    </row>
    <row r="58" spans="1:26">
      <c r="A58" s="163"/>
      <c r="B58" s="165"/>
      <c r="C58" s="165"/>
      <c r="D58" s="165"/>
      <c r="E58" s="166"/>
      <c r="F58" s="165"/>
      <c r="G58" s="166"/>
      <c r="H58" s="165"/>
      <c r="I58" s="166"/>
      <c r="J58" s="165"/>
      <c r="K58" s="165"/>
      <c r="L58" s="165"/>
      <c r="M58" s="166"/>
      <c r="N58" s="165"/>
      <c r="O58" s="166"/>
      <c r="P58" s="165"/>
      <c r="Q58" s="166"/>
      <c r="R58" s="165"/>
      <c r="S58" s="166"/>
      <c r="T58" s="165"/>
      <c r="U58" s="166"/>
      <c r="V58" s="165"/>
      <c r="W58" s="166"/>
      <c r="X58" s="165"/>
      <c r="Y58" s="166"/>
      <c r="Z58" s="116"/>
    </row>
    <row r="59" spans="1:26">
      <c r="A59" s="163"/>
      <c r="B59" s="165"/>
      <c r="C59" s="165"/>
      <c r="D59" s="165"/>
      <c r="E59" s="166"/>
      <c r="F59" s="165"/>
      <c r="G59" s="166"/>
      <c r="H59" s="165"/>
      <c r="I59" s="166"/>
      <c r="J59" s="165"/>
      <c r="K59" s="165"/>
      <c r="L59" s="165"/>
      <c r="M59" s="166"/>
      <c r="N59" s="165"/>
      <c r="O59" s="166"/>
      <c r="P59" s="165"/>
      <c r="Q59" s="166"/>
      <c r="R59" s="165"/>
      <c r="S59" s="166"/>
      <c r="T59" s="165"/>
      <c r="U59" s="166"/>
      <c r="V59" s="165"/>
      <c r="W59" s="166"/>
      <c r="X59" s="165"/>
      <c r="Y59" s="166"/>
      <c r="Z59" s="116"/>
    </row>
    <row r="60" spans="1:26">
      <c r="A60" s="163"/>
      <c r="B60" s="165"/>
      <c r="C60" s="165"/>
      <c r="D60" s="165"/>
      <c r="E60" s="166"/>
      <c r="F60" s="165"/>
      <c r="G60" s="166"/>
      <c r="H60" s="165"/>
      <c r="I60" s="166"/>
      <c r="J60" s="165"/>
      <c r="K60" s="165"/>
      <c r="L60" s="165"/>
      <c r="M60" s="166"/>
      <c r="N60" s="165"/>
      <c r="O60" s="166"/>
      <c r="P60" s="165"/>
      <c r="Q60" s="166"/>
      <c r="R60" s="165"/>
      <c r="S60" s="166"/>
      <c r="T60" s="165"/>
      <c r="U60" s="166"/>
      <c r="V60" s="165"/>
      <c r="W60" s="166"/>
      <c r="X60" s="165"/>
      <c r="Y60" s="166"/>
      <c r="Z60" s="116"/>
    </row>
    <row r="61" spans="1:26">
      <c r="A61" s="163"/>
      <c r="B61" s="165"/>
      <c r="C61" s="165"/>
      <c r="D61" s="165"/>
      <c r="E61" s="166"/>
      <c r="F61" s="165"/>
      <c r="G61" s="166"/>
      <c r="H61" s="165"/>
      <c r="I61" s="166"/>
      <c r="J61" s="165"/>
      <c r="K61" s="165"/>
      <c r="L61" s="165"/>
      <c r="M61" s="166"/>
      <c r="N61" s="165"/>
      <c r="O61" s="166"/>
      <c r="P61" s="165"/>
      <c r="Q61" s="166"/>
      <c r="R61" s="165"/>
      <c r="S61" s="166"/>
      <c r="T61" s="165"/>
      <c r="U61" s="166"/>
      <c r="V61" s="165"/>
      <c r="W61" s="166"/>
      <c r="X61" s="165"/>
      <c r="Y61" s="166"/>
      <c r="Z61" s="116"/>
    </row>
    <row r="62" spans="1:26">
      <c r="A62" s="163"/>
      <c r="B62" s="165"/>
      <c r="C62" s="165"/>
      <c r="D62" s="165"/>
      <c r="E62" s="166"/>
      <c r="F62" s="165"/>
      <c r="G62" s="166"/>
      <c r="H62" s="165"/>
      <c r="I62" s="166"/>
      <c r="J62" s="165"/>
      <c r="K62" s="165"/>
      <c r="L62" s="165"/>
      <c r="M62" s="166"/>
      <c r="N62" s="165"/>
      <c r="O62" s="166"/>
      <c r="P62" s="165"/>
      <c r="Q62" s="166"/>
      <c r="R62" s="165"/>
      <c r="S62" s="166"/>
      <c r="T62" s="165"/>
      <c r="U62" s="166"/>
      <c r="V62" s="165"/>
      <c r="W62" s="166"/>
      <c r="X62" s="165"/>
      <c r="Y62" s="166"/>
      <c r="Z62" s="116"/>
    </row>
    <row r="63" spans="1:26">
      <c r="A63" s="163"/>
      <c r="B63" s="165"/>
      <c r="C63" s="165"/>
      <c r="D63" s="165"/>
      <c r="E63" s="166"/>
      <c r="F63" s="165"/>
      <c r="G63" s="166"/>
      <c r="H63" s="165"/>
      <c r="I63" s="166"/>
      <c r="J63" s="165"/>
      <c r="K63" s="165"/>
      <c r="L63" s="165"/>
      <c r="M63" s="166"/>
      <c r="N63" s="165"/>
      <c r="O63" s="166"/>
      <c r="P63" s="165"/>
      <c r="Q63" s="166"/>
      <c r="R63" s="165"/>
      <c r="S63" s="166"/>
      <c r="T63" s="165"/>
      <c r="U63" s="166"/>
      <c r="V63" s="165"/>
      <c r="W63" s="166"/>
      <c r="X63" s="165"/>
      <c r="Y63" s="166"/>
      <c r="Z63" s="116"/>
    </row>
    <row r="64" spans="1:26">
      <c r="A64" s="163"/>
      <c r="B64" s="165"/>
      <c r="C64" s="165"/>
      <c r="D64" s="165"/>
      <c r="E64" s="166"/>
      <c r="F64" s="165"/>
      <c r="G64" s="166"/>
      <c r="H64" s="165"/>
      <c r="I64" s="166"/>
      <c r="J64" s="165"/>
      <c r="K64" s="165"/>
      <c r="L64" s="165"/>
      <c r="M64" s="166"/>
      <c r="N64" s="165"/>
      <c r="O64" s="166"/>
      <c r="P64" s="165"/>
      <c r="Q64" s="166"/>
      <c r="R64" s="165"/>
      <c r="S64" s="166"/>
      <c r="T64" s="165"/>
      <c r="U64" s="166"/>
      <c r="V64" s="165"/>
      <c r="W64" s="166"/>
      <c r="X64" s="165"/>
      <c r="Y64" s="166"/>
      <c r="Z64" s="116"/>
    </row>
    <row r="65" spans="1:26">
      <c r="A65" s="163"/>
      <c r="B65" s="165"/>
      <c r="C65" s="165"/>
      <c r="D65" s="165"/>
      <c r="E65" s="166"/>
      <c r="F65" s="165"/>
      <c r="G65" s="166"/>
      <c r="H65" s="165"/>
      <c r="I65" s="166"/>
      <c r="J65" s="165"/>
      <c r="K65" s="165"/>
      <c r="L65" s="165"/>
      <c r="M65" s="166"/>
      <c r="N65" s="165"/>
      <c r="O65" s="166"/>
      <c r="P65" s="165"/>
      <c r="Q65" s="166"/>
      <c r="R65" s="165"/>
      <c r="S65" s="166"/>
      <c r="T65" s="165"/>
      <c r="U65" s="166"/>
      <c r="V65" s="165"/>
      <c r="W65" s="166"/>
      <c r="X65" s="165"/>
      <c r="Y65" s="166"/>
      <c r="Z65" s="116"/>
    </row>
    <row r="66" spans="1:26">
      <c r="A66" s="163"/>
      <c r="B66" s="165"/>
      <c r="C66" s="165"/>
      <c r="D66" s="165"/>
      <c r="E66" s="166"/>
      <c r="F66" s="165"/>
      <c r="G66" s="166"/>
      <c r="H66" s="165"/>
      <c r="I66" s="166"/>
      <c r="J66" s="165"/>
      <c r="K66" s="165"/>
      <c r="L66" s="165"/>
      <c r="M66" s="166"/>
      <c r="N66" s="165"/>
      <c r="O66" s="166"/>
      <c r="P66" s="165"/>
      <c r="Q66" s="166"/>
      <c r="R66" s="165"/>
      <c r="S66" s="166"/>
      <c r="T66" s="165"/>
      <c r="U66" s="166"/>
      <c r="V66" s="165"/>
      <c r="W66" s="166"/>
      <c r="X66" s="165"/>
      <c r="Y66" s="166"/>
      <c r="Z66" s="116"/>
    </row>
    <row r="67" spans="1:26">
      <c r="A67" s="163"/>
      <c r="B67" s="165"/>
      <c r="C67" s="165"/>
      <c r="D67" s="165"/>
      <c r="E67" s="166"/>
      <c r="F67" s="165"/>
      <c r="G67" s="166"/>
      <c r="H67" s="165"/>
      <c r="I67" s="166"/>
      <c r="J67" s="165"/>
      <c r="K67" s="165"/>
      <c r="L67" s="165"/>
      <c r="M67" s="166"/>
      <c r="N67" s="165"/>
      <c r="O67" s="166"/>
      <c r="P67" s="165"/>
      <c r="Q67" s="166"/>
      <c r="R67" s="165"/>
      <c r="S67" s="166"/>
      <c r="T67" s="165"/>
      <c r="U67" s="166"/>
      <c r="V67" s="165"/>
      <c r="W67" s="166"/>
      <c r="X67" s="165"/>
      <c r="Y67" s="166"/>
      <c r="Z67" s="116"/>
    </row>
    <row r="68" spans="1:26">
      <c r="A68" s="163"/>
      <c r="B68" s="165"/>
      <c r="C68" s="165"/>
      <c r="D68" s="165"/>
      <c r="E68" s="166"/>
      <c r="F68" s="165"/>
      <c r="G68" s="166"/>
      <c r="H68" s="165"/>
      <c r="I68" s="166"/>
      <c r="J68" s="165"/>
      <c r="K68" s="165"/>
      <c r="L68" s="165"/>
      <c r="M68" s="166"/>
      <c r="N68" s="165"/>
      <c r="O68" s="166"/>
      <c r="P68" s="165"/>
      <c r="Q68" s="166"/>
      <c r="R68" s="165"/>
      <c r="S68" s="166"/>
      <c r="T68" s="165"/>
      <c r="U68" s="166"/>
      <c r="V68" s="165"/>
      <c r="W68" s="166"/>
      <c r="X68" s="165"/>
      <c r="Y68" s="166"/>
      <c r="Z68" s="116"/>
    </row>
    <row r="69" spans="1:26">
      <c r="A69" s="163"/>
      <c r="B69" s="165"/>
      <c r="C69" s="165"/>
      <c r="D69" s="165"/>
      <c r="E69" s="166"/>
      <c r="F69" s="165"/>
      <c r="G69" s="166"/>
      <c r="H69" s="165"/>
      <c r="I69" s="166"/>
      <c r="J69" s="165"/>
      <c r="K69" s="165"/>
      <c r="L69" s="165"/>
      <c r="M69" s="166"/>
      <c r="N69" s="165"/>
      <c r="O69" s="166"/>
      <c r="P69" s="165"/>
      <c r="Q69" s="166"/>
      <c r="R69" s="165"/>
      <c r="S69" s="166"/>
      <c r="T69" s="165"/>
      <c r="U69" s="166"/>
      <c r="V69" s="165"/>
      <c r="W69" s="166"/>
      <c r="X69" s="165"/>
      <c r="Y69" s="166"/>
      <c r="Z69" s="116"/>
    </row>
    <row r="70" spans="1:26">
      <c r="A70" s="163"/>
      <c r="B70" s="165"/>
      <c r="C70" s="165"/>
      <c r="D70" s="165"/>
      <c r="E70" s="166"/>
      <c r="F70" s="165"/>
      <c r="G70" s="166"/>
      <c r="H70" s="165"/>
      <c r="I70" s="166"/>
      <c r="J70" s="165"/>
      <c r="K70" s="165"/>
      <c r="L70" s="165"/>
      <c r="M70" s="166"/>
      <c r="N70" s="165"/>
      <c r="O70" s="166"/>
      <c r="P70" s="165"/>
      <c r="Q70" s="166"/>
      <c r="R70" s="165"/>
      <c r="S70" s="166"/>
      <c r="T70" s="165"/>
      <c r="U70" s="166"/>
      <c r="V70" s="165"/>
      <c r="W70" s="166"/>
      <c r="X70" s="165"/>
      <c r="Y70" s="166"/>
      <c r="Z70" s="116"/>
    </row>
    <row r="71" spans="1:26">
      <c r="A71" s="163"/>
      <c r="B71" s="165"/>
      <c r="C71" s="165"/>
      <c r="D71" s="165"/>
      <c r="E71" s="166"/>
      <c r="F71" s="165"/>
      <c r="G71" s="166"/>
      <c r="H71" s="165"/>
      <c r="I71" s="166"/>
      <c r="J71" s="165"/>
      <c r="K71" s="165"/>
      <c r="L71" s="165"/>
      <c r="M71" s="166"/>
      <c r="N71" s="165"/>
      <c r="O71" s="166"/>
      <c r="P71" s="165"/>
      <c r="Q71" s="166"/>
      <c r="R71" s="165"/>
      <c r="S71" s="166"/>
      <c r="T71" s="165"/>
      <c r="U71" s="166"/>
      <c r="V71" s="165"/>
      <c r="W71" s="166"/>
      <c r="X71" s="165"/>
      <c r="Y71" s="166"/>
      <c r="Z71" s="116"/>
    </row>
    <row r="72" spans="1:26">
      <c r="A72" s="163"/>
      <c r="B72" s="165"/>
      <c r="C72" s="165"/>
      <c r="D72" s="165"/>
      <c r="E72" s="166"/>
      <c r="F72" s="165"/>
      <c r="G72" s="166"/>
      <c r="H72" s="165"/>
      <c r="I72" s="166"/>
      <c r="J72" s="165"/>
      <c r="K72" s="165"/>
      <c r="L72" s="165"/>
      <c r="M72" s="166"/>
      <c r="N72" s="165"/>
      <c r="O72" s="166"/>
      <c r="P72" s="165"/>
      <c r="Q72" s="166"/>
      <c r="R72" s="165"/>
      <c r="S72" s="166"/>
      <c r="T72" s="165"/>
      <c r="U72" s="166"/>
      <c r="V72" s="165"/>
      <c r="W72" s="166"/>
      <c r="X72" s="165"/>
      <c r="Y72" s="166"/>
      <c r="Z72" s="116"/>
    </row>
    <row r="73" spans="1:26">
      <c r="A73" s="163"/>
      <c r="B73" s="165"/>
      <c r="C73" s="165"/>
      <c r="D73" s="165"/>
      <c r="E73" s="166"/>
      <c r="F73" s="165"/>
      <c r="G73" s="166"/>
      <c r="H73" s="165"/>
      <c r="I73" s="166"/>
      <c r="J73" s="165"/>
      <c r="K73" s="165"/>
      <c r="L73" s="165"/>
      <c r="M73" s="166"/>
      <c r="N73" s="165"/>
      <c r="O73" s="166"/>
      <c r="P73" s="165"/>
      <c r="Q73" s="166"/>
      <c r="R73" s="165"/>
      <c r="S73" s="166"/>
      <c r="T73" s="165"/>
      <c r="U73" s="166"/>
      <c r="V73" s="165"/>
      <c r="W73" s="166"/>
      <c r="X73" s="165"/>
      <c r="Y73" s="166"/>
      <c r="Z73" s="116"/>
    </row>
    <row r="74" spans="1:26">
      <c r="A74" s="163"/>
      <c r="B74" s="165"/>
      <c r="C74" s="165"/>
      <c r="D74" s="165"/>
      <c r="E74" s="166"/>
      <c r="F74" s="165"/>
      <c r="G74" s="166"/>
      <c r="H74" s="165"/>
      <c r="I74" s="166"/>
      <c r="J74" s="165"/>
      <c r="K74" s="165"/>
      <c r="L74" s="165"/>
      <c r="M74" s="166"/>
      <c r="N74" s="165"/>
      <c r="O74" s="166"/>
      <c r="P74" s="165"/>
      <c r="Q74" s="166"/>
      <c r="R74" s="165"/>
      <c r="S74" s="166"/>
      <c r="T74" s="165"/>
      <c r="U74" s="166"/>
      <c r="V74" s="165"/>
      <c r="W74" s="166"/>
      <c r="X74" s="165"/>
      <c r="Y74" s="166"/>
      <c r="Z74" s="116"/>
    </row>
    <row r="75" spans="1:26">
      <c r="A75" s="163"/>
      <c r="B75" s="165"/>
      <c r="C75" s="165"/>
      <c r="D75" s="165"/>
      <c r="E75" s="166"/>
      <c r="F75" s="165"/>
      <c r="G75" s="166"/>
      <c r="H75" s="165"/>
      <c r="I75" s="166"/>
      <c r="J75" s="165"/>
      <c r="K75" s="165"/>
      <c r="L75" s="165"/>
      <c r="M75" s="166"/>
      <c r="N75" s="165"/>
      <c r="O75" s="166"/>
      <c r="P75" s="165"/>
      <c r="Q75" s="166"/>
      <c r="R75" s="165"/>
      <c r="S75" s="166"/>
      <c r="T75" s="165"/>
      <c r="U75" s="166"/>
      <c r="V75" s="165"/>
      <c r="W75" s="166"/>
      <c r="X75" s="165"/>
      <c r="Y75" s="166"/>
      <c r="Z75" s="116"/>
    </row>
    <row r="76" spans="1:26">
      <c r="A76" s="163"/>
      <c r="B76" s="165"/>
      <c r="C76" s="165"/>
      <c r="D76" s="165"/>
      <c r="E76" s="166"/>
      <c r="F76" s="165"/>
      <c r="G76" s="166"/>
      <c r="H76" s="165"/>
      <c r="I76" s="166"/>
      <c r="J76" s="165"/>
      <c r="K76" s="165"/>
      <c r="L76" s="165"/>
      <c r="M76" s="166"/>
      <c r="N76" s="165"/>
      <c r="O76" s="166"/>
      <c r="P76" s="165"/>
      <c r="Q76" s="166"/>
      <c r="R76" s="165"/>
      <c r="S76" s="166"/>
      <c r="T76" s="165"/>
      <c r="U76" s="166"/>
      <c r="V76" s="165"/>
      <c r="W76" s="166"/>
      <c r="X76" s="165"/>
      <c r="Y76" s="166"/>
      <c r="Z76" s="116"/>
    </row>
    <row r="77" spans="1:26">
      <c r="A77" s="163"/>
      <c r="B77" s="165"/>
      <c r="C77" s="165"/>
      <c r="D77" s="165"/>
      <c r="E77" s="166"/>
      <c r="F77" s="165"/>
      <c r="G77" s="166"/>
      <c r="H77" s="165"/>
      <c r="I77" s="166"/>
      <c r="J77" s="165"/>
      <c r="K77" s="165"/>
      <c r="L77" s="165"/>
      <c r="M77" s="166"/>
      <c r="N77" s="165"/>
      <c r="O77" s="166"/>
      <c r="P77" s="165"/>
      <c r="Q77" s="166"/>
      <c r="R77" s="165"/>
      <c r="S77" s="166"/>
      <c r="T77" s="165"/>
      <c r="U77" s="166"/>
      <c r="V77" s="165"/>
      <c r="W77" s="166"/>
      <c r="X77" s="165"/>
      <c r="Y77" s="166"/>
      <c r="Z77" s="116"/>
    </row>
    <row r="78" spans="1:26">
      <c r="A78" s="163"/>
      <c r="B78" s="165"/>
      <c r="C78" s="165"/>
      <c r="D78" s="165"/>
      <c r="E78" s="166"/>
      <c r="F78" s="165"/>
      <c r="G78" s="166"/>
      <c r="H78" s="165"/>
      <c r="I78" s="166"/>
      <c r="J78" s="165"/>
      <c r="K78" s="165"/>
      <c r="L78" s="165"/>
      <c r="M78" s="166"/>
      <c r="N78" s="165"/>
      <c r="O78" s="166"/>
      <c r="P78" s="165"/>
      <c r="Q78" s="166"/>
      <c r="R78" s="165"/>
      <c r="S78" s="166"/>
      <c r="T78" s="165"/>
      <c r="U78" s="166"/>
      <c r="V78" s="165"/>
      <c r="W78" s="166"/>
      <c r="X78" s="165"/>
      <c r="Y78" s="166"/>
      <c r="Z78" s="116"/>
    </row>
    <row r="79" spans="1:26">
      <c r="A79" s="163"/>
      <c r="B79" s="165"/>
      <c r="C79" s="165"/>
      <c r="D79" s="165"/>
      <c r="E79" s="166"/>
      <c r="F79" s="165"/>
      <c r="G79" s="166"/>
      <c r="H79" s="165"/>
      <c r="I79" s="166"/>
      <c r="J79" s="165"/>
      <c r="K79" s="165"/>
      <c r="L79" s="165"/>
      <c r="M79" s="166"/>
      <c r="N79" s="165"/>
      <c r="O79" s="166"/>
      <c r="P79" s="165"/>
      <c r="Q79" s="166"/>
      <c r="R79" s="165"/>
      <c r="S79" s="166"/>
      <c r="T79" s="165"/>
      <c r="U79" s="166"/>
      <c r="V79" s="165"/>
      <c r="W79" s="166"/>
      <c r="X79" s="165"/>
      <c r="Y79" s="166"/>
      <c r="Z79" s="116"/>
    </row>
    <row r="80" spans="1:26">
      <c r="A80" s="163"/>
      <c r="B80" s="165"/>
      <c r="C80" s="165"/>
      <c r="D80" s="165"/>
      <c r="E80" s="166"/>
      <c r="F80" s="165"/>
      <c r="G80" s="166"/>
      <c r="H80" s="165"/>
      <c r="I80" s="166"/>
      <c r="J80" s="165"/>
      <c r="K80" s="165"/>
      <c r="L80" s="165"/>
      <c r="M80" s="166"/>
      <c r="N80" s="165"/>
      <c r="O80" s="166"/>
      <c r="P80" s="165"/>
      <c r="Q80" s="166"/>
      <c r="R80" s="165"/>
      <c r="S80" s="166"/>
      <c r="T80" s="165"/>
      <c r="U80" s="166"/>
      <c r="V80" s="165"/>
      <c r="W80" s="166"/>
      <c r="X80" s="165"/>
      <c r="Y80" s="166"/>
      <c r="Z80" s="116"/>
    </row>
    <row r="81" spans="1:26">
      <c r="A81" s="163"/>
      <c r="B81" s="165"/>
      <c r="C81" s="165"/>
      <c r="D81" s="165"/>
      <c r="E81" s="166"/>
      <c r="F81" s="165"/>
      <c r="G81" s="166"/>
      <c r="H81" s="165"/>
      <c r="I81" s="166"/>
      <c r="J81" s="165"/>
      <c r="K81" s="165"/>
      <c r="L81" s="165"/>
      <c r="M81" s="166"/>
      <c r="N81" s="165"/>
      <c r="O81" s="166"/>
      <c r="P81" s="165"/>
      <c r="Q81" s="166"/>
      <c r="R81" s="165"/>
      <c r="S81" s="166"/>
      <c r="T81" s="165"/>
      <c r="U81" s="166"/>
      <c r="V81" s="165"/>
      <c r="W81" s="166"/>
      <c r="X81" s="165"/>
      <c r="Y81" s="166"/>
      <c r="Z81" s="116"/>
    </row>
    <row r="82" spans="1:26">
      <c r="A82" s="163"/>
      <c r="B82" s="165"/>
      <c r="C82" s="165"/>
      <c r="D82" s="165"/>
      <c r="E82" s="166"/>
      <c r="F82" s="165"/>
      <c r="G82" s="166"/>
      <c r="H82" s="165"/>
      <c r="I82" s="166"/>
      <c r="J82" s="165"/>
      <c r="K82" s="165"/>
      <c r="L82" s="165"/>
      <c r="M82" s="166"/>
      <c r="N82" s="165"/>
      <c r="O82" s="166"/>
      <c r="P82" s="165"/>
      <c r="Q82" s="166"/>
      <c r="R82" s="165"/>
      <c r="S82" s="166"/>
      <c r="T82" s="165"/>
      <c r="U82" s="166"/>
      <c r="V82" s="165"/>
      <c r="W82" s="166"/>
      <c r="X82" s="165"/>
      <c r="Y82" s="166"/>
      <c r="Z82" s="116"/>
    </row>
    <row r="83" spans="1:26">
      <c r="A83" s="163"/>
      <c r="B83" s="165"/>
      <c r="C83" s="165"/>
      <c r="D83" s="165"/>
      <c r="E83" s="166"/>
      <c r="F83" s="165"/>
      <c r="G83" s="166"/>
      <c r="H83" s="165"/>
      <c r="I83" s="166"/>
      <c r="J83" s="165"/>
      <c r="K83" s="165"/>
      <c r="L83" s="165"/>
      <c r="M83" s="166"/>
      <c r="N83" s="165"/>
      <c r="O83" s="166"/>
      <c r="P83" s="165"/>
      <c r="Q83" s="166"/>
      <c r="R83" s="165"/>
      <c r="S83" s="166"/>
      <c r="T83" s="165"/>
      <c r="U83" s="166"/>
      <c r="V83" s="165"/>
      <c r="W83" s="166"/>
      <c r="X83" s="165"/>
      <c r="Y83" s="166"/>
      <c r="Z83" s="116"/>
    </row>
    <row r="84" spans="1:26">
      <c r="A84" s="163"/>
      <c r="B84" s="165"/>
      <c r="C84" s="165"/>
      <c r="D84" s="165"/>
      <c r="E84" s="166"/>
      <c r="F84" s="165"/>
      <c r="G84" s="166"/>
      <c r="H84" s="165"/>
      <c r="I84" s="166"/>
      <c r="J84" s="165"/>
      <c r="K84" s="165"/>
      <c r="L84" s="165"/>
      <c r="M84" s="166"/>
      <c r="N84" s="165"/>
      <c r="O84" s="166"/>
      <c r="P84" s="165"/>
      <c r="Q84" s="166"/>
      <c r="R84" s="165"/>
      <c r="S84" s="166"/>
      <c r="T84" s="165"/>
      <c r="U84" s="166"/>
      <c r="V84" s="165"/>
      <c r="W84" s="166"/>
      <c r="X84" s="165"/>
      <c r="Y84" s="166"/>
      <c r="Z84" s="116"/>
    </row>
    <row r="85" spans="1:26">
      <c r="A85" s="163"/>
      <c r="B85" s="165"/>
      <c r="C85" s="165"/>
      <c r="D85" s="165"/>
      <c r="E85" s="166"/>
      <c r="F85" s="165"/>
      <c r="G85" s="166"/>
      <c r="H85" s="165"/>
      <c r="I85" s="166"/>
      <c r="J85" s="165"/>
      <c r="K85" s="165"/>
      <c r="L85" s="165"/>
      <c r="M85" s="166"/>
      <c r="N85" s="165"/>
      <c r="O85" s="166"/>
      <c r="P85" s="165"/>
      <c r="Q85" s="166"/>
      <c r="R85" s="165"/>
      <c r="S85" s="166"/>
      <c r="T85" s="165"/>
      <c r="U85" s="166"/>
      <c r="V85" s="165"/>
      <c r="W85" s="166"/>
      <c r="X85" s="165"/>
      <c r="Y85" s="166"/>
      <c r="Z85" s="116"/>
    </row>
    <row r="86" spans="1:26">
      <c r="A86" s="163"/>
      <c r="B86" s="165"/>
      <c r="C86" s="165"/>
      <c r="D86" s="165"/>
      <c r="E86" s="166"/>
      <c r="F86" s="165"/>
      <c r="G86" s="166"/>
      <c r="H86" s="165"/>
      <c r="I86" s="166"/>
      <c r="J86" s="165"/>
      <c r="K86" s="165"/>
      <c r="L86" s="165"/>
      <c r="M86" s="166"/>
      <c r="N86" s="165"/>
      <c r="O86" s="166"/>
      <c r="P86" s="165"/>
      <c r="Q86" s="166"/>
      <c r="R86" s="165"/>
      <c r="S86" s="166"/>
      <c r="T86" s="165"/>
      <c r="U86" s="166"/>
      <c r="V86" s="165"/>
      <c r="W86" s="166"/>
      <c r="X86" s="165"/>
      <c r="Y86" s="166"/>
      <c r="Z86" s="116"/>
    </row>
    <row r="87" spans="1:26">
      <c r="A87" s="163"/>
      <c r="B87" s="165"/>
      <c r="C87" s="165"/>
      <c r="D87" s="165"/>
      <c r="E87" s="166"/>
      <c r="F87" s="165"/>
      <c r="G87" s="166"/>
      <c r="H87" s="165"/>
      <c r="I87" s="166"/>
      <c r="J87" s="165"/>
      <c r="K87" s="165"/>
      <c r="L87" s="165"/>
      <c r="M87" s="166"/>
      <c r="N87" s="165"/>
      <c r="O87" s="166"/>
      <c r="P87" s="165"/>
      <c r="Q87" s="166"/>
      <c r="R87" s="165"/>
      <c r="S87" s="166"/>
      <c r="T87" s="165"/>
      <c r="U87" s="166"/>
      <c r="V87" s="165"/>
      <c r="W87" s="166"/>
      <c r="X87" s="165"/>
      <c r="Y87" s="166"/>
      <c r="Z87" s="116"/>
    </row>
    <row r="88" spans="1:26">
      <c r="A88" s="163"/>
      <c r="B88" s="165"/>
      <c r="C88" s="165"/>
      <c r="D88" s="165"/>
      <c r="E88" s="166"/>
      <c r="F88" s="165"/>
      <c r="G88" s="166"/>
      <c r="H88" s="165"/>
      <c r="I88" s="166"/>
      <c r="J88" s="165"/>
      <c r="K88" s="165"/>
      <c r="L88" s="165"/>
      <c r="M88" s="166"/>
      <c r="N88" s="165"/>
      <c r="O88" s="166"/>
      <c r="P88" s="165"/>
      <c r="Q88" s="166"/>
      <c r="R88" s="165"/>
      <c r="S88" s="166"/>
      <c r="T88" s="165"/>
      <c r="U88" s="166"/>
      <c r="V88" s="165"/>
      <c r="W88" s="166"/>
      <c r="X88" s="165"/>
      <c r="Y88" s="166"/>
      <c r="Z88" s="116"/>
    </row>
    <row r="89" spans="1:26">
      <c r="A89" s="163"/>
      <c r="B89" s="165"/>
      <c r="C89" s="165"/>
      <c r="D89" s="165"/>
      <c r="E89" s="166"/>
      <c r="F89" s="165"/>
      <c r="G89" s="166"/>
      <c r="H89" s="165"/>
      <c r="I89" s="166"/>
      <c r="J89" s="165"/>
      <c r="K89" s="165"/>
      <c r="L89" s="165"/>
      <c r="M89" s="166"/>
      <c r="N89" s="165"/>
      <c r="O89" s="166"/>
      <c r="P89" s="165"/>
      <c r="Q89" s="166"/>
      <c r="R89" s="165"/>
      <c r="S89" s="166"/>
      <c r="T89" s="165"/>
      <c r="U89" s="166"/>
      <c r="V89" s="165"/>
      <c r="W89" s="166"/>
      <c r="X89" s="165"/>
      <c r="Y89" s="166"/>
      <c r="Z89" s="116"/>
    </row>
    <row r="90" spans="1:26">
      <c r="A90" s="163"/>
      <c r="B90" s="165"/>
      <c r="C90" s="165"/>
      <c r="D90" s="165"/>
      <c r="E90" s="166"/>
      <c r="F90" s="165"/>
      <c r="G90" s="166"/>
      <c r="H90" s="165"/>
      <c r="I90" s="166"/>
      <c r="J90" s="165"/>
      <c r="K90" s="165"/>
      <c r="L90" s="165"/>
      <c r="M90" s="166"/>
      <c r="N90" s="165"/>
      <c r="O90" s="166"/>
      <c r="P90" s="165"/>
      <c r="Q90" s="166"/>
      <c r="R90" s="165"/>
      <c r="S90" s="166"/>
      <c r="T90" s="165"/>
      <c r="U90" s="166"/>
      <c r="V90" s="165"/>
      <c r="W90" s="166"/>
      <c r="X90" s="165"/>
      <c r="Y90" s="166"/>
      <c r="Z90" s="116"/>
    </row>
    <row r="91" spans="1:26">
      <c r="A91" s="163"/>
      <c r="B91" s="165"/>
      <c r="C91" s="165"/>
      <c r="D91" s="165"/>
      <c r="E91" s="166"/>
      <c r="F91" s="165"/>
      <c r="G91" s="166"/>
      <c r="H91" s="165"/>
      <c r="I91" s="166"/>
      <c r="J91" s="165"/>
      <c r="K91" s="165"/>
      <c r="L91" s="165"/>
      <c r="M91" s="166"/>
      <c r="N91" s="165"/>
      <c r="O91" s="166"/>
      <c r="P91" s="165"/>
      <c r="Q91" s="166"/>
      <c r="R91" s="165"/>
      <c r="S91" s="166"/>
      <c r="T91" s="165"/>
      <c r="U91" s="166"/>
      <c r="V91" s="165"/>
      <c r="W91" s="166"/>
      <c r="X91" s="165"/>
      <c r="Y91" s="166"/>
      <c r="Z91" s="116"/>
    </row>
    <row r="92" spans="1:26">
      <c r="A92" s="163"/>
      <c r="B92" s="165"/>
      <c r="C92" s="165"/>
      <c r="D92" s="165"/>
      <c r="E92" s="166"/>
      <c r="F92" s="165"/>
      <c r="G92" s="166"/>
      <c r="H92" s="165"/>
      <c r="I92" s="166"/>
      <c r="J92" s="165"/>
      <c r="K92" s="165"/>
      <c r="L92" s="165"/>
      <c r="M92" s="166"/>
      <c r="N92" s="165"/>
      <c r="O92" s="166"/>
      <c r="P92" s="165"/>
      <c r="Q92" s="166"/>
      <c r="R92" s="165"/>
      <c r="S92" s="166"/>
      <c r="T92" s="165"/>
      <c r="U92" s="166"/>
      <c r="V92" s="165"/>
      <c r="W92" s="166"/>
      <c r="X92" s="165"/>
      <c r="Y92" s="166"/>
      <c r="Z92" s="116"/>
    </row>
    <row r="93" spans="1:26">
      <c r="A93" s="163"/>
      <c r="B93" s="165"/>
      <c r="C93" s="165"/>
      <c r="D93" s="165"/>
      <c r="E93" s="166"/>
      <c r="F93" s="165"/>
      <c r="G93" s="166"/>
      <c r="H93" s="165"/>
      <c r="I93" s="166"/>
      <c r="J93" s="165"/>
      <c r="K93" s="165"/>
      <c r="L93" s="165"/>
      <c r="M93" s="166"/>
      <c r="N93" s="165"/>
      <c r="O93" s="166"/>
      <c r="P93" s="165"/>
      <c r="Q93" s="166"/>
      <c r="R93" s="165"/>
      <c r="S93" s="166"/>
      <c r="T93" s="165"/>
      <c r="U93" s="166"/>
      <c r="V93" s="165"/>
      <c r="W93" s="166"/>
      <c r="X93" s="165"/>
      <c r="Y93" s="166"/>
      <c r="Z93" s="116"/>
    </row>
  </sheetData>
  <sortState xmlns:xlrd2="http://schemas.microsoft.com/office/spreadsheetml/2017/richdata2" ref="A19:AN27">
    <sortCondition ref="A19:A27"/>
  </sortState>
  <printOptions horizontalCentered="1"/>
  <pageMargins left="0.25" right="0.25" top="0.5" bottom="0.25" header="0" footer="0.25"/>
  <pageSetup scale="42" firstPageNumber="56" orientation="landscape" useFirstPageNumber="1" r:id="rId1"/>
  <headerFooter scaleWithDoc="0" alignWithMargins="0">
    <oddHeader xml:space="preserve">&amp;L&amp;14 </oddHeader>
    <oddFooter>&amp;C&amp;8&amp;P</oddFooter>
  </headerFooter>
  <colBreaks count="1" manualBreakCount="1">
    <brk id="30" max="54" man="1"/>
  </colBreaks>
  <customProperties>
    <customPr name="SheetOptions" r:id="rId2"/>
  </customPropertie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5">
    <pageSetUpPr fitToPage="1"/>
  </sheetPr>
  <dimension ref="A1:O70"/>
  <sheetViews>
    <sheetView showGridLines="0" zoomScale="88" zoomScaleNormal="70" workbookViewId="0"/>
  </sheetViews>
  <sheetFormatPr defaultColWidth="8.84375" defaultRowHeight="17.25" customHeight="1"/>
  <cols>
    <col min="1" max="1" width="56.07421875" style="1272" customWidth="1"/>
    <col min="2" max="2" width="2.07421875" style="1271" customWidth="1"/>
    <col min="3" max="4" width="24" style="1272" customWidth="1"/>
    <col min="5" max="5" width="24" style="1944" customWidth="1"/>
    <col min="6" max="6" width="2" style="1272" customWidth="1"/>
    <col min="7" max="7" width="24" style="1872" customWidth="1"/>
    <col min="8" max="9" width="24" style="1271" customWidth="1"/>
    <col min="10" max="10" width="18.53515625" style="1271" customWidth="1"/>
    <col min="11" max="11" width="18" style="1271" customWidth="1"/>
    <col min="12" max="12" width="8.84375" style="1271"/>
    <col min="13" max="13" width="17.07421875" style="1273" customWidth="1"/>
    <col min="14" max="14" width="17.4609375" style="1271" customWidth="1"/>
    <col min="15" max="16384" width="8.84375" style="1271"/>
  </cols>
  <sheetData>
    <row r="1" spans="1:14" ht="17.25" customHeight="1">
      <c r="A1" s="265" t="s">
        <v>97</v>
      </c>
    </row>
    <row r="3" spans="1:14" ht="25.4" customHeight="1">
      <c r="A3" s="1274" t="s">
        <v>98</v>
      </c>
      <c r="C3" s="1873"/>
      <c r="D3" s="1873"/>
      <c r="E3" s="1945"/>
      <c r="F3" s="1873"/>
      <c r="H3" s="1874" t="s">
        <v>103</v>
      </c>
      <c r="I3" s="1875" t="s">
        <v>1309</v>
      </c>
    </row>
    <row r="4" spans="1:14" ht="25.4" customHeight="1">
      <c r="A4" s="1274" t="s">
        <v>1310</v>
      </c>
      <c r="C4" s="1873"/>
      <c r="D4" s="1873"/>
      <c r="E4" s="1945"/>
      <c r="F4" s="1873"/>
    </row>
    <row r="5" spans="1:14" ht="21" customHeight="1">
      <c r="A5" s="1275" t="str">
        <f>'Cashflow Governmental'!A6</f>
        <v>FISCAL YEAR 2026-2027</v>
      </c>
      <c r="C5" s="1873"/>
      <c r="D5" s="1873"/>
      <c r="E5" s="1945"/>
      <c r="F5" s="1873"/>
    </row>
    <row r="6" spans="1:14" ht="17.25" customHeight="1">
      <c r="A6" s="1276"/>
      <c r="C6" s="1873"/>
      <c r="D6" s="1873"/>
      <c r="E6" s="1945"/>
      <c r="F6" s="1873"/>
    </row>
    <row r="7" spans="1:14" ht="17.25" customHeight="1">
      <c r="A7" s="1277"/>
      <c r="B7" s="1278"/>
      <c r="C7" s="2083" t="str">
        <f>Footnotes!$O$3</f>
        <v>JULY 2026</v>
      </c>
      <c r="D7" s="2083"/>
      <c r="E7" s="2083"/>
      <c r="F7" s="1876"/>
      <c r="G7" s="2084" t="str">
        <f>UPPER('Cashflow Governmental'!$AB$12)</f>
        <v>4 MONTHS ENDED JULY 31</v>
      </c>
      <c r="H7" s="2084"/>
      <c r="I7" s="2084"/>
    </row>
    <row r="8" spans="1:14" ht="17.25" customHeight="1">
      <c r="A8" s="1277"/>
      <c r="B8" s="1278"/>
      <c r="C8" s="1277"/>
      <c r="D8" s="1277"/>
      <c r="E8" s="1277"/>
      <c r="F8" s="1277"/>
      <c r="G8" s="1877"/>
      <c r="H8" s="1278"/>
      <c r="I8" s="1278"/>
    </row>
    <row r="9" spans="1:14" ht="17.25" customHeight="1">
      <c r="A9" s="1279"/>
      <c r="B9" s="1278"/>
      <c r="C9" s="1279" t="s">
        <v>1311</v>
      </c>
      <c r="D9" s="1279" t="s">
        <v>1312</v>
      </c>
      <c r="E9" s="1279" t="str">
        <f>PROPER(_xlfn.TEXTBEFORE(C7," "))</f>
        <v>July</v>
      </c>
      <c r="F9" s="1279"/>
      <c r="G9" s="1279" t="s">
        <v>1311</v>
      </c>
      <c r="H9" s="1279" t="s">
        <v>1312</v>
      </c>
      <c r="I9" s="1878" t="s">
        <v>1313</v>
      </c>
    </row>
    <row r="10" spans="1:14" s="1282" customFormat="1" ht="17.25" customHeight="1">
      <c r="A10" s="931"/>
      <c r="B10" s="1281"/>
      <c r="C10" s="1879"/>
      <c r="D10" s="1879"/>
      <c r="E10" s="1879"/>
      <c r="F10" s="1879"/>
      <c r="G10" s="2045"/>
      <c r="H10" s="2045"/>
      <c r="I10" s="2045"/>
      <c r="M10" s="1814"/>
    </row>
    <row r="11" spans="1:14" s="1285" customFormat="1" ht="17.25" customHeight="1">
      <c r="A11" s="1283" t="s">
        <v>1314</v>
      </c>
      <c r="B11" s="1284"/>
      <c r="C11" s="1252">
        <v>0</v>
      </c>
      <c r="D11" s="1252">
        <v>0</v>
      </c>
      <c r="E11" s="932">
        <f t="shared" ref="E11:E51" si="0">C11+D11</f>
        <v>0</v>
      </c>
      <c r="F11" s="932"/>
      <c r="G11" s="1252">
        <v>0</v>
      </c>
      <c r="H11" s="1252">
        <v>148715416</v>
      </c>
      <c r="I11" s="932">
        <f t="shared" ref="I11:I51" si="1">G11+H11</f>
        <v>148715416</v>
      </c>
      <c r="J11" s="1815"/>
      <c r="K11" s="1816"/>
      <c r="M11" s="1815"/>
      <c r="N11" s="1816"/>
    </row>
    <row r="12" spans="1:14" s="1285" customFormat="1" ht="17.25" customHeight="1">
      <c r="A12" s="1283" t="s">
        <v>1315</v>
      </c>
      <c r="B12" s="1284"/>
      <c r="C12" s="1253">
        <v>0</v>
      </c>
      <c r="D12" s="1975">
        <v>2609037.08</v>
      </c>
      <c r="E12" s="1976">
        <f t="shared" si="0"/>
        <v>2609037.08</v>
      </c>
      <c r="F12" s="1976"/>
      <c r="G12" s="1253">
        <v>46338463</v>
      </c>
      <c r="H12" s="1975">
        <v>5510345.1900000004</v>
      </c>
      <c r="I12" s="911">
        <f t="shared" si="1"/>
        <v>51848808.189999998</v>
      </c>
      <c r="J12" s="1815"/>
      <c r="K12" s="1816"/>
      <c r="M12" s="1815"/>
      <c r="N12" s="1816"/>
    </row>
    <row r="13" spans="1:14" s="1285" customFormat="1" ht="17.25" customHeight="1">
      <c r="A13" s="1286" t="s">
        <v>1316</v>
      </c>
      <c r="B13" s="1287"/>
      <c r="C13" s="1253">
        <v>11799852.130000001</v>
      </c>
      <c r="D13" s="1975">
        <v>119392523</v>
      </c>
      <c r="E13" s="1976">
        <f t="shared" si="0"/>
        <v>131192375.13</v>
      </c>
      <c r="F13" s="1976"/>
      <c r="G13" s="1253">
        <v>185227990.81</v>
      </c>
      <c r="H13" s="1975">
        <v>166087383</v>
      </c>
      <c r="I13" s="911">
        <f t="shared" si="1"/>
        <v>351315373.81</v>
      </c>
      <c r="J13" s="1815"/>
      <c r="K13" s="1816"/>
      <c r="M13" s="1815"/>
      <c r="N13" s="1816"/>
    </row>
    <row r="14" spans="1:14" s="1285" customFormat="1" ht="17.25" customHeight="1">
      <c r="A14" s="1286" t="s">
        <v>1418</v>
      </c>
      <c r="B14" s="1287"/>
      <c r="C14" s="1253">
        <v>0</v>
      </c>
      <c r="D14" s="1975">
        <v>0</v>
      </c>
      <c r="E14" s="1976">
        <f t="shared" si="0"/>
        <v>0</v>
      </c>
      <c r="F14" s="1976"/>
      <c r="G14" s="1253">
        <v>0</v>
      </c>
      <c r="H14" s="1975">
        <v>829317045</v>
      </c>
      <c r="I14" s="911">
        <f t="shared" si="1"/>
        <v>829317045</v>
      </c>
      <c r="J14" s="1815"/>
      <c r="K14" s="1816"/>
      <c r="M14" s="1815"/>
      <c r="N14" s="1816"/>
    </row>
    <row r="15" spans="1:14" s="1285" customFormat="1" ht="17.25" customHeight="1">
      <c r="A15" s="1283" t="s">
        <v>1433</v>
      </c>
      <c r="B15" s="1284"/>
      <c r="C15" s="1253">
        <v>0</v>
      </c>
      <c r="D15" s="1975">
        <v>0</v>
      </c>
      <c r="E15" s="1976">
        <f t="shared" si="0"/>
        <v>0</v>
      </c>
      <c r="F15" s="1976"/>
      <c r="G15" s="1253">
        <v>0</v>
      </c>
      <c r="H15" s="1975">
        <v>0</v>
      </c>
      <c r="I15" s="911">
        <f t="shared" si="1"/>
        <v>0</v>
      </c>
      <c r="J15" s="1815"/>
      <c r="K15" s="1816"/>
      <c r="M15" s="1815"/>
      <c r="N15" s="1816"/>
    </row>
    <row r="16" spans="1:14" s="1285" customFormat="1" ht="17.25" customHeight="1">
      <c r="A16" s="1283" t="s">
        <v>1317</v>
      </c>
      <c r="B16" s="1284"/>
      <c r="C16" s="1253">
        <v>1470200.06</v>
      </c>
      <c r="D16" s="1975">
        <v>0</v>
      </c>
      <c r="E16" s="1976">
        <f t="shared" si="0"/>
        <v>1470200.06</v>
      </c>
      <c r="F16" s="1976"/>
      <c r="G16" s="1253">
        <v>5493007.1900000004</v>
      </c>
      <c r="H16" s="1975">
        <v>0</v>
      </c>
      <c r="I16" s="911">
        <f t="shared" si="1"/>
        <v>5493007.1900000004</v>
      </c>
      <c r="J16" s="1815"/>
      <c r="K16" s="1816"/>
      <c r="M16" s="1815"/>
      <c r="N16" s="1816"/>
    </row>
    <row r="17" spans="1:14" s="1285" customFormat="1" ht="17.25" customHeight="1">
      <c r="A17" s="1283" t="s">
        <v>1318</v>
      </c>
      <c r="B17" s="1284"/>
      <c r="C17" s="1253">
        <v>0</v>
      </c>
      <c r="D17" s="1975">
        <v>0</v>
      </c>
      <c r="E17" s="1976">
        <f t="shared" si="0"/>
        <v>0</v>
      </c>
      <c r="F17" s="1976"/>
      <c r="G17" s="1253">
        <v>97621.900000000009</v>
      </c>
      <c r="H17" s="1975">
        <v>0</v>
      </c>
      <c r="I17" s="911">
        <f t="shared" si="1"/>
        <v>97621.900000000009</v>
      </c>
      <c r="J17" s="1815"/>
      <c r="K17" s="1816"/>
      <c r="M17" s="1815"/>
      <c r="N17" s="1816"/>
    </row>
    <row r="18" spans="1:14" s="1285" customFormat="1" ht="17.25" customHeight="1">
      <c r="A18" s="1283" t="s">
        <v>1451</v>
      </c>
      <c r="B18" s="1284"/>
      <c r="C18" s="1253">
        <v>238344.5</v>
      </c>
      <c r="D18" s="1975">
        <v>0</v>
      </c>
      <c r="E18" s="1976">
        <f t="shared" si="0"/>
        <v>238344.5</v>
      </c>
      <c r="F18" s="1976"/>
      <c r="G18" s="1253">
        <v>6494730.0999999996</v>
      </c>
      <c r="H18" s="1975">
        <v>0</v>
      </c>
      <c r="I18" s="911">
        <f t="shared" si="1"/>
        <v>6494730.0999999996</v>
      </c>
      <c r="J18" s="1815"/>
      <c r="K18" s="1816"/>
      <c r="M18" s="1815"/>
      <c r="N18" s="1816"/>
    </row>
    <row r="19" spans="1:14" s="1285" customFormat="1" ht="17.25" customHeight="1">
      <c r="A19" s="1283" t="s">
        <v>1319</v>
      </c>
      <c r="B19" s="1284"/>
      <c r="C19" s="1253">
        <v>288798.53999999998</v>
      </c>
      <c r="D19" s="1975">
        <v>0</v>
      </c>
      <c r="E19" s="1976">
        <f t="shared" si="0"/>
        <v>288798.53999999998</v>
      </c>
      <c r="F19" s="1976"/>
      <c r="G19" s="1253">
        <v>361002.47000000003</v>
      </c>
      <c r="H19" s="1975">
        <v>0</v>
      </c>
      <c r="I19" s="911">
        <f t="shared" si="1"/>
        <v>361002.47000000003</v>
      </c>
      <c r="J19" s="1815"/>
      <c r="K19" s="1816"/>
      <c r="M19" s="1815"/>
      <c r="N19" s="1816"/>
    </row>
    <row r="20" spans="1:14" s="1285" customFormat="1" ht="17.25" customHeight="1">
      <c r="A20" s="1283" t="s">
        <v>1434</v>
      </c>
      <c r="B20" s="1284"/>
      <c r="C20" s="1253">
        <v>0</v>
      </c>
      <c r="D20" s="1975">
        <v>0</v>
      </c>
      <c r="E20" s="1976">
        <f t="shared" si="0"/>
        <v>0</v>
      </c>
      <c r="F20" s="1976"/>
      <c r="G20" s="1253">
        <v>0</v>
      </c>
      <c r="H20" s="1975">
        <v>0</v>
      </c>
      <c r="I20" s="911">
        <f t="shared" si="1"/>
        <v>0</v>
      </c>
      <c r="K20" s="1816"/>
      <c r="M20" s="1815"/>
      <c r="N20" s="1816"/>
    </row>
    <row r="21" spans="1:14" s="1285" customFormat="1" ht="17.25" customHeight="1">
      <c r="A21" s="1283" t="s">
        <v>1320</v>
      </c>
      <c r="B21" s="1284"/>
      <c r="C21" s="1253">
        <v>0</v>
      </c>
      <c r="D21" s="1975">
        <v>455351.18</v>
      </c>
      <c r="E21" s="1976">
        <f t="shared" si="0"/>
        <v>455351.18</v>
      </c>
      <c r="F21" s="1976"/>
      <c r="G21" s="1253">
        <v>0</v>
      </c>
      <c r="H21" s="1975">
        <v>591873.78</v>
      </c>
      <c r="I21" s="911">
        <f t="shared" si="1"/>
        <v>591873.78</v>
      </c>
      <c r="J21" s="1815"/>
      <c r="K21" s="1816"/>
      <c r="M21" s="1815"/>
      <c r="N21" s="1816"/>
    </row>
    <row r="22" spans="1:14" s="1285" customFormat="1" ht="17.25" customHeight="1">
      <c r="A22" s="1283" t="s">
        <v>1321</v>
      </c>
      <c r="B22" s="1284"/>
      <c r="C22" s="1253">
        <v>0</v>
      </c>
      <c r="D22" s="1975">
        <v>0</v>
      </c>
      <c r="E22" s="1976">
        <f t="shared" si="0"/>
        <v>0</v>
      </c>
      <c r="F22" s="1976"/>
      <c r="G22" s="1253">
        <v>0</v>
      </c>
      <c r="H22" s="1975">
        <v>0</v>
      </c>
      <c r="I22" s="911">
        <f t="shared" si="1"/>
        <v>0</v>
      </c>
      <c r="J22" s="1815"/>
      <c r="K22" s="1816"/>
      <c r="M22" s="1815"/>
      <c r="N22" s="1816"/>
    </row>
    <row r="23" spans="1:14" s="1285" customFormat="1" ht="17.25" customHeight="1">
      <c r="A23" s="1283" t="s">
        <v>1322</v>
      </c>
      <c r="B23" s="1284"/>
      <c r="C23" s="1253">
        <v>185728.1</v>
      </c>
      <c r="D23" s="1975">
        <v>0</v>
      </c>
      <c r="E23" s="1976">
        <f t="shared" si="0"/>
        <v>185728.1</v>
      </c>
      <c r="F23" s="1976"/>
      <c r="G23" s="1253">
        <v>393170.71</v>
      </c>
      <c r="H23" s="1975">
        <v>0</v>
      </c>
      <c r="I23" s="911">
        <f t="shared" si="1"/>
        <v>393170.71</v>
      </c>
      <c r="J23" s="1815"/>
      <c r="K23" s="1816"/>
      <c r="M23" s="1815"/>
      <c r="N23" s="1816"/>
    </row>
    <row r="24" spans="1:14" s="1285" customFormat="1" ht="17.25" customHeight="1">
      <c r="A24" s="1283" t="s">
        <v>1323</v>
      </c>
      <c r="B24" s="1284"/>
      <c r="C24" s="1253">
        <v>0</v>
      </c>
      <c r="D24" s="1975">
        <v>0</v>
      </c>
      <c r="E24" s="1976">
        <f t="shared" si="0"/>
        <v>0</v>
      </c>
      <c r="F24" s="1976"/>
      <c r="G24" s="1253">
        <v>1883993.17</v>
      </c>
      <c r="H24" s="1975">
        <v>0</v>
      </c>
      <c r="I24" s="911">
        <f t="shared" si="1"/>
        <v>1883993.17</v>
      </c>
      <c r="J24" s="1815"/>
      <c r="K24" s="1816"/>
      <c r="M24" s="1815"/>
      <c r="N24" s="1816"/>
    </row>
    <row r="25" spans="1:14" s="1285" customFormat="1" ht="17.25" customHeight="1">
      <c r="A25" s="1283" t="s">
        <v>1324</v>
      </c>
      <c r="B25" s="1284"/>
      <c r="C25" s="1253">
        <v>252503200</v>
      </c>
      <c r="D25" s="1975">
        <v>0</v>
      </c>
      <c r="E25" s="1976">
        <f t="shared" si="0"/>
        <v>252503200</v>
      </c>
      <c r="F25" s="1976"/>
      <c r="G25" s="1253">
        <v>403653200</v>
      </c>
      <c r="H25" s="1975">
        <v>0</v>
      </c>
      <c r="I25" s="911">
        <f t="shared" si="1"/>
        <v>403653200</v>
      </c>
      <c r="J25" s="1815"/>
      <c r="K25" s="1816"/>
      <c r="M25" s="1815"/>
      <c r="N25" s="1816"/>
    </row>
    <row r="26" spans="1:14" s="1285" customFormat="1" ht="17.25" customHeight="1">
      <c r="A26" s="1283" t="s">
        <v>1325</v>
      </c>
      <c r="B26" s="1284"/>
      <c r="C26" s="1253">
        <v>1029839.65</v>
      </c>
      <c r="D26" s="1975">
        <v>0</v>
      </c>
      <c r="E26" s="1976">
        <f t="shared" si="0"/>
        <v>1029839.65</v>
      </c>
      <c r="F26" s="1976"/>
      <c r="G26" s="1253">
        <v>3642579.88</v>
      </c>
      <c r="H26" s="1975">
        <v>0</v>
      </c>
      <c r="I26" s="911">
        <f t="shared" si="1"/>
        <v>3642579.88</v>
      </c>
      <c r="J26" s="1815"/>
      <c r="K26" s="1816"/>
      <c r="M26" s="1815"/>
      <c r="N26" s="1816"/>
    </row>
    <row r="27" spans="1:14" s="1285" customFormat="1" ht="17.25" customHeight="1">
      <c r="A27" s="1283" t="s">
        <v>1326</v>
      </c>
      <c r="B27" s="1284"/>
      <c r="C27" s="1253">
        <v>4851341.8100000005</v>
      </c>
      <c r="D27" s="1975">
        <v>0</v>
      </c>
      <c r="E27" s="1976">
        <f t="shared" si="0"/>
        <v>4851341.8100000005</v>
      </c>
      <c r="F27" s="1976"/>
      <c r="G27" s="1253">
        <v>9028656.4700000007</v>
      </c>
      <c r="H27" s="1975">
        <v>0</v>
      </c>
      <c r="I27" s="911">
        <f t="shared" si="1"/>
        <v>9028656.4700000007</v>
      </c>
      <c r="J27" s="1815"/>
      <c r="K27" s="1816"/>
      <c r="M27" s="1815"/>
      <c r="N27" s="1816"/>
    </row>
    <row r="28" spans="1:14" s="1285" customFormat="1" ht="17.25" customHeight="1">
      <c r="A28" s="1283" t="s">
        <v>1327</v>
      </c>
      <c r="B28" s="1284"/>
      <c r="C28" s="1253">
        <v>2692679.75</v>
      </c>
      <c r="D28" s="1975">
        <v>1339556.6600000001</v>
      </c>
      <c r="E28" s="1976">
        <f t="shared" si="0"/>
        <v>4032236.41</v>
      </c>
      <c r="F28" s="1976"/>
      <c r="G28" s="1253">
        <v>23370125.149999999</v>
      </c>
      <c r="H28" s="1975">
        <v>4860975.8900000006</v>
      </c>
      <c r="I28" s="911">
        <f t="shared" si="1"/>
        <v>28231101.039999999</v>
      </c>
      <c r="J28" s="1815"/>
      <c r="K28" s="1816"/>
      <c r="M28" s="1815"/>
      <c r="N28" s="1816"/>
    </row>
    <row r="29" spans="1:14" s="1285" customFormat="1" ht="17.25" customHeight="1">
      <c r="A29" s="1283" t="s">
        <v>1328</v>
      </c>
      <c r="B29" s="1284"/>
      <c r="C29" s="1253">
        <v>11095849</v>
      </c>
      <c r="D29" s="1975">
        <v>0</v>
      </c>
      <c r="E29" s="1976">
        <f t="shared" si="0"/>
        <v>11095849</v>
      </c>
      <c r="F29" s="1976"/>
      <c r="G29" s="1253">
        <v>11095849</v>
      </c>
      <c r="H29" s="1975">
        <v>0</v>
      </c>
      <c r="I29" s="911">
        <f t="shared" si="1"/>
        <v>11095849</v>
      </c>
      <c r="J29" s="1815"/>
      <c r="K29" s="1816"/>
      <c r="M29" s="1815"/>
      <c r="N29" s="1816"/>
    </row>
    <row r="30" spans="1:14" s="1285" customFormat="1" ht="17.25" customHeight="1">
      <c r="A30" s="1283" t="s">
        <v>1329</v>
      </c>
      <c r="B30" s="1284"/>
      <c r="C30" s="1253">
        <v>154574664.97</v>
      </c>
      <c r="D30" s="1975">
        <v>0</v>
      </c>
      <c r="E30" s="1976">
        <f t="shared" si="0"/>
        <v>154574664.97</v>
      </c>
      <c r="F30" s="1976"/>
      <c r="G30" s="1253">
        <v>480514847.51999998</v>
      </c>
      <c r="H30" s="1975">
        <v>0</v>
      </c>
      <c r="I30" s="911">
        <f t="shared" si="1"/>
        <v>480514847.51999998</v>
      </c>
      <c r="J30" s="1815"/>
      <c r="K30" s="1816"/>
      <c r="M30" s="1815"/>
      <c r="N30" s="1816"/>
    </row>
    <row r="31" spans="1:14" s="1285" customFormat="1" ht="17.25" customHeight="1">
      <c r="A31" s="1283" t="s">
        <v>1330</v>
      </c>
      <c r="B31" s="1284"/>
      <c r="C31" s="1253">
        <v>0</v>
      </c>
      <c r="D31" s="1975">
        <v>0</v>
      </c>
      <c r="E31" s="1976">
        <f t="shared" si="0"/>
        <v>0</v>
      </c>
      <c r="F31" s="1976"/>
      <c r="G31" s="1253">
        <v>0</v>
      </c>
      <c r="H31" s="1975">
        <v>0</v>
      </c>
      <c r="I31" s="911">
        <f t="shared" si="1"/>
        <v>0</v>
      </c>
      <c r="J31" s="1815"/>
      <c r="K31" s="1816"/>
      <c r="M31" s="1815"/>
      <c r="N31" s="1816"/>
    </row>
    <row r="32" spans="1:14" s="1285" customFormat="1" ht="17.25" customHeight="1">
      <c r="A32" s="1283" t="s">
        <v>1331</v>
      </c>
      <c r="B32" s="1284"/>
      <c r="C32" s="1253">
        <v>23880156.050000001</v>
      </c>
      <c r="D32" s="1975">
        <v>0</v>
      </c>
      <c r="E32" s="1976">
        <f t="shared" si="0"/>
        <v>23880156.050000001</v>
      </c>
      <c r="F32" s="1976"/>
      <c r="G32" s="1253">
        <v>88134456.090000004</v>
      </c>
      <c r="H32" s="1975">
        <v>0</v>
      </c>
      <c r="I32" s="911">
        <f t="shared" si="1"/>
        <v>88134456.090000004</v>
      </c>
      <c r="J32" s="1815"/>
      <c r="K32" s="1816"/>
      <c r="M32" s="1815"/>
      <c r="N32" s="1816"/>
    </row>
    <row r="33" spans="1:14" s="1285" customFormat="1" ht="17.25" customHeight="1">
      <c r="A33" s="1283" t="s">
        <v>1332</v>
      </c>
      <c r="B33" s="1284"/>
      <c r="C33" s="1253">
        <v>181628540.90000001</v>
      </c>
      <c r="D33" s="1975">
        <v>0</v>
      </c>
      <c r="E33" s="1976">
        <f t="shared" si="0"/>
        <v>181628540.90000001</v>
      </c>
      <c r="F33" s="1976"/>
      <c r="G33" s="1253">
        <v>286271901.75999999</v>
      </c>
      <c r="H33" s="1975">
        <v>0</v>
      </c>
      <c r="I33" s="911">
        <f t="shared" si="1"/>
        <v>286271901.75999999</v>
      </c>
      <c r="J33" s="1815"/>
      <c r="K33" s="1816"/>
      <c r="M33" s="1815"/>
      <c r="N33" s="1816"/>
    </row>
    <row r="34" spans="1:14" s="1285" customFormat="1" ht="17.25" customHeight="1">
      <c r="A34" s="1283" t="s">
        <v>1333</v>
      </c>
      <c r="B34" s="1284"/>
      <c r="C34" s="1253">
        <v>138554415.33000001</v>
      </c>
      <c r="D34" s="1975">
        <v>0</v>
      </c>
      <c r="E34" s="1976">
        <f t="shared" si="0"/>
        <v>138554415.33000001</v>
      </c>
      <c r="F34" s="1976"/>
      <c r="G34" s="1253">
        <v>519094972.58999997</v>
      </c>
      <c r="H34" s="1975">
        <v>0</v>
      </c>
      <c r="I34" s="911">
        <f t="shared" si="1"/>
        <v>519094972.58999997</v>
      </c>
      <c r="J34" s="1815"/>
      <c r="K34" s="1816"/>
      <c r="M34" s="1815"/>
      <c r="N34" s="1816"/>
    </row>
    <row r="35" spans="1:14" s="1285" customFormat="1" ht="17.25" customHeight="1">
      <c r="A35" s="1283" t="s">
        <v>1334</v>
      </c>
      <c r="B35" s="1284"/>
      <c r="C35" s="1253">
        <v>1122717552.46</v>
      </c>
      <c r="D35" s="1975">
        <v>0</v>
      </c>
      <c r="E35" s="1976">
        <f t="shared" si="0"/>
        <v>1122717552.46</v>
      </c>
      <c r="F35" s="1976"/>
      <c r="G35" s="1253">
        <v>2983663100.8899999</v>
      </c>
      <c r="H35" s="1975">
        <v>0</v>
      </c>
      <c r="I35" s="911">
        <f t="shared" si="1"/>
        <v>2983663100.8899999</v>
      </c>
      <c r="J35" s="1815"/>
      <c r="K35" s="1816"/>
      <c r="M35" s="1815"/>
      <c r="N35" s="1816"/>
    </row>
    <row r="36" spans="1:14" s="1285" customFormat="1" ht="17.25" customHeight="1">
      <c r="A36" s="1283" t="s">
        <v>1335</v>
      </c>
      <c r="B36" s="1284"/>
      <c r="C36" s="1253">
        <v>615754357.31999993</v>
      </c>
      <c r="D36" s="1975">
        <v>0</v>
      </c>
      <c r="E36" s="1976">
        <f t="shared" si="0"/>
        <v>615754357.31999993</v>
      </c>
      <c r="F36" s="1976"/>
      <c r="G36" s="1253">
        <v>2353158697.04</v>
      </c>
      <c r="H36" s="1975">
        <v>0</v>
      </c>
      <c r="I36" s="911">
        <f t="shared" si="1"/>
        <v>2353158697.04</v>
      </c>
      <c r="J36" s="1815"/>
      <c r="K36" s="1816"/>
      <c r="M36" s="1815"/>
      <c r="N36" s="1816"/>
    </row>
    <row r="37" spans="1:14" s="1285" customFormat="1" ht="17.25" customHeight="1">
      <c r="A37" s="1283" t="s">
        <v>1336</v>
      </c>
      <c r="B37" s="1284"/>
      <c r="C37" s="1253">
        <v>153653170.55000001</v>
      </c>
      <c r="D37" s="1975">
        <v>0</v>
      </c>
      <c r="E37" s="1976">
        <f t="shared" si="0"/>
        <v>153653170.55000001</v>
      </c>
      <c r="F37" s="1976"/>
      <c r="G37" s="1253">
        <v>917509646.83000004</v>
      </c>
      <c r="H37" s="1975">
        <v>0</v>
      </c>
      <c r="I37" s="911">
        <f t="shared" si="1"/>
        <v>917509646.83000004</v>
      </c>
      <c r="J37" s="1815"/>
      <c r="K37" s="1816"/>
      <c r="M37" s="1815"/>
      <c r="N37" s="1816"/>
    </row>
    <row r="38" spans="1:14" s="1285" customFormat="1" ht="17.25" customHeight="1">
      <c r="A38" s="1283" t="s">
        <v>1337</v>
      </c>
      <c r="B38" s="1284"/>
      <c r="C38" s="1253">
        <v>31460180.420000002</v>
      </c>
      <c r="D38" s="1975">
        <v>0</v>
      </c>
      <c r="E38" s="1976">
        <f t="shared" si="0"/>
        <v>31460180.420000002</v>
      </c>
      <c r="F38" s="1976"/>
      <c r="G38" s="1253">
        <v>111169407.62</v>
      </c>
      <c r="H38" s="1975">
        <v>0</v>
      </c>
      <c r="I38" s="911">
        <f t="shared" si="1"/>
        <v>111169407.62</v>
      </c>
      <c r="J38" s="1815"/>
      <c r="K38" s="1816"/>
      <c r="M38" s="1815"/>
      <c r="N38" s="1816"/>
    </row>
    <row r="39" spans="1:14" s="1285" customFormat="1" ht="17.25" customHeight="1">
      <c r="A39" s="1283" t="s">
        <v>1338</v>
      </c>
      <c r="B39" s="1284"/>
      <c r="C39" s="1253">
        <v>236868.45</v>
      </c>
      <c r="D39" s="1975">
        <v>0</v>
      </c>
      <c r="E39" s="1976">
        <f t="shared" si="0"/>
        <v>236868.45</v>
      </c>
      <c r="F39" s="1976"/>
      <c r="G39" s="1253">
        <v>850040.16</v>
      </c>
      <c r="H39" s="1975">
        <v>0</v>
      </c>
      <c r="I39" s="911">
        <f t="shared" si="1"/>
        <v>850040.16</v>
      </c>
      <c r="J39" s="1815"/>
      <c r="K39" s="1816"/>
      <c r="M39" s="1815"/>
      <c r="N39" s="1816"/>
    </row>
    <row r="40" spans="1:14" s="1285" customFormat="1" ht="17.25" customHeight="1">
      <c r="A40" s="1286" t="s">
        <v>1339</v>
      </c>
      <c r="B40" s="1284"/>
      <c r="C40" s="1253">
        <v>1155007556.96</v>
      </c>
      <c r="D40" s="1975">
        <v>218009</v>
      </c>
      <c r="E40" s="1976">
        <f t="shared" si="0"/>
        <v>1155225565.96</v>
      </c>
      <c r="F40" s="1976"/>
      <c r="G40" s="1253">
        <v>4040167158.25</v>
      </c>
      <c r="H40" s="1975">
        <v>714524</v>
      </c>
      <c r="I40" s="911">
        <f t="shared" si="1"/>
        <v>4040881682.25</v>
      </c>
      <c r="J40" s="1815"/>
      <c r="K40" s="1816"/>
      <c r="M40" s="1815"/>
      <c r="N40" s="1816"/>
    </row>
    <row r="41" spans="1:14" s="1285" customFormat="1" ht="17.25" customHeight="1">
      <c r="A41" s="1283" t="s">
        <v>1340</v>
      </c>
      <c r="B41" s="1284"/>
      <c r="C41" s="1253">
        <v>216151789.47999999</v>
      </c>
      <c r="D41" s="1975">
        <v>0</v>
      </c>
      <c r="E41" s="1976">
        <f t="shared" si="0"/>
        <v>216151789.47999999</v>
      </c>
      <c r="F41" s="1976"/>
      <c r="G41" s="1253">
        <v>688185608.24000001</v>
      </c>
      <c r="H41" s="1975">
        <v>0</v>
      </c>
      <c r="I41" s="911">
        <f t="shared" si="1"/>
        <v>688185608.24000001</v>
      </c>
      <c r="J41" s="1815"/>
      <c r="K41" s="1816"/>
      <c r="M41" s="1815"/>
      <c r="N41" s="1816"/>
    </row>
    <row r="42" spans="1:14" s="1285" customFormat="1" ht="17.25" customHeight="1">
      <c r="A42" s="1283" t="s">
        <v>1341</v>
      </c>
      <c r="B42" s="1284"/>
      <c r="C42" s="1253">
        <v>710595.95000000007</v>
      </c>
      <c r="D42" s="1975">
        <v>0</v>
      </c>
      <c r="E42" s="1976">
        <f t="shared" si="0"/>
        <v>710595.95000000007</v>
      </c>
      <c r="F42" s="1976"/>
      <c r="G42" s="1253">
        <v>710595.95000000007</v>
      </c>
      <c r="H42" s="1975">
        <v>0</v>
      </c>
      <c r="I42" s="911">
        <f t="shared" si="1"/>
        <v>710595.95000000007</v>
      </c>
      <c r="J42" s="1815"/>
      <c r="K42" s="1816"/>
      <c r="M42" s="1815"/>
      <c r="N42" s="1816"/>
    </row>
    <row r="43" spans="1:14" s="1285" customFormat="1" ht="17.25" customHeight="1">
      <c r="A43" s="1283" t="s">
        <v>1342</v>
      </c>
      <c r="B43" s="1284"/>
      <c r="C43" s="1253">
        <v>350000000</v>
      </c>
      <c r="D43" s="1975">
        <v>0</v>
      </c>
      <c r="E43" s="1976">
        <f t="shared" si="0"/>
        <v>350000000</v>
      </c>
      <c r="F43" s="1976"/>
      <c r="G43" s="1253">
        <v>1400000000</v>
      </c>
      <c r="H43" s="1975">
        <v>0</v>
      </c>
      <c r="I43" s="911">
        <f t="shared" si="1"/>
        <v>1400000000</v>
      </c>
      <c r="J43" s="1815"/>
      <c r="K43" s="1816"/>
      <c r="M43" s="1815"/>
      <c r="N43" s="1816"/>
    </row>
    <row r="44" spans="1:14" s="1285" customFormat="1" ht="17.25" customHeight="1">
      <c r="A44" s="1283" t="s">
        <v>1436</v>
      </c>
      <c r="B44" s="1284"/>
      <c r="C44" s="1253">
        <v>0</v>
      </c>
      <c r="D44" s="1975">
        <v>0</v>
      </c>
      <c r="E44" s="1976">
        <f t="shared" si="0"/>
        <v>0</v>
      </c>
      <c r="F44" s="1976"/>
      <c r="G44" s="1253">
        <v>0</v>
      </c>
      <c r="H44" s="1975">
        <v>0</v>
      </c>
      <c r="I44" s="911">
        <f t="shared" si="1"/>
        <v>0</v>
      </c>
      <c r="J44" s="1815"/>
      <c r="K44" s="1816"/>
      <c r="M44" s="1815"/>
      <c r="N44" s="1816"/>
    </row>
    <row r="45" spans="1:14" s="1285" customFormat="1" ht="17.25" customHeight="1">
      <c r="A45" s="1283" t="s">
        <v>1343</v>
      </c>
      <c r="B45" s="1284"/>
      <c r="C45" s="1253">
        <v>0</v>
      </c>
      <c r="D45" s="1975">
        <v>0</v>
      </c>
      <c r="E45" s="1976">
        <f t="shared" si="0"/>
        <v>0</v>
      </c>
      <c r="F45" s="1976"/>
      <c r="G45" s="1253">
        <v>0</v>
      </c>
      <c r="H45" s="1975">
        <v>0</v>
      </c>
      <c r="I45" s="911">
        <f t="shared" si="1"/>
        <v>0</v>
      </c>
      <c r="J45" s="1815"/>
      <c r="K45" s="1816"/>
      <c r="M45" s="1815"/>
      <c r="N45" s="1816"/>
    </row>
    <row r="46" spans="1:14" s="1285" customFormat="1" ht="17.25" customHeight="1">
      <c r="A46" s="1283" t="s">
        <v>1437</v>
      </c>
      <c r="B46" s="1284"/>
      <c r="C46" s="1253">
        <v>0</v>
      </c>
      <c r="D46" s="1975">
        <v>0</v>
      </c>
      <c r="E46" s="1976">
        <f t="shared" si="0"/>
        <v>0</v>
      </c>
      <c r="F46" s="1976"/>
      <c r="G46" s="1253">
        <v>0</v>
      </c>
      <c r="H46" s="1975">
        <v>0</v>
      </c>
      <c r="I46" s="911">
        <f t="shared" si="1"/>
        <v>0</v>
      </c>
      <c r="J46" s="1815"/>
      <c r="K46" s="1816"/>
      <c r="M46" s="1815"/>
      <c r="N46" s="1816"/>
    </row>
    <row r="47" spans="1:14" s="1285" customFormat="1" ht="17.25" customHeight="1">
      <c r="A47" s="1283" t="s">
        <v>1438</v>
      </c>
      <c r="B47" s="1284"/>
      <c r="C47" s="1253">
        <v>0</v>
      </c>
      <c r="D47" s="1975">
        <v>0</v>
      </c>
      <c r="E47" s="1976">
        <f t="shared" si="0"/>
        <v>0</v>
      </c>
      <c r="F47" s="1976"/>
      <c r="G47" s="1253">
        <v>0</v>
      </c>
      <c r="H47" s="1975">
        <v>0</v>
      </c>
      <c r="I47" s="911">
        <f t="shared" si="1"/>
        <v>0</v>
      </c>
      <c r="J47" s="1815"/>
      <c r="K47" s="1816"/>
      <c r="M47" s="1815"/>
      <c r="N47" s="1816"/>
    </row>
    <row r="48" spans="1:14" s="1285" customFormat="1" ht="17.25" customHeight="1">
      <c r="A48" s="1283" t="s">
        <v>1344</v>
      </c>
      <c r="B48" s="1284"/>
      <c r="C48" s="1253">
        <v>90000000</v>
      </c>
      <c r="D48" s="1975">
        <v>0</v>
      </c>
      <c r="E48" s="1976">
        <f t="shared" si="0"/>
        <v>90000000</v>
      </c>
      <c r="F48" s="1976"/>
      <c r="G48" s="1253">
        <v>360000000</v>
      </c>
      <c r="H48" s="1975">
        <v>0</v>
      </c>
      <c r="I48" s="911">
        <f t="shared" si="1"/>
        <v>360000000</v>
      </c>
      <c r="J48" s="1815"/>
      <c r="K48" s="1816"/>
      <c r="M48" s="1815"/>
      <c r="N48" s="1816"/>
    </row>
    <row r="49" spans="1:15" s="1285" customFormat="1" ht="17.25" customHeight="1">
      <c r="A49" s="1283" t="s">
        <v>1435</v>
      </c>
      <c r="B49" s="1284"/>
      <c r="C49" s="1253">
        <v>0</v>
      </c>
      <c r="D49" s="1975">
        <v>0</v>
      </c>
      <c r="E49" s="1976">
        <f t="shared" si="0"/>
        <v>0</v>
      </c>
      <c r="F49" s="1976"/>
      <c r="G49" s="1253">
        <v>21875</v>
      </c>
      <c r="H49" s="1975">
        <v>0</v>
      </c>
      <c r="I49" s="911">
        <f t="shared" si="1"/>
        <v>21875</v>
      </c>
      <c r="J49" s="1815"/>
      <c r="K49" s="1816"/>
      <c r="M49" s="1815"/>
      <c r="N49" s="1816"/>
    </row>
    <row r="50" spans="1:15" s="1285" customFormat="1" ht="17.25" customHeight="1">
      <c r="A50" s="1283" t="s">
        <v>1416</v>
      </c>
      <c r="B50" s="1284"/>
      <c r="C50" s="1253">
        <v>938883</v>
      </c>
      <c r="D50" s="1975">
        <v>0</v>
      </c>
      <c r="E50" s="1976">
        <f t="shared" si="0"/>
        <v>938883</v>
      </c>
      <c r="F50" s="1976"/>
      <c r="G50" s="1253">
        <v>5291856</v>
      </c>
      <c r="H50" s="1975">
        <v>0</v>
      </c>
      <c r="I50" s="911">
        <f t="shared" si="1"/>
        <v>5291856</v>
      </c>
      <c r="J50" s="1815"/>
      <c r="K50" s="1816"/>
      <c r="M50" s="1815"/>
      <c r="N50" s="1816"/>
    </row>
    <row r="51" spans="1:15" s="1285" customFormat="1" ht="17.25" customHeight="1">
      <c r="A51" s="1283" t="s">
        <v>1345</v>
      </c>
      <c r="B51" s="1284"/>
      <c r="C51" s="1253">
        <v>0</v>
      </c>
      <c r="D51" s="1975">
        <v>0</v>
      </c>
      <c r="E51" s="1976">
        <f t="shared" si="0"/>
        <v>0</v>
      </c>
      <c r="F51" s="1976"/>
      <c r="G51" s="1253">
        <v>280863986.16000003</v>
      </c>
      <c r="H51" s="1975">
        <v>0</v>
      </c>
      <c r="I51" s="911">
        <f t="shared" si="1"/>
        <v>280863986.16000003</v>
      </c>
      <c r="J51" s="1815"/>
      <c r="K51" s="1816"/>
      <c r="M51" s="1815"/>
      <c r="N51" s="1816"/>
    </row>
    <row r="52" spans="1:15" s="1282" customFormat="1" ht="17.25" customHeight="1">
      <c r="A52" s="933" t="s">
        <v>1346</v>
      </c>
      <c r="B52" s="1281"/>
      <c r="C52" s="967">
        <f>SUM(C11:C51)</f>
        <v>4521424565.3799992</v>
      </c>
      <c r="D52" s="967">
        <f>SUM(D11:D51)</f>
        <v>124014476.92</v>
      </c>
      <c r="E52" s="967">
        <f>SUM(E11:E51)</f>
        <v>4645439042.2999992</v>
      </c>
      <c r="F52" s="934"/>
      <c r="G52" s="967">
        <f>SUM(G11:G51)</f>
        <v>15212688539.949999</v>
      </c>
      <c r="H52" s="967">
        <f>SUM(H11:H51)</f>
        <v>1155797562.8600001</v>
      </c>
      <c r="I52" s="967">
        <f>SUM(I11:I51)</f>
        <v>16368486102.810003</v>
      </c>
      <c r="J52" s="1815"/>
      <c r="K52" s="1816"/>
      <c r="L52" s="1285"/>
      <c r="M52" s="1814"/>
      <c r="N52" s="1816"/>
      <c r="O52" s="1285"/>
    </row>
    <row r="53" spans="1:15" ht="9.65" customHeight="1">
      <c r="A53" s="1277"/>
      <c r="B53" s="1278"/>
      <c r="C53" s="2014"/>
      <c r="D53" s="2014"/>
      <c r="E53" s="2014"/>
      <c r="F53" s="2014"/>
      <c r="G53" s="2046"/>
      <c r="H53" s="2046"/>
      <c r="I53" s="2046"/>
      <c r="K53" s="1816"/>
      <c r="L53" s="1285"/>
    </row>
    <row r="54" spans="1:15" ht="43.4" customHeight="1">
      <c r="A54" s="1288" t="s">
        <v>1448</v>
      </c>
      <c r="B54" s="1278"/>
      <c r="C54" s="1880">
        <v>-428132324.51999998</v>
      </c>
      <c r="D54" s="1881">
        <v>0</v>
      </c>
      <c r="E54" s="952">
        <f>C54+D54</f>
        <v>-428132324.51999998</v>
      </c>
      <c r="F54" s="953"/>
      <c r="G54" s="1881">
        <v>-1011719648.45</v>
      </c>
      <c r="H54" s="1881">
        <v>0</v>
      </c>
      <c r="I54" s="954">
        <f>G54+H54</f>
        <v>-1011719648.45</v>
      </c>
      <c r="K54" s="1816"/>
      <c r="L54" s="1285"/>
    </row>
    <row r="55" spans="1:15" ht="15.65" customHeight="1">
      <c r="A55" s="1289"/>
      <c r="B55" s="1278"/>
      <c r="C55" s="2031"/>
      <c r="D55" s="2031"/>
      <c r="E55" s="2031"/>
      <c r="F55" s="2031"/>
      <c r="G55" s="1882"/>
      <c r="H55" s="1882" t="s">
        <v>103</v>
      </c>
      <c r="I55" s="1882"/>
      <c r="K55" s="1816"/>
      <c r="L55" s="1285"/>
    </row>
    <row r="56" spans="1:15" ht="17.25" customHeight="1" thickBot="1">
      <c r="A56" s="1289" t="s">
        <v>1347</v>
      </c>
      <c r="B56" s="1278"/>
      <c r="C56" s="935">
        <f>+C52+C54</f>
        <v>4093292240.8599992</v>
      </c>
      <c r="D56" s="935">
        <f t="shared" ref="D56:H56" si="2">+D52+D54</f>
        <v>124014476.92</v>
      </c>
      <c r="E56" s="935">
        <f>+E52+E54</f>
        <v>4217306717.7799993</v>
      </c>
      <c r="F56" s="932">
        <f t="shared" si="2"/>
        <v>0</v>
      </c>
      <c r="G56" s="935">
        <f>+G52+G54</f>
        <v>14200968891.499998</v>
      </c>
      <c r="H56" s="935">
        <f t="shared" si="2"/>
        <v>1155797562.8600001</v>
      </c>
      <c r="I56" s="935">
        <f>+I52+I54</f>
        <v>15356766454.360003</v>
      </c>
      <c r="J56" s="1273"/>
      <c r="K56" s="1816"/>
      <c r="L56" s="1285"/>
    </row>
    <row r="57" spans="1:15" ht="17.25" customHeight="1" thickTop="1">
      <c r="A57" s="1290"/>
      <c r="B57" s="1280"/>
      <c r="C57" s="1290"/>
      <c r="D57" s="1290"/>
      <c r="E57" s="1883"/>
      <c r="F57" s="1883"/>
      <c r="G57" s="2047"/>
      <c r="H57" s="2047"/>
      <c r="I57" s="1815" t="s">
        <v>103</v>
      </c>
    </row>
    <row r="58" spans="1:15" ht="16.399999999999999" customHeight="1">
      <c r="A58" s="1291" t="s">
        <v>1348</v>
      </c>
      <c r="B58" s="1280"/>
      <c r="C58" s="1884"/>
      <c r="D58" s="1885"/>
      <c r="E58" s="1886"/>
      <c r="F58" s="1887"/>
      <c r="G58" s="1885"/>
      <c r="H58" s="1885"/>
      <c r="I58" s="1885"/>
      <c r="J58" s="1890"/>
    </row>
    <row r="59" spans="1:15" ht="16.399999999999999" customHeight="1">
      <c r="A59" s="1292" t="s">
        <v>1349</v>
      </c>
      <c r="B59" s="1280"/>
      <c r="C59" s="1904"/>
      <c r="D59" s="1982"/>
      <c r="E59" s="1946"/>
      <c r="F59" s="953"/>
      <c r="G59" s="1881"/>
      <c r="H59" s="1882"/>
      <c r="I59" s="910"/>
      <c r="J59" s="1890"/>
    </row>
    <row r="60" spans="1:15" ht="16.399999999999999" customHeight="1">
      <c r="A60" s="1292" t="s">
        <v>1350</v>
      </c>
      <c r="B60" s="1280"/>
      <c r="C60" s="1983"/>
      <c r="D60" s="1884"/>
      <c r="E60" s="1885" t="s">
        <v>103</v>
      </c>
      <c r="F60" s="1886"/>
      <c r="G60" s="1888" t="s">
        <v>103</v>
      </c>
      <c r="H60" s="1885"/>
      <c r="I60" s="1885"/>
    </row>
    <row r="61" spans="1:15" s="1272" customFormat="1" ht="16.399999999999999" customHeight="1">
      <c r="A61" s="1292" t="s">
        <v>1351</v>
      </c>
      <c r="B61" s="1271"/>
      <c r="C61" s="1880"/>
      <c r="D61" s="1881"/>
      <c r="E61" s="952"/>
      <c r="F61" s="953"/>
      <c r="G61" s="1881" t="s">
        <v>103</v>
      </c>
      <c r="H61" s="1881"/>
      <c r="I61" s="954"/>
      <c r="M61" s="1889"/>
    </row>
    <row r="62" spans="1:15" s="1272" customFormat="1" ht="13.4" customHeight="1">
      <c r="A62" s="1292" t="s">
        <v>1352</v>
      </c>
      <c r="B62" s="1271"/>
      <c r="C62" s="1902"/>
      <c r="D62" s="1900"/>
      <c r="E62" s="1984"/>
      <c r="F62" s="1900"/>
      <c r="G62" s="1890"/>
      <c r="H62" s="1280"/>
      <c r="I62" s="1891"/>
      <c r="M62" s="1889"/>
    </row>
    <row r="63" spans="1:15" ht="17.25" customHeight="1">
      <c r="A63" s="1292" t="s">
        <v>1353</v>
      </c>
      <c r="C63" s="1902"/>
      <c r="D63" s="1900"/>
      <c r="E63" s="1984"/>
      <c r="F63" s="1900"/>
      <c r="G63" s="1885"/>
      <c r="H63" s="1280"/>
      <c r="I63" s="1280"/>
    </row>
    <row r="64" spans="1:15" ht="17.25" customHeight="1">
      <c r="C64" s="1880"/>
      <c r="D64" s="1881"/>
      <c r="E64" s="952"/>
      <c r="F64" s="953"/>
      <c r="G64" s="1881"/>
      <c r="H64" s="1881"/>
      <c r="I64" s="954"/>
    </row>
    <row r="65" spans="3:9" ht="17.25" customHeight="1">
      <c r="C65" s="1884"/>
      <c r="D65" s="1885"/>
      <c r="E65" s="1886"/>
      <c r="F65" s="1887"/>
      <c r="G65" s="1885"/>
      <c r="H65" s="1885"/>
      <c r="I65" s="1885"/>
    </row>
    <row r="66" spans="3:9" ht="17.25" customHeight="1">
      <c r="C66" s="1880"/>
      <c r="D66" s="1881"/>
      <c r="E66" s="952"/>
      <c r="F66" s="953"/>
      <c r="G66" s="1881"/>
      <c r="H66" s="1881"/>
      <c r="I66" s="954"/>
    </row>
    <row r="67" spans="3:9" ht="17.25" customHeight="1">
      <c r="G67" s="1273"/>
    </row>
    <row r="68" spans="3:9" ht="17.25" customHeight="1">
      <c r="C68" s="1889"/>
      <c r="G68" s="1273"/>
      <c r="I68" s="1810"/>
    </row>
    <row r="69" spans="3:9" ht="17.25" customHeight="1">
      <c r="G69" s="1273"/>
    </row>
    <row r="70" spans="3:9" ht="17.25" customHeight="1">
      <c r="I70" s="1810"/>
    </row>
  </sheetData>
  <mergeCells count="2">
    <mergeCell ref="C7:E7"/>
    <mergeCell ref="G7:I7"/>
  </mergeCells>
  <printOptions horizontalCentered="1"/>
  <pageMargins left="0.17" right="0.18" top="0.44" bottom="0.27" header="0.23" footer="0.18"/>
  <pageSetup scale="54" firstPageNumber="57" orientation="landscape" useFirstPageNumber="1" r:id="rId1"/>
  <headerFooter scaleWithDoc="0" alignWithMargins="0">
    <oddFooter>&amp;C&amp;8&amp;P</oddFooter>
  </headerFooter>
  <customProperties>
    <customPr name="SheetOptions" r:id="rId2"/>
  </customPropertie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6">
    <pageSetUpPr fitToPage="1"/>
  </sheetPr>
  <dimension ref="A1:M43"/>
  <sheetViews>
    <sheetView showGridLines="0" zoomScale="80" zoomScaleNormal="80" workbookViewId="0"/>
  </sheetViews>
  <sheetFormatPr defaultColWidth="8.84375" defaultRowHeight="14.5"/>
  <cols>
    <col min="1" max="1" width="53.84375" style="1297" customWidth="1"/>
    <col min="2" max="2" width="2" style="1271" customWidth="1"/>
    <col min="3" max="3" width="21.07421875" style="1272" customWidth="1"/>
    <col min="4" max="4" width="21.84375" style="1272" customWidth="1"/>
    <col min="5" max="5" width="19.84375" style="1272" customWidth="1"/>
    <col min="6" max="6" width="1.07421875" style="1272" customWidth="1"/>
    <col min="7" max="7" width="22.07421875" style="1872" customWidth="1"/>
    <col min="8" max="8" width="20.84375" style="1271" customWidth="1"/>
    <col min="9" max="9" width="21.84375" style="1271" customWidth="1"/>
    <col min="10" max="10" width="17.84375" style="1273" customWidth="1"/>
    <col min="11" max="11" width="23.84375" style="1271" customWidth="1"/>
    <col min="12" max="12" width="15.84375" style="1271" customWidth="1"/>
    <col min="13" max="13" width="14.07421875" style="1271" bestFit="1" customWidth="1"/>
    <col min="14" max="16384" width="8.84375" style="1271"/>
  </cols>
  <sheetData>
    <row r="1" spans="1:13" ht="15.5">
      <c r="A1" s="265" t="s">
        <v>97</v>
      </c>
    </row>
    <row r="3" spans="1:13" ht="25.4" customHeight="1">
      <c r="A3" s="1274" t="s">
        <v>98</v>
      </c>
      <c r="C3" s="1873"/>
      <c r="D3" s="1873"/>
      <c r="E3" s="1873"/>
      <c r="F3" s="1873"/>
      <c r="I3" s="1875" t="s">
        <v>1354</v>
      </c>
    </row>
    <row r="4" spans="1:13" ht="25.4" customHeight="1">
      <c r="A4" s="1274" t="s">
        <v>1355</v>
      </c>
      <c r="C4" s="1873"/>
      <c r="D4" s="1873"/>
      <c r="E4" s="1873"/>
      <c r="F4" s="1873"/>
    </row>
    <row r="5" spans="1:13" ht="18.649999999999999" customHeight="1">
      <c r="A5" s="1275" t="str">
        <f>'Appendix H'!A5</f>
        <v>FISCAL YEAR 2026-2027</v>
      </c>
      <c r="C5" s="1873"/>
      <c r="D5" s="1873"/>
      <c r="E5" s="1873"/>
      <c r="F5" s="1873"/>
    </row>
    <row r="6" spans="1:13" ht="21">
      <c r="A6" s="1293"/>
      <c r="C6" s="1873"/>
      <c r="D6" s="1873"/>
      <c r="E6" s="1873"/>
      <c r="F6" s="1873"/>
    </row>
    <row r="7" spans="1:13" ht="15.5">
      <c r="A7" s="1294"/>
      <c r="B7" s="1278"/>
      <c r="C7" s="2085" t="str">
        <f>'Appendix H'!C7</f>
        <v>JULY 2026</v>
      </c>
      <c r="D7" s="2086"/>
      <c r="E7" s="2086"/>
      <c r="F7" s="1876"/>
      <c r="G7" s="2086" t="str">
        <f>'Appendix H'!G7</f>
        <v>4 MONTHS ENDED JULY 31</v>
      </c>
      <c r="H7" s="2086"/>
      <c r="I7" s="2086"/>
    </row>
    <row r="8" spans="1:13" ht="15.5">
      <c r="A8" s="1294"/>
      <c r="B8" s="1278"/>
      <c r="C8" s="1892"/>
      <c r="D8" s="1892"/>
      <c r="E8" s="1892"/>
      <c r="F8" s="1892"/>
      <c r="G8" s="1877"/>
      <c r="H8" s="1278"/>
      <c r="I8" s="1278"/>
    </row>
    <row r="9" spans="1:13" ht="15.5">
      <c r="A9" s="1295"/>
      <c r="B9" s="1278"/>
      <c r="C9" s="1279" t="s">
        <v>1311</v>
      </c>
      <c r="D9" s="1279" t="s">
        <v>1312</v>
      </c>
      <c r="E9" s="1279" t="str">
        <f>'Appendix H'!E9</f>
        <v>July</v>
      </c>
      <c r="F9" s="1279"/>
      <c r="G9" s="1279" t="s">
        <v>1311</v>
      </c>
      <c r="H9" s="1279" t="s">
        <v>1312</v>
      </c>
      <c r="I9" s="1878" t="s">
        <v>1313</v>
      </c>
    </row>
    <row r="10" spans="1:13" s="1282" customFormat="1" ht="15.5">
      <c r="A10" s="931"/>
      <c r="B10" s="1281"/>
      <c r="C10" s="1893"/>
      <c r="D10" s="1893"/>
      <c r="E10" s="1893"/>
      <c r="F10" s="1893"/>
      <c r="G10" s="1894"/>
      <c r="H10" s="1281"/>
      <c r="I10" s="1894"/>
      <c r="J10" s="1814"/>
    </row>
    <row r="11" spans="1:13" s="1285" customFormat="1" ht="15.5">
      <c r="A11" s="1283" t="s">
        <v>1356</v>
      </c>
      <c r="B11" s="1284"/>
      <c r="C11" s="925">
        <v>6640146.8200000003</v>
      </c>
      <c r="D11" s="925">
        <v>0</v>
      </c>
      <c r="E11" s="926">
        <f>C11+D11</f>
        <v>6640146.8200000003</v>
      </c>
      <c r="F11" s="926"/>
      <c r="G11" s="925">
        <v>32104275.75</v>
      </c>
      <c r="H11" s="925">
        <v>0</v>
      </c>
      <c r="I11" s="926">
        <f>G11+H11</f>
        <v>32104275.75</v>
      </c>
      <c r="J11" s="1815"/>
      <c r="K11" s="1816"/>
      <c r="L11" s="1917"/>
    </row>
    <row r="12" spans="1:13" s="1285" customFormat="1" ht="15.5">
      <c r="A12" s="1283" t="s">
        <v>1316</v>
      </c>
      <c r="B12" s="1284"/>
      <c r="C12" s="1975">
        <v>12723492.060000001</v>
      </c>
      <c r="D12" s="1975">
        <v>92561994</v>
      </c>
      <c r="E12" s="1976">
        <f>C12+D12</f>
        <v>105285486.06</v>
      </c>
      <c r="F12" s="1976"/>
      <c r="G12" s="1975">
        <v>467408704.19999999</v>
      </c>
      <c r="H12" s="1975">
        <v>131812574.03</v>
      </c>
      <c r="I12" s="1976">
        <f>G12+H12</f>
        <v>599221278.23000002</v>
      </c>
      <c r="J12" s="1815"/>
      <c r="K12" s="1816"/>
      <c r="L12" s="1917"/>
      <c r="M12" s="1815" t="s">
        <v>103</v>
      </c>
    </row>
    <row r="13" spans="1:13" s="1285" customFormat="1" ht="15.5">
      <c r="A13" s="1283" t="s">
        <v>1329</v>
      </c>
      <c r="B13" s="1284"/>
      <c r="C13" s="1975">
        <v>212914829.75</v>
      </c>
      <c r="D13" s="1975">
        <v>0</v>
      </c>
      <c r="E13" s="1976">
        <f t="shared" ref="E13:E23" si="0">C13+D13</f>
        <v>212914829.75</v>
      </c>
      <c r="F13" s="1976"/>
      <c r="G13" s="1975">
        <v>1107592884.9000001</v>
      </c>
      <c r="H13" s="1975">
        <v>0</v>
      </c>
      <c r="I13" s="1976">
        <f t="shared" ref="I13:I25" si="1">G13+H13</f>
        <v>1107592884.9000001</v>
      </c>
      <c r="J13" s="1815"/>
      <c r="K13" s="1816"/>
      <c r="L13" s="1917"/>
    </row>
    <row r="14" spans="1:13" s="1285" customFormat="1" ht="15.5">
      <c r="A14" s="1283" t="s">
        <v>1331</v>
      </c>
      <c r="B14" s="1284"/>
      <c r="C14" s="1975">
        <v>38614685.07</v>
      </c>
      <c r="D14" s="1975">
        <v>0</v>
      </c>
      <c r="E14" s="1976">
        <f t="shared" si="0"/>
        <v>38614685.07</v>
      </c>
      <c r="F14" s="1976"/>
      <c r="G14" s="1975">
        <v>183043489.31</v>
      </c>
      <c r="H14" s="1975">
        <v>0</v>
      </c>
      <c r="I14" s="1976">
        <f>G14+H14</f>
        <v>183043489.31</v>
      </c>
      <c r="J14" s="1815"/>
      <c r="K14" s="1816"/>
      <c r="L14" s="1917"/>
    </row>
    <row r="15" spans="1:13" s="1285" customFormat="1" ht="15.5">
      <c r="A15" s="1283" t="s">
        <v>1332</v>
      </c>
      <c r="B15" s="1284"/>
      <c r="C15" s="1975">
        <v>224728817.46000001</v>
      </c>
      <c r="D15" s="1975">
        <v>0</v>
      </c>
      <c r="E15" s="1976">
        <f t="shared" si="0"/>
        <v>224728817.46000001</v>
      </c>
      <c r="F15" s="1976"/>
      <c r="G15" s="1975">
        <v>484676327.29000002</v>
      </c>
      <c r="H15" s="1975">
        <v>0</v>
      </c>
      <c r="I15" s="1976">
        <f t="shared" si="1"/>
        <v>484676327.29000002</v>
      </c>
      <c r="J15" s="1815"/>
      <c r="K15" s="1816"/>
      <c r="L15" s="1917"/>
    </row>
    <row r="16" spans="1:13" s="1285" customFormat="1" ht="15.5">
      <c r="A16" s="1283" t="s">
        <v>1333</v>
      </c>
      <c r="B16" s="1284"/>
      <c r="C16" s="1975">
        <v>142018223.43000001</v>
      </c>
      <c r="D16" s="1975">
        <v>0</v>
      </c>
      <c r="E16" s="1976">
        <f t="shared" si="0"/>
        <v>142018223.43000001</v>
      </c>
      <c r="F16" s="1976"/>
      <c r="G16" s="1975">
        <v>604490190.78999996</v>
      </c>
      <c r="H16" s="1975">
        <v>0</v>
      </c>
      <c r="I16" s="1976">
        <f t="shared" si="1"/>
        <v>604490190.78999996</v>
      </c>
      <c r="J16" s="1815"/>
      <c r="K16" s="1816"/>
      <c r="L16" s="1917"/>
    </row>
    <row r="17" spans="1:12" s="1285" customFormat="1" ht="15.5">
      <c r="A17" s="1283" t="s">
        <v>1334</v>
      </c>
      <c r="B17" s="1284"/>
      <c r="C17" s="1975">
        <v>1598309900.9100001</v>
      </c>
      <c r="D17" s="1975">
        <v>0</v>
      </c>
      <c r="E17" s="1976">
        <f t="shared" si="0"/>
        <v>1598309900.9100001</v>
      </c>
      <c r="F17" s="1976"/>
      <c r="G17" s="1975">
        <v>7676334800.46</v>
      </c>
      <c r="H17" s="1975">
        <v>0</v>
      </c>
      <c r="I17" s="1976">
        <f t="shared" si="1"/>
        <v>7676334800.46</v>
      </c>
      <c r="J17" s="1815"/>
      <c r="K17" s="1816"/>
      <c r="L17" s="1917"/>
    </row>
    <row r="18" spans="1:12" s="1285" customFormat="1" ht="15.5">
      <c r="A18" s="1283" t="s">
        <v>1335</v>
      </c>
      <c r="B18" s="1284"/>
      <c r="C18" s="1975">
        <v>1312144233.25</v>
      </c>
      <c r="D18" s="1975">
        <v>0</v>
      </c>
      <c r="E18" s="1976">
        <f t="shared" si="0"/>
        <v>1312144233.25</v>
      </c>
      <c r="F18" s="1976"/>
      <c r="G18" s="1975">
        <v>6017230665.4799995</v>
      </c>
      <c r="H18" s="1975">
        <v>0</v>
      </c>
      <c r="I18" s="1976">
        <f t="shared" si="1"/>
        <v>6017230665.4799995</v>
      </c>
      <c r="J18" s="1815"/>
      <c r="K18" s="1816"/>
      <c r="L18" s="1917"/>
    </row>
    <row r="19" spans="1:12" s="1285" customFormat="1" ht="15.5">
      <c r="A19" s="1283" t="s">
        <v>1446</v>
      </c>
      <c r="B19" s="1284"/>
      <c r="C19" s="1975">
        <v>0</v>
      </c>
      <c r="D19" s="1975">
        <v>0</v>
      </c>
      <c r="E19" s="1976">
        <f t="shared" si="0"/>
        <v>0</v>
      </c>
      <c r="F19" s="1976"/>
      <c r="G19" s="1975">
        <v>238531173.47999999</v>
      </c>
      <c r="H19" s="1975">
        <v>0</v>
      </c>
      <c r="I19" s="1976">
        <f t="shared" si="1"/>
        <v>238531173.47999999</v>
      </c>
      <c r="J19" s="1815"/>
      <c r="K19" s="1816"/>
      <c r="L19" s="1917"/>
    </row>
    <row r="20" spans="1:12" s="1285" customFormat="1" ht="15.5">
      <c r="A20" s="1283" t="s">
        <v>1336</v>
      </c>
      <c r="B20" s="1284"/>
      <c r="C20" s="1975">
        <v>81126596.299999997</v>
      </c>
      <c r="D20" s="1975">
        <v>0</v>
      </c>
      <c r="E20" s="1976">
        <f t="shared" si="0"/>
        <v>81126596.299999997</v>
      </c>
      <c r="F20" s="1976"/>
      <c r="G20" s="1975">
        <v>804942432.53999996</v>
      </c>
      <c r="H20" s="1975">
        <v>0</v>
      </c>
      <c r="I20" s="1976">
        <f t="shared" si="1"/>
        <v>804942432.53999996</v>
      </c>
      <c r="J20" s="1815"/>
      <c r="K20" s="1816"/>
      <c r="L20" s="1917"/>
    </row>
    <row r="21" spans="1:12" s="1285" customFormat="1" ht="15.5">
      <c r="A21" s="1283" t="s">
        <v>1337</v>
      </c>
      <c r="B21" s="1284"/>
      <c r="C21" s="1975">
        <v>54363508.369999997</v>
      </c>
      <c r="D21" s="1975">
        <v>0</v>
      </c>
      <c r="E21" s="1976">
        <f t="shared" si="0"/>
        <v>54363508.369999997</v>
      </c>
      <c r="F21" s="1976"/>
      <c r="G21" s="1975">
        <v>237204607.03</v>
      </c>
      <c r="H21" s="1975">
        <v>0</v>
      </c>
      <c r="I21" s="1976">
        <f t="shared" si="1"/>
        <v>237204607.03</v>
      </c>
      <c r="J21" s="1815"/>
      <c r="K21" s="1816"/>
      <c r="L21" s="1917"/>
    </row>
    <row r="22" spans="1:12" s="1285" customFormat="1" ht="15.5">
      <c r="A22" s="1283" t="s">
        <v>1338</v>
      </c>
      <c r="B22" s="1284"/>
      <c r="C22" s="1975">
        <v>386485.16000000003</v>
      </c>
      <c r="D22" s="1975">
        <v>0</v>
      </c>
      <c r="E22" s="1976">
        <f t="shared" si="0"/>
        <v>386485.16000000003</v>
      </c>
      <c r="F22" s="1976"/>
      <c r="G22" s="1975">
        <v>1664262.74</v>
      </c>
      <c r="H22" s="1975">
        <v>0</v>
      </c>
      <c r="I22" s="1976">
        <f t="shared" si="1"/>
        <v>1664262.74</v>
      </c>
      <c r="J22" s="1815"/>
      <c r="K22" s="1816"/>
      <c r="L22" s="1917"/>
    </row>
    <row r="23" spans="1:12" s="1285" customFormat="1" ht="15.5">
      <c r="A23" s="1283" t="s">
        <v>1357</v>
      </c>
      <c r="B23" s="1284"/>
      <c r="C23" s="1975">
        <v>-107925731.12</v>
      </c>
      <c r="D23" s="1975">
        <v>8979210</v>
      </c>
      <c r="E23" s="1976">
        <f t="shared" si="0"/>
        <v>-98946521.120000005</v>
      </c>
      <c r="F23" s="1976"/>
      <c r="G23" s="1975">
        <v>611440560.15999997</v>
      </c>
      <c r="H23" s="1975">
        <v>12282104</v>
      </c>
      <c r="I23" s="1976">
        <f t="shared" si="1"/>
        <v>623722664.15999997</v>
      </c>
      <c r="J23" s="1815"/>
      <c r="K23" s="1816"/>
      <c r="L23" s="1917"/>
    </row>
    <row r="24" spans="1:12" s="1285" customFormat="1" ht="15.5">
      <c r="A24" s="1283" t="s">
        <v>1340</v>
      </c>
      <c r="B24" s="1284"/>
      <c r="C24" s="332">
        <v>369511770.88999999</v>
      </c>
      <c r="D24" s="1975">
        <v>0</v>
      </c>
      <c r="E24" s="1976">
        <f>C24+D24</f>
        <v>369511770.88999999</v>
      </c>
      <c r="F24" s="1976"/>
      <c r="G24" s="332">
        <v>1051680153.73</v>
      </c>
      <c r="H24" s="1975">
        <v>0</v>
      </c>
      <c r="I24" s="1976">
        <f t="shared" si="1"/>
        <v>1051680153.73</v>
      </c>
      <c r="J24" s="1815"/>
      <c r="K24" s="1816"/>
      <c r="L24" s="1917"/>
    </row>
    <row r="25" spans="1:12" s="1285" customFormat="1" ht="15.5">
      <c r="A25" s="1283" t="s">
        <v>1345</v>
      </c>
      <c r="B25" s="1284"/>
      <c r="C25" s="1975">
        <v>0</v>
      </c>
      <c r="D25" s="1975">
        <v>0</v>
      </c>
      <c r="E25" s="1976">
        <f>C25</f>
        <v>0</v>
      </c>
      <c r="F25" s="1976"/>
      <c r="G25" s="1975">
        <v>334587123.83999997</v>
      </c>
      <c r="H25" s="1975">
        <v>0</v>
      </c>
      <c r="I25" s="1976">
        <f t="shared" si="1"/>
        <v>334587123.83999997</v>
      </c>
      <c r="J25" s="1815"/>
      <c r="K25" s="1816"/>
      <c r="L25" s="1917"/>
    </row>
    <row r="26" spans="1:12" s="1282" customFormat="1" ht="26.15" customHeight="1">
      <c r="A26" s="933" t="s">
        <v>1346</v>
      </c>
      <c r="B26" s="1281"/>
      <c r="C26" s="965">
        <f>SUM(C11:C25)</f>
        <v>3945556958.3499999</v>
      </c>
      <c r="D26" s="965">
        <f>SUM(D11:D25)</f>
        <v>101541204</v>
      </c>
      <c r="E26" s="965">
        <f>SUM(E11:E25)</f>
        <v>4047098162.3499999</v>
      </c>
      <c r="F26" s="966"/>
      <c r="G26" s="965">
        <f>SUM(G11:G25)</f>
        <v>19852931651.700001</v>
      </c>
      <c r="H26" s="965">
        <f>SUM(H11:H25)</f>
        <v>144094678.03</v>
      </c>
      <c r="I26" s="965">
        <f>SUM(I11:I25)</f>
        <v>19997026329.73</v>
      </c>
      <c r="J26" s="1814"/>
      <c r="K26" s="1816"/>
      <c r="L26" s="1917"/>
    </row>
    <row r="27" spans="1:12" ht="6.65" customHeight="1">
      <c r="A27" s="1296"/>
      <c r="B27" s="1278"/>
      <c r="C27" s="2015"/>
      <c r="D27" s="2015"/>
      <c r="E27" s="2015"/>
      <c r="F27" s="2015"/>
      <c r="G27" s="1885"/>
      <c r="H27" s="1885"/>
      <c r="I27" s="1885"/>
      <c r="K27" s="1816"/>
      <c r="L27" s="1917"/>
    </row>
    <row r="28" spans="1:12" ht="42" customHeight="1">
      <c r="A28" s="2021" t="s">
        <v>1481</v>
      </c>
      <c r="B28" s="1278"/>
      <c r="C28" s="1895">
        <v>1477064630.96</v>
      </c>
      <c r="D28" s="1896">
        <v>0</v>
      </c>
      <c r="E28" s="2016">
        <f t="shared" ref="E28" si="2">C28+D28</f>
        <v>1477064630.96</v>
      </c>
      <c r="F28" s="1897"/>
      <c r="G28" s="1898">
        <v>-67361804.900000006</v>
      </c>
      <c r="H28" s="1898">
        <v>0</v>
      </c>
      <c r="I28" s="1899">
        <f>G28+H28</f>
        <v>-67361804.900000006</v>
      </c>
      <c r="J28" s="1885"/>
      <c r="K28" s="1816"/>
      <c r="L28" s="1917"/>
    </row>
    <row r="29" spans="1:12" ht="15.65" customHeight="1">
      <c r="A29" s="1289"/>
      <c r="B29" s="1278"/>
      <c r="C29" s="1996"/>
      <c r="D29" s="1996"/>
      <c r="E29" s="1996"/>
      <c r="F29" s="1996"/>
      <c r="G29" s="1997"/>
      <c r="H29" s="1997"/>
      <c r="I29" s="1997"/>
      <c r="K29" s="1816"/>
      <c r="L29" s="1917"/>
    </row>
    <row r="30" spans="1:12" ht="18" thickBot="1">
      <c r="A30" s="1289" t="s">
        <v>1358</v>
      </c>
      <c r="B30" s="1278"/>
      <c r="C30" s="916">
        <f>+C26+C28</f>
        <v>5422621589.3099995</v>
      </c>
      <c r="D30" s="916">
        <f>+D26+D28</f>
        <v>101541204</v>
      </c>
      <c r="E30" s="916">
        <f>+E26+E28</f>
        <v>5524162793.3099995</v>
      </c>
      <c r="F30" s="926"/>
      <c r="G30" s="916">
        <f>+G26+G28</f>
        <v>19785569846.799999</v>
      </c>
      <c r="H30" s="916">
        <f>+H26+H28</f>
        <v>144094678.03</v>
      </c>
      <c r="I30" s="916">
        <f>+I26+I28</f>
        <v>19929664524.829998</v>
      </c>
      <c r="K30" s="1816"/>
      <c r="L30" s="1917"/>
    </row>
    <row r="31" spans="1:12" ht="15" thickTop="1">
      <c r="C31" s="1900"/>
      <c r="D31" s="1900"/>
      <c r="E31" s="1900"/>
      <c r="F31" s="1900"/>
      <c r="G31" s="1901"/>
      <c r="H31" s="1280"/>
      <c r="I31" s="1280"/>
    </row>
    <row r="32" spans="1:12" ht="16.399999999999999" customHeight="1">
      <c r="A32" s="1291" t="s">
        <v>1359</v>
      </c>
      <c r="C32" s="1902"/>
      <c r="D32" s="1903"/>
      <c r="E32" s="1902" t="s">
        <v>103</v>
      </c>
      <c r="F32" s="1900"/>
      <c r="G32" s="1881"/>
      <c r="H32" s="1890"/>
      <c r="I32" s="1890"/>
    </row>
    <row r="33" spans="1:9" ht="16.399999999999999" customHeight="1">
      <c r="A33" s="1292" t="s">
        <v>1349</v>
      </c>
      <c r="C33" s="1904"/>
      <c r="D33" s="1904"/>
      <c r="E33" s="1905" t="s">
        <v>103</v>
      </c>
      <c r="F33" s="1906"/>
      <c r="G33" s="1881"/>
      <c r="H33" s="1881"/>
      <c r="I33" s="1907" t="s">
        <v>103</v>
      </c>
    </row>
    <row r="34" spans="1:9" ht="14.9" customHeight="1">
      <c r="A34" s="1298" t="s">
        <v>1350</v>
      </c>
      <c r="C34" s="1884"/>
      <c r="D34" s="1886"/>
      <c r="E34" s="1908" t="s">
        <v>103</v>
      </c>
      <c r="F34" s="332"/>
      <c r="G34" s="1885" t="s">
        <v>103</v>
      </c>
      <c r="H34" s="1885"/>
      <c r="I34" s="1909"/>
    </row>
    <row r="35" spans="1:9" ht="16.399999999999999" customHeight="1">
      <c r="A35" s="1298" t="s">
        <v>1360</v>
      </c>
      <c r="C35" s="1902"/>
      <c r="D35" s="1900"/>
      <c r="E35" s="1902" t="s">
        <v>103</v>
      </c>
      <c r="F35" s="1900"/>
      <c r="G35" s="1885"/>
      <c r="H35" s="1280" t="s">
        <v>103</v>
      </c>
      <c r="I35" s="1890" t="s">
        <v>103</v>
      </c>
    </row>
    <row r="36" spans="1:9" ht="16.399999999999999" customHeight="1">
      <c r="A36" s="1298" t="s">
        <v>1361</v>
      </c>
      <c r="C36" s="1902"/>
      <c r="D36" s="1900"/>
      <c r="E36" s="1902" t="s">
        <v>103</v>
      </c>
      <c r="F36" s="1900"/>
      <c r="G36" s="1890" t="s">
        <v>103</v>
      </c>
      <c r="H36" s="1280"/>
      <c r="I36" s="1891" t="s">
        <v>103</v>
      </c>
    </row>
    <row r="37" spans="1:9">
      <c r="C37" s="1900"/>
      <c r="D37" s="1902"/>
      <c r="E37" s="1900"/>
      <c r="F37" s="1900"/>
      <c r="G37" s="1890"/>
      <c r="H37" s="1280"/>
      <c r="I37" s="1890" t="s">
        <v>103</v>
      </c>
    </row>
    <row r="38" spans="1:9" ht="15.5">
      <c r="C38" s="1895"/>
      <c r="D38" s="1896"/>
      <c r="E38" s="1910"/>
      <c r="F38" s="1897"/>
      <c r="G38" s="1898"/>
      <c r="H38" s="1898"/>
      <c r="I38" s="1899"/>
    </row>
    <row r="39" spans="1:9" ht="15.5">
      <c r="C39" s="1895"/>
      <c r="D39" s="1896"/>
      <c r="E39" s="1910"/>
      <c r="F39" s="1897"/>
      <c r="G39" s="1898"/>
      <c r="H39" s="1898"/>
      <c r="I39" s="1899"/>
    </row>
    <row r="40" spans="1:9">
      <c r="B40" s="1273"/>
      <c r="C40" s="1889"/>
      <c r="D40" s="1889"/>
      <c r="E40" s="1889"/>
      <c r="F40" s="1889"/>
      <c r="G40" s="1273"/>
      <c r="H40" s="1273"/>
      <c r="I40" s="1890" t="s">
        <v>103</v>
      </c>
    </row>
    <row r="41" spans="1:9">
      <c r="B41" s="1273"/>
      <c r="C41" s="1889"/>
      <c r="D41" s="1889"/>
      <c r="E41" s="1889"/>
      <c r="F41" s="1889"/>
      <c r="G41" s="1273"/>
      <c r="H41" s="1273"/>
      <c r="I41" s="1273"/>
    </row>
    <row r="42" spans="1:9">
      <c r="B42" s="1273"/>
      <c r="C42" s="1889"/>
      <c r="D42" s="1889"/>
      <c r="E42" s="1889"/>
      <c r="F42" s="1889"/>
      <c r="G42" s="1273"/>
      <c r="H42" s="1273"/>
      <c r="I42" s="1273"/>
    </row>
    <row r="43" spans="1:9">
      <c r="B43" s="1273"/>
      <c r="C43" s="1889"/>
      <c r="D43" s="1889"/>
      <c r="E43" s="1889"/>
      <c r="F43" s="1889"/>
      <c r="G43" s="1273"/>
      <c r="H43" s="1273"/>
      <c r="I43" s="1273"/>
    </row>
  </sheetData>
  <mergeCells count="2">
    <mergeCell ref="C7:E7"/>
    <mergeCell ref="G7:I7"/>
  </mergeCells>
  <printOptions horizontalCentered="1"/>
  <pageMargins left="0.17" right="0.18" top="0.5" bottom="0.27" header="0.23" footer="0.18"/>
  <pageSetup scale="62" firstPageNumber="58" orientation="landscape" useFirstPageNumber="1" r:id="rId1"/>
  <headerFooter scaleWithDoc="0" alignWithMargins="0">
    <oddFooter>&amp;C&amp;8&amp;P</oddFooter>
  </headerFooter>
  <customProperties>
    <customPr name="SheetOptions"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autoPageBreaks="0" fitToPage="1"/>
  </sheetPr>
  <dimension ref="A1:AA57"/>
  <sheetViews>
    <sheetView showGridLines="0" zoomScale="90" workbookViewId="0"/>
  </sheetViews>
  <sheetFormatPr defaultColWidth="8.84375" defaultRowHeight="15.5"/>
  <cols>
    <col min="1" max="1" width="44.84375" style="10" customWidth="1"/>
    <col min="2" max="2" width="13.84375" style="10" customWidth="1"/>
    <col min="3" max="3" width="1.07421875" style="10" customWidth="1"/>
    <col min="4" max="4" width="13.84375" style="10" customWidth="1"/>
    <col min="5" max="5" width="1.84375" style="10" customWidth="1"/>
    <col min="6" max="6" width="13.84375" style="10" customWidth="1"/>
    <col min="7" max="7" width="1.07421875" style="10" customWidth="1"/>
    <col min="8" max="8" width="13.84375" style="10" customWidth="1"/>
    <col min="9" max="11" width="1.07421875" style="10" customWidth="1"/>
    <col min="12" max="12" width="13.84375" style="10" customWidth="1"/>
    <col min="13" max="13" width="1.53515625" style="10" customWidth="1"/>
    <col min="14" max="14" width="13.84375" style="10" customWidth="1"/>
    <col min="15" max="17" width="1.07421875" style="10" customWidth="1"/>
    <col min="18" max="18" width="13.84375" style="10" customWidth="1"/>
    <col min="19" max="19" width="1.07421875" style="10" customWidth="1"/>
    <col min="20" max="20" width="13.84375" style="10" customWidth="1"/>
    <col min="21" max="22" width="1.07421875" style="10" customWidth="1"/>
    <col min="23" max="23" width="13.84375" style="10" customWidth="1"/>
    <col min="24" max="24" width="1.07421875" style="10" customWidth="1"/>
    <col min="25" max="25" width="13.84375" style="10" customWidth="1"/>
    <col min="26" max="26" width="3.07421875" style="10" customWidth="1"/>
    <col min="27" max="16384" width="8.84375" style="10"/>
  </cols>
  <sheetData>
    <row r="1" spans="1:26">
      <c r="A1" s="265" t="s">
        <v>97</v>
      </c>
    </row>
    <row r="2" spans="1:26">
      <c r="A2" s="354"/>
    </row>
    <row r="3" spans="1:26" s="5" customFormat="1" ht="18" customHeight="1">
      <c r="A3" s="3" t="s">
        <v>98</v>
      </c>
      <c r="B3" s="3"/>
      <c r="C3" s="3"/>
      <c r="D3" s="3"/>
      <c r="E3" s="3"/>
      <c r="F3" s="364"/>
      <c r="G3" s="364"/>
      <c r="H3" s="3"/>
      <c r="I3" s="3"/>
      <c r="J3" s="3"/>
      <c r="K3" s="3"/>
      <c r="L3" s="3"/>
      <c r="M3" s="3"/>
      <c r="N3" s="3"/>
      <c r="O3" s="3"/>
      <c r="P3" s="3"/>
      <c r="Q3" s="3"/>
      <c r="R3" s="888"/>
      <c r="S3" s="2057"/>
      <c r="T3" s="2057"/>
      <c r="U3" s="502"/>
      <c r="V3" s="502"/>
      <c r="W3" s="291"/>
      <c r="X3" s="354"/>
      <c r="Y3" s="2058" t="s">
        <v>199</v>
      </c>
      <c r="Z3" s="2058"/>
    </row>
    <row r="4" spans="1:26" s="5" customFormat="1">
      <c r="A4" s="3" t="s">
        <v>200</v>
      </c>
      <c r="B4" s="3"/>
      <c r="C4" s="3"/>
      <c r="D4" s="3"/>
      <c r="E4" s="3"/>
      <c r="F4" s="364"/>
      <c r="G4" s="364"/>
      <c r="H4" s="3"/>
      <c r="I4" s="3"/>
      <c r="J4" s="3"/>
      <c r="K4" s="3"/>
      <c r="L4" s="3"/>
      <c r="M4" s="3"/>
      <c r="N4" s="3"/>
      <c r="O4" s="3"/>
      <c r="P4" s="3"/>
      <c r="Q4" s="3"/>
      <c r="R4" s="3"/>
      <c r="S4" s="3"/>
      <c r="T4" s="3"/>
      <c r="U4" s="3"/>
      <c r="V4" s="3"/>
      <c r="W4" s="291"/>
      <c r="X4" s="354"/>
      <c r="Y4" s="354"/>
      <c r="Z4" s="354"/>
    </row>
    <row r="5" spans="1:26" s="5" customFormat="1" ht="15.75" customHeight="1">
      <c r="A5" s="1211" t="s">
        <v>158</v>
      </c>
      <c r="B5" s="3"/>
      <c r="C5" s="3"/>
      <c r="D5" s="3"/>
      <c r="E5" s="3"/>
      <c r="F5" s="364"/>
      <c r="G5" s="364"/>
      <c r="H5" s="3"/>
      <c r="I5" s="3"/>
      <c r="J5" s="3"/>
      <c r="K5" s="3"/>
      <c r="L5" s="3"/>
      <c r="M5" s="3"/>
      <c r="N5" s="3"/>
      <c r="O5" s="3"/>
      <c r="P5" s="3"/>
      <c r="Q5" s="3"/>
      <c r="R5" s="3"/>
      <c r="S5" s="3"/>
      <c r="T5" s="3" t="s">
        <v>103</v>
      </c>
      <c r="U5" s="3"/>
      <c r="V5" s="3"/>
      <c r="W5" s="291"/>
      <c r="X5" s="354"/>
      <c r="Y5" s="354"/>
      <c r="Z5" s="354"/>
    </row>
    <row r="6" spans="1:26" s="5" customFormat="1">
      <c r="A6" s="3" t="s">
        <v>102</v>
      </c>
      <c r="B6" s="3"/>
      <c r="C6" s="3"/>
      <c r="D6" s="3"/>
      <c r="E6" s="3"/>
      <c r="F6" s="364"/>
      <c r="G6" s="364"/>
      <c r="H6" s="3"/>
      <c r="I6" s="3"/>
      <c r="J6" s="3"/>
      <c r="K6" s="3"/>
      <c r="L6" s="3"/>
      <c r="M6" s="3"/>
      <c r="N6" s="3"/>
      <c r="O6" s="3"/>
      <c r="P6" s="3"/>
      <c r="Q6" s="3"/>
      <c r="R6" s="3"/>
      <c r="S6" s="3"/>
      <c r="T6" s="3"/>
      <c r="U6" s="3"/>
      <c r="V6" s="3"/>
      <c r="W6" s="291"/>
      <c r="X6" s="354"/>
      <c r="Y6" s="354"/>
      <c r="Z6" s="354"/>
    </row>
    <row r="7" spans="1:26" s="5" customFormat="1">
      <c r="A7" s="6"/>
      <c r="B7" s="3"/>
      <c r="C7" s="3"/>
      <c r="D7" s="3"/>
      <c r="E7" s="3"/>
      <c r="F7" s="364"/>
      <c r="G7" s="364"/>
      <c r="H7" s="3"/>
      <c r="I7" s="3"/>
      <c r="J7" s="3"/>
      <c r="K7" s="3"/>
      <c r="L7" s="3"/>
      <c r="M7" s="3"/>
      <c r="N7" s="3"/>
      <c r="O7" s="3"/>
      <c r="P7" s="3"/>
      <c r="Q7" s="3"/>
      <c r="R7" s="3"/>
      <c r="S7" s="3"/>
      <c r="T7" s="3"/>
      <c r="U7" s="3"/>
      <c r="V7" s="3"/>
      <c r="W7" s="291"/>
      <c r="X7" s="354"/>
      <c r="Y7" s="354"/>
      <c r="Z7" s="354"/>
    </row>
    <row r="8" spans="1:26" s="5" customFormat="1">
      <c r="A8" s="291"/>
      <c r="B8" s="3"/>
      <c r="C8" s="3"/>
      <c r="D8" s="3"/>
      <c r="E8" s="3"/>
      <c r="F8" s="364"/>
      <c r="G8" s="364"/>
      <c r="H8" s="3"/>
      <c r="I8" s="3"/>
      <c r="J8" s="3"/>
      <c r="K8" s="3"/>
      <c r="L8" s="3"/>
      <c r="M8" s="3"/>
      <c r="N8" s="3"/>
      <c r="O8" s="3"/>
      <c r="P8" s="3"/>
      <c r="Q8" s="3"/>
      <c r="R8" s="3"/>
      <c r="S8" s="3"/>
      <c r="T8" s="3"/>
      <c r="U8" s="3"/>
      <c r="V8" s="3"/>
      <c r="W8" s="291"/>
      <c r="X8" s="354"/>
      <c r="Y8" s="354"/>
      <c r="Z8" s="354"/>
    </row>
    <row r="9" spans="1:26" s="5" customFormat="1" ht="8.15" customHeight="1">
      <c r="A9" s="291"/>
      <c r="B9" s="3"/>
      <c r="C9" s="3"/>
      <c r="D9" s="3"/>
      <c r="E9" s="3"/>
      <c r="F9" s="3"/>
      <c r="G9" s="364"/>
      <c r="H9" s="3"/>
      <c r="I9" s="3"/>
      <c r="J9" s="3"/>
      <c r="K9" s="3"/>
      <c r="L9" s="3"/>
      <c r="M9" s="3"/>
      <c r="N9" s="3"/>
      <c r="O9" s="3"/>
      <c r="P9" s="3"/>
      <c r="Q9" s="3"/>
      <c r="R9" s="3"/>
      <c r="S9" s="3"/>
      <c r="T9" s="3"/>
      <c r="U9" s="3"/>
      <c r="V9" s="3"/>
      <c r="W9" s="291"/>
      <c r="X9" s="291"/>
      <c r="Y9" s="291"/>
      <c r="Z9" s="364"/>
    </row>
    <row r="10" spans="1:26" s="5" customFormat="1">
      <c r="A10" s="291"/>
      <c r="B10" s="3"/>
      <c r="C10" s="3"/>
      <c r="D10" s="3"/>
      <c r="E10" s="3"/>
      <c r="F10" s="3"/>
      <c r="G10" s="364"/>
      <c r="H10" s="3"/>
      <c r="I10" s="3"/>
      <c r="J10" s="3"/>
      <c r="K10" s="3"/>
      <c r="L10" s="3"/>
      <c r="M10" s="3"/>
      <c r="N10" s="3"/>
      <c r="O10" s="3"/>
      <c r="P10" s="3"/>
      <c r="Q10" s="3"/>
      <c r="R10" s="3"/>
      <c r="S10" s="3"/>
      <c r="T10" s="3"/>
      <c r="U10" s="3"/>
      <c r="V10" s="3"/>
      <c r="W10" s="291"/>
      <c r="X10" s="354"/>
      <c r="Y10" s="354"/>
      <c r="Z10" s="354"/>
    </row>
    <row r="11" spans="1:26" s="5" customFormat="1">
      <c r="A11" s="291"/>
      <c r="B11" s="3"/>
      <c r="C11" s="3"/>
      <c r="D11" s="3"/>
      <c r="E11" s="3"/>
      <c r="F11" s="3"/>
      <c r="G11" s="364"/>
      <c r="H11" s="3"/>
      <c r="I11" s="3"/>
      <c r="J11" s="3"/>
      <c r="K11" s="3"/>
      <c r="L11" s="291"/>
      <c r="M11" s="52"/>
      <c r="N11" s="503"/>
      <c r="O11" s="503"/>
      <c r="P11" s="503"/>
      <c r="Q11" s="982"/>
      <c r="R11" s="52"/>
      <c r="S11" s="52"/>
      <c r="T11" s="52"/>
      <c r="U11" s="52"/>
      <c r="V11" s="52"/>
      <c r="W11" s="291"/>
      <c r="X11" s="354"/>
      <c r="Y11" s="354"/>
      <c r="Z11" s="354"/>
    </row>
    <row r="12" spans="1:26" ht="16.399999999999999" customHeight="1">
      <c r="A12" s="291"/>
      <c r="B12" s="52"/>
      <c r="C12" s="52" t="s">
        <v>201</v>
      </c>
      <c r="D12" s="52"/>
      <c r="E12" s="3"/>
      <c r="F12" s="52"/>
      <c r="G12" s="52" t="s">
        <v>202</v>
      </c>
      <c r="H12" s="52"/>
      <c r="I12" s="52"/>
      <c r="J12" s="52"/>
      <c r="K12" s="3"/>
      <c r="L12" s="52"/>
      <c r="M12" s="52"/>
      <c r="N12" s="503"/>
      <c r="O12" s="503"/>
      <c r="P12" s="503"/>
      <c r="Q12" s="52" t="s">
        <v>203</v>
      </c>
      <c r="R12" s="52"/>
      <c r="S12" s="52"/>
      <c r="T12" s="52"/>
      <c r="U12" s="52"/>
      <c r="V12" s="52"/>
      <c r="W12" s="1797" t="s">
        <v>204</v>
      </c>
      <c r="X12" s="694"/>
      <c r="Y12" s="694"/>
      <c r="Z12" s="8"/>
    </row>
    <row r="13" spans="1:26" ht="13.4" customHeight="1">
      <c r="A13" s="291"/>
      <c r="B13" s="983"/>
      <c r="C13" s="983"/>
      <c r="D13" s="983"/>
      <c r="E13" s="291"/>
      <c r="F13" s="983"/>
      <c r="G13" s="984"/>
      <c r="H13" s="983"/>
      <c r="I13" s="291"/>
      <c r="J13" s="291"/>
      <c r="K13" s="291"/>
      <c r="L13" s="983"/>
      <c r="M13" s="983"/>
      <c r="N13" s="983"/>
      <c r="O13" s="983"/>
      <c r="P13" s="983"/>
      <c r="Q13" s="983"/>
      <c r="R13" s="983"/>
      <c r="S13" s="983"/>
      <c r="T13" s="983"/>
      <c r="U13" s="291"/>
      <c r="V13" s="402"/>
      <c r="W13" s="7"/>
      <c r="X13" s="9"/>
      <c r="Y13" s="9"/>
      <c r="Z13" s="9"/>
    </row>
    <row r="14" spans="1:26" ht="16.399999999999999" customHeight="1">
      <c r="A14" s="291"/>
      <c r="B14" s="52" t="s">
        <v>109</v>
      </c>
      <c r="C14" s="3"/>
      <c r="D14" s="52" t="str">
        <f>'Exhibit A'!F11</f>
        <v>4 MOS. ENDED</v>
      </c>
      <c r="E14" s="3"/>
      <c r="F14" s="52" t="s">
        <v>109</v>
      </c>
      <c r="G14" s="57"/>
      <c r="H14" s="52" t="str">
        <f>D14</f>
        <v>4 MOS. ENDED</v>
      </c>
      <c r="I14" s="52"/>
      <c r="J14" s="52"/>
      <c r="K14" s="3"/>
      <c r="L14" s="52" t="s">
        <v>109</v>
      </c>
      <c r="M14" s="3"/>
      <c r="N14" s="52" t="str">
        <f>D14</f>
        <v>4 MOS. ENDED</v>
      </c>
      <c r="O14" s="52"/>
      <c r="P14" s="52"/>
      <c r="Q14" s="3"/>
      <c r="R14" s="52" t="s">
        <v>109</v>
      </c>
      <c r="S14" s="3"/>
      <c r="T14" s="52" t="str">
        <f>H14</f>
        <v>4 MOS. ENDED</v>
      </c>
      <c r="U14" s="52"/>
      <c r="V14" s="394"/>
      <c r="W14" s="319" t="s">
        <v>110</v>
      </c>
      <c r="X14" s="57"/>
      <c r="Y14" s="320" t="s">
        <v>111</v>
      </c>
      <c r="Z14" s="9"/>
    </row>
    <row r="15" spans="1:26" ht="16.399999999999999" customHeight="1">
      <c r="A15" s="291"/>
      <c r="B15" s="1790" t="str">
        <f>'Exhibit A'!D12</f>
        <v>JULY 2026</v>
      </c>
      <c r="C15" s="3"/>
      <c r="D15" s="1793" t="str">
        <f>'Exhibit A'!F12</f>
        <v>JULY 31, 2026</v>
      </c>
      <c r="E15" s="3"/>
      <c r="F15" s="52" t="str">
        <f>B15</f>
        <v>JULY 2026</v>
      </c>
      <c r="G15" s="3"/>
      <c r="H15" s="52" t="str">
        <f>D15</f>
        <v>JULY 31, 2026</v>
      </c>
      <c r="I15" s="52"/>
      <c r="J15" s="52"/>
      <c r="K15" s="3"/>
      <c r="L15" s="52" t="str">
        <f>B15</f>
        <v>JULY 2026</v>
      </c>
      <c r="M15" s="3"/>
      <c r="N15" s="52" t="str">
        <f>'Exhibit A'!X12</f>
        <v>JULY 31, 2026</v>
      </c>
      <c r="O15" s="52"/>
      <c r="P15" s="52"/>
      <c r="Q15" s="3"/>
      <c r="R15" s="1215" t="str">
        <f>'Exhibit A'!AB12</f>
        <v>JULY 2025</v>
      </c>
      <c r="S15" s="3"/>
      <c r="T15" s="1215" t="str">
        <f>'Exhibit A'!AD12</f>
        <v>JULY 31, 2025</v>
      </c>
      <c r="U15" s="314"/>
      <c r="V15" s="395"/>
      <c r="W15" s="1214" t="s">
        <v>112</v>
      </c>
      <c r="X15" s="57"/>
      <c r="Y15" s="985" t="s">
        <v>113</v>
      </c>
      <c r="Z15" s="9"/>
    </row>
    <row r="16" spans="1:26" ht="13.4" customHeight="1">
      <c r="A16" s="291"/>
      <c r="B16" s="983"/>
      <c r="C16" s="291"/>
      <c r="D16" s="983" t="s">
        <v>103</v>
      </c>
      <c r="E16" s="291"/>
      <c r="F16" s="983"/>
      <c r="G16" s="291"/>
      <c r="H16" s="984" t="s">
        <v>103</v>
      </c>
      <c r="I16" s="364"/>
      <c r="J16" s="1489"/>
      <c r="K16" s="291"/>
      <c r="L16" s="983"/>
      <c r="M16" s="291"/>
      <c r="N16" s="983"/>
      <c r="O16" s="291"/>
      <c r="P16" s="1490"/>
      <c r="Q16" s="291"/>
      <c r="R16" s="291"/>
      <c r="S16" s="291"/>
      <c r="T16" s="291"/>
      <c r="U16" s="291"/>
      <c r="V16" s="402"/>
      <c r="W16" s="7"/>
      <c r="X16" s="291"/>
      <c r="Y16" s="9"/>
      <c r="Z16" s="291"/>
    </row>
    <row r="17" spans="1:27" ht="16.399999999999999" customHeight="1">
      <c r="A17" s="3" t="s">
        <v>114</v>
      </c>
      <c r="B17" s="291"/>
      <c r="C17" s="291"/>
      <c r="D17" s="291"/>
      <c r="E17" s="291"/>
      <c r="F17" s="291"/>
      <c r="G17" s="291"/>
      <c r="H17" s="291"/>
      <c r="I17" s="291"/>
      <c r="J17" s="1490"/>
      <c r="K17" s="291"/>
      <c r="L17" s="291"/>
      <c r="M17" s="291"/>
      <c r="N17" s="291"/>
      <c r="O17" s="291"/>
      <c r="P17" s="1490"/>
      <c r="Q17" s="291"/>
      <c r="R17" s="291"/>
      <c r="S17" s="291"/>
      <c r="T17" s="291"/>
      <c r="U17" s="291"/>
      <c r="V17" s="402"/>
      <c r="W17" s="7"/>
      <c r="X17" s="291"/>
      <c r="Y17" s="9"/>
      <c r="Z17" s="291"/>
    </row>
    <row r="18" spans="1:27" ht="16.399999999999999" customHeight="1">
      <c r="A18" s="291" t="s">
        <v>119</v>
      </c>
      <c r="B18" s="274">
        <f>'Exhibit J'!I17</f>
        <v>296.80000000000024</v>
      </c>
      <c r="C18" s="274"/>
      <c r="D18" s="274">
        <f>+'Exhibit J'!AB17</f>
        <v>1209.9000000000001</v>
      </c>
      <c r="E18" s="274"/>
      <c r="F18" s="274">
        <f>'Exhibit K'!H17</f>
        <v>62.9</v>
      </c>
      <c r="G18" s="274"/>
      <c r="H18" s="274">
        <f>+'Exhibit K'!AA17</f>
        <v>201</v>
      </c>
      <c r="I18" s="274"/>
      <c r="J18" s="1491"/>
      <c r="K18" s="274"/>
      <c r="L18" s="274">
        <f>ROUND(SUM(B18)+SUM(F18),1)</f>
        <v>359.7</v>
      </c>
      <c r="M18" s="274"/>
      <c r="N18" s="274">
        <f>ROUND(SUM(D18)+SUM(H18),1)</f>
        <v>1410.9</v>
      </c>
      <c r="O18" s="274"/>
      <c r="P18" s="1491"/>
      <c r="Q18" s="274"/>
      <c r="R18" s="274">
        <v>354.5</v>
      </c>
      <c r="S18" s="274"/>
      <c r="T18" s="274">
        <f>'Exhibit J'!AE17+'Exhibit K'!AD17</f>
        <v>1247</v>
      </c>
      <c r="U18" s="274"/>
      <c r="V18" s="522"/>
      <c r="W18" s="274">
        <f>ROUND(SUM(N18-T18),1)</f>
        <v>163.9</v>
      </c>
      <c r="X18" s="379"/>
      <c r="Y18" s="283">
        <f>ROUND(+W18/T18,3)</f>
        <v>0.13100000000000001</v>
      </c>
      <c r="Z18" s="379"/>
      <c r="AA18" s="1480"/>
    </row>
    <row r="19" spans="1:27" ht="16.399999999999999" customHeight="1">
      <c r="A19" s="350" t="s">
        <v>205</v>
      </c>
      <c r="B19" s="264">
        <f>'Exhibit J'!I18</f>
        <v>1.5999999999999992</v>
      </c>
      <c r="C19" s="264"/>
      <c r="D19" s="264">
        <f>+'Exhibit J'!AB18</f>
        <v>7.5</v>
      </c>
      <c r="E19" s="264"/>
      <c r="F19" s="275">
        <v>0</v>
      </c>
      <c r="G19" s="264"/>
      <c r="H19" s="275">
        <v>0</v>
      </c>
      <c r="I19" s="275"/>
      <c r="J19" s="1492"/>
      <c r="K19" s="264"/>
      <c r="L19" s="264">
        <f>ROUND(SUM(B19)+SUM(F19),1)</f>
        <v>1.6</v>
      </c>
      <c r="M19" s="264"/>
      <c r="N19" s="264">
        <f>ROUND(SUM(D19)+SUM(H19),1)</f>
        <v>7.5</v>
      </c>
      <c r="O19" s="264"/>
      <c r="P19" s="986"/>
      <c r="Q19" s="264"/>
      <c r="R19" s="264">
        <v>1.3</v>
      </c>
      <c r="S19" s="264"/>
      <c r="T19" s="264">
        <f>'Exhibit J'!AE18</f>
        <v>4.3</v>
      </c>
      <c r="U19" s="264"/>
      <c r="V19" s="525"/>
      <c r="W19" s="264">
        <f>ROUND(SUM(N19-T19),1)</f>
        <v>3.2</v>
      </c>
      <c r="X19" s="526"/>
      <c r="Y19" s="1067">
        <f>ROUND(+W19/T19,3)</f>
        <v>0.74399999999999999</v>
      </c>
      <c r="Z19" s="268"/>
      <c r="AA19" s="1480"/>
    </row>
    <row r="20" spans="1:27" ht="16.399999999999999" customHeight="1">
      <c r="A20" s="291" t="s">
        <v>206</v>
      </c>
      <c r="B20" s="264">
        <f>'Exhibit J'!I19</f>
        <v>342.7</v>
      </c>
      <c r="C20" s="264"/>
      <c r="D20" s="264">
        <f>+'Exhibit J'!AB19</f>
        <v>1315.6</v>
      </c>
      <c r="E20" s="264"/>
      <c r="F20" s="275">
        <v>0</v>
      </c>
      <c r="G20" s="264"/>
      <c r="H20" s="275">
        <v>0</v>
      </c>
      <c r="I20" s="275"/>
      <c r="J20" s="1492"/>
      <c r="K20" s="264"/>
      <c r="L20" s="382">
        <f>ROUND(SUM(B20+F20),1)</f>
        <v>342.7</v>
      </c>
      <c r="M20" s="264"/>
      <c r="N20" s="264">
        <f>ROUND(SUM(D20)+SUM(H20),1)</f>
        <v>1315.6</v>
      </c>
      <c r="O20" s="264"/>
      <c r="P20" s="986"/>
      <c r="Q20" s="264"/>
      <c r="R20" s="264">
        <v>256.3</v>
      </c>
      <c r="S20" s="367"/>
      <c r="T20" s="264">
        <f>'Exhibit J'!AE19</f>
        <v>936.6</v>
      </c>
      <c r="U20" s="264"/>
      <c r="V20" s="525"/>
      <c r="W20" s="264">
        <f>ROUND(SUM(N20-T20),1)</f>
        <v>379</v>
      </c>
      <c r="X20" s="526"/>
      <c r="Y20" s="607">
        <f>ROUND(+W20/T20,3)</f>
        <v>0.40500000000000003</v>
      </c>
      <c r="Z20" s="268"/>
      <c r="AA20" s="1480"/>
    </row>
    <row r="21" spans="1:27">
      <c r="A21" s="3" t="s">
        <v>121</v>
      </c>
      <c r="B21" s="1791">
        <f>ROUND(SUM(B18:B20),1)</f>
        <v>641.1</v>
      </c>
      <c r="C21" s="13"/>
      <c r="D21" s="1791">
        <f>ROUND(SUM(D18:D20),1)</f>
        <v>2533</v>
      </c>
      <c r="E21" s="13"/>
      <c r="F21" s="1791">
        <f>ROUND(SUM(F18:F20),1)</f>
        <v>62.9</v>
      </c>
      <c r="G21" s="13"/>
      <c r="H21" s="1791">
        <f>ROUND(SUM(H18:H20),1)</f>
        <v>201</v>
      </c>
      <c r="I21" s="13"/>
      <c r="J21" s="1493"/>
      <c r="K21" s="13"/>
      <c r="L21" s="1791">
        <f>SUM(L18:L20)</f>
        <v>704</v>
      </c>
      <c r="M21" s="13"/>
      <c r="N21" s="1791">
        <f>SUM(N18:N20)</f>
        <v>2734</v>
      </c>
      <c r="O21" s="13"/>
      <c r="P21" s="1493"/>
      <c r="Q21" s="13"/>
      <c r="R21" s="1791">
        <f>ROUND(SUM(R18:R20),1)</f>
        <v>612.1</v>
      </c>
      <c r="S21" s="13"/>
      <c r="T21" s="1791">
        <f>ROUND(SUM(T18:T20),1)</f>
        <v>2187.9</v>
      </c>
      <c r="U21" s="13"/>
      <c r="V21" s="98"/>
      <c r="W21" s="1791">
        <f>ROUND(SUM(W18:W20),1)</f>
        <v>546.1</v>
      </c>
      <c r="X21" s="268"/>
      <c r="Y21" s="1799">
        <f>ROUND(+W21/T21,3)</f>
        <v>0.25</v>
      </c>
      <c r="Z21" s="268"/>
      <c r="AA21" s="1480"/>
    </row>
    <row r="22" spans="1:27">
      <c r="A22" s="3"/>
      <c r="B22" s="264"/>
      <c r="C22" s="264"/>
      <c r="D22" s="264"/>
      <c r="E22" s="264"/>
      <c r="F22" s="264"/>
      <c r="G22" s="264"/>
      <c r="H22" s="264"/>
      <c r="I22" s="264"/>
      <c r="J22" s="986"/>
      <c r="K22" s="264"/>
      <c r="L22" s="264"/>
      <c r="M22" s="264"/>
      <c r="N22" s="264"/>
      <c r="O22" s="264"/>
      <c r="P22" s="986"/>
      <c r="Q22" s="264"/>
      <c r="R22" s="264"/>
      <c r="S22" s="264"/>
      <c r="T22" s="264"/>
      <c r="U22" s="264"/>
      <c r="V22" s="525"/>
      <c r="W22" s="364"/>
      <c r="X22" s="291"/>
      <c r="Y22" s="364"/>
      <c r="Z22" s="291"/>
      <c r="AA22" s="1480"/>
    </row>
    <row r="23" spans="1:27" ht="16.399999999999999" customHeight="1">
      <c r="A23" s="3" t="s">
        <v>122</v>
      </c>
      <c r="B23" s="264"/>
      <c r="C23" s="264"/>
      <c r="D23" s="264"/>
      <c r="E23" s="264"/>
      <c r="F23" s="264"/>
      <c r="G23" s="264"/>
      <c r="H23" s="264"/>
      <c r="I23" s="264"/>
      <c r="J23" s="986"/>
      <c r="K23" s="264"/>
      <c r="L23" s="264"/>
      <c r="M23" s="264"/>
      <c r="N23" s="264"/>
      <c r="O23" s="264"/>
      <c r="P23" s="986"/>
      <c r="Q23" s="264"/>
      <c r="R23" s="264"/>
      <c r="S23" s="264"/>
      <c r="T23" s="264"/>
      <c r="U23" s="264"/>
      <c r="V23" s="525"/>
      <c r="W23" s="364"/>
      <c r="X23" s="291"/>
      <c r="Y23" s="364"/>
      <c r="Z23" s="291"/>
      <c r="AA23" s="1480"/>
    </row>
    <row r="24" spans="1:27" ht="16.399999999999999" customHeight="1">
      <c r="A24" s="291" t="s">
        <v>135</v>
      </c>
      <c r="B24" s="264"/>
      <c r="C24" s="264"/>
      <c r="D24" s="264"/>
      <c r="E24" s="264"/>
      <c r="F24" s="264"/>
      <c r="G24" s="264"/>
      <c r="H24" s="264"/>
      <c r="I24" s="264"/>
      <c r="J24" s="986"/>
      <c r="K24" s="264"/>
      <c r="L24" s="264"/>
      <c r="M24" s="264"/>
      <c r="N24" s="264"/>
      <c r="O24" s="264"/>
      <c r="P24" s="986"/>
      <c r="Q24" s="264"/>
      <c r="R24" s="264"/>
      <c r="S24" s="264"/>
      <c r="T24" s="264"/>
      <c r="U24" s="264"/>
      <c r="V24" s="525"/>
      <c r="W24" s="364"/>
      <c r="X24" s="291"/>
      <c r="Y24" s="364"/>
      <c r="Z24" s="291"/>
      <c r="AA24" s="1480"/>
    </row>
    <row r="25" spans="1:27" ht="16.399999999999999" customHeight="1">
      <c r="A25" s="291" t="s">
        <v>207</v>
      </c>
      <c r="B25" s="264">
        <f>'Exhibit J'!I26</f>
        <v>154.40000000000012</v>
      </c>
      <c r="C25" s="264"/>
      <c r="D25" s="264">
        <f>+'Exhibit J'!AB26</f>
        <v>686.7</v>
      </c>
      <c r="E25" s="264"/>
      <c r="F25" s="264">
        <f>'Exhibit K'!H24</f>
        <v>18.100000000000001</v>
      </c>
      <c r="G25" s="264"/>
      <c r="H25" s="264">
        <f>+'Exhibit K'!AA24</f>
        <v>57.9</v>
      </c>
      <c r="I25" s="264"/>
      <c r="J25" s="986"/>
      <c r="K25" s="264"/>
      <c r="L25" s="264">
        <f>ROUND(SUM(B25)+SUM(F25),1)</f>
        <v>172.5</v>
      </c>
      <c r="M25" s="264"/>
      <c r="N25" s="264">
        <f>ROUND(SUM(D25)+SUM(H25),1)</f>
        <v>744.6</v>
      </c>
      <c r="O25" s="264"/>
      <c r="P25" s="986"/>
      <c r="Q25" s="264"/>
      <c r="R25" s="264">
        <v>172.3</v>
      </c>
      <c r="S25" s="264"/>
      <c r="T25" s="264">
        <f>'Exhibit J'!AE26+'Exhibit K'!AD24</f>
        <v>724.5</v>
      </c>
      <c r="U25" s="264"/>
      <c r="V25" s="525"/>
      <c r="W25" s="264">
        <f>ROUND(SUM(N25-T25),1)</f>
        <v>20.100000000000001</v>
      </c>
      <c r="X25" s="268"/>
      <c r="Y25" s="607">
        <f>ROUND(+W25/T25,3)</f>
        <v>2.8000000000000001E-2</v>
      </c>
      <c r="Z25" s="291"/>
      <c r="AA25" s="1480"/>
    </row>
    <row r="26" spans="1:27" ht="16.399999999999999" customHeight="1">
      <c r="A26" s="291" t="s">
        <v>208</v>
      </c>
      <c r="B26" s="264">
        <f>'Exhibit J'!I27</f>
        <v>35.499999999999993</v>
      </c>
      <c r="C26" s="264"/>
      <c r="D26" s="264">
        <f>+'Exhibit J'!AB27</f>
        <v>164.7</v>
      </c>
      <c r="E26" s="264"/>
      <c r="F26" s="264">
        <f>'Exhibit K'!H25</f>
        <v>41.800000000000011</v>
      </c>
      <c r="G26" s="264"/>
      <c r="H26" s="264">
        <f>+'Exhibit K'!AA25</f>
        <v>209.4</v>
      </c>
      <c r="I26" s="264"/>
      <c r="J26" s="986"/>
      <c r="K26" s="264"/>
      <c r="L26" s="264">
        <f>ROUND(SUM(B26)+SUM(F26),1)</f>
        <v>77.3</v>
      </c>
      <c r="M26" s="264"/>
      <c r="N26" s="264">
        <f>ROUND(SUM(D26)+SUM(H26),1)</f>
        <v>374.1</v>
      </c>
      <c r="O26" s="264"/>
      <c r="P26" s="986"/>
      <c r="Q26" s="264"/>
      <c r="R26" s="264">
        <v>104.7</v>
      </c>
      <c r="S26" s="264"/>
      <c r="T26" s="264">
        <f>'Exhibit J'!AE27+'Exhibit K'!AD25</f>
        <v>452.9</v>
      </c>
      <c r="U26" s="264"/>
      <c r="V26" s="525"/>
      <c r="W26" s="264">
        <f>ROUND(SUM(N26-T26),1)</f>
        <v>-78.8</v>
      </c>
      <c r="X26" s="268"/>
      <c r="Y26" s="607">
        <f>ROUND(+W26/T26,3)</f>
        <v>-0.17399999999999999</v>
      </c>
      <c r="Z26" s="291"/>
      <c r="AA26" s="1480"/>
    </row>
    <row r="27" spans="1:27" ht="16.399999999999999" customHeight="1">
      <c r="A27" s="291" t="s">
        <v>209</v>
      </c>
      <c r="B27" s="264">
        <f>'Exhibit J'!I28</f>
        <v>81.299999999999983</v>
      </c>
      <c r="C27" s="264"/>
      <c r="D27" s="264">
        <f>+'Exhibit J'!AB28</f>
        <v>279.7</v>
      </c>
      <c r="E27" s="264"/>
      <c r="F27" s="264">
        <f>'Exhibit K'!H26</f>
        <v>5.6000000000000014</v>
      </c>
      <c r="G27" s="264"/>
      <c r="H27" s="264">
        <f>+'Exhibit K'!AA26</f>
        <v>26.1</v>
      </c>
      <c r="I27" s="264"/>
      <c r="J27" s="986"/>
      <c r="K27" s="264"/>
      <c r="L27" s="264">
        <f>ROUND(SUM(B27)+SUM(F27),1)</f>
        <v>86.9</v>
      </c>
      <c r="M27" s="264"/>
      <c r="N27" s="264">
        <f>ROUND(SUM(D27)+SUM(H27),1)</f>
        <v>305.8</v>
      </c>
      <c r="O27" s="264"/>
      <c r="P27" s="986"/>
      <c r="Q27" s="264"/>
      <c r="R27" s="264">
        <v>130.6</v>
      </c>
      <c r="S27" s="367"/>
      <c r="T27" s="264">
        <f>'Exhibit J'!AE28+'Exhibit K'!AD26</f>
        <v>322.29999999999995</v>
      </c>
      <c r="U27" s="264"/>
      <c r="V27" s="525"/>
      <c r="W27" s="264">
        <f>ROUND(SUM(N27-T27),1)</f>
        <v>-16.5</v>
      </c>
      <c r="X27" s="268"/>
      <c r="Y27" s="607">
        <f>ROUND(+W27/T27,3)</f>
        <v>-5.0999999999999997E-2</v>
      </c>
      <c r="Z27" s="291"/>
      <c r="AA27" s="1480"/>
    </row>
    <row r="28" spans="1:27" ht="15.75" customHeight="1">
      <c r="A28" s="350" t="s">
        <v>210</v>
      </c>
      <c r="B28" s="264">
        <f>'Exhibit J'!I29</f>
        <v>344</v>
      </c>
      <c r="C28" s="264"/>
      <c r="D28" s="264">
        <f>+'Exhibit J'!AB29</f>
        <v>1322</v>
      </c>
      <c r="E28" s="264"/>
      <c r="F28" s="275">
        <v>0</v>
      </c>
      <c r="G28" s="264"/>
      <c r="H28" s="834">
        <v>0</v>
      </c>
      <c r="I28" s="275"/>
      <c r="J28" s="1492"/>
      <c r="K28" s="264"/>
      <c r="L28" s="264">
        <f>ROUND(SUM(B28)+SUM(F28),1)</f>
        <v>344</v>
      </c>
      <c r="M28" s="367"/>
      <c r="N28" s="264">
        <f>ROUND(SUM(D28)+SUM(H28),1)</f>
        <v>1322</v>
      </c>
      <c r="O28" s="264"/>
      <c r="P28" s="986"/>
      <c r="Q28" s="264"/>
      <c r="R28" s="264">
        <v>257.59999999999997</v>
      </c>
      <c r="S28" s="287"/>
      <c r="T28" s="1928">
        <f>'Exhibit J'!AE29</f>
        <v>6940.9</v>
      </c>
      <c r="U28" s="288"/>
      <c r="V28" s="527"/>
      <c r="W28" s="264">
        <f>ROUND(SUM(N28-T28),1)</f>
        <v>-5618.9</v>
      </c>
      <c r="X28" s="268"/>
      <c r="Y28" s="607">
        <f>ROUND(IF(T28=0,0,W28/ABS(T28)),3)</f>
        <v>-0.81</v>
      </c>
      <c r="Z28" s="268"/>
      <c r="AA28" s="1480"/>
    </row>
    <row r="29" spans="1:27">
      <c r="A29" s="3" t="s">
        <v>162</v>
      </c>
      <c r="B29" s="1791">
        <f>ROUND(SUM(B25:B28),1)</f>
        <v>615.20000000000005</v>
      </c>
      <c r="C29" s="13"/>
      <c r="D29" s="1791">
        <f>ROUND(SUM(D25:D28),1)</f>
        <v>2453.1</v>
      </c>
      <c r="E29" s="13"/>
      <c r="F29" s="1791">
        <f>ROUND(SUM(F24:F28),1)</f>
        <v>65.5</v>
      </c>
      <c r="G29" s="13"/>
      <c r="H29" s="1791">
        <f>ROUND(SUM(H25:H28),1)</f>
        <v>293.39999999999998</v>
      </c>
      <c r="I29" s="13"/>
      <c r="J29" s="1493"/>
      <c r="K29" s="13"/>
      <c r="L29" s="1791">
        <f>ROUND(SUM(L25:L28),1)</f>
        <v>680.7</v>
      </c>
      <c r="M29" s="13"/>
      <c r="N29" s="1791">
        <f>ROUND(SUM(N25:N28),1)</f>
        <v>2746.5</v>
      </c>
      <c r="O29" s="13"/>
      <c r="P29" s="1493"/>
      <c r="Q29" s="13"/>
      <c r="R29" s="1791">
        <f>ROUND(SUM(R25:R28),1)</f>
        <v>665.2</v>
      </c>
      <c r="S29" s="13"/>
      <c r="T29" s="1791">
        <f>ROUND(SUM(T25:T28),1)</f>
        <v>8440.6</v>
      </c>
      <c r="U29" s="13"/>
      <c r="V29" s="98"/>
      <c r="W29" s="1791">
        <f>ROUND(SUM(W25:W28),1)</f>
        <v>-5694.1</v>
      </c>
      <c r="X29" s="268"/>
      <c r="Y29" s="1799">
        <f>ROUND(+W29/T29,3)</f>
        <v>-0.67500000000000004</v>
      </c>
      <c r="Z29" s="268"/>
      <c r="AA29" s="1480"/>
    </row>
    <row r="30" spans="1:27">
      <c r="A30" s="3"/>
      <c r="B30" s="264"/>
      <c r="C30" s="264"/>
      <c r="D30" s="264"/>
      <c r="E30" s="264"/>
      <c r="F30" s="264"/>
      <c r="G30" s="264"/>
      <c r="H30" s="264"/>
      <c r="I30" s="264"/>
      <c r="J30" s="986"/>
      <c r="K30" s="264"/>
      <c r="L30" s="264"/>
      <c r="M30" s="264"/>
      <c r="N30" s="264"/>
      <c r="O30" s="264"/>
      <c r="P30" s="986"/>
      <c r="Q30" s="264"/>
      <c r="R30" s="264"/>
      <c r="S30" s="264"/>
      <c r="T30" s="264"/>
      <c r="U30" s="264"/>
      <c r="V30" s="525"/>
      <c r="W30" s="364"/>
      <c r="X30" s="291"/>
      <c r="Y30" s="364"/>
      <c r="Z30" s="291"/>
      <c r="AA30" s="1480"/>
    </row>
    <row r="31" spans="1:27" ht="16.399999999999999" customHeight="1">
      <c r="A31" s="3" t="s">
        <v>143</v>
      </c>
      <c r="B31" s="264"/>
      <c r="C31" s="264"/>
      <c r="D31" s="264"/>
      <c r="E31" s="264"/>
      <c r="F31" s="264"/>
      <c r="G31" s="264"/>
      <c r="H31" s="264"/>
      <c r="I31" s="264"/>
      <c r="J31" s="986"/>
      <c r="K31" s="264"/>
      <c r="L31" s="264"/>
      <c r="M31" s="264"/>
      <c r="N31" s="264"/>
      <c r="O31" s="264"/>
      <c r="P31" s="986"/>
      <c r="Q31" s="264"/>
      <c r="R31" s="264"/>
      <c r="S31" s="264"/>
      <c r="T31" s="264"/>
      <c r="U31" s="264"/>
      <c r="V31" s="525"/>
      <c r="W31" s="364"/>
      <c r="X31" s="291"/>
      <c r="Y31" s="364"/>
      <c r="Z31" s="291"/>
      <c r="AA31" s="1480"/>
    </row>
    <row r="32" spans="1:27">
      <c r="A32" s="3" t="s">
        <v>211</v>
      </c>
      <c r="B32" s="1792">
        <f>ROUND(SUM(B21-B29),1)</f>
        <v>25.9</v>
      </c>
      <c r="C32" s="13"/>
      <c r="D32" s="357">
        <f>ROUND(SUM(D21-D29),1)</f>
        <v>79.900000000000006</v>
      </c>
      <c r="E32" s="13"/>
      <c r="F32" s="357">
        <f>ROUND(SUM(F21-F29),1)</f>
        <v>-2.6</v>
      </c>
      <c r="G32" s="13"/>
      <c r="H32" s="357">
        <f>ROUND(SUM(H21-H29),1)</f>
        <v>-92.4</v>
      </c>
      <c r="I32" s="13"/>
      <c r="J32" s="1493"/>
      <c r="K32" s="13"/>
      <c r="L32" s="357">
        <f>ROUND(SUM(L21-L29),1)</f>
        <v>23.3</v>
      </c>
      <c r="M32" s="13"/>
      <c r="N32" s="357">
        <f>ROUND(SUM(N21-N29),1)</f>
        <v>-12.5</v>
      </c>
      <c r="O32" s="13"/>
      <c r="P32" s="1493"/>
      <c r="Q32" s="13"/>
      <c r="R32" s="357">
        <f>ROUND(SUM(R21-R29),1)</f>
        <v>-53.1</v>
      </c>
      <c r="S32" s="13"/>
      <c r="T32" s="357">
        <f>ROUND(SUM(T21-T29),1)</f>
        <v>-6252.7</v>
      </c>
      <c r="U32" s="13"/>
      <c r="V32" s="98"/>
      <c r="W32" s="357">
        <f>ROUND(SUM(W21-W29),1)</f>
        <v>6240.2</v>
      </c>
      <c r="X32" s="291"/>
      <c r="Y32" s="1800">
        <f>-ROUND(+W32/T32,3)</f>
        <v>0.998</v>
      </c>
      <c r="Z32" s="291"/>
      <c r="AA32" s="1480"/>
    </row>
    <row r="33" spans="1:27">
      <c r="A33" s="291"/>
      <c r="B33" s="264"/>
      <c r="C33" s="264"/>
      <c r="D33" s="264"/>
      <c r="E33" s="264"/>
      <c r="F33" s="264"/>
      <c r="G33" s="264"/>
      <c r="H33" s="264"/>
      <c r="I33" s="264"/>
      <c r="J33" s="986"/>
      <c r="K33" s="264"/>
      <c r="L33" s="264"/>
      <c r="M33" s="264"/>
      <c r="N33" s="264"/>
      <c r="O33" s="264"/>
      <c r="P33" s="986"/>
      <c r="Q33" s="264"/>
      <c r="R33" s="264"/>
      <c r="S33" s="264"/>
      <c r="T33" s="264"/>
      <c r="U33" s="264"/>
      <c r="V33" s="525"/>
      <c r="W33" s="364"/>
      <c r="X33" s="291"/>
      <c r="Y33" s="364"/>
      <c r="Z33" s="291"/>
      <c r="AA33" s="1480"/>
    </row>
    <row r="34" spans="1:27" ht="16.399999999999999" customHeight="1">
      <c r="A34" s="3" t="s">
        <v>145</v>
      </c>
      <c r="B34" s="264"/>
      <c r="C34" s="264"/>
      <c r="D34" s="264"/>
      <c r="E34" s="264"/>
      <c r="F34" s="264"/>
      <c r="G34" s="264"/>
      <c r="H34" s="264"/>
      <c r="I34" s="264"/>
      <c r="J34" s="986"/>
      <c r="K34" s="264"/>
      <c r="L34" s="264"/>
      <c r="M34" s="264"/>
      <c r="N34" s="264"/>
      <c r="O34" s="264"/>
      <c r="P34" s="986"/>
      <c r="Q34" s="264"/>
      <c r="R34" s="264"/>
      <c r="S34" s="264"/>
      <c r="T34" s="264"/>
      <c r="U34" s="264"/>
      <c r="V34" s="525"/>
      <c r="W34" s="364"/>
      <c r="X34" s="291"/>
      <c r="Y34" s="364"/>
      <c r="Z34" s="291"/>
      <c r="AA34" s="1480"/>
    </row>
    <row r="35" spans="1:27" ht="16.399999999999999" customHeight="1">
      <c r="A35" s="291" t="s">
        <v>147</v>
      </c>
      <c r="B35" s="275">
        <f>+'Exhibit J'!I39</f>
        <v>0</v>
      </c>
      <c r="C35" s="264"/>
      <c r="D35" s="275">
        <f>+'Exhibit J'!AB39</f>
        <v>0</v>
      </c>
      <c r="E35" s="264"/>
      <c r="F35" s="264">
        <f>'Exhibit K'!H36</f>
        <v>0.69999999999999751</v>
      </c>
      <c r="G35" s="287"/>
      <c r="H35" s="288">
        <f>+'Exhibit K'!AA36</f>
        <v>42.3</v>
      </c>
      <c r="I35" s="288"/>
      <c r="J35" s="1494"/>
      <c r="K35" s="264"/>
      <c r="L35" s="264">
        <f>ROUND(SUM(B35)+SUM(F35),1)</f>
        <v>0.7</v>
      </c>
      <c r="M35" s="287"/>
      <c r="N35" s="264">
        <f>ROUND(SUM(D35)+SUM(H35),1)</f>
        <v>42.3</v>
      </c>
      <c r="O35" s="264"/>
      <c r="P35" s="986"/>
      <c r="Q35" s="264"/>
      <c r="R35" s="264">
        <v>1.0999999999999999</v>
      </c>
      <c r="S35" s="264"/>
      <c r="T35" s="289">
        <f>'Exhibit J'!AE39+'Exhibit K'!AD36</f>
        <v>6040.3</v>
      </c>
      <c r="U35" s="289"/>
      <c r="V35" s="528"/>
      <c r="W35" s="264">
        <f>ROUND(SUM(N35-T35),1)</f>
        <v>-5998</v>
      </c>
      <c r="X35" s="268"/>
      <c r="Y35" s="542">
        <f>ROUND(IF(W35=0,0,W35/(T35)),3)</f>
        <v>-0.99299999999999999</v>
      </c>
      <c r="Z35" s="987"/>
      <c r="AA35" s="1480"/>
    </row>
    <row r="36" spans="1:27" ht="16.399999999999999" customHeight="1">
      <c r="A36" s="291" t="s">
        <v>212</v>
      </c>
      <c r="B36" s="834">
        <f>+'Exhibit J'!I40</f>
        <v>0</v>
      </c>
      <c r="C36" s="367"/>
      <c r="D36" s="834">
        <f>+'Exhibit J'!AB40</f>
        <v>0</v>
      </c>
      <c r="E36" s="264"/>
      <c r="F36" s="264">
        <f>'Exhibit K'!H37</f>
        <v>-3.0999999999999996</v>
      </c>
      <c r="G36" s="264"/>
      <c r="H36" s="288">
        <f>+'Exhibit K'!AA37</f>
        <v>-3.3</v>
      </c>
      <c r="I36" s="288"/>
      <c r="J36" s="1494"/>
      <c r="K36" s="264"/>
      <c r="L36" s="264">
        <f>ROUND(SUM(B36)+SUM(F36),1)</f>
        <v>-3.1</v>
      </c>
      <c r="M36" s="264"/>
      <c r="N36" s="264">
        <f>ROUND(SUM(D36)+SUM(H36),1)</f>
        <v>-3.3</v>
      </c>
      <c r="O36" s="264"/>
      <c r="P36" s="986"/>
      <c r="Q36" s="264"/>
      <c r="R36" s="264">
        <v>-3.8</v>
      </c>
      <c r="S36" s="367"/>
      <c r="T36" s="289">
        <f>'Exhibit J'!AE40+'Exhibit K'!AD37</f>
        <v>-3.9</v>
      </c>
      <c r="U36" s="289"/>
      <c r="V36" s="528"/>
      <c r="W36" s="1798">
        <f>-ROUND(SUM(N36-T36),1)</f>
        <v>-0.6</v>
      </c>
      <c r="X36" s="268"/>
      <c r="Y36" s="1020">
        <f>ROUND(IF(T36=0,0,W36/ABS(T36)),3)</f>
        <v>-0.154</v>
      </c>
      <c r="Z36" s="988"/>
      <c r="AA36" s="1480"/>
    </row>
    <row r="37" spans="1:27">
      <c r="A37" s="3" t="s">
        <v>150</v>
      </c>
      <c r="B37" s="16">
        <f>ROUND(SUM(B35:B36),1)</f>
        <v>0</v>
      </c>
      <c r="C37" s="17"/>
      <c r="D37" s="16">
        <f>ROUND(SUM(D35:D36),1)</f>
        <v>0</v>
      </c>
      <c r="E37" s="13"/>
      <c r="F37" s="889">
        <f>ROUND(SUM(F35:F36),1)</f>
        <v>-2.4</v>
      </c>
      <c r="G37" s="18"/>
      <c r="H37" s="1794">
        <f>ROUND(SUM(H35:H36),1)</f>
        <v>39</v>
      </c>
      <c r="I37" s="26"/>
      <c r="J37" s="1495"/>
      <c r="K37" s="13"/>
      <c r="L37" s="889">
        <f>ROUND(SUM(L35:L36),1)</f>
        <v>-2.4</v>
      </c>
      <c r="M37" s="18"/>
      <c r="N37" s="1794">
        <f>ROUND(SUM(N35:N36),1)</f>
        <v>39</v>
      </c>
      <c r="O37" s="26"/>
      <c r="P37" s="1495"/>
      <c r="Q37" s="13"/>
      <c r="R37" s="889">
        <f>ROUND(SUM(R35:R36),1)</f>
        <v>-2.7</v>
      </c>
      <c r="S37" s="13"/>
      <c r="T37" s="889">
        <f>ROUND(SUM(T35:T36),1)</f>
        <v>6036.4</v>
      </c>
      <c r="U37" s="393"/>
      <c r="V37" s="396"/>
      <c r="W37" s="889">
        <f>N37-T37</f>
        <v>-5997.4</v>
      </c>
      <c r="X37" s="529"/>
      <c r="Y37" s="539">
        <f>ROUND(SUM(W37/T37),3)</f>
        <v>-0.99399999999999999</v>
      </c>
      <c r="Z37" s="529"/>
      <c r="AA37" s="1480"/>
    </row>
    <row r="38" spans="1:27">
      <c r="A38" s="3"/>
      <c r="B38" s="615"/>
      <c r="C38" s="264"/>
      <c r="D38" s="615"/>
      <c r="E38" s="264"/>
      <c r="F38" s="264"/>
      <c r="G38" s="264"/>
      <c r="H38" s="264"/>
      <c r="I38" s="264"/>
      <c r="J38" s="986"/>
      <c r="K38" s="264"/>
      <c r="L38" s="264"/>
      <c r="M38" s="264"/>
      <c r="N38" s="615"/>
      <c r="O38" s="264"/>
      <c r="P38" s="986"/>
      <c r="Q38" s="264"/>
      <c r="R38" s="264"/>
      <c r="S38" s="264"/>
      <c r="T38" s="264"/>
      <c r="U38" s="264"/>
      <c r="V38" s="525"/>
      <c r="W38" s="364"/>
      <c r="X38" s="291"/>
      <c r="Y38" s="354"/>
      <c r="Z38" s="291"/>
      <c r="AA38" s="1480"/>
    </row>
    <row r="39" spans="1:27" ht="15.75" customHeight="1">
      <c r="A39" s="3" t="s">
        <v>143</v>
      </c>
      <c r="B39" s="264"/>
      <c r="C39" s="264"/>
      <c r="D39" s="264"/>
      <c r="E39" s="264"/>
      <c r="F39" s="264"/>
      <c r="G39" s="264"/>
      <c r="H39" s="264"/>
      <c r="I39" s="264"/>
      <c r="J39" s="986"/>
      <c r="K39" s="264"/>
      <c r="L39" s="264"/>
      <c r="M39" s="264"/>
      <c r="N39" s="264"/>
      <c r="O39" s="264"/>
      <c r="P39" s="986"/>
      <c r="Q39" s="264"/>
      <c r="R39" s="264"/>
      <c r="S39" s="264"/>
      <c r="T39" s="264"/>
      <c r="U39" s="264"/>
      <c r="V39" s="525"/>
      <c r="W39" s="364"/>
      <c r="X39" s="291"/>
      <c r="Y39" s="354"/>
      <c r="Z39" s="291"/>
      <c r="AA39" s="1480"/>
    </row>
    <row r="40" spans="1:27" ht="15.75" customHeight="1">
      <c r="A40" s="3" t="s">
        <v>213</v>
      </c>
      <c r="B40" s="264"/>
      <c r="C40" s="264"/>
      <c r="D40" s="264"/>
      <c r="E40" s="264"/>
      <c r="F40" s="264"/>
      <c r="G40" s="264"/>
      <c r="H40" s="264"/>
      <c r="I40" s="264"/>
      <c r="J40" s="986"/>
      <c r="K40" s="264"/>
      <c r="L40" s="264"/>
      <c r="M40" s="264"/>
      <c r="N40" s="264"/>
      <c r="O40" s="264"/>
      <c r="P40" s="986"/>
      <c r="Q40" s="264"/>
      <c r="R40" s="264"/>
      <c r="S40" s="264"/>
      <c r="T40" s="264"/>
      <c r="U40" s="264"/>
      <c r="V40" s="525"/>
      <c r="W40" s="364"/>
      <c r="X40" s="291"/>
      <c r="Y40" s="354"/>
      <c r="Z40" s="291"/>
      <c r="AA40" s="1480"/>
    </row>
    <row r="41" spans="1:27" ht="15.75" customHeight="1">
      <c r="A41" s="3" t="s">
        <v>214</v>
      </c>
      <c r="B41" s="264"/>
      <c r="C41" s="264"/>
      <c r="D41" s="264"/>
      <c r="E41" s="264"/>
      <c r="F41" s="264"/>
      <c r="G41" s="264"/>
      <c r="H41" s="264"/>
      <c r="I41" s="264"/>
      <c r="J41" s="986"/>
      <c r="K41" s="264"/>
      <c r="L41" s="264"/>
      <c r="M41" s="264"/>
      <c r="N41" s="264"/>
      <c r="O41" s="264"/>
      <c r="P41" s="986"/>
      <c r="Q41" s="264"/>
      <c r="R41" s="264"/>
      <c r="S41" s="264"/>
      <c r="T41" s="264"/>
      <c r="U41" s="264"/>
      <c r="V41" s="525"/>
      <c r="W41" s="364"/>
      <c r="X41" s="291"/>
      <c r="Y41" s="354"/>
      <c r="Z41" s="291"/>
      <c r="AA41" s="1480"/>
    </row>
    <row r="42" spans="1:27" ht="15.75" customHeight="1">
      <c r="A42" s="3" t="s">
        <v>215</v>
      </c>
      <c r="B42" s="19">
        <f>ROUND(SUM(B32,B37),1)</f>
        <v>25.9</v>
      </c>
      <c r="C42" s="13"/>
      <c r="D42" s="19">
        <f>ROUND(SUM(D32,D37),1)</f>
        <v>79.900000000000006</v>
      </c>
      <c r="E42" s="13"/>
      <c r="F42" s="19">
        <f>ROUND(SUM(F32,F37),1)</f>
        <v>-5</v>
      </c>
      <c r="G42" s="13"/>
      <c r="H42" s="19">
        <f>ROUND(SUM(H32,H37),1)</f>
        <v>-53.4</v>
      </c>
      <c r="I42" s="19"/>
      <c r="J42" s="1496"/>
      <c r="K42" s="13"/>
      <c r="L42" s="19">
        <f>ROUND(SUM(L32,L37),1)</f>
        <v>20.9</v>
      </c>
      <c r="M42" s="13"/>
      <c r="N42" s="19">
        <f>ROUND(SUM(N32,N37),1)</f>
        <v>26.5</v>
      </c>
      <c r="O42" s="19"/>
      <c r="P42" s="1496"/>
      <c r="Q42" s="13"/>
      <c r="R42" s="19">
        <f>ROUND(SUM(R32,R37),1)</f>
        <v>-55.8</v>
      </c>
      <c r="S42" s="13"/>
      <c r="T42" s="19">
        <f>ROUND(SUM(T32,T37),1)</f>
        <v>-216.3</v>
      </c>
      <c r="U42" s="19"/>
      <c r="V42" s="397"/>
      <c r="W42" s="19">
        <f>ROUND(SUM(W32,W37),1)</f>
        <v>242.8</v>
      </c>
      <c r="X42" s="3"/>
      <c r="Y42" s="1801">
        <f>ROUND(IF(T42=0,0,W42/ABS(T42)),3)</f>
        <v>1.123</v>
      </c>
      <c r="Z42" s="291"/>
      <c r="AA42" s="1480"/>
    </row>
    <row r="43" spans="1:27">
      <c r="A43" s="3"/>
      <c r="B43" s="264"/>
      <c r="C43" s="264"/>
      <c r="D43" s="264"/>
      <c r="E43" s="264"/>
      <c r="F43" s="264"/>
      <c r="G43" s="264"/>
      <c r="H43" s="264"/>
      <c r="I43" s="264"/>
      <c r="J43" s="986"/>
      <c r="K43" s="264"/>
      <c r="L43" s="264"/>
      <c r="M43" s="264"/>
      <c r="N43" s="264"/>
      <c r="O43" s="264"/>
      <c r="P43" s="986"/>
      <c r="Q43" s="264"/>
      <c r="R43" s="264"/>
      <c r="S43" s="264"/>
      <c r="T43" s="264"/>
      <c r="U43" s="264"/>
      <c r="V43" s="525"/>
      <c r="W43" s="364"/>
      <c r="X43" s="291"/>
      <c r="Y43" s="364"/>
      <c r="Z43" s="291"/>
      <c r="AA43" s="1480"/>
    </row>
    <row r="44" spans="1:27" s="15" customFormat="1">
      <c r="A44" s="3" t="s">
        <v>216</v>
      </c>
      <c r="B44" s="13">
        <f>+'Exhibit J'!I14</f>
        <v>1333.9</v>
      </c>
      <c r="C44" s="13"/>
      <c r="D44" s="13">
        <f>+'Exhibit J'!AB14</f>
        <v>1279.9000000000001</v>
      </c>
      <c r="E44" s="13"/>
      <c r="F44" s="1927">
        <f>+'Exhibit K'!H14</f>
        <v>59.8</v>
      </c>
      <c r="G44" s="13"/>
      <c r="H44" s="13">
        <f>+'Exhibit K'!AA14</f>
        <v>108.2</v>
      </c>
      <c r="I44" s="13"/>
      <c r="J44" s="1493"/>
      <c r="K44" s="13"/>
      <c r="L44" s="13">
        <f>ROUND(SUM(B44)+SUM(F44),1)</f>
        <v>1393.7</v>
      </c>
      <c r="M44" s="13"/>
      <c r="N44" s="13">
        <f>ROUND(SUM(D44)+SUM(H44),1)</f>
        <v>1388.1</v>
      </c>
      <c r="O44" s="13"/>
      <c r="P44" s="1493"/>
      <c r="Q44" s="13"/>
      <c r="R44" s="980">
        <v>917.8</v>
      </c>
      <c r="S44" s="13"/>
      <c r="T44" s="357">
        <f>'Exhibit J'!AE14+'Exhibit K'!AD14</f>
        <v>1078.3</v>
      </c>
      <c r="U44" s="13"/>
      <c r="V44" s="98"/>
      <c r="W44" s="13">
        <f>ROUND(SUM(N44-T44),1)</f>
        <v>309.8</v>
      </c>
      <c r="X44" s="3"/>
      <c r="Y44" s="1802">
        <f>ROUND(SUM(W44/T44),3)</f>
        <v>0.28699999999999998</v>
      </c>
      <c r="Z44" s="3"/>
      <c r="AA44" s="1481"/>
    </row>
    <row r="45" spans="1:27" ht="16" thickBot="1">
      <c r="A45" s="3" t="s">
        <v>217</v>
      </c>
      <c r="B45" s="990">
        <f>ROUND(SUM(B42+B44),1)</f>
        <v>1359.8</v>
      </c>
      <c r="C45" s="20"/>
      <c r="D45" s="990">
        <f>ROUND(SUM(D42+D44),1)</f>
        <v>1359.8</v>
      </c>
      <c r="E45" s="20"/>
      <c r="F45" s="990">
        <f>ROUND(SUM(F42+F44),1)</f>
        <v>54.8</v>
      </c>
      <c r="G45" s="20"/>
      <c r="H45" s="990">
        <f>ROUND(SUM(H42+H44),1)</f>
        <v>54.8</v>
      </c>
      <c r="I45" s="20"/>
      <c r="J45" s="340"/>
      <c r="K45" s="20"/>
      <c r="L45" s="990">
        <f>ROUND(SUM(L42+L44),1)</f>
        <v>1414.6</v>
      </c>
      <c r="M45" s="20"/>
      <c r="N45" s="1795">
        <f>ROUND(SUM(N42+N44),1)</f>
        <v>1414.6</v>
      </c>
      <c r="O45" s="20"/>
      <c r="P45" s="340"/>
      <c r="Q45" s="20"/>
      <c r="R45" s="673">
        <f>ROUND(SUM(R42+R44),1)</f>
        <v>862</v>
      </c>
      <c r="S45" s="20"/>
      <c r="T45" s="673">
        <f>ROUND(SUM(T42+T44),1)</f>
        <v>862</v>
      </c>
      <c r="U45" s="20"/>
      <c r="V45" s="94"/>
      <c r="W45" s="673">
        <f>ROUND(SUM(W42+W44),1)</f>
        <v>552.6</v>
      </c>
      <c r="X45" s="379"/>
      <c r="Y45" s="991">
        <f>ROUND(SUM(W45/ABS(T45)),3)</f>
        <v>0.64100000000000001</v>
      </c>
      <c r="Z45" s="379"/>
      <c r="AA45" s="1480"/>
    </row>
    <row r="46" spans="1:27" ht="4.4000000000000004" customHeight="1" thickTop="1">
      <c r="A46" s="291"/>
      <c r="B46" s="410"/>
      <c r="C46" s="379"/>
      <c r="D46" s="410"/>
      <c r="E46" s="379"/>
      <c r="F46" s="410"/>
      <c r="G46" s="379"/>
      <c r="H46" s="410"/>
      <c r="I46" s="379"/>
      <c r="J46" s="379"/>
      <c r="K46" s="379"/>
      <c r="L46" s="410"/>
      <c r="M46" s="379"/>
      <c r="N46" s="410"/>
      <c r="O46" s="379"/>
      <c r="P46" s="379"/>
      <c r="Q46" s="379"/>
      <c r="R46" s="379"/>
      <c r="S46" s="379"/>
      <c r="T46" s="379"/>
      <c r="U46" s="379"/>
      <c r="V46" s="379"/>
      <c r="W46" s="379"/>
      <c r="X46" s="404"/>
      <c r="Y46" s="404"/>
      <c r="Z46" s="22"/>
    </row>
    <row r="47" spans="1:27">
      <c r="A47" s="291"/>
      <c r="B47" s="7" t="s">
        <v>103</v>
      </c>
      <c r="C47" s="7"/>
      <c r="D47" s="7"/>
      <c r="E47" s="7"/>
      <c r="F47" s="23"/>
      <c r="G47" s="7"/>
      <c r="H47" s="7"/>
      <c r="I47" s="7"/>
      <c r="J47" s="7"/>
      <c r="K47" s="7"/>
      <c r="L47" s="7"/>
      <c r="M47" s="7"/>
      <c r="N47" s="7"/>
      <c r="O47" s="7"/>
      <c r="P47" s="7"/>
      <c r="Q47" s="7"/>
      <c r="R47" s="1796"/>
      <c r="S47" s="7"/>
      <c r="T47" s="7"/>
      <c r="U47" s="7"/>
      <c r="V47" s="7"/>
      <c r="W47" s="7"/>
      <c r="X47" s="9"/>
      <c r="Y47" s="9"/>
      <c r="Z47" s="9"/>
    </row>
    <row r="48" spans="1:27" s="24" customFormat="1" ht="16.5" customHeight="1">
      <c r="A48" s="412"/>
      <c r="B48" s="24" t="s">
        <v>103</v>
      </c>
    </row>
    <row r="49" spans="1:25">
      <c r="A49" s="291"/>
      <c r="B49" s="11" t="s">
        <v>103</v>
      </c>
      <c r="C49" s="7"/>
      <c r="D49" s="7"/>
      <c r="E49" s="7"/>
      <c r="F49" s="7"/>
      <c r="G49" s="7"/>
      <c r="H49" s="7"/>
      <c r="I49" s="7"/>
      <c r="J49" s="7"/>
      <c r="K49" s="7"/>
      <c r="L49" s="7"/>
      <c r="M49" s="7"/>
      <c r="N49" s="7"/>
      <c r="O49" s="7"/>
      <c r="P49" s="7"/>
      <c r="Q49" s="7"/>
      <c r="R49" s="1796"/>
      <c r="S49" s="7"/>
      <c r="T49" s="1796"/>
      <c r="U49" s="7"/>
      <c r="V49" s="7"/>
      <c r="W49" s="7"/>
      <c r="X49" s="7"/>
      <c r="Y49" s="7"/>
    </row>
    <row r="50" spans="1:25">
      <c r="A50" s="291"/>
      <c r="B50" s="7"/>
      <c r="C50" s="7"/>
      <c r="D50" s="7"/>
      <c r="E50" s="7"/>
      <c r="F50" s="7"/>
      <c r="G50" s="7"/>
      <c r="H50" s="7"/>
      <c r="I50" s="7"/>
      <c r="J50" s="7"/>
      <c r="K50" s="7"/>
      <c r="L50" s="7"/>
      <c r="M50" s="7"/>
      <c r="N50" s="7"/>
      <c r="O50" s="7"/>
      <c r="P50" s="7"/>
      <c r="Q50" s="7"/>
      <c r="R50" s="11" t="s">
        <v>103</v>
      </c>
      <c r="S50" s="7"/>
      <c r="T50" s="11"/>
      <c r="U50" s="7"/>
      <c r="V50" s="7"/>
      <c r="W50" s="7"/>
      <c r="X50" s="7"/>
      <c r="Y50" s="7"/>
    </row>
    <row r="51" spans="1:25">
      <c r="A51" s="291"/>
      <c r="B51" s="7"/>
      <c r="C51" s="7"/>
      <c r="D51" s="7"/>
      <c r="E51" s="7"/>
      <c r="F51" s="7"/>
      <c r="G51" s="7"/>
      <c r="H51" s="7"/>
      <c r="I51" s="7"/>
      <c r="J51" s="7"/>
      <c r="K51" s="7"/>
      <c r="L51" s="7"/>
      <c r="M51" s="7"/>
      <c r="N51" s="7"/>
      <c r="O51" s="7"/>
      <c r="P51" s="7"/>
      <c r="Q51" s="7"/>
      <c r="R51" s="7" t="s">
        <v>103</v>
      </c>
      <c r="S51" s="7"/>
      <c r="T51" s="7"/>
      <c r="U51" s="7"/>
      <c r="V51" s="7"/>
      <c r="W51" s="7"/>
      <c r="X51" s="7"/>
      <c r="Y51" s="7"/>
    </row>
    <row r="52" spans="1:25">
      <c r="A52" s="291"/>
      <c r="B52" s="7"/>
      <c r="C52" s="7"/>
      <c r="D52" s="7"/>
      <c r="E52" s="7"/>
      <c r="F52" s="7"/>
      <c r="G52" s="7"/>
      <c r="H52" s="7"/>
      <c r="I52" s="7"/>
      <c r="J52" s="7"/>
      <c r="K52" s="7"/>
      <c r="L52" s="7"/>
      <c r="M52" s="7"/>
      <c r="N52" s="7"/>
      <c r="O52" s="7"/>
      <c r="P52" s="7"/>
      <c r="Q52" s="7"/>
      <c r="R52" s="7"/>
      <c r="S52" s="7"/>
      <c r="T52" s="7"/>
      <c r="U52" s="7"/>
      <c r="V52" s="7"/>
      <c r="W52" s="7"/>
      <c r="X52" s="7"/>
      <c r="Y52" s="7"/>
    </row>
    <row r="53" spans="1:25">
      <c r="A53" s="364"/>
    </row>
    <row r="54" spans="1:25">
      <c r="A54" s="364"/>
    </row>
    <row r="55" spans="1:25">
      <c r="A55" s="364"/>
    </row>
    <row r="56" spans="1:25">
      <c r="A56" s="364"/>
    </row>
    <row r="57" spans="1:25">
      <c r="A57" s="364"/>
    </row>
  </sheetData>
  <mergeCells count="2">
    <mergeCell ref="S3:T3"/>
    <mergeCell ref="Y3:Z3"/>
  </mergeCells>
  <printOptions horizontalCentered="1"/>
  <pageMargins left="0.25" right="0.25" top="0.5" bottom="0.36" header="0" footer="0.25"/>
  <pageSetup firstPageNumber="5" orientation="landscape" useFirstPageNumber="1" r:id="rId1"/>
  <headerFooter scaleWithDoc="0" alignWithMargins="0">
    <oddFooter>&amp;C&amp;8&amp;P</oddFooter>
  </headerFooter>
  <customProperties>
    <customPr name="SheetOptions" r:id="rId2"/>
  </customProperties>
  <ignoredErrors>
    <ignoredError sqref="Y28"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pageSetUpPr fitToPage="1"/>
  </sheetPr>
  <dimension ref="A1:AA61"/>
  <sheetViews>
    <sheetView showGridLines="0" zoomScale="90" workbookViewId="0"/>
  </sheetViews>
  <sheetFormatPr defaultColWidth="8.84375" defaultRowHeight="15.5"/>
  <cols>
    <col min="1" max="1" width="38.07421875" style="364" customWidth="1"/>
    <col min="2" max="2" width="13.84375" style="364" customWidth="1"/>
    <col min="3" max="3" width="1.07421875" style="364" customWidth="1"/>
    <col min="4" max="4" width="13.84375" style="364" customWidth="1"/>
    <col min="5" max="5" width="1.84375" style="364" customWidth="1"/>
    <col min="6" max="6" width="13.84375" style="364" customWidth="1"/>
    <col min="7" max="7" width="1.07421875" style="364" customWidth="1"/>
    <col min="8" max="8" width="13.84375" style="364" customWidth="1"/>
    <col min="9" max="11" width="1.07421875" style="364" customWidth="1"/>
    <col min="12" max="12" width="13.84375" style="364" customWidth="1"/>
    <col min="13" max="13" width="1.84375" style="364" customWidth="1"/>
    <col min="14" max="14" width="13.84375" style="364" customWidth="1"/>
    <col min="15" max="17" width="1.07421875" style="364" customWidth="1"/>
    <col min="18" max="18" width="13.84375" style="364" customWidth="1"/>
    <col min="19" max="19" width="1.07421875" style="364" customWidth="1"/>
    <col min="20" max="20" width="13.84375" style="364" customWidth="1"/>
    <col min="21" max="22" width="1.07421875" style="364" customWidth="1"/>
    <col min="23" max="23" width="13.84375" style="364" customWidth="1"/>
    <col min="24" max="24" width="1.07421875" style="364" customWidth="1"/>
    <col min="25" max="25" width="13.84375" style="364" customWidth="1"/>
    <col min="26" max="26" width="9.07421875" style="1486" bestFit="1" customWidth="1"/>
    <col min="27" max="27" width="8.84375" style="1112"/>
    <col min="28" max="16384" width="8.84375" style="364"/>
  </cols>
  <sheetData>
    <row r="1" spans="1:27">
      <c r="A1" s="265" t="s">
        <v>97</v>
      </c>
    </row>
    <row r="2" spans="1:27">
      <c r="A2" s="354"/>
    </row>
    <row r="3" spans="1:27" s="291" customFormat="1" ht="18" customHeight="1">
      <c r="A3" s="3" t="s">
        <v>98</v>
      </c>
      <c r="B3" s="3"/>
      <c r="C3" s="3"/>
      <c r="D3" s="3"/>
      <c r="E3" s="3"/>
      <c r="F3" s="364"/>
      <c r="G3" s="364"/>
      <c r="H3" s="3"/>
      <c r="I3" s="3"/>
      <c r="J3" s="3"/>
      <c r="K3" s="3"/>
      <c r="L3" s="3"/>
      <c r="M3" s="3"/>
      <c r="N3" s="3"/>
      <c r="O3" s="3"/>
      <c r="P3" s="3"/>
      <c r="Q3" s="3"/>
      <c r="R3" s="888"/>
      <c r="V3" s="354"/>
      <c r="W3" s="354"/>
      <c r="X3" s="354"/>
      <c r="Y3" s="1210" t="s">
        <v>218</v>
      </c>
      <c r="Z3" s="1483"/>
      <c r="AA3" s="1482"/>
    </row>
    <row r="4" spans="1:27" s="291" customFormat="1" ht="15.75" customHeight="1">
      <c r="A4" s="3" t="s">
        <v>219</v>
      </c>
      <c r="B4" s="3"/>
      <c r="C4" s="3"/>
      <c r="D4" s="3"/>
      <c r="E4" s="3"/>
      <c r="F4" s="364"/>
      <c r="G4" s="364"/>
      <c r="H4" s="3"/>
      <c r="I4" s="3"/>
      <c r="J4" s="3"/>
      <c r="K4" s="3"/>
      <c r="L4" s="3"/>
      <c r="M4" s="3"/>
      <c r="N4" s="3"/>
      <c r="O4" s="3"/>
      <c r="P4" s="3"/>
      <c r="Q4" s="3"/>
      <c r="R4" s="3"/>
      <c r="S4" s="3"/>
      <c r="T4" s="3"/>
      <c r="V4" s="354"/>
      <c r="W4" s="354"/>
      <c r="X4" s="354"/>
      <c r="Y4" s="354"/>
      <c r="Z4" s="1483"/>
      <c r="AA4" s="1482"/>
    </row>
    <row r="5" spans="1:27" s="291" customFormat="1" ht="15.75" customHeight="1">
      <c r="A5" s="1211" t="s">
        <v>101</v>
      </c>
      <c r="B5" s="3"/>
      <c r="C5" s="3"/>
      <c r="D5" s="3"/>
      <c r="E5" s="3"/>
      <c r="F5" s="364"/>
      <c r="G5" s="364"/>
      <c r="H5" s="3"/>
      <c r="I5" s="3"/>
      <c r="J5" s="3"/>
      <c r="K5" s="3"/>
      <c r="L5" s="3"/>
      <c r="M5" s="3"/>
      <c r="N5" s="3"/>
      <c r="O5" s="3"/>
      <c r="P5" s="3"/>
      <c r="Q5" s="3"/>
      <c r="R5" s="3"/>
      <c r="S5" s="3"/>
      <c r="T5" s="3" t="s">
        <v>103</v>
      </c>
      <c r="V5" s="354"/>
      <c r="W5" s="354"/>
      <c r="X5" s="354"/>
      <c r="Y5" s="354"/>
      <c r="Z5" s="1483"/>
      <c r="AA5" s="1482"/>
    </row>
    <row r="6" spans="1:27" s="291" customFormat="1" ht="15.75" customHeight="1">
      <c r="A6" s="3" t="s">
        <v>102</v>
      </c>
      <c r="B6" s="3"/>
      <c r="C6" s="3"/>
      <c r="D6" s="3"/>
      <c r="E6" s="3"/>
      <c r="F6" s="364"/>
      <c r="G6" s="364"/>
      <c r="H6" s="3"/>
      <c r="I6" s="3"/>
      <c r="J6" s="3"/>
      <c r="K6" s="3"/>
      <c r="L6" s="3"/>
      <c r="M6" s="3"/>
      <c r="N6" s="3"/>
      <c r="O6" s="3"/>
      <c r="P6" s="3"/>
      <c r="Q6" s="3"/>
      <c r="R6" s="3"/>
      <c r="S6" s="3"/>
      <c r="T6" s="3"/>
      <c r="V6" s="354"/>
      <c r="W6" s="354"/>
      <c r="X6" s="354"/>
      <c r="Y6" s="354"/>
      <c r="Z6" s="1483"/>
      <c r="AA6" s="1482"/>
    </row>
    <row r="7" spans="1:27" s="291" customFormat="1">
      <c r="A7" s="6"/>
      <c r="B7" s="3"/>
      <c r="C7" s="3"/>
      <c r="D7" s="3"/>
      <c r="E7" s="3"/>
      <c r="F7" s="364"/>
      <c r="G7" s="364"/>
      <c r="H7" s="3"/>
      <c r="I7" s="3"/>
      <c r="J7" s="3"/>
      <c r="K7" s="3"/>
      <c r="L7" s="3"/>
      <c r="M7" s="3"/>
      <c r="N7" s="3"/>
      <c r="O7" s="3"/>
      <c r="P7" s="3"/>
      <c r="Q7" s="3"/>
      <c r="R7" s="3"/>
      <c r="S7" s="3"/>
      <c r="T7" s="3"/>
      <c r="V7" s="354"/>
      <c r="W7" s="354"/>
      <c r="X7" s="354"/>
      <c r="Y7" s="354"/>
      <c r="Z7" s="1483"/>
      <c r="AA7" s="1482"/>
    </row>
    <row r="8" spans="1:27" s="291" customFormat="1">
      <c r="B8" s="3"/>
      <c r="C8" s="3"/>
      <c r="D8" s="3"/>
      <c r="E8" s="3"/>
      <c r="F8" s="364"/>
      <c r="G8" s="364"/>
      <c r="H8" s="3"/>
      <c r="I8" s="3"/>
      <c r="J8" s="3"/>
      <c r="K8" s="3"/>
      <c r="L8" s="3"/>
      <c r="M8" s="3"/>
      <c r="N8" s="3"/>
      <c r="O8" s="3"/>
      <c r="P8" s="3"/>
      <c r="Q8" s="3"/>
      <c r="R8" s="3"/>
      <c r="S8" s="3"/>
      <c r="T8" s="3"/>
      <c r="V8" s="354"/>
      <c r="W8" s="354"/>
      <c r="X8" s="354"/>
      <c r="Y8" s="354"/>
      <c r="Z8" s="1483"/>
      <c r="AA8" s="1482"/>
    </row>
    <row r="9" spans="1:27" s="291" customFormat="1" ht="8.15" customHeight="1">
      <c r="B9" s="3"/>
      <c r="C9" s="3"/>
      <c r="D9" s="3"/>
      <c r="E9" s="3"/>
      <c r="F9" s="3"/>
      <c r="G9" s="364"/>
      <c r="H9" s="3"/>
      <c r="I9" s="3"/>
      <c r="J9" s="3"/>
      <c r="K9" s="3"/>
      <c r="L9" s="3"/>
      <c r="M9" s="3"/>
      <c r="N9" s="3"/>
      <c r="O9" s="3"/>
      <c r="P9" s="3"/>
      <c r="Q9" s="3"/>
      <c r="R9" s="3"/>
      <c r="S9" s="3"/>
      <c r="T9" s="3"/>
      <c r="X9" s="364"/>
      <c r="Y9" s="364"/>
      <c r="Z9" s="1486"/>
      <c r="AA9" s="1112"/>
    </row>
    <row r="10" spans="1:27" s="291" customFormat="1">
      <c r="B10" s="3"/>
      <c r="C10" s="3"/>
      <c r="D10" s="3"/>
      <c r="E10" s="3"/>
      <c r="F10" s="3"/>
      <c r="G10" s="364"/>
      <c r="H10" s="3"/>
      <c r="I10" s="3"/>
      <c r="J10" s="3"/>
      <c r="K10" s="3"/>
      <c r="L10" s="3"/>
      <c r="M10" s="3"/>
      <c r="N10" s="3"/>
      <c r="O10" s="3"/>
      <c r="P10" s="3"/>
      <c r="Q10" s="3"/>
      <c r="R10" s="3"/>
      <c r="S10" s="3"/>
      <c r="T10" s="3"/>
      <c r="V10" s="354"/>
      <c r="W10" s="354"/>
      <c r="X10" s="354"/>
      <c r="Y10" s="354"/>
      <c r="Z10" s="1483"/>
      <c r="AA10" s="1482"/>
    </row>
    <row r="11" spans="1:27" s="291" customFormat="1">
      <c r="B11" s="3"/>
      <c r="C11" s="3"/>
      <c r="D11" s="3"/>
      <c r="E11" s="3"/>
      <c r="F11" s="3"/>
      <c r="G11" s="364"/>
      <c r="H11" s="3"/>
      <c r="I11" s="3"/>
      <c r="J11" s="3"/>
      <c r="K11" s="3"/>
      <c r="M11" s="25"/>
      <c r="N11" s="365"/>
      <c r="O11" s="365"/>
      <c r="P11" s="365"/>
      <c r="Q11" s="365"/>
      <c r="R11" s="25"/>
      <c r="S11" s="25"/>
      <c r="T11" s="25"/>
      <c r="V11" s="354"/>
      <c r="W11" s="354"/>
      <c r="X11" s="354"/>
      <c r="Y11" s="354"/>
      <c r="Z11" s="1483"/>
      <c r="AA11" s="1482"/>
    </row>
    <row r="12" spans="1:27" ht="16.399999999999999" customHeight="1">
      <c r="A12" s="291"/>
      <c r="B12" s="25" t="s">
        <v>220</v>
      </c>
      <c r="C12" s="399"/>
      <c r="D12" s="25"/>
      <c r="E12" s="3"/>
      <c r="F12" s="25" t="s">
        <v>221</v>
      </c>
      <c r="G12" s="399"/>
      <c r="H12" s="25"/>
      <c r="I12" s="25"/>
      <c r="J12" s="25"/>
      <c r="K12" s="3"/>
      <c r="L12" s="25" t="s">
        <v>222</v>
      </c>
      <c r="M12" s="25"/>
      <c r="N12" s="365"/>
      <c r="O12" s="365"/>
      <c r="P12" s="365"/>
      <c r="Q12" s="25"/>
      <c r="R12" s="25"/>
      <c r="S12" s="25"/>
      <c r="T12" s="25"/>
      <c r="U12" s="291"/>
      <c r="V12" s="400"/>
      <c r="W12" s="2059" t="s">
        <v>204</v>
      </c>
      <c r="X12" s="2059"/>
      <c r="Y12" s="2059"/>
      <c r="Z12" s="1483"/>
      <c r="AA12" s="1482"/>
    </row>
    <row r="13" spans="1:27" ht="13.4" customHeight="1">
      <c r="A13" s="291"/>
      <c r="B13" s="983"/>
      <c r="C13" s="983"/>
      <c r="D13" s="983"/>
      <c r="E13" s="291"/>
      <c r="F13" s="983"/>
      <c r="G13" s="984"/>
      <c r="H13" s="983"/>
      <c r="I13" s="291"/>
      <c r="J13" s="291"/>
      <c r="K13" s="291"/>
      <c r="L13" s="983"/>
      <c r="M13" s="983"/>
      <c r="N13" s="983"/>
      <c r="O13" s="983"/>
      <c r="P13" s="983"/>
      <c r="Q13" s="983"/>
      <c r="R13" s="983"/>
      <c r="S13" s="983"/>
      <c r="T13" s="983"/>
      <c r="U13" s="291"/>
      <c r="V13" s="401"/>
      <c r="W13" s="291"/>
      <c r="X13" s="354"/>
      <c r="Y13" s="354"/>
      <c r="Z13" s="1483"/>
      <c r="AA13" s="1482"/>
    </row>
    <row r="14" spans="1:27" ht="16.399999999999999" customHeight="1">
      <c r="A14" s="291"/>
      <c r="B14" s="52" t="s">
        <v>109</v>
      </c>
      <c r="C14" s="3"/>
      <c r="D14" s="314" t="str">
        <f>'Exhibit A'!F11</f>
        <v>4 MOS. ENDED</v>
      </c>
      <c r="E14" s="3"/>
      <c r="F14" s="52" t="s">
        <v>109</v>
      </c>
      <c r="G14" s="57"/>
      <c r="H14" s="52" t="str">
        <f>D14</f>
        <v>4 MOS. ENDED</v>
      </c>
      <c r="I14" s="52"/>
      <c r="J14" s="52"/>
      <c r="K14" s="3"/>
      <c r="L14" s="52" t="s">
        <v>109</v>
      </c>
      <c r="M14" s="3"/>
      <c r="N14" s="52" t="str">
        <f>D14</f>
        <v>4 MOS. ENDED</v>
      </c>
      <c r="O14" s="52"/>
      <c r="P14" s="52"/>
      <c r="Q14" s="3"/>
      <c r="R14" s="52" t="s">
        <v>109</v>
      </c>
      <c r="S14" s="3"/>
      <c r="T14" s="52" t="str">
        <f>H14</f>
        <v>4 MOS. ENDED</v>
      </c>
      <c r="U14" s="291"/>
      <c r="V14" s="401"/>
      <c r="W14" s="319" t="s">
        <v>110</v>
      </c>
      <c r="X14" s="57"/>
      <c r="Y14" s="320" t="s">
        <v>111</v>
      </c>
      <c r="Z14" s="1483"/>
      <c r="AA14" s="1482"/>
    </row>
    <row r="15" spans="1:27" ht="16.399999999999999" customHeight="1">
      <c r="A15" s="291"/>
      <c r="B15" s="370" t="str">
        <f>'Exhibit A'!D12</f>
        <v>JULY 2026</v>
      </c>
      <c r="C15" s="3"/>
      <c r="D15" s="370" t="str">
        <f>'Exhibit A'!F12</f>
        <v>JULY 31, 2026</v>
      </c>
      <c r="E15" s="3"/>
      <c r="F15" s="315" t="str">
        <f>B15</f>
        <v>JULY 2026</v>
      </c>
      <c r="G15" s="3"/>
      <c r="H15" s="316" t="str">
        <f>D15</f>
        <v>JULY 31, 2026</v>
      </c>
      <c r="I15" s="316"/>
      <c r="J15" s="316"/>
      <c r="K15" s="3"/>
      <c r="L15" s="315" t="str">
        <f>F15</f>
        <v>JULY 2026</v>
      </c>
      <c r="M15" s="3"/>
      <c r="N15" s="316" t="str">
        <f>'Exhibit A'!X12</f>
        <v>JULY 31, 2026</v>
      </c>
      <c r="O15" s="316"/>
      <c r="P15" s="316"/>
      <c r="Q15" s="3"/>
      <c r="R15" s="1215" t="str">
        <f>'Exhibit A'!AB12</f>
        <v>JULY 2025</v>
      </c>
      <c r="S15" s="3"/>
      <c r="T15" s="370" t="str">
        <f>'Exhibit A'!AD12</f>
        <v>JULY 31, 2025</v>
      </c>
      <c r="U15" s="291"/>
      <c r="V15" s="401"/>
      <c r="W15" s="1214" t="s">
        <v>112</v>
      </c>
      <c r="X15" s="57"/>
      <c r="Y15" s="985" t="s">
        <v>113</v>
      </c>
      <c r="Z15" s="1483"/>
      <c r="AA15" s="1482"/>
    </row>
    <row r="16" spans="1:27" ht="13.4" customHeight="1">
      <c r="A16" s="291"/>
      <c r="B16" s="291"/>
      <c r="C16" s="291"/>
      <c r="D16" s="291" t="s">
        <v>103</v>
      </c>
      <c r="E16" s="291"/>
      <c r="F16" s="983"/>
      <c r="G16" s="291"/>
      <c r="H16" s="984" t="s">
        <v>103</v>
      </c>
      <c r="J16" s="1489"/>
      <c r="K16" s="291"/>
      <c r="L16" s="983"/>
      <c r="M16" s="291"/>
      <c r="N16" s="983"/>
      <c r="O16" s="291"/>
      <c r="P16" s="1490"/>
      <c r="Q16" s="291"/>
      <c r="R16" s="291"/>
      <c r="S16" s="291"/>
      <c r="T16" s="291"/>
      <c r="U16" s="291"/>
      <c r="V16" s="402"/>
      <c r="W16" s="354"/>
      <c r="X16" s="291"/>
      <c r="Y16" s="354"/>
      <c r="Z16" s="1483"/>
      <c r="AA16" s="1482"/>
    </row>
    <row r="17" spans="1:27" ht="16.399999999999999" customHeight="1">
      <c r="A17" s="3" t="s">
        <v>114</v>
      </c>
      <c r="B17" s="291"/>
      <c r="C17" s="291"/>
      <c r="D17" s="291"/>
      <c r="E17" s="291"/>
      <c r="F17" s="291"/>
      <c r="G17" s="291"/>
      <c r="H17" s="291"/>
      <c r="I17" s="291"/>
      <c r="J17" s="1490"/>
      <c r="K17" s="291"/>
      <c r="L17" s="291"/>
      <c r="M17" s="291"/>
      <c r="N17" s="291"/>
      <c r="O17" s="291"/>
      <c r="P17" s="1490"/>
      <c r="Q17" s="291"/>
      <c r="R17" s="291"/>
      <c r="S17" s="291"/>
      <c r="T17" s="291"/>
      <c r="U17" s="291"/>
      <c r="V17" s="402"/>
      <c r="W17" s="354"/>
      <c r="X17" s="291"/>
      <c r="Y17" s="354"/>
      <c r="Z17" s="1483"/>
      <c r="AA17" s="1482"/>
    </row>
    <row r="18" spans="1:27" ht="16.399999999999999" customHeight="1">
      <c r="A18" s="291" t="s">
        <v>119</v>
      </c>
      <c r="B18" s="387">
        <f>+'Exhibit L'!H17</f>
        <v>26.2</v>
      </c>
      <c r="C18" s="274"/>
      <c r="D18" s="276">
        <f>+'Exhibit L'!AA17</f>
        <v>93.2</v>
      </c>
      <c r="E18" s="274"/>
      <c r="F18" s="992">
        <f>'Exhibit M'!H17</f>
        <v>0.2</v>
      </c>
      <c r="G18" s="274"/>
      <c r="H18" s="276">
        <f>+'Exhibit M'!AA17</f>
        <v>0.8</v>
      </c>
      <c r="I18" s="276"/>
      <c r="J18" s="1498"/>
      <c r="K18" s="274"/>
      <c r="L18" s="276">
        <f>SUM(B18)+SUM(F18)</f>
        <v>26.4</v>
      </c>
      <c r="M18" s="274"/>
      <c r="N18" s="276">
        <f>D18+SUM(H18)</f>
        <v>94</v>
      </c>
      <c r="O18" s="276"/>
      <c r="P18" s="1498"/>
      <c r="Q18" s="274"/>
      <c r="R18" s="276">
        <v>23.299999999999997</v>
      </c>
      <c r="S18" s="274"/>
      <c r="T18" s="276">
        <f>'Exhibit L'!AD17+'Exhibit M'!AD17</f>
        <v>88.3</v>
      </c>
      <c r="U18" s="379"/>
      <c r="V18" s="403"/>
      <c r="W18" s="424">
        <f>ROUND(SUM(N18-T18),1)</f>
        <v>5.7</v>
      </c>
      <c r="X18" s="379"/>
      <c r="Y18" s="520">
        <f>ROUND(IF(W18=0,0,W18/ABS(T18)),3)</f>
        <v>6.5000000000000002E-2</v>
      </c>
      <c r="Z18" s="1483"/>
      <c r="AA18" s="1483"/>
    </row>
    <row r="19" spans="1:27">
      <c r="A19" s="3" t="s">
        <v>121</v>
      </c>
      <c r="B19" s="993">
        <f>ROUND(SUM(B18),1)</f>
        <v>26.2</v>
      </c>
      <c r="C19" s="13"/>
      <c r="D19" s="993">
        <f>ROUND(SUM(D18),1)</f>
        <v>93.2</v>
      </c>
      <c r="E19" s="13"/>
      <c r="F19" s="357">
        <f>ROUND(SUM(F18),1)</f>
        <v>0.2</v>
      </c>
      <c r="G19" s="13"/>
      <c r="H19" s="993">
        <f>ROUND(SUM(H18),1)</f>
        <v>0.8</v>
      </c>
      <c r="I19" s="18"/>
      <c r="J19" s="1499"/>
      <c r="K19" s="13"/>
      <c r="L19" s="993">
        <f>ROUND(SUM(L18),1)</f>
        <v>26.4</v>
      </c>
      <c r="M19" s="13"/>
      <c r="N19" s="993">
        <f>ROUND(SUM(N18),1)</f>
        <v>94</v>
      </c>
      <c r="O19" s="18"/>
      <c r="P19" s="1499"/>
      <c r="Q19" s="13"/>
      <c r="R19" s="993">
        <f>ROUND(SUM(R18),1)</f>
        <v>23.3</v>
      </c>
      <c r="S19" s="13"/>
      <c r="T19" s="993">
        <f>ROUND(SUM(T18),1)</f>
        <v>88.3</v>
      </c>
      <c r="U19" s="57"/>
      <c r="V19" s="406"/>
      <c r="W19" s="994">
        <f>ROUND(SUM(W18),3)</f>
        <v>5.7</v>
      </c>
      <c r="X19" s="268"/>
      <c r="Y19" s="995">
        <f>ROUND(+W19/T19,3)</f>
        <v>6.5000000000000002E-2</v>
      </c>
      <c r="Z19" s="1483"/>
      <c r="AA19" s="1484"/>
    </row>
    <row r="20" spans="1:27">
      <c r="A20" s="3"/>
      <c r="B20" s="264"/>
      <c r="C20" s="264"/>
      <c r="D20" s="264"/>
      <c r="E20" s="264"/>
      <c r="F20" s="264"/>
      <c r="G20" s="264"/>
      <c r="H20" s="1032"/>
      <c r="I20" s="264"/>
      <c r="J20" s="986"/>
      <c r="K20" s="264"/>
      <c r="L20" s="264"/>
      <c r="M20" s="264"/>
      <c r="N20" s="264"/>
      <c r="O20" s="264"/>
      <c r="P20" s="986"/>
      <c r="Q20" s="264"/>
      <c r="R20" s="264"/>
      <c r="S20" s="264"/>
      <c r="T20" s="264"/>
      <c r="V20" s="402"/>
      <c r="W20" s="411"/>
      <c r="X20" s="291"/>
      <c r="Y20" s="354"/>
      <c r="Z20" s="1483"/>
      <c r="AA20" s="1482"/>
    </row>
    <row r="21" spans="1:27" ht="16.399999999999999" customHeight="1">
      <c r="A21" s="3" t="s">
        <v>122</v>
      </c>
      <c r="B21" s="264"/>
      <c r="C21" s="264"/>
      <c r="D21" s="264"/>
      <c r="E21" s="264"/>
      <c r="F21" s="264"/>
      <c r="G21" s="264"/>
      <c r="H21" s="264"/>
      <c r="I21" s="264"/>
      <c r="J21" s="986"/>
      <c r="K21" s="264"/>
      <c r="L21" s="264"/>
      <c r="M21" s="264"/>
      <c r="N21" s="264"/>
      <c r="O21" s="264"/>
      <c r="P21" s="986"/>
      <c r="Q21" s="264"/>
      <c r="R21" s="264"/>
      <c r="S21" s="264"/>
      <c r="T21" s="264"/>
      <c r="V21" s="402"/>
      <c r="W21" s="411"/>
      <c r="X21" s="291"/>
      <c r="Y21" s="354"/>
      <c r="Z21" s="1483"/>
      <c r="AA21" s="1482"/>
    </row>
    <row r="22" spans="1:27" ht="16.399999999999999" customHeight="1">
      <c r="A22" s="291" t="s">
        <v>135</v>
      </c>
      <c r="B22" s="264"/>
      <c r="C22" s="264"/>
      <c r="D22" s="264"/>
      <c r="E22" s="264"/>
      <c r="F22" s="264"/>
      <c r="G22" s="264"/>
      <c r="H22" s="264"/>
      <c r="I22" s="264"/>
      <c r="J22" s="986"/>
      <c r="K22" s="264"/>
      <c r="L22" s="264"/>
      <c r="M22" s="264"/>
      <c r="N22" s="264"/>
      <c r="O22" s="264"/>
      <c r="P22" s="986"/>
      <c r="Q22" s="264"/>
      <c r="R22" s="264"/>
      <c r="S22" s="264"/>
      <c r="T22" s="264"/>
      <c r="V22" s="402"/>
      <c r="W22" s="411"/>
      <c r="X22" s="291"/>
      <c r="Y22" s="354"/>
      <c r="Z22" s="1483"/>
      <c r="AA22" s="1482"/>
    </row>
    <row r="23" spans="1:27" ht="16.399999999999999" customHeight="1">
      <c r="A23" s="291" t="s">
        <v>207</v>
      </c>
      <c r="B23" s="287">
        <f>+'Exhibit L'!H24</f>
        <v>10.600000000000005</v>
      </c>
      <c r="C23" s="264"/>
      <c r="D23" s="287">
        <f>+'Exhibit L'!AA24</f>
        <v>36.700000000000003</v>
      </c>
      <c r="E23" s="264"/>
      <c r="F23" s="275">
        <f>+'Exhibit M'!H24</f>
        <v>0</v>
      </c>
      <c r="G23" s="264"/>
      <c r="H23" s="288">
        <f>+'Exhibit M'!AA24</f>
        <v>0.2</v>
      </c>
      <c r="I23" s="288"/>
      <c r="J23" s="1494"/>
      <c r="K23" s="264"/>
      <c r="L23" s="287">
        <f>SUM(B23)+SUM(F23)</f>
        <v>10.600000000000005</v>
      </c>
      <c r="M23" s="264"/>
      <c r="N23" s="287">
        <f>SUM(D23)+SUM(H23)</f>
        <v>36.900000000000006</v>
      </c>
      <c r="O23" s="287"/>
      <c r="P23" s="1503"/>
      <c r="Q23" s="264"/>
      <c r="R23" s="1930">
        <v>10.199999999999999</v>
      </c>
      <c r="S23" s="264"/>
      <c r="T23" s="287">
        <f>'Exhibit L'!AD24+'Exhibit M'!AD24</f>
        <v>35.200000000000003</v>
      </c>
      <c r="V23" s="402"/>
      <c r="W23" s="411">
        <f>ROUND(SUM(N23-T23),1)</f>
        <v>1.7</v>
      </c>
      <c r="X23" s="291"/>
      <c r="Y23" s="520">
        <f>ROUND(IF(W23=0,0,W23/ABS(T23)),3)</f>
        <v>4.8000000000000001E-2</v>
      </c>
      <c r="Z23" s="1483"/>
      <c r="AA23" s="1482"/>
    </row>
    <row r="24" spans="1:27" ht="16.399999999999999" customHeight="1">
      <c r="A24" s="291" t="s">
        <v>208</v>
      </c>
      <c r="B24" s="287">
        <f>+'Exhibit L'!H25</f>
        <v>2.5</v>
      </c>
      <c r="C24" s="264"/>
      <c r="D24" s="287">
        <f>+'Exhibit L'!AA25</f>
        <v>7.6</v>
      </c>
      <c r="E24" s="264"/>
      <c r="F24" s="275">
        <f>+'Exhibit M'!H25</f>
        <v>0.1</v>
      </c>
      <c r="G24" s="264"/>
      <c r="H24" s="288">
        <f>+'Exhibit M'!AA25</f>
        <v>0.1</v>
      </c>
      <c r="I24" s="288"/>
      <c r="J24" s="1494"/>
      <c r="K24" s="264"/>
      <c r="L24" s="287">
        <f>SUM(B24)+SUM(F24)</f>
        <v>2.6</v>
      </c>
      <c r="M24" s="264"/>
      <c r="N24" s="287">
        <f>SUM(D24)+SUM(H24)</f>
        <v>7.6999999999999993</v>
      </c>
      <c r="O24" s="287"/>
      <c r="P24" s="1503"/>
      <c r="Q24" s="264"/>
      <c r="R24" s="1930">
        <v>2.7</v>
      </c>
      <c r="S24" s="264"/>
      <c r="T24" s="287">
        <f>'Exhibit L'!AD25+'Exhibit M'!AD25</f>
        <v>7.2</v>
      </c>
      <c r="V24" s="402"/>
      <c r="W24" s="411">
        <f>ROUND(SUM(N24-T24),1)</f>
        <v>0.5</v>
      </c>
      <c r="X24" s="291"/>
      <c r="Y24" s="520">
        <f>ROUND(IF(W24=0,0,W24/ABS(T24)),3)</f>
        <v>6.9000000000000006E-2</v>
      </c>
      <c r="Z24" s="1483"/>
      <c r="AA24" s="1482"/>
    </row>
    <row r="25" spans="1:27" ht="16.399999999999999" customHeight="1">
      <c r="A25" s="291" t="s">
        <v>209</v>
      </c>
      <c r="B25" s="287">
        <f>+'Exhibit L'!H26</f>
        <v>4.0999999999999979</v>
      </c>
      <c r="C25" s="264"/>
      <c r="D25" s="288">
        <f>+'Exhibit L'!AA26</f>
        <v>21.7</v>
      </c>
      <c r="E25" s="264"/>
      <c r="F25" s="275">
        <f>+'Exhibit M'!H26</f>
        <v>0</v>
      </c>
      <c r="G25" s="264"/>
      <c r="H25" s="1497">
        <f>+'Exhibit M'!AA26</f>
        <v>0.1</v>
      </c>
      <c r="I25" s="289"/>
      <c r="J25" s="1500"/>
      <c r="K25" s="264"/>
      <c r="L25" s="287">
        <f>SUM(B25)+SUM(F25)</f>
        <v>4.0999999999999979</v>
      </c>
      <c r="M25" s="264"/>
      <c r="N25" s="287">
        <f>SUM(D25)+SUM(H25)</f>
        <v>21.8</v>
      </c>
      <c r="O25" s="287"/>
      <c r="P25" s="1503"/>
      <c r="Q25" s="264"/>
      <c r="R25" s="1930">
        <v>4.1000000000000005</v>
      </c>
      <c r="S25" s="367"/>
      <c r="T25" s="287">
        <f>'Exhibit L'!AD26+'Exhibit M'!AD26</f>
        <v>21.1</v>
      </c>
      <c r="V25" s="402"/>
      <c r="W25" s="411">
        <f>ROUND(SUM(N25-T25),1)</f>
        <v>0.7</v>
      </c>
      <c r="X25" s="291"/>
      <c r="Y25" s="520">
        <f>ROUND(IF(W25=0,0,W25/ABS(T25)),3)</f>
        <v>3.3000000000000002E-2</v>
      </c>
      <c r="Z25" s="1483"/>
      <c r="AA25" s="1482"/>
    </row>
    <row r="26" spans="1:27">
      <c r="A26" s="3" t="s">
        <v>162</v>
      </c>
      <c r="B26" s="993">
        <f>ROUND(SUM(B23:B25),1)</f>
        <v>17.2</v>
      </c>
      <c r="C26" s="13"/>
      <c r="D26" s="993">
        <f>ROUND(SUM(D23:D25),1)</f>
        <v>66</v>
      </c>
      <c r="E26" s="13"/>
      <c r="F26" s="993">
        <f>ROUND(SUM(F23:F25),1)</f>
        <v>0.1</v>
      </c>
      <c r="G26" s="13"/>
      <c r="H26" s="993">
        <f>ROUND(SUM(H23:H25),1)</f>
        <v>0.4</v>
      </c>
      <c r="I26" s="18"/>
      <c r="J26" s="1499"/>
      <c r="K26" s="13"/>
      <c r="L26" s="993">
        <f>ROUND(SUM(L23:L25),1)</f>
        <v>17.3</v>
      </c>
      <c r="M26" s="13"/>
      <c r="N26" s="993">
        <f>ROUND(SUM(N23:N25),1)</f>
        <v>66.400000000000006</v>
      </c>
      <c r="O26" s="18"/>
      <c r="P26" s="1499"/>
      <c r="Q26" s="13"/>
      <c r="R26" s="1931">
        <f>ROUND(SUM(R23:R25),1)</f>
        <v>17</v>
      </c>
      <c r="S26" s="13"/>
      <c r="T26" s="993">
        <f>ROUND(SUM(T23:T25),1)</f>
        <v>63.5</v>
      </c>
      <c r="U26" s="57"/>
      <c r="V26" s="92"/>
      <c r="W26" s="994">
        <f>ROUND(SUM(W23:W25),3)</f>
        <v>2.9</v>
      </c>
      <c r="X26" s="268"/>
      <c r="Y26" s="989">
        <f>ROUND(W26/T26,3)</f>
        <v>4.5999999999999999E-2</v>
      </c>
      <c r="Z26" s="1483"/>
      <c r="AA26" s="1482"/>
    </row>
    <row r="27" spans="1:27">
      <c r="A27" s="3"/>
      <c r="B27" s="264"/>
      <c r="C27" s="264"/>
      <c r="D27" s="264"/>
      <c r="E27" s="264"/>
      <c r="F27" s="264"/>
      <c r="G27" s="264"/>
      <c r="H27" s="264"/>
      <c r="I27" s="264"/>
      <c r="J27" s="986"/>
      <c r="K27" s="264"/>
      <c r="L27" s="264"/>
      <c r="M27" s="264"/>
      <c r="N27" s="264"/>
      <c r="O27" s="264"/>
      <c r="P27" s="986"/>
      <c r="Q27" s="264"/>
      <c r="R27" s="1786"/>
      <c r="S27" s="264"/>
      <c r="T27" s="264"/>
      <c r="V27" s="402"/>
      <c r="W27" s="411"/>
      <c r="X27" s="291"/>
      <c r="Y27" s="354"/>
      <c r="Z27" s="1483"/>
      <c r="AA27" s="1482"/>
    </row>
    <row r="28" spans="1:27" ht="16.399999999999999" customHeight="1">
      <c r="A28" s="3" t="s">
        <v>143</v>
      </c>
      <c r="B28" s="264"/>
      <c r="C28" s="264"/>
      <c r="D28" s="264"/>
      <c r="E28" s="264"/>
      <c r="F28" s="264"/>
      <c r="G28" s="264"/>
      <c r="H28" s="264"/>
      <c r="I28" s="264"/>
      <c r="J28" s="986"/>
      <c r="K28" s="264"/>
      <c r="L28" s="264"/>
      <c r="M28" s="264"/>
      <c r="N28" s="264"/>
      <c r="O28" s="264"/>
      <c r="P28" s="986"/>
      <c r="Q28" s="264"/>
      <c r="R28" s="1786"/>
      <c r="S28" s="264"/>
      <c r="T28" s="264"/>
      <c r="V28" s="402"/>
      <c r="W28" s="411"/>
      <c r="X28" s="291"/>
      <c r="Y28" s="354"/>
      <c r="Z28" s="1483"/>
      <c r="AA28" s="1482"/>
    </row>
    <row r="29" spans="1:27">
      <c r="A29" s="3" t="s">
        <v>211</v>
      </c>
      <c r="B29" s="980">
        <f>ROUND(SUM(B19-B26),1)</f>
        <v>9</v>
      </c>
      <c r="C29" s="13"/>
      <c r="D29" s="980">
        <f>ROUND(SUM(D19-D26),1)</f>
        <v>27.2</v>
      </c>
      <c r="E29" s="13"/>
      <c r="F29" s="980">
        <f>ROUND(SUM(F19-F26),1)</f>
        <v>0.1</v>
      </c>
      <c r="G29" s="13"/>
      <c r="H29" s="980">
        <f>ROUND(SUM(H19-H26),1)</f>
        <v>0.4</v>
      </c>
      <c r="I29" s="18"/>
      <c r="J29" s="1499"/>
      <c r="K29" s="13"/>
      <c r="L29" s="980">
        <f>ROUND(SUM(L19-L26),1)</f>
        <v>9.1</v>
      </c>
      <c r="M29" s="13"/>
      <c r="N29" s="980">
        <f>ROUND(SUM(N19-N26),1)</f>
        <v>27.6</v>
      </c>
      <c r="O29" s="18"/>
      <c r="P29" s="1499"/>
      <c r="Q29" s="13"/>
      <c r="R29" s="1932">
        <f>ROUND(SUM(R19-R26),1)</f>
        <v>6.3</v>
      </c>
      <c r="S29" s="13"/>
      <c r="T29" s="980">
        <f>ROUND(SUM(T19-T26),1)</f>
        <v>24.8</v>
      </c>
      <c r="U29" s="57"/>
      <c r="V29" s="402"/>
      <c r="W29" s="357">
        <f>ROUND(SUM(N29-T29),1)</f>
        <v>2.8</v>
      </c>
      <c r="X29" s="291"/>
      <c r="Y29" s="675">
        <f>ROUND(IF(T29=0,1,W29/ABS(T29)),3)</f>
        <v>0.113</v>
      </c>
      <c r="Z29" s="1483"/>
      <c r="AA29" s="1482"/>
    </row>
    <row r="30" spans="1:27">
      <c r="A30" s="291"/>
      <c r="B30" s="264"/>
      <c r="C30" s="264"/>
      <c r="D30" s="264"/>
      <c r="E30" s="264"/>
      <c r="F30" s="264"/>
      <c r="G30" s="264"/>
      <c r="H30" s="264"/>
      <c r="I30" s="264"/>
      <c r="J30" s="986"/>
      <c r="K30" s="264"/>
      <c r="L30" s="264"/>
      <c r="M30" s="264"/>
      <c r="N30" s="264"/>
      <c r="O30" s="264"/>
      <c r="P30" s="986"/>
      <c r="Q30" s="264"/>
      <c r="R30" s="1786"/>
      <c r="S30" s="264"/>
      <c r="T30" s="264"/>
      <c r="V30" s="402"/>
      <c r="W30" s="411"/>
      <c r="X30" s="291"/>
      <c r="Y30" s="354"/>
      <c r="Z30" s="1483"/>
      <c r="AA30" s="1482"/>
    </row>
    <row r="31" spans="1:27" ht="16.399999999999999" customHeight="1">
      <c r="A31" s="3" t="s">
        <v>145</v>
      </c>
      <c r="B31" s="264"/>
      <c r="C31" s="264"/>
      <c r="D31" s="264"/>
      <c r="E31" s="264"/>
      <c r="F31" s="264"/>
      <c r="G31" s="264"/>
      <c r="H31" s="264"/>
      <c r="I31" s="264"/>
      <c r="J31" s="986"/>
      <c r="K31" s="264"/>
      <c r="L31" s="264"/>
      <c r="M31" s="264"/>
      <c r="N31" s="264"/>
      <c r="O31" s="264"/>
      <c r="P31" s="986"/>
      <c r="Q31" s="264"/>
      <c r="R31" s="1786"/>
      <c r="S31" s="264"/>
      <c r="T31" s="264"/>
      <c r="V31" s="402"/>
      <c r="W31" s="411"/>
      <c r="X31" s="291"/>
      <c r="Y31" s="354"/>
      <c r="Z31" s="1483"/>
      <c r="AA31" s="1482"/>
    </row>
    <row r="32" spans="1:27" ht="16.399999999999999" customHeight="1">
      <c r="A32" s="291" t="s">
        <v>147</v>
      </c>
      <c r="B32" s="275">
        <f>+'Exhibit L'!H36</f>
        <v>0</v>
      </c>
      <c r="C32" s="264"/>
      <c r="D32" s="275">
        <f>+'Exhibit L'!AA36</f>
        <v>0</v>
      </c>
      <c r="E32" s="264"/>
      <c r="F32" s="275">
        <f>+'Exhibit M'!H36</f>
        <v>0</v>
      </c>
      <c r="G32" s="287"/>
      <c r="H32" s="275">
        <f>+'Exhibit M'!AA36</f>
        <v>0</v>
      </c>
      <c r="I32" s="275"/>
      <c r="J32" s="1492"/>
      <c r="K32" s="264"/>
      <c r="L32" s="288">
        <f>SUM(B32)+SUM(F32)</f>
        <v>0</v>
      </c>
      <c r="M32" s="264"/>
      <c r="N32" s="288">
        <f>SUM(D32)+SUM(H32)</f>
        <v>0</v>
      </c>
      <c r="O32" s="288"/>
      <c r="P32" s="1494"/>
      <c r="Q32" s="264"/>
      <c r="R32" s="288">
        <v>0</v>
      </c>
      <c r="S32" s="264"/>
      <c r="T32" s="288">
        <f>'Exhibit L'!AD36+'Exhibit M'!AD36</f>
        <v>0</v>
      </c>
      <c r="V32" s="407"/>
      <c r="W32" s="411">
        <f>ROUND(SUM(N32-T32),1)</f>
        <v>0</v>
      </c>
      <c r="X32" s="268"/>
      <c r="Y32" s="520">
        <f>ROUND(IF(W32=0,0,W32/ABS(T32)),3)</f>
        <v>0</v>
      </c>
      <c r="Z32" s="1483"/>
      <c r="AA32" s="1482"/>
    </row>
    <row r="33" spans="1:27" ht="16.399999999999999" customHeight="1">
      <c r="A33" s="291" t="s">
        <v>212</v>
      </c>
      <c r="B33" s="275">
        <f>+'Exhibit L'!H37</f>
        <v>0</v>
      </c>
      <c r="C33" s="264"/>
      <c r="D33" s="834">
        <f>+'Exhibit L'!AA37</f>
        <v>0</v>
      </c>
      <c r="E33" s="264"/>
      <c r="F33" s="275">
        <f>+'Exhibit M'!H37</f>
        <v>0</v>
      </c>
      <c r="G33" s="264"/>
      <c r="H33" s="275">
        <f>+'Exhibit M'!AA37</f>
        <v>0</v>
      </c>
      <c r="I33" s="275"/>
      <c r="J33" s="1492"/>
      <c r="K33" s="264"/>
      <c r="L33" s="288">
        <f>SUM(B33)+SUM(F33)</f>
        <v>0</v>
      </c>
      <c r="M33" s="264"/>
      <c r="N33" s="288">
        <f>SUM(D33)+SUM(H33)</f>
        <v>0</v>
      </c>
      <c r="O33" s="288"/>
      <c r="P33" s="1494"/>
      <c r="Q33" s="264"/>
      <c r="R33" s="288">
        <v>0</v>
      </c>
      <c r="S33" s="367"/>
      <c r="T33" s="288">
        <f>'Exhibit L'!AD37+'Exhibit M'!AD37</f>
        <v>0</v>
      </c>
      <c r="V33" s="408"/>
      <c r="W33" s="411">
        <f>ROUND(SUM(N33-T33),1)</f>
        <v>0</v>
      </c>
      <c r="X33" s="268"/>
      <c r="Y33" s="520">
        <f>ROUND(IF(W33=0,0,W33/ABS(T33)),3)</f>
        <v>0</v>
      </c>
      <c r="Z33" s="1483"/>
      <c r="AA33" s="1482"/>
    </row>
    <row r="34" spans="1:27">
      <c r="A34" s="3" t="s">
        <v>150</v>
      </c>
      <c r="B34" s="996">
        <f>ROUND(SUM(B32:B33),1)</f>
        <v>0</v>
      </c>
      <c r="C34" s="13"/>
      <c r="D34" s="996">
        <f>ROUND(SUM(D32:D33),1)</f>
        <v>0</v>
      </c>
      <c r="E34" s="13"/>
      <c r="F34" s="996">
        <f>ROUND(SUM(F32:F33),1)</f>
        <v>0</v>
      </c>
      <c r="G34" s="13"/>
      <c r="H34" s="996">
        <f>ROUND(SUM(H32:H33),1)</f>
        <v>0</v>
      </c>
      <c r="I34" s="17"/>
      <c r="J34" s="1501"/>
      <c r="K34" s="13"/>
      <c r="L34" s="996">
        <f>ROUND(SUM(L32:L33),1)</f>
        <v>0</v>
      </c>
      <c r="M34" s="13"/>
      <c r="N34" s="993">
        <f>ROUND(SUM(N32:N33),1)</f>
        <v>0</v>
      </c>
      <c r="O34" s="18"/>
      <c r="P34" s="1499"/>
      <c r="Q34" s="13"/>
      <c r="R34" s="993">
        <f>ROUND(SUM(R32:R33),1)</f>
        <v>0</v>
      </c>
      <c r="S34" s="13"/>
      <c r="T34" s="993">
        <f>ROUND(SUM(T32:T33),1)</f>
        <v>0</v>
      </c>
      <c r="V34" s="409"/>
      <c r="W34" s="889">
        <f>ROUND(SUM(W32-W33),3)</f>
        <v>0</v>
      </c>
      <c r="X34" s="529"/>
      <c r="Y34" s="995">
        <f>ROUND(IF(T34=0,0,W34/ABS(T34)),3)</f>
        <v>0</v>
      </c>
      <c r="Z34" s="1483"/>
      <c r="AA34" s="1482"/>
    </row>
    <row r="35" spans="1:27">
      <c r="A35" s="3"/>
      <c r="B35" s="615"/>
      <c r="C35" s="264"/>
      <c r="D35" s="615"/>
      <c r="E35" s="264"/>
      <c r="F35" s="264"/>
      <c r="G35" s="264"/>
      <c r="H35" s="264"/>
      <c r="I35" s="264"/>
      <c r="J35" s="986"/>
      <c r="K35" s="264"/>
      <c r="L35" s="264"/>
      <c r="M35" s="264"/>
      <c r="N35" s="615"/>
      <c r="O35" s="264"/>
      <c r="P35" s="986"/>
      <c r="Q35" s="264"/>
      <c r="R35" s="264"/>
      <c r="S35" s="264"/>
      <c r="T35" s="264"/>
      <c r="V35" s="402"/>
      <c r="W35" s="411"/>
      <c r="X35" s="291"/>
      <c r="Y35" s="354"/>
      <c r="Z35" s="1483"/>
      <c r="AA35" s="1482"/>
    </row>
    <row r="36" spans="1:27" ht="15.75" customHeight="1">
      <c r="A36" s="3" t="s">
        <v>143</v>
      </c>
      <c r="B36" s="264"/>
      <c r="C36" s="264"/>
      <c r="D36" s="264"/>
      <c r="E36" s="264"/>
      <c r="F36" s="264"/>
      <c r="G36" s="264"/>
      <c r="H36" s="264"/>
      <c r="I36" s="264"/>
      <c r="J36" s="986"/>
      <c r="K36" s="264"/>
      <c r="L36" s="264"/>
      <c r="M36" s="264"/>
      <c r="N36" s="264"/>
      <c r="O36" s="264"/>
      <c r="P36" s="986"/>
      <c r="Q36" s="264"/>
      <c r="R36" s="264"/>
      <c r="S36" s="264"/>
      <c r="T36" s="264"/>
      <c r="V36" s="402"/>
      <c r="W36" s="411"/>
      <c r="X36" s="291"/>
      <c r="Y36" s="354"/>
      <c r="Z36" s="1483"/>
      <c r="AA36" s="1482"/>
    </row>
    <row r="37" spans="1:27" ht="15.75" customHeight="1">
      <c r="A37" s="3" t="s">
        <v>213</v>
      </c>
      <c r="B37" s="264"/>
      <c r="C37" s="264"/>
      <c r="D37" s="264"/>
      <c r="E37" s="264"/>
      <c r="F37" s="264"/>
      <c r="G37" s="264"/>
      <c r="H37" s="264"/>
      <c r="I37" s="264"/>
      <c r="J37" s="986"/>
      <c r="K37" s="264"/>
      <c r="L37" s="264"/>
      <c r="M37" s="264"/>
      <c r="N37" s="264"/>
      <c r="O37" s="264"/>
      <c r="P37" s="986"/>
      <c r="Q37" s="264"/>
      <c r="R37" s="264"/>
      <c r="S37" s="264"/>
      <c r="T37" s="264"/>
      <c r="V37" s="402"/>
      <c r="W37" s="411"/>
      <c r="X37" s="291"/>
      <c r="Y37" s="354"/>
      <c r="Z37" s="1483"/>
      <c r="AA37" s="1482"/>
    </row>
    <row r="38" spans="1:27" ht="15.75" customHeight="1">
      <c r="A38" s="3" t="s">
        <v>214</v>
      </c>
      <c r="B38" s="264"/>
      <c r="C38" s="264"/>
      <c r="D38" s="264"/>
      <c r="E38" s="264"/>
      <c r="F38" s="367"/>
      <c r="G38" s="264"/>
      <c r="H38" s="264"/>
      <c r="I38" s="264"/>
      <c r="J38" s="986"/>
      <c r="K38" s="264"/>
      <c r="L38" s="264"/>
      <c r="M38" s="264"/>
      <c r="N38" s="264"/>
      <c r="O38" s="264"/>
      <c r="P38" s="986"/>
      <c r="Q38" s="264"/>
      <c r="R38" s="264"/>
      <c r="S38" s="264"/>
      <c r="T38" s="264"/>
      <c r="V38" s="402"/>
      <c r="W38" s="411"/>
      <c r="X38" s="291"/>
      <c r="Y38" s="354"/>
      <c r="Z38" s="1483"/>
      <c r="AA38" s="1482"/>
    </row>
    <row r="39" spans="1:27" ht="15.75" customHeight="1">
      <c r="A39" s="3" t="s">
        <v>215</v>
      </c>
      <c r="B39" s="26">
        <f>ROUND(SUM(B29+B34),1)</f>
        <v>9</v>
      </c>
      <c r="C39" s="13"/>
      <c r="D39" s="26">
        <f>ROUND(SUM(D29+D34),1)</f>
        <v>27.2</v>
      </c>
      <c r="E39" s="13"/>
      <c r="F39" s="26">
        <f>ROUND(SUM(F29+F34),1)</f>
        <v>0.1</v>
      </c>
      <c r="G39" s="13"/>
      <c r="H39" s="26">
        <f>ROUND(SUM(H29+H34),1)</f>
        <v>0.4</v>
      </c>
      <c r="I39" s="26"/>
      <c r="J39" s="1495"/>
      <c r="K39" s="13"/>
      <c r="L39" s="26">
        <f>ROUND(SUM(L29+L34),1)</f>
        <v>9.1</v>
      </c>
      <c r="M39" s="13"/>
      <c r="N39" s="26">
        <f>ROUND(SUM(N29+N34),1)</f>
        <v>27.6</v>
      </c>
      <c r="O39" s="26"/>
      <c r="P39" s="1495"/>
      <c r="Q39" s="13"/>
      <c r="R39" s="26">
        <f>ROUND(SUM(R29+R34),1)</f>
        <v>6.3</v>
      </c>
      <c r="S39" s="13"/>
      <c r="T39" s="26">
        <f>ROUND(SUM(T29+T34),1)</f>
        <v>24.8</v>
      </c>
      <c r="U39" s="57"/>
      <c r="V39" s="402"/>
      <c r="W39" s="13">
        <f>ROUND(SUM(N39-T39),1)</f>
        <v>2.8</v>
      </c>
      <c r="X39" s="291"/>
      <c r="Y39" s="676">
        <f>ROUND(IF(T39=0,1,W39/ABS(T39)),3)</f>
        <v>0.113</v>
      </c>
      <c r="Z39" s="1483"/>
      <c r="AA39" s="1482"/>
    </row>
    <row r="40" spans="1:27">
      <c r="A40" s="3"/>
      <c r="B40" s="264"/>
      <c r="C40" s="264"/>
      <c r="D40" s="264"/>
      <c r="E40" s="264"/>
      <c r="F40" s="264"/>
      <c r="G40" s="264"/>
      <c r="H40" s="264"/>
      <c r="I40" s="264"/>
      <c r="J40" s="986"/>
      <c r="K40" s="264"/>
      <c r="L40" s="264"/>
      <c r="M40" s="264"/>
      <c r="N40" s="264"/>
      <c r="O40" s="264"/>
      <c r="P40" s="986"/>
      <c r="Q40" s="264"/>
      <c r="R40" s="264"/>
      <c r="S40" s="264"/>
      <c r="T40" s="264"/>
      <c r="V40" s="402"/>
      <c r="X40" s="291"/>
      <c r="Z40" s="1483"/>
      <c r="AA40" s="1482"/>
    </row>
    <row r="41" spans="1:27" s="57" customFormat="1">
      <c r="A41" s="3" t="s">
        <v>153</v>
      </c>
      <c r="B41" s="1929">
        <f>+'Exhibit L'!H14</f>
        <v>2240.6999999999998</v>
      </c>
      <c r="C41" s="13"/>
      <c r="D41" s="1929">
        <f>+'Exhibit L'!AA14</f>
        <v>2222.5</v>
      </c>
      <c r="E41" s="13"/>
      <c r="F41" s="1929">
        <f>+'Exhibit M'!H14</f>
        <v>46.9</v>
      </c>
      <c r="G41" s="13"/>
      <c r="H41" s="18">
        <f>+'Exhibit M'!AA14</f>
        <v>46.6</v>
      </c>
      <c r="I41" s="18"/>
      <c r="J41" s="1499"/>
      <c r="K41" s="13"/>
      <c r="L41" s="18">
        <f>ROUND(SUM(B41)+SUM(F41),1)</f>
        <v>2287.6</v>
      </c>
      <c r="M41" s="13"/>
      <c r="N41" s="26">
        <f>ROUND(SUM(D41+H41),1)</f>
        <v>2269.1</v>
      </c>
      <c r="O41" s="26"/>
      <c r="P41" s="1495"/>
      <c r="Q41" s="13"/>
      <c r="R41" s="980">
        <v>1955.5</v>
      </c>
      <c r="S41" s="13"/>
      <c r="T41" s="980">
        <f>'Exhibit L'!AD14+'Exhibit M'!AD14</f>
        <v>1937</v>
      </c>
      <c r="V41" s="398"/>
      <c r="W41" s="19">
        <f>ROUND(SUM(+N41-T41),1)</f>
        <v>332.1</v>
      </c>
      <c r="X41" s="3"/>
      <c r="Y41" s="521">
        <f>ROUND(IF(W41=0,0,W41/ABS(T41)),3)</f>
        <v>0.17100000000000001</v>
      </c>
      <c r="Z41" s="1487"/>
      <c r="AA41" s="1485"/>
    </row>
    <row r="42" spans="1:27" ht="16" thickBot="1">
      <c r="A42" s="3" t="s">
        <v>217</v>
      </c>
      <c r="B42" s="997">
        <f>ROUND(SUM(B41)+SUM(B39),1)</f>
        <v>2249.6999999999998</v>
      </c>
      <c r="C42" s="20"/>
      <c r="D42" s="997">
        <f>ROUND(SUM(D41)+SUM(D39),1)</f>
        <v>2249.6999999999998</v>
      </c>
      <c r="E42" s="20"/>
      <c r="F42" s="990">
        <f>ROUND(SUM(F41)+SUM(F39),1)</f>
        <v>47</v>
      </c>
      <c r="G42" s="27"/>
      <c r="H42" s="998">
        <f>ROUND(SUM(H41)+SUM(H39),1)</f>
        <v>47</v>
      </c>
      <c r="I42" s="44"/>
      <c r="J42" s="1502"/>
      <c r="K42" s="20"/>
      <c r="L42" s="998">
        <f>ROUND(SUM(L41)+SUM(L39),1)</f>
        <v>2296.6999999999998</v>
      </c>
      <c r="M42" s="20"/>
      <c r="N42" s="998">
        <f>ROUND(SUM(N41)+SUM(N39),1)</f>
        <v>2296.6999999999998</v>
      </c>
      <c r="O42" s="44"/>
      <c r="P42" s="1502"/>
      <c r="Q42" s="20"/>
      <c r="R42" s="998">
        <f>ROUND(SUM(R41)+SUM(R39),1)</f>
        <v>1961.8</v>
      </c>
      <c r="S42" s="20"/>
      <c r="T42" s="998">
        <f>ROUND(SUM(T41)+SUM(T39),1)</f>
        <v>1961.8</v>
      </c>
      <c r="U42" s="45"/>
      <c r="V42" s="403"/>
      <c r="W42" s="999">
        <f>ROUND(SUM(W39+W41),3)</f>
        <v>334.9</v>
      </c>
      <c r="X42" s="379"/>
      <c r="Y42" s="991">
        <f>ROUND(IF(T42=0,1,W42/ABS(T42)),3)</f>
        <v>0.17100000000000001</v>
      </c>
      <c r="Z42" s="1483"/>
      <c r="AA42" s="1482"/>
    </row>
    <row r="43" spans="1:27" ht="16" thickTop="1">
      <c r="A43" s="291"/>
      <c r="B43" s="410"/>
      <c r="C43" s="379"/>
      <c r="D43" s="410"/>
      <c r="E43" s="379"/>
      <c r="F43" s="410"/>
      <c r="G43" s="379"/>
      <c r="H43" s="410"/>
      <c r="I43" s="379"/>
      <c r="J43" s="379"/>
      <c r="K43" s="379"/>
      <c r="L43" s="410"/>
      <c r="M43" s="379"/>
      <c r="N43" s="410"/>
      <c r="O43" s="379"/>
      <c r="P43" s="379"/>
      <c r="Q43" s="379"/>
      <c r="R43" s="410"/>
      <c r="S43" s="379"/>
      <c r="T43" s="410"/>
      <c r="U43" s="379"/>
      <c r="V43" s="404"/>
      <c r="W43" s="404"/>
      <c r="X43" s="404"/>
      <c r="Y43" s="404"/>
      <c r="Z43" s="1483"/>
      <c r="AA43" s="1484"/>
    </row>
    <row r="44" spans="1:27" ht="18.5">
      <c r="A44" s="291" t="s">
        <v>223</v>
      </c>
      <c r="B44" s="291"/>
      <c r="C44" s="291"/>
      <c r="D44" s="291"/>
      <c r="E44" s="291"/>
      <c r="F44" s="291"/>
      <c r="G44" s="291"/>
      <c r="H44" s="291"/>
      <c r="I44" s="291"/>
      <c r="J44" s="291"/>
      <c r="K44" s="291"/>
      <c r="L44" s="291"/>
      <c r="M44" s="291"/>
      <c r="N44" s="291"/>
      <c r="O44" s="291"/>
      <c r="P44" s="291"/>
      <c r="Q44" s="291"/>
      <c r="R44" s="264"/>
      <c r="S44" s="291"/>
      <c r="T44" s="291"/>
      <c r="U44" s="291"/>
      <c r="V44" s="354"/>
      <c r="W44" s="504"/>
      <c r="X44" s="354"/>
      <c r="Y44" s="354"/>
      <c r="Z44" s="1483"/>
      <c r="AA44" s="1482"/>
    </row>
    <row r="45" spans="1:27">
      <c r="A45" s="291"/>
      <c r="B45" s="291"/>
      <c r="C45" s="291"/>
      <c r="D45" s="291"/>
      <c r="E45" s="291"/>
      <c r="F45" s="291" t="s">
        <v>103</v>
      </c>
      <c r="G45" s="291"/>
      <c r="H45" s="291"/>
      <c r="I45" s="291"/>
      <c r="J45" s="291"/>
      <c r="K45" s="291"/>
      <c r="L45" s="291"/>
      <c r="M45" s="291"/>
      <c r="N45" s="291"/>
      <c r="O45" s="291"/>
      <c r="P45" s="291"/>
      <c r="R45" s="264"/>
      <c r="S45" s="291"/>
      <c r="T45" s="291"/>
      <c r="U45" s="291"/>
      <c r="V45" s="354"/>
      <c r="W45" s="354"/>
      <c r="X45" s="354"/>
      <c r="Y45" s="354"/>
      <c r="Z45" s="1483"/>
      <c r="AA45" s="1482"/>
    </row>
    <row r="46" spans="1:27">
      <c r="A46" s="268"/>
      <c r="B46" s="291"/>
      <c r="C46" s="291"/>
      <c r="D46" s="291"/>
      <c r="E46" s="291"/>
      <c r="F46" s="291"/>
      <c r="G46" s="291"/>
      <c r="H46" s="291"/>
      <c r="I46" s="291"/>
      <c r="J46" s="291"/>
      <c r="K46" s="291"/>
      <c r="L46" s="291"/>
      <c r="M46" s="291"/>
      <c r="N46" s="291"/>
      <c r="O46" s="291"/>
      <c r="P46" s="291"/>
      <c r="Q46" s="291"/>
      <c r="R46" s="291"/>
      <c r="S46" s="291"/>
      <c r="T46" s="291"/>
      <c r="U46" s="291"/>
      <c r="V46" s="354"/>
      <c r="W46" s="354"/>
      <c r="X46" s="354"/>
      <c r="Y46" s="354"/>
      <c r="Z46" s="1483"/>
      <c r="AA46" s="1482"/>
    </row>
    <row r="47" spans="1:27">
      <c r="A47" s="291"/>
      <c r="B47" s="291"/>
      <c r="C47" s="291"/>
      <c r="D47" s="291"/>
      <c r="E47" s="291"/>
      <c r="F47" s="291"/>
      <c r="G47" s="291"/>
      <c r="H47" s="291"/>
      <c r="I47" s="291"/>
      <c r="J47" s="291"/>
      <c r="K47" s="291"/>
      <c r="L47" s="291"/>
      <c r="M47" s="291"/>
      <c r="N47" s="291"/>
      <c r="O47" s="291"/>
      <c r="P47" s="291"/>
      <c r="Q47" s="291"/>
      <c r="R47" s="291"/>
      <c r="S47" s="291"/>
      <c r="T47" s="291"/>
      <c r="U47" s="291"/>
      <c r="V47" s="354"/>
      <c r="W47" s="354"/>
      <c r="X47" s="354"/>
      <c r="Y47" s="354"/>
      <c r="Z47" s="1483"/>
      <c r="AA47" s="1482"/>
    </row>
    <row r="48" spans="1:27">
      <c r="A48" s="291"/>
      <c r="B48" s="291"/>
      <c r="C48" s="291"/>
      <c r="D48" s="291"/>
      <c r="E48" s="291"/>
      <c r="F48" s="291"/>
      <c r="G48" s="291"/>
      <c r="H48" s="291"/>
      <c r="I48" s="291"/>
      <c r="J48" s="291"/>
      <c r="K48" s="291"/>
      <c r="L48" s="291"/>
      <c r="M48" s="291"/>
      <c r="N48" s="291"/>
      <c r="O48" s="291"/>
      <c r="P48" s="291"/>
      <c r="Q48" s="291"/>
      <c r="R48" s="291"/>
      <c r="S48" s="291"/>
      <c r="T48" s="291"/>
      <c r="U48" s="291"/>
      <c r="V48" s="354"/>
      <c r="W48" s="354"/>
      <c r="X48" s="354"/>
      <c r="Y48" s="354"/>
      <c r="Z48" s="1483"/>
      <c r="AA48" s="1482"/>
    </row>
    <row r="49" spans="1:27">
      <c r="A49" s="291"/>
      <c r="B49" s="291"/>
      <c r="C49" s="291"/>
      <c r="D49" s="291"/>
      <c r="E49" s="291"/>
      <c r="F49" s="291"/>
      <c r="G49" s="291"/>
      <c r="H49" s="291"/>
      <c r="I49" s="291"/>
      <c r="J49" s="291"/>
      <c r="K49" s="291"/>
      <c r="L49" s="291"/>
      <c r="M49" s="291"/>
      <c r="N49" s="291"/>
      <c r="O49" s="291"/>
      <c r="P49" s="291"/>
      <c r="Q49" s="291"/>
      <c r="R49" s="291"/>
      <c r="S49" s="291"/>
      <c r="T49" s="291"/>
      <c r="U49" s="291"/>
      <c r="V49" s="354"/>
      <c r="W49" s="354"/>
      <c r="X49" s="354"/>
      <c r="Y49" s="354"/>
      <c r="Z49" s="1483"/>
      <c r="AA49" s="1482"/>
    </row>
    <row r="50" spans="1:27">
      <c r="A50" s="291"/>
      <c r="B50" s="291"/>
      <c r="C50" s="291"/>
      <c r="D50" s="291"/>
      <c r="E50" s="291"/>
      <c r="F50" s="291"/>
      <c r="G50" s="291"/>
      <c r="H50" s="291"/>
      <c r="I50" s="291"/>
      <c r="J50" s="291"/>
      <c r="K50" s="291"/>
      <c r="L50" s="291"/>
      <c r="M50" s="291"/>
      <c r="N50" s="291"/>
      <c r="O50" s="291"/>
      <c r="P50" s="291"/>
      <c r="Q50" s="291"/>
      <c r="R50" s="291"/>
      <c r="S50" s="291"/>
      <c r="T50" s="291"/>
      <c r="U50" s="291"/>
      <c r="V50" s="354"/>
      <c r="W50" s="354"/>
      <c r="X50" s="354"/>
      <c r="Y50" s="354"/>
      <c r="Z50" s="1483"/>
      <c r="AA50" s="1482"/>
    </row>
    <row r="51" spans="1:27">
      <c r="A51" s="291"/>
      <c r="B51" s="291"/>
      <c r="C51" s="291"/>
      <c r="D51" s="291"/>
      <c r="E51" s="291"/>
      <c r="F51" s="291"/>
      <c r="G51" s="291"/>
      <c r="H51" s="291"/>
      <c r="I51" s="291"/>
      <c r="J51" s="291"/>
      <c r="K51" s="291"/>
      <c r="L51" s="291"/>
      <c r="M51" s="291"/>
      <c r="N51" s="291"/>
      <c r="O51" s="291"/>
      <c r="P51" s="291"/>
      <c r="Q51" s="291"/>
      <c r="R51" s="291"/>
      <c r="S51" s="291"/>
      <c r="T51" s="291"/>
      <c r="U51" s="291"/>
      <c r="V51" s="354"/>
      <c r="W51" s="354"/>
      <c r="X51" s="354"/>
      <c r="Y51" s="354"/>
      <c r="Z51" s="1483"/>
      <c r="AA51" s="1482"/>
    </row>
    <row r="52" spans="1:27">
      <c r="A52" s="291"/>
      <c r="B52" s="291"/>
      <c r="C52" s="291"/>
      <c r="D52" s="291"/>
      <c r="E52" s="291"/>
      <c r="F52" s="291"/>
      <c r="G52" s="291"/>
      <c r="H52" s="291"/>
      <c r="I52" s="291"/>
      <c r="J52" s="291"/>
      <c r="K52" s="291"/>
      <c r="L52" s="291"/>
      <c r="M52" s="291"/>
      <c r="N52" s="291"/>
      <c r="O52" s="291"/>
      <c r="P52" s="291"/>
      <c r="Q52" s="291"/>
      <c r="R52" s="291"/>
      <c r="S52" s="291"/>
      <c r="T52" s="291"/>
      <c r="U52" s="291"/>
      <c r="V52" s="354"/>
      <c r="W52" s="354"/>
      <c r="X52" s="354"/>
      <c r="Y52" s="354"/>
      <c r="Z52" s="1483"/>
      <c r="AA52" s="1482"/>
    </row>
    <row r="53" spans="1:27">
      <c r="A53" s="291"/>
      <c r="B53" s="291"/>
      <c r="C53" s="291"/>
      <c r="D53" s="291"/>
      <c r="E53" s="291"/>
      <c r="F53" s="291"/>
      <c r="G53" s="291"/>
      <c r="H53" s="291"/>
      <c r="I53" s="291"/>
      <c r="J53" s="291"/>
      <c r="K53" s="291"/>
      <c r="L53" s="291"/>
      <c r="M53" s="291"/>
      <c r="N53" s="291"/>
      <c r="O53" s="291"/>
      <c r="P53" s="291"/>
      <c r="Q53" s="291"/>
      <c r="R53" s="291"/>
      <c r="S53" s="291"/>
      <c r="T53" s="291"/>
      <c r="U53" s="291"/>
      <c r="V53" s="354"/>
      <c r="W53" s="354"/>
      <c r="X53" s="354"/>
      <c r="Y53" s="354"/>
      <c r="Z53" s="1483"/>
      <c r="AA53" s="1482"/>
    </row>
    <row r="54" spans="1:27">
      <c r="A54" s="291"/>
      <c r="B54" s="291"/>
      <c r="C54" s="291"/>
      <c r="D54" s="291"/>
      <c r="E54" s="291"/>
      <c r="F54" s="291"/>
      <c r="G54" s="291"/>
      <c r="H54" s="291"/>
      <c r="I54" s="291"/>
      <c r="J54" s="291"/>
      <c r="K54" s="291"/>
      <c r="L54" s="291"/>
      <c r="M54" s="291"/>
      <c r="N54" s="291"/>
      <c r="O54" s="291"/>
      <c r="P54" s="291"/>
      <c r="Q54" s="291"/>
      <c r="R54" s="291"/>
      <c r="S54" s="291"/>
      <c r="T54" s="291"/>
      <c r="U54" s="291"/>
      <c r="V54" s="354"/>
      <c r="W54" s="354"/>
      <c r="X54" s="354"/>
      <c r="Y54" s="354"/>
      <c r="Z54" s="1483"/>
      <c r="AA54" s="1482"/>
    </row>
    <row r="55" spans="1:27">
      <c r="A55" s="291"/>
      <c r="B55" s="291"/>
      <c r="C55" s="291"/>
      <c r="D55" s="291"/>
      <c r="E55" s="291"/>
      <c r="F55" s="291"/>
      <c r="G55" s="291"/>
      <c r="H55" s="291"/>
      <c r="I55" s="291"/>
      <c r="J55" s="291"/>
      <c r="K55" s="291"/>
      <c r="L55" s="291"/>
      <c r="M55" s="291"/>
      <c r="N55" s="291"/>
      <c r="O55" s="291"/>
      <c r="P55" s="291"/>
      <c r="Q55" s="291"/>
      <c r="R55" s="291"/>
      <c r="S55" s="291"/>
      <c r="T55" s="291"/>
      <c r="U55" s="291"/>
      <c r="V55" s="354"/>
      <c r="W55" s="354"/>
      <c r="X55" s="354"/>
      <c r="Y55" s="354"/>
      <c r="Z55" s="1483"/>
      <c r="AA55" s="1482"/>
    </row>
    <row r="56" spans="1:27">
      <c r="A56" s="291"/>
      <c r="B56" s="291"/>
      <c r="C56" s="291"/>
      <c r="D56" s="291"/>
      <c r="E56" s="291"/>
      <c r="F56" s="291"/>
      <c r="G56" s="291"/>
      <c r="H56" s="291"/>
      <c r="I56" s="291"/>
      <c r="J56" s="291"/>
      <c r="K56" s="291"/>
      <c r="L56" s="291"/>
      <c r="M56" s="291"/>
      <c r="N56" s="291"/>
      <c r="O56" s="291"/>
      <c r="P56" s="291"/>
      <c r="Q56" s="291"/>
      <c r="R56" s="291"/>
      <c r="S56" s="291"/>
      <c r="T56" s="291"/>
      <c r="U56" s="291"/>
      <c r="V56" s="291"/>
      <c r="W56" s="291"/>
    </row>
    <row r="57" spans="1:27">
      <c r="A57" s="291"/>
      <c r="B57" s="291"/>
      <c r="C57" s="291"/>
      <c r="D57" s="291"/>
      <c r="E57" s="291"/>
      <c r="F57" s="291"/>
      <c r="G57" s="291"/>
      <c r="H57" s="291"/>
      <c r="I57" s="291"/>
      <c r="J57" s="291"/>
      <c r="K57" s="291"/>
      <c r="L57" s="291"/>
      <c r="M57" s="291"/>
      <c r="N57" s="291"/>
      <c r="O57" s="291"/>
      <c r="P57" s="291"/>
      <c r="Q57" s="291"/>
      <c r="R57" s="291"/>
      <c r="S57" s="291"/>
      <c r="T57" s="291"/>
      <c r="U57" s="291"/>
      <c r="V57" s="291"/>
      <c r="W57" s="291"/>
    </row>
    <row r="58" spans="1:27">
      <c r="A58" s="291"/>
      <c r="B58" s="291"/>
      <c r="C58" s="291"/>
      <c r="D58" s="291"/>
      <c r="E58" s="291"/>
      <c r="F58" s="291"/>
      <c r="G58" s="291"/>
      <c r="H58" s="291"/>
      <c r="I58" s="291"/>
      <c r="J58" s="291"/>
      <c r="K58" s="291"/>
      <c r="L58" s="291"/>
      <c r="M58" s="291"/>
      <c r="N58" s="291"/>
      <c r="O58" s="291"/>
      <c r="P58" s="291"/>
      <c r="Q58" s="291"/>
      <c r="R58" s="291"/>
      <c r="S58" s="291"/>
      <c r="T58" s="291"/>
      <c r="U58" s="291"/>
      <c r="V58" s="291"/>
      <c r="W58" s="291"/>
    </row>
    <row r="59" spans="1:27">
      <c r="A59" s="291"/>
      <c r="B59" s="291"/>
      <c r="C59" s="291"/>
      <c r="D59" s="291"/>
      <c r="E59" s="291"/>
      <c r="F59" s="291"/>
      <c r="G59" s="291"/>
      <c r="H59" s="291"/>
      <c r="I59" s="291"/>
      <c r="J59" s="291"/>
      <c r="K59" s="291"/>
      <c r="L59" s="291"/>
      <c r="M59" s="291"/>
      <c r="N59" s="291"/>
      <c r="O59" s="291"/>
      <c r="P59" s="291"/>
      <c r="Q59" s="291"/>
      <c r="R59" s="291"/>
      <c r="S59" s="291"/>
      <c r="T59" s="291"/>
      <c r="U59" s="291"/>
      <c r="V59" s="291"/>
      <c r="W59" s="291"/>
    </row>
    <row r="60" spans="1:27">
      <c r="A60" s="291"/>
      <c r="B60" s="291"/>
      <c r="C60" s="291"/>
      <c r="D60" s="291"/>
      <c r="E60" s="291"/>
      <c r="F60" s="291"/>
      <c r="G60" s="291"/>
      <c r="H60" s="291"/>
      <c r="I60" s="291"/>
      <c r="J60" s="291"/>
      <c r="K60" s="291"/>
      <c r="L60" s="291"/>
      <c r="M60" s="291"/>
      <c r="N60" s="291"/>
      <c r="O60" s="291"/>
      <c r="P60" s="291"/>
      <c r="Q60" s="291"/>
      <c r="R60" s="291"/>
      <c r="S60" s="291"/>
      <c r="T60" s="291"/>
      <c r="U60" s="291"/>
      <c r="V60" s="291"/>
      <c r="W60" s="291"/>
    </row>
    <row r="61" spans="1:27">
      <c r="A61" s="291"/>
      <c r="B61" s="291"/>
      <c r="C61" s="291"/>
      <c r="D61" s="291"/>
      <c r="E61" s="291"/>
      <c r="F61" s="291"/>
      <c r="G61" s="291"/>
      <c r="H61" s="291"/>
      <c r="I61" s="291"/>
      <c r="J61" s="291"/>
      <c r="K61" s="291"/>
      <c r="L61" s="291"/>
      <c r="M61" s="291"/>
      <c r="N61" s="291"/>
      <c r="O61" s="291"/>
      <c r="P61" s="291"/>
      <c r="Q61" s="291"/>
      <c r="R61" s="291"/>
      <c r="S61" s="291"/>
      <c r="T61" s="291"/>
      <c r="U61" s="291"/>
      <c r="V61" s="291"/>
      <c r="W61" s="291"/>
    </row>
  </sheetData>
  <mergeCells count="1">
    <mergeCell ref="W12:Y12"/>
  </mergeCells>
  <printOptions horizontalCentered="1"/>
  <pageMargins left="0.25" right="0.25" top="0.5" bottom="0.5" header="0" footer="0.25"/>
  <pageSetup scale="58" firstPageNumber="6" orientation="landscape" useFirstPageNumber="1" r:id="rId1"/>
  <headerFooter scaleWithDoc="0" alignWithMargins="0">
    <oddFooter>&amp;C&amp;8&amp;P</oddFooter>
  </headerFooter>
  <customProperties>
    <customPr name="SheetOptions" r:id="rId2"/>
  </customProperties>
  <ignoredErrors>
    <ignoredError sqref="W20:Y22 W35:Y38 X34:Y34 X42 X41 W30:Y31 W18:X18 W27:Y28 W23:X25 W33:X33 W40:Y40 W19:Y19 W26:X26 W32:X32"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pageSetUpPr fitToPage="1"/>
  </sheetPr>
  <dimension ref="A1:N56"/>
  <sheetViews>
    <sheetView showGridLines="0" zoomScale="85" workbookViewId="0"/>
  </sheetViews>
  <sheetFormatPr defaultColWidth="8.84375" defaultRowHeight="15.5"/>
  <cols>
    <col min="1" max="1" width="45.84375" style="23" customWidth="1"/>
    <col min="2" max="2" width="2.4609375" style="23" customWidth="1"/>
    <col min="3" max="3" width="15.07421875" style="23" customWidth="1"/>
    <col min="4" max="4" width="1.84375" style="23" customWidth="1"/>
    <col min="5" max="5" width="15.07421875" style="23" customWidth="1"/>
    <col min="6" max="6" width="1.84375" style="23" customWidth="1"/>
    <col min="7" max="7" width="15.07421875" style="23" customWidth="1"/>
    <col min="8" max="8" width="1.84375" style="23" customWidth="1"/>
    <col min="9" max="9" width="14.84375" style="23" customWidth="1"/>
    <col min="10" max="10" width="1.84375" style="23" customWidth="1"/>
    <col min="11" max="11" width="14.07421875" style="23" customWidth="1"/>
    <col min="12" max="12" width="8.84375" style="23"/>
    <col min="13" max="13" width="10.07421875" style="23" bestFit="1" customWidth="1"/>
    <col min="14" max="16384" width="8.84375" style="23"/>
  </cols>
  <sheetData>
    <row r="1" spans="1:11">
      <c r="A1" s="377" t="s">
        <v>97</v>
      </c>
    </row>
    <row r="2" spans="1:11">
      <c r="A2" s="354"/>
    </row>
    <row r="3" spans="1:11" ht="18" customHeight="1">
      <c r="A3" s="955" t="s">
        <v>98</v>
      </c>
      <c r="B3" s="956"/>
      <c r="C3" s="956"/>
      <c r="D3" s="957"/>
      <c r="E3" s="956"/>
      <c r="F3" s="957"/>
      <c r="G3" s="30"/>
      <c r="H3" s="957"/>
      <c r="I3" s="30"/>
      <c r="J3" s="957"/>
      <c r="K3" s="31" t="s">
        <v>224</v>
      </c>
    </row>
    <row r="4" spans="1:11" ht="18" customHeight="1">
      <c r="A4" s="955" t="s">
        <v>225</v>
      </c>
      <c r="B4" s="956"/>
      <c r="C4" s="956"/>
      <c r="D4" s="957"/>
      <c r="E4" s="956"/>
      <c r="F4" s="957"/>
      <c r="G4" s="30"/>
      <c r="H4" s="957"/>
      <c r="I4" s="31"/>
      <c r="J4" s="957"/>
    </row>
    <row r="5" spans="1:11" ht="18" customHeight="1">
      <c r="A5" s="1979" t="s">
        <v>1452</v>
      </c>
      <c r="B5" s="1980"/>
      <c r="C5" s="1980"/>
      <c r="D5" s="1980"/>
      <c r="E5" s="1980"/>
      <c r="F5" s="30"/>
      <c r="G5" s="32"/>
      <c r="H5" s="30"/>
      <c r="I5" s="30"/>
      <c r="J5" s="30"/>
      <c r="K5" s="30"/>
    </row>
    <row r="6" spans="1:11" ht="18" customHeight="1">
      <c r="A6" s="1958" t="s">
        <v>1496</v>
      </c>
      <c r="B6" s="957"/>
      <c r="C6" s="957"/>
      <c r="D6" s="957"/>
      <c r="E6" s="957"/>
      <c r="F6" s="957"/>
      <c r="G6" s="30"/>
      <c r="H6" s="957"/>
      <c r="I6" s="30"/>
      <c r="J6" s="957"/>
      <c r="K6" s="30"/>
    </row>
    <row r="7" spans="1:11" ht="18" customHeight="1">
      <c r="A7" s="958" t="s">
        <v>226</v>
      </c>
      <c r="B7" s="957"/>
      <c r="C7" s="957"/>
      <c r="D7" s="957"/>
      <c r="E7" s="957"/>
      <c r="F7" s="957"/>
      <c r="G7" s="30"/>
      <c r="H7" s="957"/>
      <c r="I7" s="30"/>
      <c r="J7" s="957"/>
      <c r="K7" s="30"/>
    </row>
    <row r="8" spans="1:11" ht="17.5">
      <c r="A8" s="34"/>
      <c r="B8" s="30"/>
      <c r="C8" s="30"/>
      <c r="D8" s="30"/>
      <c r="E8" s="30"/>
      <c r="F8" s="30"/>
      <c r="G8" s="30"/>
      <c r="H8" s="30"/>
      <c r="I8" s="30"/>
      <c r="J8" s="30"/>
      <c r="K8" s="30"/>
    </row>
    <row r="9" spans="1:11">
      <c r="A9" s="35"/>
      <c r="B9" s="30"/>
      <c r="C9" s="30"/>
      <c r="D9" s="30"/>
      <c r="E9" s="30"/>
      <c r="F9" s="30"/>
      <c r="G9" s="30"/>
      <c r="H9" s="30"/>
      <c r="I9" s="30"/>
      <c r="J9" s="30"/>
      <c r="K9" s="30"/>
    </row>
    <row r="10" spans="1:11">
      <c r="A10" s="35"/>
      <c r="B10" s="30"/>
      <c r="C10" s="30"/>
      <c r="D10" s="30"/>
      <c r="E10" s="30"/>
      <c r="F10" s="30"/>
      <c r="G10" s="30"/>
      <c r="H10" s="30"/>
      <c r="I10" s="30"/>
      <c r="J10" s="30"/>
      <c r="K10" s="30"/>
    </row>
    <row r="11" spans="1:11">
      <c r="A11" s="291"/>
      <c r="B11" s="36"/>
      <c r="C11" s="2060" t="s">
        <v>227</v>
      </c>
      <c r="D11" s="2060"/>
      <c r="E11" s="2060"/>
      <c r="F11" s="2060"/>
      <c r="G11" s="2060"/>
      <c r="H11" s="2060"/>
      <c r="I11" s="2060"/>
      <c r="J11" s="1000"/>
      <c r="K11" s="1218"/>
    </row>
    <row r="12" spans="1:11">
      <c r="A12" s="291"/>
      <c r="B12" s="36"/>
      <c r="C12" s="36"/>
      <c r="D12" s="36"/>
      <c r="E12" s="36"/>
      <c r="F12" s="36"/>
      <c r="G12" s="36"/>
      <c r="H12" s="36"/>
      <c r="I12" s="37" t="s">
        <v>228</v>
      </c>
      <c r="J12" s="36"/>
      <c r="K12" s="37" t="s">
        <v>228</v>
      </c>
    </row>
    <row r="13" spans="1:11">
      <c r="A13" s="291"/>
      <c r="B13" s="36"/>
      <c r="C13" s="36"/>
      <c r="D13" s="36"/>
      <c r="E13" s="36"/>
      <c r="F13" s="36"/>
      <c r="G13" s="36"/>
      <c r="H13" s="36"/>
      <c r="I13" s="37" t="s">
        <v>229</v>
      </c>
      <c r="J13" s="36"/>
      <c r="K13" s="37" t="s">
        <v>229</v>
      </c>
    </row>
    <row r="14" spans="1:11">
      <c r="A14" s="291" t="s">
        <v>230</v>
      </c>
      <c r="B14" s="36"/>
      <c r="C14" s="38" t="s">
        <v>231</v>
      </c>
      <c r="D14" s="36"/>
      <c r="E14" s="37" t="s">
        <v>232</v>
      </c>
      <c r="F14" s="36"/>
      <c r="G14" s="36"/>
      <c r="H14" s="36"/>
      <c r="I14" s="37" t="s">
        <v>233</v>
      </c>
      <c r="J14" s="36"/>
      <c r="K14" s="37" t="s">
        <v>233</v>
      </c>
    </row>
    <row r="15" spans="1:11">
      <c r="A15" s="291"/>
      <c r="B15" s="36"/>
      <c r="C15" s="37" t="s">
        <v>234</v>
      </c>
      <c r="D15" s="36"/>
      <c r="E15" s="37" t="s">
        <v>234</v>
      </c>
      <c r="F15" s="36"/>
      <c r="G15" s="36"/>
      <c r="H15" s="36"/>
      <c r="I15" s="37" t="s">
        <v>231</v>
      </c>
      <c r="J15" s="36"/>
      <c r="K15" s="37" t="s">
        <v>232</v>
      </c>
    </row>
    <row r="16" spans="1:11">
      <c r="A16" s="291"/>
      <c r="B16" s="36"/>
      <c r="C16" s="37" t="s">
        <v>235</v>
      </c>
      <c r="D16" s="36"/>
      <c r="E16" s="37" t="s">
        <v>1511</v>
      </c>
      <c r="F16" s="36"/>
      <c r="G16" s="38" t="s">
        <v>228</v>
      </c>
      <c r="H16" s="36"/>
      <c r="I16" s="37" t="s">
        <v>236</v>
      </c>
      <c r="J16" s="36"/>
      <c r="K16" s="37" t="s">
        <v>236</v>
      </c>
    </row>
    <row r="17" spans="1:13">
      <c r="A17" s="39"/>
      <c r="B17" s="30"/>
      <c r="C17" s="1001"/>
      <c r="D17" s="30"/>
      <c r="E17" s="1001"/>
      <c r="F17" s="30"/>
      <c r="G17" s="1001"/>
      <c r="H17" s="30"/>
      <c r="I17" s="1001"/>
      <c r="J17" s="30"/>
      <c r="K17" s="1001"/>
    </row>
    <row r="18" spans="1:13">
      <c r="A18" s="3" t="s">
        <v>114</v>
      </c>
      <c r="B18" s="256"/>
      <c r="C18" s="256"/>
      <c r="D18" s="256"/>
      <c r="E18" s="256"/>
      <c r="F18" s="256"/>
      <c r="G18" s="256"/>
      <c r="H18" s="256"/>
      <c r="I18" s="256"/>
      <c r="J18" s="256"/>
      <c r="K18" s="256"/>
    </row>
    <row r="19" spans="1:13" ht="15" customHeight="1">
      <c r="A19" s="350" t="s">
        <v>237</v>
      </c>
      <c r="B19" s="378" t="s">
        <v>103</v>
      </c>
      <c r="C19" s="679"/>
      <c r="D19" s="378"/>
      <c r="E19" s="679"/>
      <c r="F19" s="378"/>
      <c r="G19" s="379"/>
      <c r="H19" s="378"/>
      <c r="I19" s="379"/>
      <c r="J19" s="378"/>
      <c r="K19" s="379"/>
    </row>
    <row r="20" spans="1:13">
      <c r="A20" s="350" t="s">
        <v>238</v>
      </c>
      <c r="B20" s="378" t="s">
        <v>103</v>
      </c>
      <c r="C20" s="274">
        <f>'Exh D General Fund'!C20+'Exh D Special Revenue'!C20+'Exh D Debt Service'!C20</f>
        <v>24768</v>
      </c>
      <c r="D20" s="276"/>
      <c r="E20" s="274">
        <f>+'Exh D General Fund'!E20+'Exh D Special Revenue'!E20+'Exh D Debt Service'!E20</f>
        <v>24768</v>
      </c>
      <c r="F20" s="276"/>
      <c r="G20" s="274">
        <f>+'Exh D General Fund'!G20+'Exh D Special Revenue'!G20+'Exh D Debt Service'!G20</f>
        <v>25669</v>
      </c>
      <c r="H20" s="276"/>
      <c r="I20" s="274">
        <f>G20-C20</f>
        <v>901</v>
      </c>
      <c r="J20" s="276"/>
      <c r="K20" s="274">
        <f>G20-E20</f>
        <v>901</v>
      </c>
      <c r="M20" s="425"/>
    </row>
    <row r="21" spans="1:13">
      <c r="A21" s="350" t="s">
        <v>239</v>
      </c>
      <c r="B21" s="256" t="s">
        <v>103</v>
      </c>
      <c r="C21" s="264">
        <f>+'Exh D General Fund'!C21+'Exh D Debt Service'!C21+'Exh D Special Revenue'!C21+'Exh D Capital Projects'!C20</f>
        <v>7976</v>
      </c>
      <c r="D21" s="264"/>
      <c r="E21" s="264">
        <f>+'Exh D General Fund'!E21+'Exh D Special Revenue'!E21+'Exh D Debt Service'!E21+'Exh D Capital Projects'!E20</f>
        <v>7976</v>
      </c>
      <c r="F21" s="264"/>
      <c r="G21" s="264">
        <f>+'Exh D General Fund'!G21+'Exh D Special Revenue'!G21+'Exh D Debt Service'!G21+'Exh D Capital Projects'!G20</f>
        <v>8271.5</v>
      </c>
      <c r="H21" s="264"/>
      <c r="I21" s="264">
        <f t="shared" ref="I21:I25" si="0">G21-C21</f>
        <v>295.5</v>
      </c>
      <c r="J21" s="264"/>
      <c r="K21" s="264">
        <f>G21-E21</f>
        <v>295.5</v>
      </c>
      <c r="M21" s="425"/>
    </row>
    <row r="22" spans="1:13" ht="15" customHeight="1">
      <c r="A22" s="350" t="s">
        <v>240</v>
      </c>
      <c r="B22" s="378" t="s">
        <v>103</v>
      </c>
      <c r="C22" s="264">
        <f>+'Exh D General Fund'!C22+'Exh D Special Revenue'!C22+'Exh D Capital Projects'!C21+'Exh D Debt Service'!C22</f>
        <v>8008</v>
      </c>
      <c r="D22" s="287"/>
      <c r="E22" s="264">
        <f>+'Exh D General Fund'!E22+'Exh D Special Revenue'!E22+'Exh D Capital Projects'!E21+'Exh D Debt Service'!E22</f>
        <v>8008</v>
      </c>
      <c r="F22" s="287"/>
      <c r="G22" s="264">
        <f>+'Exh D General Fund'!G22+'Exh D Special Revenue'!G22+'Exh D Capital Projects'!G21+'Exh D Debt Service'!G22</f>
        <v>9716.2000000000007</v>
      </c>
      <c r="H22" s="287"/>
      <c r="I22" s="264">
        <f t="shared" si="0"/>
        <v>1708.2000000000007</v>
      </c>
      <c r="J22" s="287"/>
      <c r="K22" s="264">
        <f t="shared" ref="K22:K25" si="1">G22-E22</f>
        <v>1708.2000000000007</v>
      </c>
      <c r="M22" s="425"/>
    </row>
    <row r="23" spans="1:13" ht="14.25" customHeight="1">
      <c r="A23" s="350" t="s">
        <v>241</v>
      </c>
      <c r="B23" s="256" t="s">
        <v>103</v>
      </c>
      <c r="C23" s="264">
        <f>+'Exh D General Fund'!C23+'Exh D Capital Projects'!C22+'Exh D Debt Service'!C23</f>
        <v>1003</v>
      </c>
      <c r="D23" s="264"/>
      <c r="E23" s="264">
        <f>+'Exh D General Fund'!E23+'Exh D Debt Service'!E23+'Exh D Capital Projects'!E22</f>
        <v>1003</v>
      </c>
      <c r="F23" s="264"/>
      <c r="G23" s="264">
        <f>+'Exh D General Fund'!G23+'Exh D Debt Service'!G23+'Exh D Capital Projects'!G22</f>
        <v>1137.3</v>
      </c>
      <c r="H23" s="264"/>
      <c r="I23" s="264">
        <f t="shared" si="0"/>
        <v>134.29999999999995</v>
      </c>
      <c r="J23" s="264"/>
      <c r="K23" s="264">
        <f t="shared" si="1"/>
        <v>134.29999999999995</v>
      </c>
      <c r="L23" s="425"/>
      <c r="M23" s="425"/>
    </row>
    <row r="24" spans="1:13">
      <c r="A24" s="350" t="s">
        <v>119</v>
      </c>
      <c r="B24" s="256" t="s">
        <v>103</v>
      </c>
      <c r="C24" s="264">
        <f>+'Exh D General Fund'!C24+'Exh D Special Revenue'!C23+'Exh D Debt Service'!C24+'Exh D Capital Projects'!C23</f>
        <v>13975</v>
      </c>
      <c r="D24" s="264"/>
      <c r="E24" s="264">
        <f>+'Exh D General Fund'!E24+'Exh D Special Revenue'!E23+'Exh D Debt Service'!E24+'Exh D Capital Projects'!E23</f>
        <v>13975</v>
      </c>
      <c r="F24" s="264"/>
      <c r="G24" s="264">
        <f>+'Exh D General Fund'!G24+'Exh D Special Revenue'!G23+'Exh D Debt Service'!G24+'Exh D Capital Projects'!G23</f>
        <v>14712.099999999999</v>
      </c>
      <c r="H24" s="264"/>
      <c r="I24" s="264">
        <f t="shared" si="0"/>
        <v>737.09999999999854</v>
      </c>
      <c r="J24" s="264"/>
      <c r="K24" s="264">
        <f t="shared" si="1"/>
        <v>737.09999999999854</v>
      </c>
      <c r="M24" s="425"/>
    </row>
    <row r="25" spans="1:13" ht="15" customHeight="1">
      <c r="A25" s="350" t="s">
        <v>120</v>
      </c>
      <c r="B25" s="256" t="s">
        <v>103</v>
      </c>
      <c r="C25" s="288">
        <f>+'Exh D General Fund'!C25+'Exh D Debt Service'!C25+'Exh D Special Revenue'!C24+'Exh D Capital Projects'!C24</f>
        <v>34726</v>
      </c>
      <c r="D25" s="264"/>
      <c r="E25" s="288">
        <f>+'Exh D General Fund'!E25+'Exh D Special Revenue'!E24+'Exh D Debt Service'!E25+'Exh D Capital Projects'!E24</f>
        <v>34726</v>
      </c>
      <c r="F25" s="264"/>
      <c r="G25" s="288">
        <f>+'Exh D General Fund'!G25+'Exh D Special Revenue'!G24+'Exh D Debt Service'!G25+'Exh D Capital Projects'!G24</f>
        <v>38874.499999999993</v>
      </c>
      <c r="H25" s="264"/>
      <c r="I25" s="264">
        <f t="shared" si="0"/>
        <v>4148.4999999999927</v>
      </c>
      <c r="J25" s="264"/>
      <c r="K25" s="264">
        <f t="shared" si="1"/>
        <v>4148.4999999999927</v>
      </c>
      <c r="M25" s="425"/>
    </row>
    <row r="26" spans="1:13">
      <c r="A26" s="1211" t="s">
        <v>242</v>
      </c>
      <c r="B26" s="36" t="s">
        <v>103</v>
      </c>
      <c r="C26" s="617">
        <f>ROUND(SUM(C20:C25),1)</f>
        <v>90456</v>
      </c>
      <c r="D26" s="13"/>
      <c r="E26" s="617">
        <f>ROUND(SUM(E20:E25),1)</f>
        <v>90456</v>
      </c>
      <c r="F26" s="13"/>
      <c r="G26" s="617">
        <f>ROUND(SUM(G20:G25),1)</f>
        <v>98380.6</v>
      </c>
      <c r="H26" s="13"/>
      <c r="I26" s="617">
        <f>ROUND(SUM(I20:I25),1)</f>
        <v>7924.6</v>
      </c>
      <c r="J26" s="13"/>
      <c r="K26" s="617">
        <f>ROUND(SUM(K20:K25),1)</f>
        <v>7924.6</v>
      </c>
      <c r="M26" s="425"/>
    </row>
    <row r="27" spans="1:13">
      <c r="A27" s="291"/>
      <c r="B27" s="256" t="s">
        <v>103</v>
      </c>
      <c r="C27" s="615"/>
      <c r="D27" s="264"/>
      <c r="E27" s="615"/>
      <c r="F27" s="264"/>
      <c r="G27" s="615"/>
      <c r="H27" s="264"/>
      <c r="I27" s="615"/>
      <c r="J27" s="264"/>
      <c r="K27" s="615"/>
      <c r="M27" s="425"/>
    </row>
    <row r="28" spans="1:13">
      <c r="A28" s="3" t="s">
        <v>122</v>
      </c>
      <c r="B28" s="256" t="s">
        <v>103</v>
      </c>
      <c r="C28" s="264"/>
      <c r="D28" s="264"/>
      <c r="E28" s="264"/>
      <c r="F28" s="264"/>
      <c r="G28" s="264"/>
      <c r="H28" s="264"/>
      <c r="I28" s="264"/>
      <c r="J28" s="264"/>
      <c r="K28" s="264"/>
      <c r="M28" s="425"/>
    </row>
    <row r="29" spans="1:13">
      <c r="A29" s="350" t="s">
        <v>243</v>
      </c>
      <c r="B29" s="256" t="s">
        <v>103</v>
      </c>
      <c r="C29" s="288">
        <f>+'Exh D General Fund'!C34+'Exh D Special Revenue'!C29+'Exh D Capital Projects'!C30</f>
        <v>68644</v>
      </c>
      <c r="D29" s="264"/>
      <c r="E29" s="288">
        <f>+'Exh D General Fund'!E34+'Exh D Special Revenue'!E29+'Exh D Capital Projects'!E30</f>
        <v>68644</v>
      </c>
      <c r="F29" s="264"/>
      <c r="G29" s="288">
        <f>+'Exh D General Fund'!G34+'Exh D Special Revenue'!G29+'Exh D Capital Projects'!G30</f>
        <v>67379.399999999994</v>
      </c>
      <c r="H29" s="264"/>
      <c r="I29" s="264">
        <f t="shared" ref="I29:I33" si="2">G29-C29</f>
        <v>-1264.6000000000058</v>
      </c>
      <c r="J29" s="264"/>
      <c r="K29" s="264">
        <f>G29-E29</f>
        <v>-1264.6000000000058</v>
      </c>
      <c r="M29" s="425"/>
    </row>
    <row r="30" spans="1:13">
      <c r="A30" s="350" t="s">
        <v>244</v>
      </c>
      <c r="B30" s="256" t="s">
        <v>103</v>
      </c>
      <c r="C30" s="287">
        <f>+'Exh D General Fund'!C35+'Exh D Special Revenue'!C30+'Exh D Debt Service'!C30</f>
        <v>9568</v>
      </c>
      <c r="D30" s="264"/>
      <c r="E30" s="287">
        <f>+'Exh D General Fund'!E35+'Exh D Special Revenue'!E30+'Exh D Debt Service'!E30</f>
        <v>9568</v>
      </c>
      <c r="F30" s="264"/>
      <c r="G30" s="287">
        <f>+'Exh D General Fund'!G35+'Exh D Special Revenue'!G30+'Exh D Debt Service'!G30</f>
        <v>9722.2000000000007</v>
      </c>
      <c r="H30" s="264"/>
      <c r="I30" s="264">
        <f t="shared" si="2"/>
        <v>154.20000000000073</v>
      </c>
      <c r="J30" s="264"/>
      <c r="K30" s="264">
        <f t="shared" ref="K30:K33" si="3">G30-E30</f>
        <v>154.20000000000073</v>
      </c>
      <c r="M30" s="425"/>
    </row>
    <row r="31" spans="1:13">
      <c r="A31" s="350" t="s">
        <v>209</v>
      </c>
      <c r="B31" s="256" t="s">
        <v>103</v>
      </c>
      <c r="C31" s="288">
        <f>+'Exh D General Fund'!C36+'Exh D Special Revenue'!C31</f>
        <v>3732</v>
      </c>
      <c r="D31" s="264"/>
      <c r="E31" s="288">
        <f>+'Exh D General Fund'!E36+'Exh D Special Revenue'!E31</f>
        <v>3732</v>
      </c>
      <c r="F31" s="264"/>
      <c r="G31" s="288">
        <f>+'Exh D General Fund'!G36+'Exh D Special Revenue'!G31</f>
        <v>3722.3999999999996</v>
      </c>
      <c r="H31" s="264"/>
      <c r="I31" s="264">
        <f t="shared" si="2"/>
        <v>-9.6000000000003638</v>
      </c>
      <c r="J31" s="264"/>
      <c r="K31" s="264">
        <f t="shared" si="3"/>
        <v>-9.6000000000003638</v>
      </c>
      <c r="M31" s="425"/>
    </row>
    <row r="32" spans="1:13">
      <c r="A32" s="350" t="s">
        <v>245</v>
      </c>
      <c r="B32" s="256" t="s">
        <v>103</v>
      </c>
      <c r="C32" s="287">
        <f>+'Exh D Debt Service'!C31+'Exh D Special Revenue'!C32</f>
        <v>15</v>
      </c>
      <c r="D32" s="264"/>
      <c r="E32" s="287">
        <f>+'Exh D Debt Service'!E31+'Exh D Special Revenue'!E32</f>
        <v>15</v>
      </c>
      <c r="F32" s="264"/>
      <c r="G32" s="287">
        <f>+'Exh D Debt Service'!G31+'Exh D Special Revenue'!K32</f>
        <v>15</v>
      </c>
      <c r="H32" s="264"/>
      <c r="I32" s="264">
        <f t="shared" si="2"/>
        <v>0</v>
      </c>
      <c r="J32" s="264"/>
      <c r="K32" s="264">
        <f t="shared" si="3"/>
        <v>0</v>
      </c>
      <c r="M32" s="425"/>
    </row>
    <row r="33" spans="1:14" ht="15" customHeight="1">
      <c r="A33" s="350" t="s">
        <v>140</v>
      </c>
      <c r="B33" s="256" t="s">
        <v>103</v>
      </c>
      <c r="C33" s="288">
        <f>+'Exh D Special Revenue'!C33+'Exh D Capital Projects'!C31</f>
        <v>3594</v>
      </c>
      <c r="D33" s="264"/>
      <c r="E33" s="288">
        <f>+'Exh D Special Revenue'!E33+'Exh D Capital Projects'!E31</f>
        <v>3594</v>
      </c>
      <c r="F33" s="264"/>
      <c r="G33" s="288">
        <f>+'Exh D Special Revenue'!G33+'Exh D Capital Projects'!G31</f>
        <v>3222.6</v>
      </c>
      <c r="H33" s="264"/>
      <c r="I33" s="264">
        <f t="shared" si="2"/>
        <v>-371.40000000000009</v>
      </c>
      <c r="J33" s="264"/>
      <c r="K33" s="264">
        <f t="shared" si="3"/>
        <v>-371.40000000000009</v>
      </c>
      <c r="M33" s="425"/>
    </row>
    <row r="34" spans="1:14" ht="15.75" customHeight="1">
      <c r="A34" s="1211" t="s">
        <v>246</v>
      </c>
      <c r="B34" s="36" t="s">
        <v>103</v>
      </c>
      <c r="C34" s="616">
        <f>ROUND(SUM(C29:C33),1)</f>
        <v>85553</v>
      </c>
      <c r="D34" s="13"/>
      <c r="E34" s="616">
        <f>ROUND(SUM(E29:E33),1)</f>
        <v>85553</v>
      </c>
      <c r="F34" s="13"/>
      <c r="G34" s="616">
        <f>ROUND(SUM(G29:G33),1)</f>
        <v>84061.6</v>
      </c>
      <c r="H34" s="13"/>
      <c r="I34" s="616">
        <f>ROUND(SUM(I29:I33),1)</f>
        <v>-1491.4</v>
      </c>
      <c r="J34" s="13"/>
      <c r="K34" s="616">
        <f>ROUND(SUM(K29:K33),1)</f>
        <v>-1491.4</v>
      </c>
      <c r="M34" s="425"/>
    </row>
    <row r="35" spans="1:14">
      <c r="A35" s="291"/>
      <c r="B35" s="256"/>
      <c r="C35" s="264"/>
      <c r="D35" s="264"/>
      <c r="E35" s="264"/>
      <c r="F35" s="264"/>
      <c r="G35" s="264"/>
      <c r="H35" s="264"/>
      <c r="I35" s="264"/>
      <c r="J35" s="264"/>
      <c r="K35" s="264"/>
      <c r="M35" s="425"/>
    </row>
    <row r="36" spans="1:14">
      <c r="A36" s="1211" t="s">
        <v>143</v>
      </c>
      <c r="B36" s="256"/>
      <c r="C36" s="264"/>
      <c r="D36" s="264"/>
      <c r="E36" s="264"/>
      <c r="F36" s="264"/>
      <c r="G36" s="264"/>
      <c r="H36" s="264"/>
      <c r="I36" s="264"/>
      <c r="J36" s="264"/>
      <c r="K36" s="264"/>
      <c r="M36" s="425"/>
    </row>
    <row r="37" spans="1:14">
      <c r="A37" s="1211" t="s">
        <v>144</v>
      </c>
      <c r="B37" s="256" t="s">
        <v>103</v>
      </c>
      <c r="C37" s="357">
        <f>ROUND(SUM(+C26-C34),1)</f>
        <v>4903</v>
      </c>
      <c r="D37" s="264"/>
      <c r="E37" s="357">
        <f>ROUND(SUM(+E26-E34),1)</f>
        <v>4903</v>
      </c>
      <c r="F37" s="264"/>
      <c r="G37" s="357">
        <f>ROUND(SUM(+G26-G34),1)</f>
        <v>14319</v>
      </c>
      <c r="H37" s="264"/>
      <c r="I37" s="357">
        <f>ROUND(SUM(+I26-I34),1)</f>
        <v>9416</v>
      </c>
      <c r="J37" s="264"/>
      <c r="K37" s="357">
        <f>ROUND(SUM(+K26-K34),1)</f>
        <v>9416</v>
      </c>
      <c r="M37" s="425"/>
    </row>
    <row r="38" spans="1:14">
      <c r="A38" s="291"/>
      <c r="B38" s="256"/>
      <c r="C38" s="264"/>
      <c r="D38" s="264"/>
      <c r="E38" s="264"/>
      <c r="F38" s="264"/>
      <c r="G38" s="264"/>
      <c r="H38" s="264"/>
      <c r="I38" s="264"/>
      <c r="J38" s="264"/>
      <c r="K38" s="264"/>
      <c r="M38" s="425"/>
    </row>
    <row r="39" spans="1:14">
      <c r="A39" s="1211" t="s">
        <v>145</v>
      </c>
      <c r="B39" s="256"/>
      <c r="C39" s="264"/>
      <c r="D39" s="264"/>
      <c r="E39" s="264"/>
      <c r="F39" s="264"/>
      <c r="G39" s="264"/>
      <c r="H39" s="264"/>
      <c r="I39" s="264"/>
      <c r="J39" s="264"/>
      <c r="K39" s="264"/>
      <c r="M39" s="425"/>
      <c r="N39" s="291" t="s">
        <v>103</v>
      </c>
    </row>
    <row r="40" spans="1:14">
      <c r="A40" s="350" t="s">
        <v>247</v>
      </c>
      <c r="B40" s="256" t="s">
        <v>103</v>
      </c>
      <c r="C40" s="289">
        <f>'Exh D Captl Projects State Fed'!C25</f>
        <v>0</v>
      </c>
      <c r="D40" s="264"/>
      <c r="E40" s="289">
        <f>'Exh D Captl Projects State Fed'!E25</f>
        <v>0</v>
      </c>
      <c r="F40" s="264"/>
      <c r="G40" s="289">
        <f>'Exh D Captl Projects State Fed'!G25</f>
        <v>0</v>
      </c>
      <c r="H40" s="264"/>
      <c r="I40" s="264">
        <f t="shared" ref="I40:I42" si="4">G40-C40</f>
        <v>0</v>
      </c>
      <c r="J40" s="264"/>
      <c r="K40" s="264">
        <f>G40-E40</f>
        <v>0</v>
      </c>
      <c r="M40" s="425"/>
    </row>
    <row r="41" spans="1:14">
      <c r="A41" s="350" t="s">
        <v>147</v>
      </c>
      <c r="B41" s="256" t="s">
        <v>103</v>
      </c>
      <c r="C41" s="287">
        <f>+'Exh D General Fund'!C27+'Exh D General Fund'!C28+'Exh D General Fund'!C29+'Exh D General Fund'!C30+'Exh D Special Revenue'!C25+'Exh D Debt Service'!C26+'Exh D Capital Projects'!C26</f>
        <v>22905</v>
      </c>
      <c r="D41" s="264"/>
      <c r="E41" s="287">
        <f>+'Exh D General Fund'!E27+'Exh D General Fund'!E28+'Exh D General Fund'!E29+'Exh D General Fund'!E30+'Exh D Special Revenue'!E25+'Exh D Debt Service'!E26+'Exh D Capital Projects'!E26</f>
        <v>22905</v>
      </c>
      <c r="F41" s="264"/>
      <c r="G41" s="287">
        <f>+'Exh D General Fund'!G27+'Exh D General Fund'!G28+'Exh D General Fund'!G29+'Exh D General Fund'!G30+'Exh D Special Revenue'!K25+'Exh D Debt Service'!G26+'Exh D Capital Projects'!G26</f>
        <v>23984.2</v>
      </c>
      <c r="H41" s="264"/>
      <c r="I41" s="264">
        <f t="shared" si="4"/>
        <v>1079.2000000000007</v>
      </c>
      <c r="J41" s="264"/>
      <c r="K41" s="264">
        <f>G41-E41</f>
        <v>1079.2000000000007</v>
      </c>
      <c r="M41" s="425"/>
    </row>
    <row r="42" spans="1:14">
      <c r="A42" s="350" t="s">
        <v>248</v>
      </c>
      <c r="B42" s="256" t="s">
        <v>103</v>
      </c>
      <c r="C42" s="381">
        <f>-(+'Exh D General Fund'!C38+'Exh D General Fund'!C39+'Exh D General Fund'!C40+'Exh D General Fund'!C41+'Exh D General Fund'!C42+'Exh D Special Revenue'!C34+'Exh D Debt Service'!C32+'Exh D Capital Projects'!C32)</f>
        <v>-22944</v>
      </c>
      <c r="D42" s="264"/>
      <c r="E42" s="381">
        <f>-(+'Exh D General Fund'!E38+'Exh D General Fund'!E39+'Exh D General Fund'!E40+'Exh D General Fund'!E41+'Exh D General Fund'!E42+'Exh D Special Revenue'!E34+'Exh D Debt Service'!E32+'Exh D Capital Projects'!E32)</f>
        <v>-22944</v>
      </c>
      <c r="F42" s="264"/>
      <c r="G42" s="381">
        <f>-(+'Exh D General Fund'!G38+'Exh D General Fund'!G39+'Exh D General Fund'!G40+'Exh D General Fund'!G41+'Exh D General Fund'!G42+'Exh D Special Revenue'!K34+'Exh D Debt Service'!G32+'Exh D Capital Projects'!G32)</f>
        <v>-24023.200000000001</v>
      </c>
      <c r="H42" s="264"/>
      <c r="I42" s="264">
        <f t="shared" si="4"/>
        <v>-1079.2000000000007</v>
      </c>
      <c r="J42" s="264"/>
      <c r="K42" s="264">
        <f>G42-E42</f>
        <v>-1079.2000000000007</v>
      </c>
      <c r="M42" s="425"/>
    </row>
    <row r="43" spans="1:14">
      <c r="A43" s="1211" t="s">
        <v>249</v>
      </c>
      <c r="B43" s="256" t="s">
        <v>103</v>
      </c>
      <c r="C43" s="980">
        <f>ROUND(+SUM(C40)+C41+C42,1)</f>
        <v>-39</v>
      </c>
      <c r="D43" s="264"/>
      <c r="E43" s="980">
        <f>ROUND(+SUM(E40)+E41+E42,1)</f>
        <v>-39</v>
      </c>
      <c r="F43" s="264"/>
      <c r="G43" s="980">
        <f>ROUND(+SUM(G40)+G41+G42,1)</f>
        <v>-39</v>
      </c>
      <c r="H43" s="264"/>
      <c r="I43" s="993">
        <f>I40+I41+I42</f>
        <v>0</v>
      </c>
      <c r="J43" s="264"/>
      <c r="K43" s="993">
        <f>ROUND(SUM(K40+K41+K42),1)</f>
        <v>0</v>
      </c>
      <c r="M43" s="425"/>
    </row>
    <row r="44" spans="1:14">
      <c r="A44" s="1211"/>
      <c r="B44" s="256"/>
      <c r="C44" s="287"/>
      <c r="D44" s="264"/>
      <c r="E44" s="287"/>
      <c r="F44" s="264"/>
      <c r="G44" s="287"/>
      <c r="H44" s="264"/>
      <c r="I44" s="287"/>
      <c r="J44" s="264"/>
      <c r="K44" s="287"/>
      <c r="M44" s="425"/>
    </row>
    <row r="45" spans="1:14">
      <c r="A45" s="3" t="s">
        <v>250</v>
      </c>
      <c r="B45" s="256"/>
      <c r="C45" s="264"/>
      <c r="D45" s="264"/>
      <c r="E45" s="264"/>
      <c r="F45" s="264"/>
      <c r="G45" s="264"/>
      <c r="H45" s="264"/>
      <c r="I45" s="264"/>
      <c r="J45" s="264"/>
      <c r="K45" s="264"/>
      <c r="M45" s="425"/>
    </row>
    <row r="46" spans="1:14" ht="15" customHeight="1">
      <c r="A46" s="3" t="s">
        <v>251</v>
      </c>
      <c r="B46" s="256"/>
      <c r="C46" s="264"/>
      <c r="D46" s="264"/>
      <c r="E46" s="264"/>
      <c r="F46" s="264"/>
      <c r="G46" s="264"/>
      <c r="H46" s="264"/>
      <c r="I46" s="264"/>
      <c r="J46" s="264"/>
      <c r="K46" s="264"/>
      <c r="M46" s="425"/>
    </row>
    <row r="47" spans="1:14">
      <c r="A47" s="1211" t="s">
        <v>252</v>
      </c>
      <c r="B47" s="42" t="s">
        <v>103</v>
      </c>
      <c r="C47" s="13">
        <f>ROUND(SUM(C26)-SUM(C34)+C43,1)</f>
        <v>4864</v>
      </c>
      <c r="D47" s="18"/>
      <c r="E47" s="13">
        <f>ROUND(SUM(E26)-SUM(E34)+E43,1)</f>
        <v>4864</v>
      </c>
      <c r="F47" s="18"/>
      <c r="G47" s="13">
        <f>ROUND(SUM(G26)-SUM(G34)+G43,1)</f>
        <v>14280</v>
      </c>
      <c r="H47" s="18"/>
      <c r="I47" s="13">
        <f>ROUND(SUM(I26)-SUM(I34)+I43,1)</f>
        <v>9416</v>
      </c>
      <c r="J47" s="18"/>
      <c r="K47" s="13">
        <f>ROUND(SUM(K26)-SUM(K34)+K43,1)</f>
        <v>9416</v>
      </c>
      <c r="M47" s="425"/>
    </row>
    <row r="48" spans="1:14">
      <c r="A48" s="291"/>
      <c r="B48" s="256"/>
      <c r="C48" s="264"/>
      <c r="D48" s="264"/>
      <c r="E48" s="264"/>
      <c r="F48" s="264"/>
      <c r="G48" s="264"/>
      <c r="H48" s="264"/>
      <c r="I48" s="13" t="s">
        <v>103</v>
      </c>
      <c r="J48" s="264"/>
      <c r="K48" s="13" t="s">
        <v>103</v>
      </c>
      <c r="M48" s="425"/>
    </row>
    <row r="49" spans="1:13">
      <c r="A49" s="1211" t="s">
        <v>253</v>
      </c>
      <c r="B49" s="384" t="s">
        <v>103</v>
      </c>
      <c r="C49" s="13">
        <f>'Exh D General Fund'!C49+'Exh D Special Revenue'!C41+'Exh D Debt Service'!C39+'Exh D Capital Projects'!C39</f>
        <v>75008</v>
      </c>
      <c r="D49" s="264"/>
      <c r="E49" s="13">
        <f>'Exh D General Fund'!E49+'Exh D Special Revenue'!E41+'Exh D Debt Service'!E39+'Exh D Capital Projects'!E39</f>
        <v>75008</v>
      </c>
      <c r="F49" s="264"/>
      <c r="G49" s="13">
        <f>'Exh D General Fund'!G49+'Exh D Special Revenue'!G41+'Exh D Debt Service'!G39+'Exh D Capital Projects'!G39</f>
        <v>75007.799999999988</v>
      </c>
      <c r="H49" s="264"/>
      <c r="I49" s="13">
        <f t="shared" ref="I49" si="5">G49-C49</f>
        <v>-0.20000000001164153</v>
      </c>
      <c r="J49" s="264"/>
      <c r="K49" s="13">
        <f>G49-E49</f>
        <v>-0.20000000001164153</v>
      </c>
      <c r="M49" s="425"/>
    </row>
    <row r="50" spans="1:13" ht="16" thickBot="1">
      <c r="A50" s="1211" t="str">
        <f>"Fund Balances (Deficits) at "&amp;PROPER(_xlfn.TEXTAFTER('Exh D Governmental  '!A6," ",4))</f>
        <v>Fund Balances (Deficits) at July 31, 2026</v>
      </c>
      <c r="B50" s="43" t="s">
        <v>103</v>
      </c>
      <c r="C50" s="673">
        <f>ROUND(SUM(C47:C49),1)</f>
        <v>79872</v>
      </c>
      <c r="D50" s="44"/>
      <c r="E50" s="673">
        <f>ROUND(SUM(E47:E49),1)</f>
        <v>79872</v>
      </c>
      <c r="F50" s="44"/>
      <c r="G50" s="673">
        <f>ROUND(SUM(G47:G49),1)</f>
        <v>89287.8</v>
      </c>
      <c r="H50" s="44"/>
      <c r="I50" s="673">
        <f>ROUND(SUM(I47:I49),1)</f>
        <v>9415.7999999999993</v>
      </c>
      <c r="J50" s="44"/>
      <c r="K50" s="673">
        <f>ROUND(SUM(K47:K49),1)</f>
        <v>9415.7999999999993</v>
      </c>
      <c r="M50" s="425"/>
    </row>
    <row r="51" spans="1:13" ht="16" thickTop="1">
      <c r="A51" s="291"/>
      <c r="B51" s="256"/>
      <c r="C51" s="256"/>
      <c r="D51" s="256"/>
      <c r="E51" s="256"/>
      <c r="F51" s="256"/>
      <c r="G51" s="256"/>
      <c r="H51" s="256"/>
      <c r="I51" s="256"/>
      <c r="J51" s="256"/>
      <c r="K51" s="256"/>
      <c r="M51" s="425"/>
    </row>
    <row r="52" spans="1:13">
      <c r="A52" s="677" t="s">
        <v>1473</v>
      </c>
      <c r="G52" s="425"/>
      <c r="K52" s="425"/>
      <c r="M52" s="425"/>
    </row>
    <row r="53" spans="1:13">
      <c r="A53" s="677" t="s">
        <v>1517</v>
      </c>
      <c r="E53" s="968"/>
      <c r="G53" s="968"/>
      <c r="I53" s="968"/>
      <c r="K53" s="968"/>
    </row>
    <row r="54" spans="1:13">
      <c r="A54" s="677"/>
      <c r="G54" s="12"/>
    </row>
    <row r="55" spans="1:13">
      <c r="A55" s="950"/>
      <c r="G55" s="425"/>
    </row>
    <row r="56" spans="1:13">
      <c r="A56" s="46"/>
    </row>
  </sheetData>
  <mergeCells count="1">
    <mergeCell ref="C11:I11"/>
  </mergeCells>
  <printOptions horizontalCentered="1"/>
  <pageMargins left="0.7" right="0.7" top="0.75" bottom="1" header="0.5" footer="0.25"/>
  <pageSetup scale="62" firstPageNumber="7" orientation="landscape" useFirstPageNumber="1" r:id="rId1"/>
  <headerFooter scaleWithDoc="0" alignWithMargins="0">
    <oddFooter>&amp;C&amp;8&amp;P</oddFooter>
  </headerFooter>
  <customProperties>
    <customPr name="SheetOptions"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A1:N56"/>
  <sheetViews>
    <sheetView showGridLines="0" zoomScale="85" workbookViewId="0"/>
  </sheetViews>
  <sheetFormatPr defaultColWidth="8.84375" defaultRowHeight="15.5"/>
  <cols>
    <col min="1" max="1" width="45.84375" style="23" customWidth="1"/>
    <col min="2" max="2" width="2.4609375" style="23" customWidth="1"/>
    <col min="3" max="3" width="15.07421875" style="23" customWidth="1"/>
    <col min="4" max="4" width="1.84375" style="23" customWidth="1"/>
    <col min="5" max="5" width="15.07421875" style="23" customWidth="1"/>
    <col min="6" max="6" width="1.84375" style="23" customWidth="1"/>
    <col min="7" max="7" width="15.07421875" style="23" customWidth="1"/>
    <col min="8" max="8" width="3.84375" style="23" bestFit="1" customWidth="1"/>
    <col min="9" max="9" width="15.07421875" style="23" customWidth="1"/>
    <col min="10" max="10" width="1.84375" style="23" customWidth="1"/>
    <col min="11" max="11" width="15.07421875" style="23" customWidth="1"/>
    <col min="12" max="16384" width="8.84375" style="23"/>
  </cols>
  <sheetData>
    <row r="1" spans="1:14">
      <c r="A1" s="377" t="s">
        <v>97</v>
      </c>
    </row>
    <row r="2" spans="1:14">
      <c r="A2" s="354"/>
    </row>
    <row r="3" spans="1:14" ht="18" customHeight="1">
      <c r="A3" s="28" t="s">
        <v>98</v>
      </c>
      <c r="B3" s="29"/>
      <c r="C3" s="29"/>
      <c r="D3" s="30"/>
      <c r="E3" s="29"/>
      <c r="F3" s="30"/>
      <c r="G3" s="30"/>
      <c r="H3" s="30"/>
      <c r="I3" s="30"/>
      <c r="J3" s="30"/>
      <c r="K3" s="31" t="s">
        <v>224</v>
      </c>
    </row>
    <row r="4" spans="1:14" ht="18" customHeight="1">
      <c r="A4" s="28" t="s">
        <v>225</v>
      </c>
      <c r="B4" s="29"/>
      <c r="C4" s="29"/>
      <c r="D4" s="30"/>
      <c r="E4" s="29"/>
      <c r="F4" s="30"/>
      <c r="G4" s="30"/>
      <c r="H4" s="30"/>
      <c r="I4" s="31"/>
      <c r="J4" s="30"/>
      <c r="K4" s="353"/>
    </row>
    <row r="5" spans="1:14" ht="18" customHeight="1">
      <c r="A5" s="65" t="str">
        <f>'Exh D Governmental  '!A5</f>
        <v>FISCAL YEAR 2026-2027</v>
      </c>
      <c r="F5" s="30"/>
      <c r="G5" s="32"/>
      <c r="H5" s="30"/>
      <c r="I5" s="353"/>
      <c r="J5" s="30"/>
    </row>
    <row r="6" spans="1:14" ht="18" customHeight="1">
      <c r="A6" s="50" t="str">
        <f>'Exh D Governmental  '!A6</f>
        <v>FOR FOUR MONTHS ENDED JULY 31, 2026</v>
      </c>
      <c r="B6" s="30"/>
      <c r="C6" s="30"/>
      <c r="D6" s="30"/>
      <c r="E6" s="30"/>
      <c r="F6" s="30"/>
      <c r="G6" s="30"/>
      <c r="H6" s="30"/>
      <c r="I6" s="30"/>
      <c r="J6" s="30"/>
      <c r="K6" s="30"/>
    </row>
    <row r="7" spans="1:14" ht="18" customHeight="1">
      <c r="A7" s="50" t="s">
        <v>226</v>
      </c>
      <c r="B7" s="30"/>
      <c r="C7" s="30"/>
      <c r="D7" s="30"/>
      <c r="E7" s="30"/>
      <c r="F7" s="30"/>
      <c r="G7" s="30"/>
      <c r="H7" s="30"/>
      <c r="I7" s="30"/>
      <c r="J7" s="30"/>
      <c r="K7" s="30"/>
    </row>
    <row r="8" spans="1:14" ht="17.5">
      <c r="A8" s="34"/>
      <c r="B8" s="30"/>
      <c r="C8" s="30"/>
      <c r="D8" s="30"/>
      <c r="E8" s="30"/>
      <c r="F8" s="30"/>
      <c r="G8" s="30"/>
      <c r="H8" s="30"/>
      <c r="I8" s="30"/>
      <c r="J8" s="30"/>
      <c r="K8" s="30"/>
    </row>
    <row r="9" spans="1:14">
      <c r="A9" s="35"/>
      <c r="B9" s="30"/>
      <c r="C9" s="30"/>
      <c r="D9" s="30"/>
      <c r="E9" s="30"/>
      <c r="F9" s="30"/>
      <c r="G9" s="30"/>
      <c r="H9" s="30"/>
      <c r="I9" s="30"/>
      <c r="J9" s="30"/>
      <c r="K9" s="30"/>
    </row>
    <row r="10" spans="1:14">
      <c r="A10" s="35"/>
      <c r="B10" s="30"/>
      <c r="C10" s="30"/>
      <c r="D10" s="30"/>
      <c r="E10" s="30"/>
      <c r="F10" s="30"/>
      <c r="G10" s="30"/>
      <c r="H10" s="30"/>
      <c r="I10" s="30"/>
      <c r="J10" s="30"/>
      <c r="K10" s="30"/>
    </row>
    <row r="11" spans="1:14">
      <c r="A11" s="291"/>
      <c r="B11" s="36"/>
      <c r="C11" s="2060" t="s">
        <v>1514</v>
      </c>
      <c r="D11" s="2060"/>
      <c r="E11" s="2060"/>
      <c r="F11" s="2060"/>
      <c r="G11" s="2060"/>
      <c r="H11" s="2060"/>
      <c r="I11" s="2060"/>
      <c r="J11" s="1000"/>
      <c r="K11" s="1218"/>
      <c r="N11"/>
    </row>
    <row r="12" spans="1:14">
      <c r="A12" s="291"/>
      <c r="B12" s="36"/>
      <c r="C12" s="36"/>
      <c r="D12" s="36"/>
      <c r="E12" s="36"/>
      <c r="F12" s="36"/>
      <c r="G12" s="36"/>
      <c r="H12" s="36"/>
      <c r="I12" s="37" t="s">
        <v>228</v>
      </c>
      <c r="J12" s="36"/>
      <c r="K12" s="37" t="s">
        <v>228</v>
      </c>
    </row>
    <row r="13" spans="1:14">
      <c r="A13" s="291"/>
      <c r="B13" s="36"/>
      <c r="C13" s="36"/>
      <c r="D13" s="36"/>
      <c r="E13" s="36"/>
      <c r="F13" s="36"/>
      <c r="G13" s="36"/>
      <c r="H13" s="36"/>
      <c r="I13" s="37" t="s">
        <v>229</v>
      </c>
      <c r="J13" s="36"/>
      <c r="K13" s="37" t="s">
        <v>229</v>
      </c>
    </row>
    <row r="14" spans="1:14">
      <c r="A14" s="291"/>
      <c r="B14" s="36"/>
      <c r="C14" s="38" t="s">
        <v>231</v>
      </c>
      <c r="D14" s="36"/>
      <c r="E14" s="37" t="s">
        <v>232</v>
      </c>
      <c r="F14" s="36"/>
      <c r="G14" s="36"/>
      <c r="H14" s="36"/>
      <c r="I14" s="37" t="s">
        <v>233</v>
      </c>
      <c r="J14" s="36"/>
      <c r="K14" s="37" t="s">
        <v>233</v>
      </c>
    </row>
    <row r="15" spans="1:14">
      <c r="A15" s="291"/>
      <c r="B15" s="36"/>
      <c r="C15" s="37" t="s">
        <v>234</v>
      </c>
      <c r="D15" s="36"/>
      <c r="E15" s="37" t="s">
        <v>234</v>
      </c>
      <c r="F15" s="36"/>
      <c r="G15" s="36"/>
      <c r="H15" s="36"/>
      <c r="I15" s="37" t="s">
        <v>231</v>
      </c>
      <c r="J15" s="36"/>
      <c r="K15" s="37" t="s">
        <v>232</v>
      </c>
    </row>
    <row r="16" spans="1:14">
      <c r="A16" s="291"/>
      <c r="B16" s="36"/>
      <c r="C16" s="37" t="s">
        <v>235</v>
      </c>
      <c r="D16" s="36"/>
      <c r="E16" s="37" t="s">
        <v>1511</v>
      </c>
      <c r="F16" s="36"/>
      <c r="G16" s="38" t="s">
        <v>228</v>
      </c>
      <c r="H16" s="36"/>
      <c r="I16" s="37" t="s">
        <v>236</v>
      </c>
      <c r="J16" s="36"/>
      <c r="K16" s="37" t="s">
        <v>236</v>
      </c>
    </row>
    <row r="17" spans="1:12">
      <c r="A17" s="39"/>
      <c r="B17" s="30"/>
      <c r="C17" s="1001"/>
      <c r="D17" s="30"/>
      <c r="E17" s="1001"/>
      <c r="F17" s="30"/>
      <c r="G17" s="1001"/>
      <c r="H17" s="30"/>
      <c r="I17" s="1001"/>
      <c r="J17" s="30"/>
      <c r="K17" s="1001"/>
    </row>
    <row r="18" spans="1:12">
      <c r="A18" s="3" t="s">
        <v>114</v>
      </c>
      <c r="B18" s="256"/>
      <c r="C18" s="256"/>
      <c r="D18" s="256"/>
      <c r="E18" s="256"/>
      <c r="F18" s="256"/>
      <c r="G18" s="256"/>
      <c r="H18" s="256"/>
      <c r="I18" s="256"/>
      <c r="J18" s="256"/>
      <c r="K18" s="256"/>
    </row>
    <row r="19" spans="1:12" ht="15" customHeight="1">
      <c r="A19" s="350" t="s">
        <v>237</v>
      </c>
      <c r="B19" s="378" t="s">
        <v>103</v>
      </c>
      <c r="C19" s="679"/>
      <c r="D19" s="378"/>
      <c r="E19" s="679"/>
      <c r="F19" s="378"/>
      <c r="G19" s="379"/>
      <c r="H19" s="378"/>
      <c r="I19" s="379"/>
      <c r="J19" s="378"/>
      <c r="K19" s="379"/>
    </row>
    <row r="20" spans="1:12">
      <c r="A20" s="350" t="s">
        <v>238</v>
      </c>
      <c r="B20" s="378" t="s">
        <v>103</v>
      </c>
      <c r="C20" s="274">
        <f>'Exh D General Fund'!C20+'Exh D Special Revenue State Fed'!C20+'Exh D Debt Service'!C20</f>
        <v>24768</v>
      </c>
      <c r="D20" s="276"/>
      <c r="E20" s="274">
        <f>'Exh D General Fund'!E20+'Exh D Special Revenue State Fed'!E20+'Exh D Debt Service'!E20</f>
        <v>24768</v>
      </c>
      <c r="F20" s="276"/>
      <c r="G20" s="274">
        <f>+'Exh A Supp'!T15</f>
        <v>25669</v>
      </c>
      <c r="H20" s="276"/>
      <c r="I20" s="274">
        <f>G20-C20</f>
        <v>901</v>
      </c>
      <c r="J20" s="276"/>
      <c r="K20" s="274">
        <f>G20-E20</f>
        <v>901</v>
      </c>
    </row>
    <row r="21" spans="1:12">
      <c r="A21" s="350" t="s">
        <v>239</v>
      </c>
      <c r="B21" s="256" t="s">
        <v>103</v>
      </c>
      <c r="C21" s="264">
        <f>'Exh D General Fund'!C21+'Exh D Special Revenue State Fed'!C21+'Exh D Debt Service'!C21</f>
        <v>7779</v>
      </c>
      <c r="D21" s="264"/>
      <c r="E21" s="264">
        <f>'Exh D General Fund'!E21+'Exh D Special Revenue State Fed'!E21+'Exh D Debt Service'!E21</f>
        <v>7779</v>
      </c>
      <c r="F21" s="264"/>
      <c r="G21" s="264">
        <f>+'Exh A Supp'!T16</f>
        <v>8074.8</v>
      </c>
      <c r="H21" s="264"/>
      <c r="I21" s="264">
        <f t="shared" ref="I21:I25" si="0">G21-C21</f>
        <v>295.80000000000018</v>
      </c>
      <c r="J21" s="264"/>
      <c r="K21" s="264">
        <f>G21-E21</f>
        <v>295.80000000000018</v>
      </c>
    </row>
    <row r="22" spans="1:12" ht="15" customHeight="1">
      <c r="A22" s="350" t="s">
        <v>240</v>
      </c>
      <c r="B22" s="378" t="s">
        <v>103</v>
      </c>
      <c r="C22" s="264">
        <f>'Exh D General Fund'!C22+'Exh D Special Revenue State Fed'!C22+'Exh D Debt Service'!C22</f>
        <v>7828</v>
      </c>
      <c r="D22" s="287"/>
      <c r="E22" s="264">
        <f>'Exh D General Fund'!E22+'Exh D Special Revenue State Fed'!E22+'Exh D Debt Service'!E22</f>
        <v>7828</v>
      </c>
      <c r="F22" s="287"/>
      <c r="G22" s="264">
        <f>+'Exh A Supp'!T17</f>
        <v>9521.4</v>
      </c>
      <c r="H22" s="287"/>
      <c r="I22" s="264">
        <f t="shared" si="0"/>
        <v>1693.3999999999996</v>
      </c>
      <c r="J22" s="287"/>
      <c r="K22" s="264">
        <f t="shared" ref="K22:K25" si="1">G22-E22</f>
        <v>1693.3999999999996</v>
      </c>
    </row>
    <row r="23" spans="1:12" ht="14.25" customHeight="1">
      <c r="A23" s="350" t="s">
        <v>241</v>
      </c>
      <c r="B23" s="256" t="s">
        <v>103</v>
      </c>
      <c r="C23" s="264">
        <f>'Exh D General Fund'!C23+'Exh D Debt Service'!C23</f>
        <v>951</v>
      </c>
      <c r="D23" s="264"/>
      <c r="E23" s="264">
        <f>'Exh D General Fund'!E23+'Exh D Debt Service'!E23</f>
        <v>951</v>
      </c>
      <c r="F23" s="264"/>
      <c r="G23" s="264">
        <f>+'Exh A Supp'!T18</f>
        <v>1085.8</v>
      </c>
      <c r="H23" s="264"/>
      <c r="I23" s="264">
        <f t="shared" si="0"/>
        <v>134.79999999999995</v>
      </c>
      <c r="J23" s="264"/>
      <c r="K23" s="264">
        <f t="shared" si="1"/>
        <v>134.79999999999995</v>
      </c>
    </row>
    <row r="24" spans="1:12">
      <c r="A24" s="350" t="s">
        <v>119</v>
      </c>
      <c r="B24" s="256" t="s">
        <v>103</v>
      </c>
      <c r="C24" s="264">
        <f>'Exh D General Fund'!C24+'Exh D Special Revenue State Fed'!C23+'Exh D Debt Service'!C24</f>
        <v>10608</v>
      </c>
      <c r="D24" s="264"/>
      <c r="E24" s="264">
        <f>'Exh D General Fund'!E24+'Exh D Special Revenue State Fed'!E23+'Exh D Debt Service'!E24</f>
        <v>10608</v>
      </c>
      <c r="F24" s="264"/>
      <c r="G24" s="264">
        <f>+'Exh A Supp'!T19</f>
        <v>11264.8</v>
      </c>
      <c r="H24" s="264"/>
      <c r="I24" s="264">
        <f t="shared" si="0"/>
        <v>656.79999999999927</v>
      </c>
      <c r="J24" s="264"/>
      <c r="K24" s="264">
        <f t="shared" si="1"/>
        <v>656.79999999999927</v>
      </c>
    </row>
    <row r="25" spans="1:12" ht="15" customHeight="1">
      <c r="A25" s="350" t="s">
        <v>120</v>
      </c>
      <c r="B25" s="256" t="s">
        <v>103</v>
      </c>
      <c r="C25" s="288">
        <f>'Exh D General Fund'!C25+'Exh D Special Revenue State Fed'!C24+'Exh D Debt Service'!C25</f>
        <v>27</v>
      </c>
      <c r="D25" s="264"/>
      <c r="E25" s="288">
        <f>'Exh D General Fund'!E25+'Exh D Special Revenue State Fed'!E24+'Exh D Debt Service'!E25</f>
        <v>27</v>
      </c>
      <c r="F25" s="264"/>
      <c r="G25" s="264">
        <f>+'Exh A Supp'!T20</f>
        <v>29.3</v>
      </c>
      <c r="H25" s="264"/>
      <c r="I25" s="264">
        <f t="shared" si="0"/>
        <v>2.3000000000000007</v>
      </c>
      <c r="J25" s="264"/>
      <c r="K25" s="264">
        <f t="shared" si="1"/>
        <v>2.3000000000000007</v>
      </c>
    </row>
    <row r="26" spans="1:12">
      <c r="A26" s="1211" t="s">
        <v>242</v>
      </c>
      <c r="B26" s="36" t="s">
        <v>103</v>
      </c>
      <c r="C26" s="617">
        <f>ROUND(SUM(C20:C25),1)</f>
        <v>51961</v>
      </c>
      <c r="D26" s="13"/>
      <c r="E26" s="617">
        <f>ROUND(SUM(E20:E25),1)</f>
        <v>51961</v>
      </c>
      <c r="F26" s="13"/>
      <c r="G26" s="617">
        <f>ROUND(SUM(G20:G25),1)</f>
        <v>55645.1</v>
      </c>
      <c r="H26" s="13"/>
      <c r="I26" s="617">
        <f>ROUND(SUM(I20:I25),1)</f>
        <v>3684.1</v>
      </c>
      <c r="J26" s="13"/>
      <c r="K26" s="617">
        <f>ROUND(SUM(K20:K25),1)</f>
        <v>3684.1</v>
      </c>
      <c r="L26" s="12"/>
    </row>
    <row r="27" spans="1:12">
      <c r="A27" s="291"/>
      <c r="B27" s="256" t="s">
        <v>103</v>
      </c>
      <c r="C27" s="615"/>
      <c r="D27" s="264"/>
      <c r="E27" s="615"/>
      <c r="F27" s="264"/>
      <c r="G27" s="615"/>
      <c r="H27" s="264"/>
      <c r="I27" s="615"/>
      <c r="J27" s="264"/>
      <c r="K27" s="615"/>
    </row>
    <row r="28" spans="1:12">
      <c r="A28" s="3" t="s">
        <v>122</v>
      </c>
      <c r="B28" s="256" t="s">
        <v>103</v>
      </c>
      <c r="C28" s="264"/>
      <c r="D28" s="264"/>
      <c r="E28" s="264"/>
      <c r="F28" s="264"/>
      <c r="G28" s="264"/>
      <c r="H28" s="264"/>
      <c r="I28" s="264"/>
      <c r="J28" s="264"/>
      <c r="K28" s="264"/>
    </row>
    <row r="29" spans="1:12">
      <c r="A29" s="350" t="s">
        <v>243</v>
      </c>
      <c r="B29" s="256" t="s">
        <v>103</v>
      </c>
      <c r="C29" s="288">
        <f>'Exh D General Fund'!C34+'Exh D Special Revenue State Fed'!C29</f>
        <v>35970</v>
      </c>
      <c r="D29" s="264"/>
      <c r="E29" s="288">
        <f>'Exh D General Fund'!E34+'Exh D Special Revenue State Fed'!E29</f>
        <v>35970</v>
      </c>
      <c r="F29" s="264"/>
      <c r="G29" s="288">
        <f>+'Exh A Supp'!T35</f>
        <v>33233.9</v>
      </c>
      <c r="H29" s="264"/>
      <c r="I29" s="264">
        <f t="shared" ref="I29:I33" si="2">G29-C29</f>
        <v>-2736.0999999999985</v>
      </c>
      <c r="J29" s="264"/>
      <c r="K29" s="264">
        <f>G29-E29</f>
        <v>-2736.0999999999985</v>
      </c>
      <c r="L29" s="12"/>
    </row>
    <row r="30" spans="1:12">
      <c r="A30" s="350" t="s">
        <v>244</v>
      </c>
      <c r="B30" s="256" t="s">
        <v>103</v>
      </c>
      <c r="C30" s="287">
        <f>'Exh D General Fund'!C35+'Exh D Special Revenue State Fed'!C30+'Exh D Debt Service'!C30</f>
        <v>8879</v>
      </c>
      <c r="D30" s="264"/>
      <c r="E30" s="287">
        <f>'Exh D General Fund'!E35+'Exh D Special Revenue State Fed'!E30+'Exh D Debt Service'!E30</f>
        <v>8879</v>
      </c>
      <c r="F30" s="264"/>
      <c r="G30" s="287">
        <f>+'Exh A Supp'!T37+'Exh A Supp'!T38</f>
        <v>8945.2000000000007</v>
      </c>
      <c r="H30" s="264"/>
      <c r="I30" s="264">
        <f t="shared" si="2"/>
        <v>66.200000000000728</v>
      </c>
      <c r="J30" s="264"/>
      <c r="K30" s="264">
        <f t="shared" ref="K30:K33" si="3">G30-E30</f>
        <v>66.200000000000728</v>
      </c>
      <c r="L30" s="12"/>
    </row>
    <row r="31" spans="1:12">
      <c r="A31" s="350" t="s">
        <v>209</v>
      </c>
      <c r="B31" s="256" t="s">
        <v>103</v>
      </c>
      <c r="C31" s="288">
        <f>'Exh D General Fund'!C36+'Exh D Special Revenue State Fed'!C31</f>
        <v>3652</v>
      </c>
      <c r="D31" s="264"/>
      <c r="E31" s="288">
        <f>'Exh D General Fund'!E36+'Exh D Special Revenue State Fed'!E31</f>
        <v>3652</v>
      </c>
      <c r="F31" s="264"/>
      <c r="G31" s="288">
        <f>+'Exh A Supp'!T39</f>
        <v>3594.9</v>
      </c>
      <c r="H31" s="264"/>
      <c r="I31" s="264">
        <f t="shared" si="2"/>
        <v>-57.099999999999909</v>
      </c>
      <c r="J31" s="264"/>
      <c r="K31" s="264">
        <f t="shared" si="3"/>
        <v>-57.099999999999909</v>
      </c>
      <c r="L31" s="12"/>
    </row>
    <row r="32" spans="1:12">
      <c r="A32" s="350" t="s">
        <v>245</v>
      </c>
      <c r="B32" s="256" t="s">
        <v>103</v>
      </c>
      <c r="C32" s="287">
        <f>'Exh D Debt Service'!C31</f>
        <v>15</v>
      </c>
      <c r="D32" s="264"/>
      <c r="E32" s="287">
        <f>'Exh D Debt Service'!E31</f>
        <v>15</v>
      </c>
      <c r="F32" s="264"/>
      <c r="G32" s="288">
        <f>+'Exh A Supp'!T41</f>
        <v>15</v>
      </c>
      <c r="H32" s="264"/>
      <c r="I32" s="264">
        <f t="shared" si="2"/>
        <v>0</v>
      </c>
      <c r="J32" s="264"/>
      <c r="K32" s="264">
        <f t="shared" si="3"/>
        <v>0</v>
      </c>
      <c r="L32" s="12"/>
    </row>
    <row r="33" spans="1:12">
      <c r="A33" s="350" t="s">
        <v>140</v>
      </c>
      <c r="B33" s="256"/>
      <c r="C33" s="287">
        <f>'Exh D Special Revenue State Fed'!C33</f>
        <v>0</v>
      </c>
      <c r="D33" s="264"/>
      <c r="E33" s="287">
        <f>'Exh D Special Revenue State Fed'!E33</f>
        <v>0</v>
      </c>
      <c r="F33" s="264"/>
      <c r="G33" s="288">
        <f>'Exh D Special Revenue State Fed'!G33</f>
        <v>0</v>
      </c>
      <c r="H33" s="264"/>
      <c r="I33" s="264">
        <f t="shared" si="2"/>
        <v>0</v>
      </c>
      <c r="J33" s="264"/>
      <c r="K33" s="264">
        <f t="shared" si="3"/>
        <v>0</v>
      </c>
      <c r="L33" s="12"/>
    </row>
    <row r="34" spans="1:12" ht="15.75" customHeight="1">
      <c r="A34" s="1211" t="s">
        <v>246</v>
      </c>
      <c r="B34" s="36" t="s">
        <v>103</v>
      </c>
      <c r="C34" s="616">
        <f>ROUND(SUM(C29:C33),1)</f>
        <v>48516</v>
      </c>
      <c r="D34" s="13"/>
      <c r="E34" s="616">
        <f>ROUND(SUM(E29:E33),1)</f>
        <v>48516</v>
      </c>
      <c r="F34" s="13"/>
      <c r="G34" s="616">
        <f>ROUND(SUM(G29:G33),1)</f>
        <v>45789</v>
      </c>
      <c r="H34" s="13"/>
      <c r="I34" s="616">
        <f>ROUND(SUM(I29:I33),1)</f>
        <v>-2727</v>
      </c>
      <c r="J34" s="13"/>
      <c r="K34" s="616">
        <f>ROUND(SUM(K29:K33),1)</f>
        <v>-2727</v>
      </c>
      <c r="L34" s="12"/>
    </row>
    <row r="35" spans="1:12">
      <c r="A35" s="291"/>
      <c r="B35" s="256"/>
      <c r="C35" s="264"/>
      <c r="D35" s="264"/>
      <c r="E35" s="264"/>
      <c r="F35" s="264"/>
      <c r="G35" s="264"/>
      <c r="H35" s="264"/>
      <c r="I35" s="264"/>
      <c r="J35" s="264"/>
      <c r="K35" s="264"/>
      <c r="L35" s="12"/>
    </row>
    <row r="36" spans="1:12">
      <c r="A36" s="1211" t="s">
        <v>143</v>
      </c>
      <c r="B36" s="256"/>
      <c r="C36" s="264"/>
      <c r="D36" s="264"/>
      <c r="E36" s="264"/>
      <c r="F36" s="264"/>
      <c r="G36" s="264"/>
      <c r="H36" s="264"/>
      <c r="I36" s="264"/>
      <c r="J36" s="264"/>
      <c r="K36" s="264"/>
      <c r="L36" s="12"/>
    </row>
    <row r="37" spans="1:12">
      <c r="A37" s="1211" t="s">
        <v>144</v>
      </c>
      <c r="B37" s="256" t="s">
        <v>103</v>
      </c>
      <c r="C37" s="357">
        <f>ROUND(SUM(+C26-C34),1)</f>
        <v>3445</v>
      </c>
      <c r="D37" s="264"/>
      <c r="E37" s="357">
        <f>ROUND(SUM(+E26-E34),1)</f>
        <v>3445</v>
      </c>
      <c r="F37" s="264"/>
      <c r="G37" s="357">
        <f>ROUND(SUM(+G26-G34),1)</f>
        <v>9856.1</v>
      </c>
      <c r="H37" s="264"/>
      <c r="I37" s="357">
        <f>ROUND(SUM(+I26-I34),1)</f>
        <v>6411.1</v>
      </c>
      <c r="J37" s="264"/>
      <c r="K37" s="357">
        <f>ROUND(SUM(+K26-K34),1)</f>
        <v>6411.1</v>
      </c>
      <c r="L37" s="12"/>
    </row>
    <row r="38" spans="1:12">
      <c r="A38" s="291"/>
      <c r="B38" s="256"/>
      <c r="C38" s="264"/>
      <c r="D38" s="264"/>
      <c r="E38" s="264"/>
      <c r="F38" s="264"/>
      <c r="G38" s="264"/>
      <c r="H38" s="264"/>
      <c r="I38" s="264"/>
      <c r="J38" s="264"/>
      <c r="K38" s="264"/>
      <c r="L38" s="12"/>
    </row>
    <row r="39" spans="1:12">
      <c r="A39" s="1211" t="s">
        <v>145</v>
      </c>
      <c r="B39" s="256"/>
      <c r="C39" s="264"/>
      <c r="D39" s="264"/>
      <c r="E39" s="264"/>
      <c r="F39" s="264"/>
      <c r="G39" s="264"/>
      <c r="H39" s="264"/>
      <c r="I39" s="264"/>
      <c r="J39" s="264"/>
      <c r="K39" s="264"/>
      <c r="L39" s="12"/>
    </row>
    <row r="40" spans="1:12">
      <c r="A40" s="350" t="s">
        <v>147</v>
      </c>
      <c r="B40" s="256" t="s">
        <v>103</v>
      </c>
      <c r="C40" s="287">
        <f>'Exh D General Fund'!C27+'Exh D General Fund'!C28+'Exh D General Fund'!C29+'Exh D General Fund'!C30+'Exh D Special Revenue State Fed'!C25+'Exh D Debt Service'!C26</f>
        <v>21822</v>
      </c>
      <c r="D40" s="264"/>
      <c r="E40" s="287">
        <f>'Exh D General Fund'!E27+'Exh D General Fund'!E28+'Exh D General Fund'!E29+'Exh D General Fund'!E30+'Exh D Special Revenue State Fed'!E25+'Exh D Debt Service'!E26</f>
        <v>21822</v>
      </c>
      <c r="F40" s="264"/>
      <c r="G40" s="287">
        <f>+'Exh A Supp'!T49</f>
        <v>23452.5</v>
      </c>
      <c r="H40" s="55" t="s">
        <v>1465</v>
      </c>
      <c r="I40" s="264">
        <f t="shared" ref="I40:I41" si="4">G40-C40</f>
        <v>1630.5</v>
      </c>
      <c r="J40" s="264"/>
      <c r="K40" s="264">
        <f>G40-E40</f>
        <v>1630.5</v>
      </c>
      <c r="L40" s="12"/>
    </row>
    <row r="41" spans="1:12">
      <c r="A41" s="350" t="s">
        <v>248</v>
      </c>
      <c r="B41" s="256" t="s">
        <v>103</v>
      </c>
      <c r="C41" s="381">
        <f>-('Exh D General Fund'!C38+'Exh D General Fund'!C39+'Exh D General Fund'!C40+'Exh D General Fund'!C41+'Exh D General Fund'!C42+'Exh D Special Revenue State Fed'!C34+'Exh D Debt Service'!C32)</f>
        <v>-21781</v>
      </c>
      <c r="D41" s="264"/>
      <c r="E41" s="381">
        <f>-('Exh D General Fund'!E38+'Exh D General Fund'!E39+'Exh D General Fund'!E40+'Exh D General Fund'!E41+'Exh D General Fund'!E42+'Exh D Special Revenue State Fed'!E34+'Exh D Debt Service'!E32)</f>
        <v>-21781</v>
      </c>
      <c r="F41" s="264"/>
      <c r="G41" s="287">
        <f>+'Exh A Supp'!T50</f>
        <v>-22780.400000000001</v>
      </c>
      <c r="H41" s="55" t="s">
        <v>1465</v>
      </c>
      <c r="I41" s="264">
        <f t="shared" si="4"/>
        <v>-999.40000000000146</v>
      </c>
      <c r="J41" s="264"/>
      <c r="K41" s="264">
        <f>G41-E41</f>
        <v>-999.40000000000146</v>
      </c>
      <c r="L41" s="12"/>
    </row>
    <row r="42" spans="1:12">
      <c r="A42" s="1211" t="s">
        <v>249</v>
      </c>
      <c r="B42" s="256" t="s">
        <v>103</v>
      </c>
      <c r="C42" s="616">
        <f>ROUND(SUM(C40:C41),1)</f>
        <v>41</v>
      </c>
      <c r="D42" s="264"/>
      <c r="E42" s="616">
        <f>ROUND(SUM(E40:E41),1)</f>
        <v>41</v>
      </c>
      <c r="F42" s="264"/>
      <c r="G42" s="616">
        <f>ROUND(SUM(G40:G41),1)</f>
        <v>672.1</v>
      </c>
      <c r="H42" s="264"/>
      <c r="I42" s="993">
        <f>I40+I41</f>
        <v>631.09999999999854</v>
      </c>
      <c r="J42" s="264"/>
      <c r="K42" s="993">
        <f>ROUND(SUM(K40+K41),1)</f>
        <v>631.1</v>
      </c>
      <c r="L42" s="12"/>
    </row>
    <row r="43" spans="1:12">
      <c r="A43" s="1211"/>
      <c r="B43" s="256"/>
      <c r="C43" s="287"/>
      <c r="D43" s="264"/>
      <c r="E43" s="287"/>
      <c r="F43" s="264"/>
      <c r="G43" s="287"/>
      <c r="H43" s="264"/>
      <c r="I43" s="287"/>
      <c r="J43" s="264"/>
      <c r="K43" s="287"/>
      <c r="L43" s="12"/>
    </row>
    <row r="44" spans="1:12">
      <c r="A44" s="3" t="s">
        <v>250</v>
      </c>
      <c r="B44" s="256"/>
      <c r="C44" s="264"/>
      <c r="D44" s="264"/>
      <c r="E44" s="264"/>
      <c r="F44" s="264"/>
      <c r="G44" s="264"/>
      <c r="H44" s="264"/>
      <c r="I44" s="264"/>
      <c r="J44" s="264"/>
      <c r="K44" s="264"/>
      <c r="L44" s="12"/>
    </row>
    <row r="45" spans="1:12" ht="15" customHeight="1">
      <c r="A45" s="3" t="s">
        <v>251</v>
      </c>
      <c r="B45" s="256"/>
      <c r="C45" s="264"/>
      <c r="D45" s="264"/>
      <c r="E45" s="264"/>
      <c r="F45" s="264"/>
      <c r="G45" s="264"/>
      <c r="H45" s="264"/>
      <c r="I45" s="264" t="s">
        <v>103</v>
      </c>
      <c r="J45" s="264"/>
      <c r="K45" s="264"/>
      <c r="L45" s="12"/>
    </row>
    <row r="46" spans="1:12">
      <c r="A46" s="1211" t="s">
        <v>252</v>
      </c>
      <c r="B46" s="42" t="s">
        <v>103</v>
      </c>
      <c r="C46" s="13">
        <f>ROUND(SUM(C26)-SUM(C34)+C42,1)</f>
        <v>3486</v>
      </c>
      <c r="D46" s="18"/>
      <c r="E46" s="13">
        <f>ROUND(SUM(E26)-SUM(E34)+E42,1)</f>
        <v>3486</v>
      </c>
      <c r="F46" s="18"/>
      <c r="G46" s="13">
        <f>ROUND(SUM(G26)-SUM(G34)+G42,1)</f>
        <v>10528.2</v>
      </c>
      <c r="H46" s="18"/>
      <c r="I46" s="13">
        <f>ROUND(SUM(I26)-SUM(I34)+I42,1)</f>
        <v>7042.2</v>
      </c>
      <c r="J46" s="18"/>
      <c r="K46" s="13">
        <f>ROUND(SUM(K26)-SUM(K34)+K42,1)</f>
        <v>7042.2</v>
      </c>
      <c r="L46" s="12"/>
    </row>
    <row r="47" spans="1:12">
      <c r="A47" s="291"/>
      <c r="B47" s="256"/>
      <c r="C47" s="264"/>
      <c r="D47" s="264"/>
      <c r="E47" s="264" t="s">
        <v>103</v>
      </c>
      <c r="F47" s="264"/>
      <c r="G47" s="264"/>
      <c r="H47" s="264"/>
      <c r="I47" s="264"/>
      <c r="J47" s="264"/>
      <c r="K47" s="264"/>
      <c r="L47" s="12"/>
    </row>
    <row r="48" spans="1:12">
      <c r="A48" s="1211" t="str">
        <f>'Exh D Governmental  '!A49</f>
        <v>Fund Balances (Deficits) at April 1</v>
      </c>
      <c r="B48" s="384" t="s">
        <v>103</v>
      </c>
      <c r="C48" s="13">
        <f>'Exh D General Fund'!C49+'Exh D Special Revenue State Fed'!C41+'Exh D Debt Service'!C39</f>
        <v>69014</v>
      </c>
      <c r="D48" s="264"/>
      <c r="E48" s="13">
        <f>'Exh D General Fund'!E49+'Exh D Special Revenue State Fed'!E41+'Exh D Debt Service'!E39</f>
        <v>69014</v>
      </c>
      <c r="F48" s="264"/>
      <c r="G48" s="13">
        <f>'Exh A Supp'!T57</f>
        <v>69014.2</v>
      </c>
      <c r="H48" s="264"/>
      <c r="I48" s="13">
        <f t="shared" ref="I48" si="5">G48-C48</f>
        <v>0.19999999999708962</v>
      </c>
      <c r="J48" s="264"/>
      <c r="K48" s="13">
        <f>G48-E48</f>
        <v>0.19999999999708962</v>
      </c>
      <c r="L48" s="12"/>
    </row>
    <row r="49" spans="1:12" ht="16" thickBot="1">
      <c r="A49" s="1211" t="str">
        <f>'Exh D Governmental  '!A50</f>
        <v>Fund Balances (Deficits) at July 31, 2026</v>
      </c>
      <c r="B49" s="43" t="s">
        <v>103</v>
      </c>
      <c r="C49" s="673">
        <f>ROUND(SUM(C46:C48),1)</f>
        <v>72500</v>
      </c>
      <c r="D49" s="44"/>
      <c r="E49" s="673">
        <f>ROUND(SUM(E46:E48),1)</f>
        <v>72500</v>
      </c>
      <c r="F49" s="44"/>
      <c r="G49" s="673">
        <f>ROUND(SUM(G46:G48),1)</f>
        <v>79542.399999999994</v>
      </c>
      <c r="H49" s="44"/>
      <c r="I49" s="673">
        <f>ROUND(SUM(I46:I48),1)</f>
        <v>7042.4</v>
      </c>
      <c r="J49" s="44"/>
      <c r="K49" s="673">
        <f>ROUND(SUM(K46:K48),1)</f>
        <v>7042.4</v>
      </c>
      <c r="L49" s="12"/>
    </row>
    <row r="50" spans="1:12" ht="16" thickTop="1">
      <c r="A50" s="291"/>
      <c r="B50" s="256"/>
      <c r="C50" s="256"/>
      <c r="D50" s="256"/>
      <c r="E50" s="256"/>
      <c r="F50" s="256"/>
      <c r="G50" s="256"/>
      <c r="H50" s="256"/>
      <c r="I50" s="256"/>
      <c r="J50" s="256"/>
      <c r="K50" s="256"/>
    </row>
    <row r="51" spans="1:12">
      <c r="A51" s="385" t="str">
        <f>'Exh D Governmental  '!A52</f>
        <v>(*)  Source: 2026-27 Enacted Budget dated June 10, 2026.</v>
      </c>
      <c r="G51" s="274"/>
      <c r="I51" s="425"/>
      <c r="K51" s="425"/>
    </row>
    <row r="52" spans="1:12">
      <c r="A52" s="23" t="str">
        <f>'Exh D Governmental  '!A53</f>
        <v>(**) Source: 2026-27 First Quarter Budget Update dated July 30, 2026, which made no changes to the Enacted Financial Plan.</v>
      </c>
      <c r="G52" s="274"/>
      <c r="I52" s="425"/>
      <c r="K52" s="425"/>
    </row>
    <row r="53" spans="1:12">
      <c r="A53" s="284" t="s">
        <v>1512</v>
      </c>
      <c r="G53" s="425"/>
      <c r="I53" s="425"/>
      <c r="K53" s="425"/>
    </row>
    <row r="54" spans="1:12">
      <c r="A54" s="284" t="s">
        <v>1415</v>
      </c>
      <c r="I54" s="425"/>
      <c r="K54" s="425"/>
    </row>
    <row r="55" spans="1:12">
      <c r="A55" s="696" t="s">
        <v>1513</v>
      </c>
    </row>
    <row r="56" spans="1:12">
      <c r="G56" s="425"/>
    </row>
  </sheetData>
  <mergeCells count="1">
    <mergeCell ref="C11:I11"/>
  </mergeCells>
  <printOptions horizontalCentered="1"/>
  <pageMargins left="0.7" right="0.7" top="0.75" bottom="1" header="0.5" footer="0.25"/>
  <pageSetup scale="59" firstPageNumber="8" orientation="landscape" useFirstPageNumber="1" r:id="rId1"/>
  <headerFooter scaleWithDoc="0" alignWithMargins="0">
    <oddFooter>&amp;C&amp;8&amp;P</oddFooter>
  </headerFooter>
  <customProperties>
    <customPr name="SheetOptions"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O64"/>
  <sheetViews>
    <sheetView showGridLines="0" zoomScale="90" workbookViewId="0"/>
  </sheetViews>
  <sheetFormatPr defaultColWidth="8.84375" defaultRowHeight="15.5"/>
  <cols>
    <col min="1" max="1" width="59" style="291" customWidth="1"/>
    <col min="2" max="2" width="2" style="256" customWidth="1"/>
    <col min="3" max="3" width="15.07421875" style="128" customWidth="1"/>
    <col min="4" max="4" width="1.84375" style="256" customWidth="1"/>
    <col min="5" max="5" width="15.07421875" style="128" customWidth="1"/>
    <col min="6" max="6" width="2.84375" style="256" customWidth="1"/>
    <col min="7" max="7" width="15.07421875" style="256" customWidth="1"/>
    <col min="8" max="8" width="4.07421875" style="350" bestFit="1" customWidth="1"/>
    <col min="9" max="9" width="15.07421875" style="256" customWidth="1"/>
    <col min="10" max="10" width="2.07421875" style="256" customWidth="1"/>
    <col min="11" max="11" width="12.84375" style="256" customWidth="1"/>
    <col min="12" max="12" width="18.07421875" style="128" bestFit="1" customWidth="1"/>
    <col min="13" max="13" width="8.84375" style="291"/>
    <col min="14" max="15" width="10.07421875" style="291" bestFit="1" customWidth="1"/>
    <col min="16" max="16384" width="8.84375" style="291"/>
  </cols>
  <sheetData>
    <row r="1" spans="1:12">
      <c r="A1" s="386" t="s">
        <v>97</v>
      </c>
      <c r="B1" s="48"/>
      <c r="C1" s="124"/>
      <c r="D1" s="48"/>
      <c r="E1" s="124"/>
      <c r="F1" s="48"/>
      <c r="G1" s="48"/>
      <c r="H1" s="1327"/>
      <c r="I1" s="48"/>
      <c r="J1" s="48"/>
      <c r="K1" s="48"/>
      <c r="L1" s="124"/>
    </row>
    <row r="2" spans="1:12" ht="17.25" customHeight="1">
      <c r="A2" s="49"/>
      <c r="B2" s="48"/>
      <c r="C2" s="124"/>
      <c r="D2" s="48"/>
      <c r="E2" s="124"/>
      <c r="F2" s="48"/>
      <c r="G2" s="48"/>
      <c r="H2" s="1327"/>
      <c r="I2" s="48"/>
      <c r="J2" s="48"/>
      <c r="K2" s="48"/>
      <c r="L2" s="124"/>
    </row>
    <row r="3" spans="1:12" ht="18.75" customHeight="1">
      <c r="A3" s="50" t="s">
        <v>98</v>
      </c>
      <c r="B3" s="30"/>
      <c r="C3" s="125"/>
      <c r="D3" s="30"/>
      <c r="E3" s="125"/>
      <c r="F3" s="30"/>
      <c r="G3" s="30"/>
      <c r="H3" s="1328"/>
      <c r="I3" s="352"/>
      <c r="K3" s="352" t="s">
        <v>224</v>
      </c>
      <c r="L3" s="125"/>
    </row>
    <row r="4" spans="1:12" ht="18.75" customHeight="1">
      <c r="A4" s="50" t="s">
        <v>225</v>
      </c>
      <c r="B4" s="30"/>
      <c r="C4" s="125"/>
      <c r="D4" s="30"/>
      <c r="E4" s="125"/>
      <c r="F4" s="30"/>
      <c r="G4" s="30"/>
      <c r="H4" s="1328"/>
      <c r="I4" s="353"/>
      <c r="K4" s="353"/>
      <c r="L4" s="125"/>
    </row>
    <row r="5" spans="1:12" ht="18.75" customHeight="1">
      <c r="A5" s="1989" t="str">
        <f>'Exh D Governmental  '!A5</f>
        <v>FISCAL YEAR 2026-2027</v>
      </c>
      <c r="B5" s="23"/>
      <c r="C5" s="23"/>
      <c r="D5" s="23"/>
      <c r="E5" s="23"/>
      <c r="F5" s="30"/>
      <c r="G5" s="268"/>
      <c r="H5" s="1328"/>
      <c r="I5" s="30"/>
      <c r="J5" s="30"/>
      <c r="K5" s="30"/>
      <c r="L5" s="125"/>
    </row>
    <row r="6" spans="1:12" ht="18.75" customHeight="1">
      <c r="A6" s="351" t="str">
        <f>'Exh D Governmental  '!A6</f>
        <v>FOR FOUR MONTHS ENDED JULY 31, 2026</v>
      </c>
      <c r="B6" s="30"/>
      <c r="C6" s="125"/>
      <c r="D6" s="30"/>
      <c r="E6" s="125"/>
      <c r="F6" s="30"/>
      <c r="G6" s="30"/>
      <c r="H6" s="1328"/>
      <c r="I6" s="30"/>
      <c r="J6" s="30"/>
      <c r="K6" s="30"/>
      <c r="L6" s="125"/>
    </row>
    <row r="7" spans="1:12" ht="18.75" customHeight="1">
      <c r="A7" s="50" t="s">
        <v>226</v>
      </c>
      <c r="B7" s="30"/>
      <c r="C7" s="125"/>
      <c r="D7" s="30"/>
      <c r="E7" s="125"/>
      <c r="F7" s="30"/>
      <c r="G7" s="30"/>
      <c r="H7" s="1328"/>
      <c r="I7" s="30"/>
      <c r="J7" s="30"/>
      <c r="K7" s="30"/>
      <c r="L7" s="125"/>
    </row>
    <row r="8" spans="1:12" ht="15" customHeight="1">
      <c r="A8" s="34"/>
      <c r="B8" s="30"/>
      <c r="C8" s="125"/>
      <c r="D8" s="30"/>
      <c r="E8" s="125"/>
      <c r="F8" s="30"/>
      <c r="G8" s="30"/>
      <c r="H8" s="1328"/>
      <c r="I8" s="30"/>
      <c r="J8" s="30"/>
      <c r="K8" s="30"/>
      <c r="L8" s="125"/>
    </row>
    <row r="9" spans="1:12">
      <c r="A9" s="35"/>
      <c r="B9" s="30"/>
      <c r="C9" s="125"/>
      <c r="D9" s="30"/>
      <c r="E9" s="125"/>
      <c r="F9" s="30"/>
      <c r="G9" s="30"/>
      <c r="H9" s="1328"/>
      <c r="I9" s="30"/>
      <c r="J9" s="30"/>
      <c r="K9" s="30"/>
      <c r="L9" s="125"/>
    </row>
    <row r="10" spans="1:12">
      <c r="A10" s="35"/>
      <c r="B10" s="30"/>
      <c r="C10" s="125"/>
      <c r="D10" s="30"/>
      <c r="E10" s="125"/>
      <c r="F10" s="30"/>
      <c r="G10" s="30"/>
      <c r="H10" s="1328"/>
      <c r="I10" s="30"/>
      <c r="J10" s="30"/>
      <c r="K10" s="30"/>
      <c r="L10" s="125"/>
    </row>
    <row r="11" spans="1:12">
      <c r="C11" s="2059" t="s">
        <v>255</v>
      </c>
      <c r="D11" s="2059"/>
      <c r="E11" s="2059"/>
      <c r="F11" s="2059"/>
      <c r="G11" s="2059"/>
      <c r="H11" s="2059"/>
      <c r="I11" s="2059"/>
      <c r="J11" s="427"/>
      <c r="K11" s="1002"/>
    </row>
    <row r="12" spans="1:12">
      <c r="C12" s="126"/>
      <c r="D12" s="52"/>
      <c r="E12" s="126"/>
      <c r="F12" s="52"/>
      <c r="G12" s="53"/>
      <c r="H12" s="1211"/>
      <c r="I12" s="52" t="s">
        <v>228</v>
      </c>
      <c r="J12" s="51"/>
      <c r="K12" s="52" t="s">
        <v>228</v>
      </c>
    </row>
    <row r="13" spans="1:12">
      <c r="B13" s="36"/>
      <c r="C13" s="127"/>
      <c r="D13" s="36"/>
      <c r="E13" s="127"/>
      <c r="F13" s="36"/>
      <c r="G13" s="36"/>
      <c r="H13" s="1211"/>
      <c r="I13" s="37" t="s">
        <v>229</v>
      </c>
      <c r="J13" s="37"/>
      <c r="K13" s="37" t="s">
        <v>229</v>
      </c>
      <c r="L13" s="127"/>
    </row>
    <row r="14" spans="1:12">
      <c r="B14" s="54"/>
      <c r="C14" s="38" t="s">
        <v>231</v>
      </c>
      <c r="D14" s="36"/>
      <c r="E14" s="37" t="s">
        <v>232</v>
      </c>
      <c r="F14" s="36"/>
      <c r="G14" s="36"/>
      <c r="H14" s="1211"/>
      <c r="I14" s="37" t="s">
        <v>233</v>
      </c>
      <c r="J14" s="37"/>
      <c r="K14" s="37" t="s">
        <v>233</v>
      </c>
      <c r="L14" s="392"/>
    </row>
    <row r="15" spans="1:12">
      <c r="B15" s="54"/>
      <c r="C15" s="37" t="s">
        <v>234</v>
      </c>
      <c r="D15" s="36"/>
      <c r="E15" s="37" t="s">
        <v>234</v>
      </c>
      <c r="F15" s="36"/>
      <c r="G15" s="36"/>
      <c r="H15" s="1211"/>
      <c r="I15" s="37" t="s">
        <v>231</v>
      </c>
      <c r="J15" s="37"/>
      <c r="K15" s="37" t="s">
        <v>232</v>
      </c>
      <c r="L15" s="392"/>
    </row>
    <row r="16" spans="1:12">
      <c r="B16" s="37"/>
      <c r="C16" s="37" t="s">
        <v>235</v>
      </c>
      <c r="D16" s="36"/>
      <c r="E16" s="37" t="s">
        <v>1511</v>
      </c>
      <c r="F16" s="36"/>
      <c r="G16" s="38" t="s">
        <v>228</v>
      </c>
      <c r="H16" s="1211"/>
      <c r="I16" s="37" t="s">
        <v>236</v>
      </c>
      <c r="J16" s="37"/>
      <c r="K16" s="37" t="s">
        <v>236</v>
      </c>
      <c r="L16" s="38"/>
    </row>
    <row r="17" spans="1:14">
      <c r="A17" s="39"/>
      <c r="B17" s="30"/>
      <c r="C17" s="1001"/>
      <c r="D17" s="30"/>
      <c r="E17" s="1001"/>
      <c r="F17" s="30"/>
      <c r="G17" s="1001"/>
      <c r="H17" s="1328"/>
      <c r="I17" s="1001"/>
      <c r="J17" s="30"/>
      <c r="K17" s="1001"/>
      <c r="L17" s="30"/>
    </row>
    <row r="18" spans="1:14">
      <c r="A18" s="3" t="s">
        <v>114</v>
      </c>
      <c r="C18" s="256"/>
      <c r="E18" s="256"/>
      <c r="L18" s="256"/>
    </row>
    <row r="19" spans="1:14">
      <c r="A19" s="350" t="s">
        <v>237</v>
      </c>
      <c r="B19" s="378"/>
      <c r="C19" s="256"/>
      <c r="D19" s="378"/>
      <c r="E19" s="256"/>
      <c r="F19" s="378"/>
      <c r="L19" s="256"/>
    </row>
    <row r="20" spans="1:14">
      <c r="A20" s="350" t="s">
        <v>238</v>
      </c>
      <c r="B20" s="378" t="s">
        <v>103</v>
      </c>
      <c r="C20" s="277">
        <v>12384</v>
      </c>
      <c r="D20" s="276"/>
      <c r="E20" s="277">
        <v>12384</v>
      </c>
      <c r="F20" s="276"/>
      <c r="G20" s="274">
        <f>'Exhibit F'!AC27</f>
        <v>12834.5</v>
      </c>
      <c r="I20" s="274">
        <f>G20-C20</f>
        <v>450.5</v>
      </c>
      <c r="K20" s="274">
        <f>G20-E20</f>
        <v>450.5</v>
      </c>
      <c r="L20" s="1506"/>
      <c r="M20" s="1486"/>
      <c r="N20" s="1486"/>
    </row>
    <row r="21" spans="1:14">
      <c r="A21" s="350" t="s">
        <v>239</v>
      </c>
      <c r="B21" s="256" t="s">
        <v>103</v>
      </c>
      <c r="C21" s="275">
        <v>3585</v>
      </c>
      <c r="D21" s="1784"/>
      <c r="E21" s="275">
        <v>3585</v>
      </c>
      <c r="F21" s="264"/>
      <c r="G21" s="264">
        <f>'Exhibit F'!AC38</f>
        <v>3717.5</v>
      </c>
      <c r="I21" s="264">
        <f t="shared" ref="I21:I30" si="0">G21-C21</f>
        <v>132.5</v>
      </c>
      <c r="K21" s="264">
        <f>G21-E21</f>
        <v>132.5</v>
      </c>
      <c r="L21" s="1507"/>
      <c r="M21" s="1486"/>
      <c r="N21" s="1486"/>
    </row>
    <row r="22" spans="1:14">
      <c r="A22" s="350" t="s">
        <v>240</v>
      </c>
      <c r="B22" s="378" t="s">
        <v>103</v>
      </c>
      <c r="C22" s="275">
        <v>4993</v>
      </c>
      <c r="D22" s="367"/>
      <c r="E22" s="275">
        <v>4993</v>
      </c>
      <c r="F22" s="287"/>
      <c r="G22" s="264">
        <f>'Exhibit F'!AC46</f>
        <v>5921</v>
      </c>
      <c r="I22" s="264">
        <f t="shared" si="0"/>
        <v>928</v>
      </c>
      <c r="K22" s="264">
        <f t="shared" ref="K22:K30" si="1">G22-E22</f>
        <v>928</v>
      </c>
      <c r="L22" s="1507"/>
      <c r="M22" s="1486"/>
      <c r="N22" s="1486"/>
    </row>
    <row r="23" spans="1:14">
      <c r="A23" s="350" t="s">
        <v>241</v>
      </c>
      <c r="B23" s="256" t="s">
        <v>103</v>
      </c>
      <c r="C23" s="275">
        <v>532</v>
      </c>
      <c r="D23" s="1784"/>
      <c r="E23" s="275">
        <v>532</v>
      </c>
      <c r="F23" s="264"/>
      <c r="G23" s="264">
        <f>'Exhibit F'!AC54</f>
        <v>649.6</v>
      </c>
      <c r="I23" s="264">
        <f t="shared" si="0"/>
        <v>117.60000000000002</v>
      </c>
      <c r="K23" s="264">
        <f t="shared" si="1"/>
        <v>117.60000000000002</v>
      </c>
      <c r="L23" s="1508"/>
      <c r="M23" s="1486"/>
      <c r="N23" s="1486"/>
    </row>
    <row r="24" spans="1:14" ht="15" customHeight="1">
      <c r="A24" s="350" t="s">
        <v>119</v>
      </c>
      <c r="B24" s="256" t="s">
        <v>103</v>
      </c>
      <c r="C24" s="275">
        <v>1196</v>
      </c>
      <c r="D24" s="1785"/>
      <c r="E24" s="275">
        <v>1196</v>
      </c>
      <c r="F24" s="1192"/>
      <c r="G24" s="289">
        <f>'Exhibit F'!AC97</f>
        <v>1320.3</v>
      </c>
      <c r="I24" s="264">
        <f t="shared" si="0"/>
        <v>124.29999999999995</v>
      </c>
      <c r="K24" s="264">
        <f t="shared" si="1"/>
        <v>124.29999999999995</v>
      </c>
      <c r="L24" s="1508"/>
      <c r="M24" s="1486"/>
      <c r="N24" s="1486"/>
    </row>
    <row r="25" spans="1:14" ht="15" customHeight="1">
      <c r="A25" s="350" t="s">
        <v>120</v>
      </c>
      <c r="B25" s="256" t="s">
        <v>103</v>
      </c>
      <c r="C25" s="275">
        <v>0</v>
      </c>
      <c r="D25" s="1784"/>
      <c r="E25" s="275">
        <v>0</v>
      </c>
      <c r="F25" s="264"/>
      <c r="G25" s="289">
        <f>'Exhibit F'!AC99</f>
        <v>1.4</v>
      </c>
      <c r="I25" s="264">
        <f t="shared" si="0"/>
        <v>1.4</v>
      </c>
      <c r="K25" s="264">
        <f t="shared" si="1"/>
        <v>1.4</v>
      </c>
      <c r="L25" s="1507"/>
      <c r="M25" s="1486"/>
      <c r="N25" s="1486"/>
    </row>
    <row r="26" spans="1:14" ht="18" customHeight="1">
      <c r="A26" s="350" t="s">
        <v>256</v>
      </c>
      <c r="B26" s="388"/>
      <c r="C26" s="275"/>
      <c r="D26" s="1784"/>
      <c r="E26" s="275"/>
      <c r="F26" s="264"/>
      <c r="G26" s="1789"/>
      <c r="I26" s="264"/>
      <c r="J26" s="388"/>
      <c r="K26" s="264" t="s">
        <v>103</v>
      </c>
      <c r="L26" s="1509"/>
      <c r="M26" s="1486"/>
      <c r="N26" s="1486"/>
    </row>
    <row r="27" spans="1:14">
      <c r="A27" s="350" t="s">
        <v>257</v>
      </c>
      <c r="B27" s="388" t="s">
        <v>103</v>
      </c>
      <c r="C27" s="275">
        <v>14333</v>
      </c>
      <c r="D27" s="1784"/>
      <c r="E27" s="275">
        <v>14333</v>
      </c>
      <c r="F27" s="264"/>
      <c r="G27" s="264">
        <f>'Exhibit F'!AC128</f>
        <v>15198.1</v>
      </c>
      <c r="I27" s="264">
        <f t="shared" si="0"/>
        <v>865.10000000000036</v>
      </c>
      <c r="J27" s="388"/>
      <c r="K27" s="264">
        <f t="shared" si="1"/>
        <v>865.10000000000036</v>
      </c>
      <c r="L27" s="1509"/>
      <c r="M27" s="1486"/>
      <c r="N27" s="1486"/>
    </row>
    <row r="28" spans="1:14">
      <c r="A28" s="350" t="s">
        <v>258</v>
      </c>
      <c r="B28" s="388" t="s">
        <v>103</v>
      </c>
      <c r="C28" s="275">
        <v>3146</v>
      </c>
      <c r="D28" s="1784"/>
      <c r="E28" s="275">
        <v>3146</v>
      </c>
      <c r="F28" s="264"/>
      <c r="G28" s="289">
        <f>'Exhibit F'!AC129</f>
        <v>3377.3</v>
      </c>
      <c r="I28" s="264">
        <f t="shared" si="0"/>
        <v>231.30000000000018</v>
      </c>
      <c r="J28" s="388"/>
      <c r="K28" s="264">
        <f t="shared" si="1"/>
        <v>231.30000000000018</v>
      </c>
      <c r="L28" s="1509"/>
      <c r="M28" s="1486"/>
      <c r="N28" s="1486"/>
    </row>
    <row r="29" spans="1:14">
      <c r="A29" s="350" t="s">
        <v>259</v>
      </c>
      <c r="B29" s="388" t="s">
        <v>103</v>
      </c>
      <c r="C29" s="275">
        <v>386</v>
      </c>
      <c r="D29" s="1784"/>
      <c r="E29" s="275">
        <v>386</v>
      </c>
      <c r="F29" s="264"/>
      <c r="G29" s="264">
        <f>'Exhibit F'!AC130</f>
        <v>425</v>
      </c>
      <c r="I29" s="264">
        <f t="shared" si="0"/>
        <v>39</v>
      </c>
      <c r="J29" s="388"/>
      <c r="K29" s="264">
        <f t="shared" si="1"/>
        <v>39</v>
      </c>
      <c r="L29" s="1509"/>
      <c r="M29" s="1486"/>
      <c r="N29" s="1486"/>
    </row>
    <row r="30" spans="1:14">
      <c r="A30" s="350" t="s">
        <v>260</v>
      </c>
      <c r="B30" s="388" t="s">
        <v>103</v>
      </c>
      <c r="C30" s="275">
        <v>825</v>
      </c>
      <c r="D30" s="1784"/>
      <c r="E30" s="275">
        <v>825</v>
      </c>
      <c r="F30" s="264"/>
      <c r="G30" s="289">
        <f>'Exhibit F'!AC131</f>
        <v>1414.6000000000004</v>
      </c>
      <c r="I30" s="264">
        <f t="shared" si="0"/>
        <v>589.60000000000036</v>
      </c>
      <c r="J30" s="388"/>
      <c r="K30" s="264">
        <f t="shared" si="1"/>
        <v>589.60000000000036</v>
      </c>
      <c r="L30" s="1510"/>
      <c r="M30" s="1486"/>
      <c r="N30" s="1486"/>
    </row>
    <row r="31" spans="1:14" ht="18" customHeight="1">
      <c r="A31" s="1211" t="s">
        <v>261</v>
      </c>
      <c r="B31" s="36" t="s">
        <v>103</v>
      </c>
      <c r="C31" s="617">
        <f>ROUND(SUM(C20:C30),1)</f>
        <v>41380</v>
      </c>
      <c r="D31" s="13"/>
      <c r="E31" s="617">
        <f>ROUND(SUM(E20:E30),1)</f>
        <v>41380</v>
      </c>
      <c r="F31" s="13"/>
      <c r="G31" s="617">
        <f>ROUND(SUM(G20:G30),1)</f>
        <v>44859.3</v>
      </c>
      <c r="H31" s="1211"/>
      <c r="I31" s="616">
        <f>ROUND(SUM(I20:I30),1)</f>
        <v>3479.3</v>
      </c>
      <c r="J31" s="36"/>
      <c r="K31" s="616">
        <f>ROUND(SUM(K20:K30),1)</f>
        <v>3479.3</v>
      </c>
      <c r="L31" s="1511"/>
      <c r="M31" s="1486"/>
      <c r="N31" s="1486"/>
    </row>
    <row r="32" spans="1:14">
      <c r="C32" s="615"/>
      <c r="D32" s="264"/>
      <c r="E32" s="615"/>
      <c r="F32" s="264"/>
      <c r="G32" s="615"/>
      <c r="I32" s="264"/>
      <c r="K32" s="264"/>
      <c r="L32" s="1486"/>
      <c r="M32" s="1486"/>
      <c r="N32" s="1486"/>
    </row>
    <row r="33" spans="1:15">
      <c r="A33" s="3" t="s">
        <v>122</v>
      </c>
      <c r="C33" s="264"/>
      <c r="D33" s="264"/>
      <c r="E33" s="264"/>
      <c r="F33" s="264"/>
      <c r="G33" s="264"/>
      <c r="I33" s="264"/>
      <c r="K33" s="264"/>
      <c r="L33" s="1486"/>
      <c r="M33" s="1486"/>
      <c r="N33" s="1486"/>
    </row>
    <row r="34" spans="1:15">
      <c r="A34" s="350" t="s">
        <v>243</v>
      </c>
      <c r="B34" s="378" t="s">
        <v>103</v>
      </c>
      <c r="C34" s="275">
        <v>31167</v>
      </c>
      <c r="D34" s="1784"/>
      <c r="E34" s="275">
        <v>31167</v>
      </c>
      <c r="F34" s="264"/>
      <c r="G34" s="289">
        <f>'Exhibit F'!AC115</f>
        <v>28725.599999999999</v>
      </c>
      <c r="I34" s="264">
        <f t="shared" ref="I34:I36" si="2">G34-C34</f>
        <v>-2441.4000000000015</v>
      </c>
      <c r="K34" s="264">
        <f>G34-E34</f>
        <v>-2441.4000000000015</v>
      </c>
      <c r="L34" s="1506"/>
      <c r="M34" s="1486"/>
      <c r="N34" s="1486"/>
    </row>
    <row r="35" spans="1:15">
      <c r="A35" s="350" t="s">
        <v>244</v>
      </c>
      <c r="B35" s="378" t="s">
        <v>103</v>
      </c>
      <c r="C35" s="275">
        <v>5242</v>
      </c>
      <c r="D35" s="1784"/>
      <c r="E35" s="275">
        <v>5242</v>
      </c>
      <c r="F35" s="264"/>
      <c r="G35" s="289">
        <f>'Exhibit F'!AC117+'Exhibit F'!AC118</f>
        <v>5289.9000000000005</v>
      </c>
      <c r="I35" s="264">
        <f t="shared" si="2"/>
        <v>47.900000000000546</v>
      </c>
      <c r="K35" s="264">
        <f t="shared" ref="K35:K42" si="3">G35-E35</f>
        <v>47.900000000000546</v>
      </c>
      <c r="L35" s="1506"/>
      <c r="M35" s="1486"/>
      <c r="N35" s="1486"/>
    </row>
    <row r="36" spans="1:15">
      <c r="A36" s="350" t="s">
        <v>209</v>
      </c>
      <c r="B36" s="378" t="s">
        <v>103</v>
      </c>
      <c r="C36" s="275">
        <v>3330</v>
      </c>
      <c r="D36" s="1784"/>
      <c r="E36" s="275">
        <v>3330</v>
      </c>
      <c r="F36" s="264"/>
      <c r="G36" s="289">
        <f>'Exhibit F'!AC119</f>
        <v>3081.7</v>
      </c>
      <c r="I36" s="264">
        <f t="shared" si="2"/>
        <v>-248.30000000000018</v>
      </c>
      <c r="K36" s="264">
        <f t="shared" si="3"/>
        <v>-248.30000000000018</v>
      </c>
      <c r="L36" s="1506"/>
      <c r="M36" s="1486"/>
      <c r="N36" s="1486"/>
    </row>
    <row r="37" spans="1:15" ht="18" customHeight="1">
      <c r="A37" s="350" t="s">
        <v>262</v>
      </c>
      <c r="B37" s="388"/>
      <c r="C37" s="275"/>
      <c r="D37" s="1784"/>
      <c r="E37" s="275"/>
      <c r="F37" s="264"/>
      <c r="G37" s="275"/>
      <c r="I37" s="264"/>
      <c r="J37" s="388"/>
      <c r="K37" s="264" t="s">
        <v>103</v>
      </c>
      <c r="L37" s="1510"/>
      <c r="M37" s="1486"/>
      <c r="N37" s="1486"/>
    </row>
    <row r="38" spans="1:15">
      <c r="A38" s="350" t="s">
        <v>263</v>
      </c>
      <c r="B38" s="388" t="s">
        <v>103</v>
      </c>
      <c r="C38" s="275">
        <v>55</v>
      </c>
      <c r="D38" s="1784"/>
      <c r="E38" s="275">
        <v>55</v>
      </c>
      <c r="F38" s="264"/>
      <c r="G38" s="288">
        <f>-'Exhibit F'!AC134</f>
        <v>55.4</v>
      </c>
      <c r="I38" s="264">
        <f t="shared" ref="I38:I42" si="4">G38-C38</f>
        <v>0.39999999999999858</v>
      </c>
      <c r="J38" s="388"/>
      <c r="K38" s="264">
        <f t="shared" si="3"/>
        <v>0.39999999999999858</v>
      </c>
      <c r="L38" s="1509"/>
      <c r="M38" s="1486"/>
      <c r="N38" s="1486"/>
    </row>
    <row r="39" spans="1:15">
      <c r="A39" s="350" t="s">
        <v>264</v>
      </c>
      <c r="B39" s="388" t="s">
        <v>103</v>
      </c>
      <c r="C39" s="275">
        <v>1018</v>
      </c>
      <c r="D39" s="1784"/>
      <c r="E39" s="275">
        <v>1018</v>
      </c>
      <c r="F39" s="264"/>
      <c r="G39" s="288">
        <f>-'Exhibit F'!AC132-'Exhibit F'!AC133</f>
        <v>873.5</v>
      </c>
      <c r="H39" s="350" t="s">
        <v>103</v>
      </c>
      <c r="I39" s="264">
        <f t="shared" si="4"/>
        <v>-144.5</v>
      </c>
      <c r="J39" s="388"/>
      <c r="K39" s="264">
        <f t="shared" si="3"/>
        <v>-144.5</v>
      </c>
      <c r="L39" s="1509"/>
      <c r="M39" s="1486"/>
      <c r="N39" s="1486"/>
    </row>
    <row r="40" spans="1:15">
      <c r="A40" s="350" t="s">
        <v>265</v>
      </c>
      <c r="B40" s="388" t="s">
        <v>103</v>
      </c>
      <c r="C40" s="275">
        <v>0</v>
      </c>
      <c r="D40" s="1784"/>
      <c r="E40" s="275">
        <v>0</v>
      </c>
      <c r="F40" s="264"/>
      <c r="G40" s="275">
        <v>326.39999999999998</v>
      </c>
      <c r="H40" s="291" t="s">
        <v>254</v>
      </c>
      <c r="I40" s="264">
        <f t="shared" si="4"/>
        <v>326.39999999999998</v>
      </c>
      <c r="J40" s="388"/>
      <c r="K40" s="264">
        <f t="shared" si="3"/>
        <v>326.39999999999998</v>
      </c>
      <c r="L40" s="1509"/>
      <c r="M40" s="1486"/>
      <c r="N40" s="1486"/>
      <c r="O40" s="1486"/>
    </row>
    <row r="41" spans="1:15">
      <c r="A41" s="350" t="s">
        <v>267</v>
      </c>
      <c r="B41" s="388" t="s">
        <v>268</v>
      </c>
      <c r="C41" s="275">
        <v>1216</v>
      </c>
      <c r="D41" s="1784"/>
      <c r="E41" s="275">
        <v>1216</v>
      </c>
      <c r="F41" s="264"/>
      <c r="G41" s="275">
        <v>1186.7</v>
      </c>
      <c r="I41" s="264">
        <f t="shared" si="4"/>
        <v>-29.299999999999955</v>
      </c>
      <c r="J41" s="388"/>
      <c r="K41" s="264">
        <f t="shared" si="3"/>
        <v>-29.299999999999955</v>
      </c>
      <c r="L41" s="1509"/>
      <c r="M41" s="1486"/>
      <c r="N41" s="1486"/>
      <c r="O41" s="1486"/>
    </row>
    <row r="42" spans="1:15">
      <c r="A42" s="350" t="s">
        <v>269</v>
      </c>
      <c r="B42" s="388" t="s">
        <v>103</v>
      </c>
      <c r="C42" s="275">
        <v>707</v>
      </c>
      <c r="D42" s="1784"/>
      <c r="E42" s="275">
        <v>707</v>
      </c>
      <c r="F42" s="264"/>
      <c r="G42" s="275">
        <v>354.00000000000011</v>
      </c>
      <c r="I42" s="264">
        <f t="shared" si="4"/>
        <v>-352.99999999999989</v>
      </c>
      <c r="J42" s="388"/>
      <c r="K42" s="264">
        <f t="shared" si="3"/>
        <v>-352.99999999999989</v>
      </c>
      <c r="L42" s="1510"/>
      <c r="M42" s="1486"/>
      <c r="N42" s="1486"/>
      <c r="O42" s="1486"/>
    </row>
    <row r="43" spans="1:15" ht="18" customHeight="1">
      <c r="A43" s="1211" t="s">
        <v>270</v>
      </c>
      <c r="B43" s="36" t="s">
        <v>103</v>
      </c>
      <c r="C43" s="617">
        <f>ROUND(SUM(C34:C42),1)</f>
        <v>42735</v>
      </c>
      <c r="D43" s="13"/>
      <c r="E43" s="617">
        <f>ROUND(SUM(E34:E42),1)</f>
        <v>42735</v>
      </c>
      <c r="F43" s="13"/>
      <c r="G43" s="617">
        <f>ROUND(SUM(G34:G42),1)</f>
        <v>39893.199999999997</v>
      </c>
      <c r="H43" s="1211"/>
      <c r="I43" s="616">
        <f>ROUND(SUM(I34:I42),1)</f>
        <v>-2841.8</v>
      </c>
      <c r="J43" s="36"/>
      <c r="K43" s="616">
        <f>ROUND(SUM(K34:K42),1)</f>
        <v>-2841.8</v>
      </c>
      <c r="L43" s="1511"/>
      <c r="M43" s="1486"/>
      <c r="N43" s="1486"/>
      <c r="O43" s="1486"/>
    </row>
    <row r="44" spans="1:15">
      <c r="C44" s="615"/>
      <c r="D44" s="264"/>
      <c r="E44" s="615"/>
      <c r="F44" s="264"/>
      <c r="G44" s="615"/>
      <c r="I44" s="264"/>
      <c r="K44" s="264"/>
      <c r="L44" s="1486"/>
      <c r="M44" s="1486"/>
      <c r="N44" s="1486"/>
    </row>
    <row r="45" spans="1:15">
      <c r="A45" s="3" t="s">
        <v>271</v>
      </c>
      <c r="C45" s="264"/>
      <c r="D45" s="264"/>
      <c r="E45" s="264"/>
      <c r="F45" s="264"/>
      <c r="G45" s="264"/>
      <c r="I45" s="264"/>
      <c r="K45" s="264"/>
      <c r="L45" s="1486"/>
      <c r="M45" s="1486"/>
      <c r="N45" s="1486"/>
    </row>
    <row r="46" spans="1:15">
      <c r="A46" s="3" t="s">
        <v>272</v>
      </c>
      <c r="C46" s="264"/>
      <c r="D46" s="264"/>
      <c r="E46" s="264"/>
      <c r="F46" s="264"/>
      <c r="G46" s="264"/>
      <c r="I46" s="264"/>
      <c r="K46" s="264"/>
      <c r="L46" s="1486"/>
      <c r="M46" s="1486"/>
      <c r="N46" s="1486"/>
    </row>
    <row r="47" spans="1:15">
      <c r="A47" s="1211" t="s">
        <v>252</v>
      </c>
      <c r="B47" s="1210" t="s">
        <v>103</v>
      </c>
      <c r="C47" s="13">
        <f>ROUND(SUM(C31)-SUM(C43),1)</f>
        <v>-1355</v>
      </c>
      <c r="D47" s="18"/>
      <c r="E47" s="13">
        <f>ROUND(SUM(E31)-SUM(E43),1)</f>
        <v>-1355</v>
      </c>
      <c r="F47" s="18"/>
      <c r="G47" s="13">
        <f>ROUND(SUM(G31)-SUM(G43),1)</f>
        <v>4966.1000000000004</v>
      </c>
      <c r="H47" s="1211"/>
      <c r="I47" s="13">
        <f>ROUND(SUM(I31)-SUM(I43),1)</f>
        <v>6321.1</v>
      </c>
      <c r="J47" s="36"/>
      <c r="K47" s="13">
        <f>ROUND(SUM(K31)-SUM(K43),1)</f>
        <v>6321.1</v>
      </c>
      <c r="L47" s="1511"/>
      <c r="M47" s="1486"/>
      <c r="N47" s="1486"/>
    </row>
    <row r="48" spans="1:15" ht="15" customHeight="1">
      <c r="C48" s="264"/>
      <c r="D48" s="264"/>
      <c r="E48" s="264"/>
      <c r="F48" s="264"/>
      <c r="G48" s="264"/>
      <c r="I48" s="13"/>
      <c r="J48" s="36"/>
      <c r="K48" s="13"/>
      <c r="L48" s="1486"/>
      <c r="M48" s="1486"/>
      <c r="N48" s="1486"/>
    </row>
    <row r="49" spans="1:14">
      <c r="A49" s="1211" t="str">
        <f>'Exh D Governmental  '!A49</f>
        <v>Fund Balances (Deficits) at April 1</v>
      </c>
      <c r="B49" s="256" t="s">
        <v>103</v>
      </c>
      <c r="C49" s="13">
        <v>56178</v>
      </c>
      <c r="D49" s="264"/>
      <c r="E49" s="13">
        <v>56178</v>
      </c>
      <c r="F49" s="264"/>
      <c r="G49" s="13">
        <v>56177.599999999999</v>
      </c>
      <c r="I49" s="13">
        <f t="shared" ref="I49" si="5">G49-C49</f>
        <v>-0.40000000000145519</v>
      </c>
      <c r="J49" s="36"/>
      <c r="K49" s="13">
        <f>G49-E49</f>
        <v>-0.40000000000145519</v>
      </c>
      <c r="L49" s="1511"/>
      <c r="M49" s="1486"/>
      <c r="N49" s="1486"/>
    </row>
    <row r="50" spans="1:14" ht="18" customHeight="1" thickBot="1">
      <c r="A50" s="1211" t="str">
        <f>'Exh D Governmental  '!A50</f>
        <v>Fund Balances (Deficits) at July 31, 2026</v>
      </c>
      <c r="B50" s="43" t="s">
        <v>103</v>
      </c>
      <c r="C50" s="673">
        <f>ROUND(SUM(C47:C49),1)</f>
        <v>54823</v>
      </c>
      <c r="D50" s="44"/>
      <c r="E50" s="673">
        <f>ROUND(SUM(E47:E49),1)</f>
        <v>54823</v>
      </c>
      <c r="F50" s="44"/>
      <c r="G50" s="673">
        <f>ROUND(SUM(G47:G49),1)</f>
        <v>61143.7</v>
      </c>
      <c r="H50" s="1211"/>
      <c r="I50" s="673">
        <f>ROUND(SUM(I47:I49),1)</f>
        <v>6320.7</v>
      </c>
      <c r="J50" s="36"/>
      <c r="K50" s="673">
        <f>ROUND(SUM(K47:K49),1)</f>
        <v>6320.7</v>
      </c>
      <c r="L50" s="1511"/>
      <c r="M50" s="1486"/>
      <c r="N50" s="1486"/>
    </row>
    <row r="51" spans="1:14" ht="15" customHeight="1" thickTop="1">
      <c r="A51" s="39"/>
      <c r="L51" s="290"/>
    </row>
    <row r="52" spans="1:14">
      <c r="A52" s="385" t="str">
        <f>'Exh D Governmental  '!A52</f>
        <v>(*)  Source: 2026-27 Enacted Budget dated June 10, 2026.</v>
      </c>
      <c r="G52" s="1621"/>
    </row>
    <row r="53" spans="1:14">
      <c r="A53" s="291" t="str">
        <f>'Exh D Governmental  '!A53</f>
        <v>(**) Source: 2026-27 First Quarter Budget Update dated July 30, 2026, which made no changes to the Enacted Financial Plan.</v>
      </c>
    </row>
    <row r="54" spans="1:14">
      <c r="A54" s="350" t="s">
        <v>1519</v>
      </c>
    </row>
    <row r="55" spans="1:14">
      <c r="A55" s="350" t="s">
        <v>273</v>
      </c>
    </row>
    <row r="59" spans="1:14">
      <c r="A59" s="350" t="s">
        <v>103</v>
      </c>
      <c r="C59" s="963"/>
    </row>
    <row r="60" spans="1:14">
      <c r="A60" s="350"/>
      <c r="C60" s="963"/>
      <c r="G60" s="256" t="s">
        <v>103</v>
      </c>
    </row>
    <row r="61" spans="1:14">
      <c r="C61" s="963"/>
    </row>
    <row r="62" spans="1:14">
      <c r="A62" s="839"/>
      <c r="C62" s="964"/>
    </row>
    <row r="63" spans="1:14">
      <c r="A63" s="55"/>
      <c r="C63" s="963"/>
    </row>
    <row r="64" spans="1:14">
      <c r="C64" s="963"/>
    </row>
  </sheetData>
  <mergeCells count="1">
    <mergeCell ref="C11:I11"/>
  </mergeCells>
  <printOptions horizontalCentered="1"/>
  <pageMargins left="0.5" right="0.75" top="0.75" bottom="0.75" header="0.5" footer="0.25"/>
  <pageSetup scale="57" firstPageNumber="9" orientation="landscape" useFirstPageNumber="1" r:id="rId1"/>
  <headerFooter scaleWithDoc="0" alignWithMargins="0">
    <oddFooter>&amp;C&amp;8&amp;P</oddFooter>
  </headerFooter>
  <customProperties>
    <customPr name="SheetOptions"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78</vt:i4>
      </vt:variant>
    </vt:vector>
  </HeadingPairs>
  <TitlesOfParts>
    <vt:vector size="123" baseType="lpstr">
      <vt:lpstr>Table of Contents</vt:lpstr>
      <vt:lpstr>Exhibit A</vt:lpstr>
      <vt:lpstr>Exh A Supp</vt:lpstr>
      <vt:lpstr>Footnotes</vt:lpstr>
      <vt:lpstr>Exh B</vt:lpstr>
      <vt:lpstr>Exh C</vt:lpstr>
      <vt:lpstr>Exh D Governmental  </vt:lpstr>
      <vt:lpstr>Exh D State Operating</vt:lpstr>
      <vt:lpstr>Exh D General Fund</vt:lpstr>
      <vt:lpstr>Exh D Special Revenue</vt:lpstr>
      <vt:lpstr>Exh D Special Revenue State Fed</vt:lpstr>
      <vt:lpstr>Exh D Debt Service</vt:lpstr>
      <vt:lpstr>Exh D Capital Projects</vt:lpstr>
      <vt:lpstr>Exh D Captl Projects State Fed</vt:lpstr>
      <vt:lpstr>EXHIBIT E </vt:lpstr>
      <vt:lpstr>Cashflow Governmental</vt:lpstr>
      <vt:lpstr>Cash Flow State Operating</vt:lpstr>
      <vt:lpstr>Exhibit F</vt:lpstr>
      <vt:lpstr>Exhibit G</vt:lpstr>
      <vt:lpstr>Exhibit G State</vt:lpstr>
      <vt:lpstr>Exhibit G Federal</vt:lpstr>
      <vt:lpstr>Exhibit H</vt:lpstr>
      <vt:lpstr>Exhibit I</vt:lpstr>
      <vt:lpstr>Exhibit I State</vt:lpstr>
      <vt:lpstr>Exhibit I Federal</vt:lpstr>
      <vt:lpstr>Exhibit J</vt:lpstr>
      <vt:lpstr>Exhibit K</vt:lpstr>
      <vt:lpstr>Exhibit L</vt:lpstr>
      <vt:lpstr>Exhibit M</vt:lpstr>
      <vt:lpstr>Sch 1 </vt:lpstr>
      <vt:lpstr>Sch 2 </vt:lpstr>
      <vt:lpstr>Sch 3 </vt:lpstr>
      <vt:lpstr>Sch 4</vt:lpstr>
      <vt:lpstr>Sch 5 </vt:lpstr>
      <vt:lpstr>Sch 5a</vt:lpstr>
      <vt:lpstr>Sch 6</vt:lpstr>
      <vt:lpstr>HCRA </vt:lpstr>
      <vt:lpstr>HCRA PROG DISB</vt:lpstr>
      <vt:lpstr>Public Goods </vt:lpstr>
      <vt:lpstr>Medicaid Disp Share</vt:lpstr>
      <vt:lpstr>Appendix E</vt:lpstr>
      <vt:lpstr>Appendix F</vt:lpstr>
      <vt:lpstr>Appendix G</vt:lpstr>
      <vt:lpstr>Appendix H</vt:lpstr>
      <vt:lpstr>Appendix I</vt:lpstr>
      <vt:lpstr>'Exhibit G'!Exh_G_var</vt:lpstr>
      <vt:lpstr>'Exhibit G Federal'!Exh_G_var</vt:lpstr>
      <vt:lpstr>'Exhibit G State'!Exh_G_var</vt:lpstr>
      <vt:lpstr>'EXHIBIT E '!EXHIBIT_E</vt:lpstr>
      <vt:lpstr>'Exh A Supp'!EXHIBITA</vt:lpstr>
      <vt:lpstr>'Exh A Supp'!EXHIBITAvar</vt:lpstr>
      <vt:lpstr>'Exh C'!ExhibitB</vt:lpstr>
      <vt:lpstr>'Appendix E'!EXHL</vt:lpstr>
      <vt:lpstr>'Exhibit M'!EXHL</vt:lpstr>
      <vt:lpstr>'Medicaid Disp Share'!Medicaid</vt:lpstr>
      <vt:lpstr>Footnotes!Page_1</vt:lpstr>
      <vt:lpstr>'Sch 4'!page1</vt:lpstr>
      <vt:lpstr>'Table of Contents'!page1</vt:lpstr>
      <vt:lpstr>'Appendix E'!Print_Area</vt:lpstr>
      <vt:lpstr>'Appendix F'!Print_Area</vt:lpstr>
      <vt:lpstr>'Appendix G'!Print_Area</vt:lpstr>
      <vt:lpstr>'Appendix H'!Print_Area</vt:lpstr>
      <vt:lpstr>'Appendix I'!Print_Area</vt:lpstr>
      <vt:lpstr>'Cash Flow State Operating'!Print_Area</vt:lpstr>
      <vt:lpstr>'Cashflow Governmental'!Print_Area</vt:lpstr>
      <vt:lpstr>'Exh A Supp'!Print_Area</vt:lpstr>
      <vt:lpstr>'Exh B'!Print_Area</vt:lpstr>
      <vt:lpstr>'Exh C'!Print_Area</vt:lpstr>
      <vt:lpstr>'Exh D Capital Projects'!Print_Area</vt:lpstr>
      <vt:lpstr>'Exh D Captl Projects State Fed'!Print_Area</vt:lpstr>
      <vt:lpstr>'Exh D Debt Service'!Print_Area</vt:lpstr>
      <vt:lpstr>'Exh D General Fund'!Print_Area</vt:lpstr>
      <vt:lpstr>'Exh D Governmental  '!Print_Area</vt:lpstr>
      <vt:lpstr>'Exh D Special Revenue'!Print_Area</vt:lpstr>
      <vt:lpstr>'Exh D Special Revenue State Fed'!Print_Area</vt:lpstr>
      <vt:lpstr>'Exh D State Operating'!Print_Area</vt:lpstr>
      <vt:lpstr>'Exhibit A'!Print_Area</vt:lpstr>
      <vt:lpstr>'EXHIBIT E '!Print_Area</vt:lpstr>
      <vt:lpstr>'Exhibit F'!Print_Area</vt:lpstr>
      <vt:lpstr>'Exhibit G'!Print_Area</vt:lpstr>
      <vt:lpstr>'Exhibit G Federal'!Print_Area</vt:lpstr>
      <vt:lpstr>'Exhibit G State'!Print_Area</vt:lpstr>
      <vt:lpstr>'Exhibit H'!Print_Area</vt:lpstr>
      <vt:lpstr>'Exhibit I'!Print_Area</vt:lpstr>
      <vt:lpstr>'Exhibit I Federal'!Print_Area</vt:lpstr>
      <vt:lpstr>'Exhibit I State'!Print_Area</vt:lpstr>
      <vt:lpstr>'Exhibit J'!Print_Area</vt:lpstr>
      <vt:lpstr>'Exhibit K'!Print_Area</vt:lpstr>
      <vt:lpstr>'Exhibit L'!Print_Area</vt:lpstr>
      <vt:lpstr>'Exhibit M'!Print_Area</vt:lpstr>
      <vt:lpstr>Footnotes!Print_Area</vt:lpstr>
      <vt:lpstr>'HCRA '!Print_Area</vt:lpstr>
      <vt:lpstr>'HCRA PROG DISB'!Print_Area</vt:lpstr>
      <vt:lpstr>'Medicaid Disp Share'!Print_Area</vt:lpstr>
      <vt:lpstr>'Public Goods '!Print_Area</vt:lpstr>
      <vt:lpstr>'Sch 1 '!Print_Area</vt:lpstr>
      <vt:lpstr>'Sch 2 '!Print_Area</vt:lpstr>
      <vt:lpstr>'Sch 3 '!Print_Area</vt:lpstr>
      <vt:lpstr>'Sch 4'!Print_Area</vt:lpstr>
      <vt:lpstr>'Sch 5 '!Print_Area</vt:lpstr>
      <vt:lpstr>'Sch 5a'!Print_Area</vt:lpstr>
      <vt:lpstr>'Sch 6'!Print_Area</vt:lpstr>
      <vt:lpstr>'Table of Contents'!Print_Area</vt:lpstr>
      <vt:lpstr>'Appendix F'!Print_Titles</vt:lpstr>
      <vt:lpstr>'Cash Flow State Operating'!Print_Titles</vt:lpstr>
      <vt:lpstr>'Cashflow Governmental'!Print_Titles</vt:lpstr>
      <vt:lpstr>'Exhibit F'!Print_Titles</vt:lpstr>
      <vt:lpstr>'Exhibit G'!Print_Titles</vt:lpstr>
      <vt:lpstr>'Exhibit G Federal'!Print_Titles</vt:lpstr>
      <vt:lpstr>'Exhibit G State'!Print_Titles</vt:lpstr>
      <vt:lpstr>'Exhibit H'!Print_Titles</vt:lpstr>
      <vt:lpstr>'Exhibit I'!Print_Titles</vt:lpstr>
      <vt:lpstr>'Exhibit I Federal'!Print_Titles</vt:lpstr>
      <vt:lpstr>'Exhibit I State'!Print_Titles</vt:lpstr>
      <vt:lpstr>Footnotes!Print_Titles</vt:lpstr>
      <vt:lpstr>'HCRA PROG DISB'!Print_Titles</vt:lpstr>
      <vt:lpstr>'Public Goods '!Print_Titles</vt:lpstr>
      <vt:lpstr>'Sch 1 '!Print_Titles</vt:lpstr>
      <vt:lpstr>'Table of Contents'!Print_Titles</vt:lpstr>
      <vt:lpstr>'Sch 3 '!Sch3_2</vt:lpstr>
      <vt:lpstr>'EXHIBIT E '!STATE_OF_NEW_YORK</vt:lpstr>
      <vt:lpstr>'Appendix G'!variance</vt:lpstr>
      <vt:lpstr>'HCRA '!variance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2026-08-14T15:48:15Z</dcterms:created>
  <dcterms:modified xsi:type="dcterms:W3CDTF">2026-08-14T18:51:58Z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7bddef3-8e59-45c1-bdac-d5d24c730409_Enabled">
    <vt:lpwstr>true</vt:lpwstr>
  </property>
  <property fmtid="{D5CDD505-2E9C-101B-9397-08002B2CF9AE}" pid="3" name="MSIP_Label_f7bddef3-8e59-45c1-bdac-d5d24c730409_SetDate">
    <vt:lpwstr>2026-08-14T15:48:34Z</vt:lpwstr>
  </property>
  <property fmtid="{D5CDD505-2E9C-101B-9397-08002B2CF9AE}" pid="4" name="MSIP_Label_f7bddef3-8e59-45c1-bdac-d5d24c730409_Method">
    <vt:lpwstr>Privileged</vt:lpwstr>
  </property>
  <property fmtid="{D5CDD505-2E9C-101B-9397-08002B2CF9AE}" pid="5" name="MSIP_Label_f7bddef3-8e59-45c1-bdac-d5d24c730409_Name">
    <vt:lpwstr>Public</vt:lpwstr>
  </property>
  <property fmtid="{D5CDD505-2E9C-101B-9397-08002B2CF9AE}" pid="6" name="MSIP_Label_f7bddef3-8e59-45c1-bdac-d5d24c730409_SiteId">
    <vt:lpwstr>23b2cc00-e776-44cb-a980-c7c90c455026</vt:lpwstr>
  </property>
  <property fmtid="{D5CDD505-2E9C-101B-9397-08002B2CF9AE}" pid="7" name="MSIP_Label_f7bddef3-8e59-45c1-bdac-d5d24c730409_ActionId">
    <vt:lpwstr>a153ed9a-935c-4902-9abe-46c95cc10d3a</vt:lpwstr>
  </property>
  <property fmtid="{D5CDD505-2E9C-101B-9397-08002B2CF9AE}" pid="8" name="MSIP_Label_f7bddef3-8e59-45c1-bdac-d5d24c730409_ContentBits">
    <vt:lpwstr>0</vt:lpwstr>
  </property>
  <property fmtid="{D5CDD505-2E9C-101B-9397-08002B2CF9AE}" pid="9" name="MSIP_Label_f7bddef3-8e59-45c1-bdac-d5d24c730409_Tag">
    <vt:lpwstr>10, 0, 1, 1</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ies>
</file>